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codeName="DieseArbeitsmappe" defaultThemeVersion="124226"/>
  <mc:AlternateContent xmlns:mc="http://schemas.openxmlformats.org/markup-compatibility/2006">
    <mc:Choice Requires="x15">
      <x15ac:absPath xmlns:x15ac="http://schemas.microsoft.com/office/spreadsheetml/2010/11/ac" url="/Users/izzetkilicarslan/PycharmProjects/Masterarbeit_100prosim/Excel_import/Python_Modell/"/>
    </mc:Choice>
  </mc:AlternateContent>
  <xr:revisionPtr revIDLastSave="0" documentId="13_ncr:1_{6A3ADCA1-A5AD-B348-8239-9725C5AC30E0}" xr6:coauthVersionLast="46" xr6:coauthVersionMax="46" xr10:uidLastSave="{00000000-0000-0000-0000-000000000000}"/>
  <workbookProtection workbookAlgorithmName="SHA-512" workbookHashValue="Nlt0hEFyh6ObWlD0bcVkzoK2Z4N6CcS+q1GwTj9nVaTDbKzZL9qu7YSl1xEZv98EnpPaiBV5Qno+0AwuYegJag==" workbookSaltValue="5Eck3UdCQBiRMGf0GG+NWw==" workbookSpinCount="100000" lockStructure="1"/>
  <bookViews>
    <workbookView xWindow="0" yWindow="0" windowWidth="28800" windowHeight="18000" xr2:uid="{00000000-000D-0000-FFFF-FFFF00000000}"/>
  </bookViews>
  <sheets>
    <sheet name="1." sheetId="18" r:id="rId1"/>
    <sheet name="7.VerbrauchStatus" sheetId="22" r:id="rId2"/>
    <sheet name="8.Kennzahlen" sheetId="25" r:id="rId3"/>
    <sheet name="9.Quellen" sheetId="19" r:id="rId4"/>
    <sheet name="O_" sheetId="21" state="hidden" r:id="rId5"/>
    <sheet name="I_BS.2" sheetId="4" state="hidden" r:id="rId6"/>
    <sheet name="I_BS.3" sheetId="8" state="hidden" r:id="rId7"/>
    <sheet name="I_Region" sheetId="15" state="hidden" r:id="rId8"/>
    <sheet name="I_Basisdaten" sheetId="16" state="hidden" r:id="rId9"/>
    <sheet name="WS_" sheetId="23" state="hidden" r:id="rId10"/>
    <sheet name="PSZ_" sheetId="26" state="hidden" r:id="rId11"/>
    <sheet name="Copyright" sheetId="29" r:id="rId12"/>
    <sheet name="Versionen" sheetId="27" r:id="rId13"/>
    <sheet name="Stempel" sheetId="28" state="hidden" r:id="rId14"/>
    <sheet name="Arbeitsblätter" sheetId="30" r:id="rId15"/>
    <sheet name="EingabeEinAus" sheetId="31" r:id="rId16"/>
  </sheets>
  <externalReferences>
    <externalReference r:id="rId17"/>
    <externalReference r:id="rId18"/>
    <externalReference r:id="rId19"/>
    <externalReference r:id="rId20"/>
  </externalReferences>
  <definedNames>
    <definedName name="Alpha">'1.'!$F$1</definedName>
    <definedName name="_xlnm.Print_Area" localSheetId="0">'1.'!$D$2:$O$2087</definedName>
    <definedName name="_xlnm.Print_Area" localSheetId="1">'7.VerbrauchStatus'!$A$1:$V$93</definedName>
    <definedName name="_xlnm.Print_Area" localSheetId="2">'8.Kennzahlen'!$A$2:$M$77</definedName>
    <definedName name="_xlnm.Print_Area" localSheetId="3">'9.Quellen'!$A$1:$D$271</definedName>
    <definedName name="_xlnm.Print_Titles" localSheetId="0">'1.'!$2:$4</definedName>
    <definedName name="_xlnm.Print_Titles" localSheetId="1">'7.VerbrauchStatus'!$2:$4</definedName>
    <definedName name="_xlnm.Print_Titles" localSheetId="2">'8.Kennzahlen'!$2:$4</definedName>
    <definedName name="_xlnm.Print_Titles" localSheetId="3">'9.Quellen'!$1:$3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897" i="18" l="1"/>
  <c r="U14" i="18"/>
  <c r="U30" i="18"/>
  <c r="C219" i="19"/>
  <c r="C220" i="19"/>
  <c r="X984" i="18" s="1"/>
  <c r="C221" i="19"/>
  <c r="C195" i="19"/>
  <c r="C196" i="19"/>
  <c r="X30" i="18" s="1"/>
  <c r="C197" i="19"/>
  <c r="X587" i="18" l="1"/>
  <c r="AE785" i="18"/>
  <c r="AF785" i="18" s="1"/>
  <c r="U28" i="18"/>
  <c r="AG984" i="18" l="1"/>
  <c r="C127" i="19"/>
  <c r="C126" i="19"/>
  <c r="C125" i="19"/>
  <c r="H120" i="8" l="1"/>
  <c r="H119" i="8"/>
  <c r="F168" i="8"/>
  <c r="C168" i="8"/>
  <c r="B168" i="8"/>
  <c r="F167" i="8"/>
  <c r="C167" i="8"/>
  <c r="B167" i="8"/>
  <c r="F166" i="8"/>
  <c r="C166" i="8"/>
  <c r="B166" i="8"/>
  <c r="F165" i="8"/>
  <c r="C165" i="8"/>
  <c r="B165" i="8"/>
  <c r="F164" i="8"/>
  <c r="C164" i="8"/>
  <c r="B164" i="8"/>
  <c r="F163" i="8"/>
  <c r="C163" i="8"/>
  <c r="B163" i="8"/>
  <c r="F162" i="8"/>
  <c r="C162" i="8"/>
  <c r="B162" i="8"/>
  <c r="F161" i="8"/>
  <c r="C161" i="8"/>
  <c r="B161" i="8"/>
  <c r="F160" i="8"/>
  <c r="C160" i="8"/>
  <c r="B160" i="8"/>
  <c r="F159" i="8"/>
  <c r="C159" i="8"/>
  <c r="B159" i="8"/>
  <c r="F158" i="8"/>
  <c r="C158" i="8"/>
  <c r="B158" i="8"/>
  <c r="C157" i="8"/>
  <c r="B157" i="8"/>
  <c r="B156" i="8"/>
  <c r="E155" i="8"/>
  <c r="C155" i="8"/>
  <c r="B155" i="8"/>
  <c r="E154" i="8"/>
  <c r="C154" i="8"/>
  <c r="B154" i="8"/>
  <c r="E153" i="8"/>
  <c r="C153" i="8"/>
  <c r="B153" i="8"/>
  <c r="E152" i="8"/>
  <c r="C152" i="8"/>
  <c r="B152" i="8"/>
  <c r="C151" i="8"/>
  <c r="B151" i="8"/>
  <c r="C150" i="8"/>
  <c r="B150" i="8"/>
  <c r="B149" i="8"/>
  <c r="E148" i="8"/>
  <c r="C148" i="8"/>
  <c r="B148" i="8"/>
  <c r="E147" i="8"/>
  <c r="C147" i="8"/>
  <c r="B147" i="8"/>
  <c r="E146" i="8"/>
  <c r="C146" i="8"/>
  <c r="B146" i="8"/>
  <c r="E145" i="8"/>
  <c r="C145" i="8"/>
  <c r="B145" i="8"/>
  <c r="C144" i="8"/>
  <c r="B144" i="8"/>
  <c r="C143" i="8"/>
  <c r="B143" i="8"/>
  <c r="B142" i="8"/>
  <c r="F141" i="8"/>
  <c r="E141" i="8"/>
  <c r="C141" i="8"/>
  <c r="B141" i="8"/>
  <c r="F140" i="8"/>
  <c r="E140" i="8"/>
  <c r="C140" i="8"/>
  <c r="B140" i="8"/>
  <c r="F139" i="8"/>
  <c r="E139" i="8"/>
  <c r="C139" i="8"/>
  <c r="B139" i="8"/>
  <c r="F138" i="8"/>
  <c r="E138" i="8"/>
  <c r="C138" i="8"/>
  <c r="B138" i="8"/>
  <c r="F137" i="8"/>
  <c r="E137" i="8"/>
  <c r="C137" i="8"/>
  <c r="B137" i="8"/>
  <c r="F136" i="8"/>
  <c r="E136" i="8"/>
  <c r="C136" i="8"/>
  <c r="B136" i="8"/>
  <c r="F135" i="8"/>
  <c r="E135" i="8"/>
  <c r="C135" i="8"/>
  <c r="B135" i="8"/>
  <c r="F134" i="8"/>
  <c r="E134" i="8"/>
  <c r="C134" i="8"/>
  <c r="B134" i="8"/>
  <c r="C133" i="8"/>
  <c r="B133" i="8"/>
  <c r="B132" i="8"/>
  <c r="F131" i="8"/>
  <c r="E131" i="8"/>
  <c r="C131" i="8"/>
  <c r="B131" i="8"/>
  <c r="F130" i="8"/>
  <c r="E130" i="8"/>
  <c r="C130" i="8"/>
  <c r="B130" i="8"/>
  <c r="F129" i="8"/>
  <c r="E129" i="8"/>
  <c r="C129" i="8"/>
  <c r="B129" i="8"/>
  <c r="F128" i="8"/>
  <c r="E128" i="8"/>
  <c r="C128" i="8"/>
  <c r="B128" i="8"/>
  <c r="F127" i="8"/>
  <c r="E127" i="8"/>
  <c r="C127" i="8"/>
  <c r="B127" i="8"/>
  <c r="F126" i="8"/>
  <c r="E126" i="8"/>
  <c r="C126" i="8"/>
  <c r="B126" i="8"/>
  <c r="E125" i="8"/>
  <c r="C125" i="8"/>
  <c r="B125" i="8"/>
  <c r="F124" i="8"/>
  <c r="E124" i="8"/>
  <c r="B124" i="8"/>
  <c r="F123" i="8"/>
  <c r="E123" i="8"/>
  <c r="C123" i="8"/>
  <c r="B123" i="8"/>
  <c r="C122" i="8"/>
  <c r="B122" i="8"/>
  <c r="B121" i="8"/>
  <c r="C120" i="8"/>
  <c r="B120" i="8"/>
  <c r="C119" i="8"/>
  <c r="B119" i="8"/>
  <c r="C118" i="8"/>
  <c r="B118" i="8"/>
  <c r="C117" i="8"/>
  <c r="B117" i="8"/>
  <c r="M78" i="25"/>
  <c r="L78" i="25"/>
  <c r="K76" i="25"/>
  <c r="J76" i="25"/>
  <c r="K75" i="25"/>
  <c r="J75" i="25"/>
  <c r="K74" i="25"/>
  <c r="J74" i="25"/>
  <c r="K73" i="25"/>
  <c r="J73" i="25"/>
  <c r="K72" i="25"/>
  <c r="J72" i="25"/>
  <c r="K71" i="25"/>
  <c r="J71" i="25"/>
  <c r="J67" i="25"/>
  <c r="I67" i="25"/>
  <c r="J66" i="25"/>
  <c r="I66" i="25"/>
  <c r="J65" i="25"/>
  <c r="I65" i="25"/>
  <c r="J64" i="25"/>
  <c r="J62" i="25"/>
  <c r="J61" i="25"/>
  <c r="J60" i="25"/>
  <c r="J59" i="25"/>
  <c r="J58" i="25"/>
  <c r="J57" i="25"/>
  <c r="J56" i="25"/>
  <c r="K52" i="25"/>
  <c r="J52" i="25"/>
  <c r="I52" i="25"/>
  <c r="K51" i="25"/>
  <c r="J51" i="25"/>
  <c r="I51" i="25"/>
  <c r="K50" i="25"/>
  <c r="J50" i="25"/>
  <c r="I50" i="25"/>
  <c r="K49" i="25"/>
  <c r="J49" i="25"/>
  <c r="I49" i="25"/>
  <c r="K48" i="25"/>
  <c r="J48" i="25"/>
  <c r="K46" i="25"/>
  <c r="J46" i="25"/>
  <c r="K45" i="25"/>
  <c r="J45" i="25"/>
  <c r="K44" i="25"/>
  <c r="J44" i="25"/>
  <c r="J40" i="25"/>
  <c r="I40" i="25"/>
  <c r="J39" i="25"/>
  <c r="I39" i="25"/>
  <c r="J38" i="25"/>
  <c r="I38" i="25"/>
  <c r="J37" i="25"/>
  <c r="I37" i="25"/>
  <c r="J36" i="25"/>
  <c r="J31" i="25"/>
  <c r="I31" i="25"/>
  <c r="J30" i="25"/>
  <c r="I30" i="25"/>
  <c r="J29" i="25"/>
  <c r="I29" i="25"/>
  <c r="J28" i="25"/>
  <c r="I28" i="25"/>
  <c r="J27" i="25"/>
  <c r="J23" i="25"/>
  <c r="I23" i="25"/>
  <c r="J22" i="25"/>
  <c r="I22" i="25"/>
  <c r="J21" i="25"/>
  <c r="K17" i="25"/>
  <c r="J17" i="25"/>
  <c r="K16" i="25"/>
  <c r="J16" i="25"/>
  <c r="K15" i="25"/>
  <c r="J15" i="25"/>
  <c r="K14" i="25"/>
  <c r="J14" i="25"/>
  <c r="K13" i="25"/>
  <c r="J13" i="25"/>
  <c r="K12" i="25"/>
  <c r="J12" i="25"/>
  <c r="J11" i="25"/>
  <c r="K10" i="25"/>
  <c r="J10" i="25"/>
  <c r="K9" i="25"/>
  <c r="J9" i="25"/>
  <c r="E78" i="25"/>
  <c r="F76" i="25"/>
  <c r="E76" i="25"/>
  <c r="F75" i="25"/>
  <c r="E75" i="25"/>
  <c r="F74" i="25"/>
  <c r="E74" i="25"/>
  <c r="F73" i="25"/>
  <c r="E73" i="25"/>
  <c r="F72" i="25"/>
  <c r="E72" i="25"/>
  <c r="F71" i="25"/>
  <c r="E71" i="25"/>
  <c r="F70" i="25"/>
  <c r="E70" i="25"/>
  <c r="E69" i="25"/>
  <c r="F67" i="25"/>
  <c r="E67" i="25"/>
  <c r="F66" i="25"/>
  <c r="E66" i="25"/>
  <c r="F65" i="25"/>
  <c r="E65" i="25"/>
  <c r="F64" i="25"/>
  <c r="E64" i="25"/>
  <c r="F62" i="25"/>
  <c r="E62" i="25"/>
  <c r="F61" i="25"/>
  <c r="E61" i="25"/>
  <c r="F60" i="25"/>
  <c r="E60" i="25"/>
  <c r="F59" i="25"/>
  <c r="E59" i="25"/>
  <c r="F58" i="25"/>
  <c r="E58" i="25"/>
  <c r="F57" i="25"/>
  <c r="E57" i="25"/>
  <c r="F56" i="25"/>
  <c r="E56" i="25"/>
  <c r="F55" i="25"/>
  <c r="E55" i="25"/>
  <c r="E54" i="25"/>
  <c r="F52" i="25"/>
  <c r="E52" i="25"/>
  <c r="F51" i="25"/>
  <c r="E51" i="25"/>
  <c r="F50" i="25"/>
  <c r="E50" i="25"/>
  <c r="F49" i="25"/>
  <c r="E49" i="25"/>
  <c r="F48" i="25"/>
  <c r="E48" i="25"/>
  <c r="F46" i="25"/>
  <c r="E46" i="25"/>
  <c r="F45" i="25"/>
  <c r="E45" i="25"/>
  <c r="F44" i="25"/>
  <c r="E44" i="25"/>
  <c r="F43" i="25"/>
  <c r="E43" i="25"/>
  <c r="E42" i="25"/>
  <c r="F40" i="25"/>
  <c r="E40" i="25"/>
  <c r="F39" i="25"/>
  <c r="E39" i="25"/>
  <c r="F38" i="25"/>
  <c r="E38" i="25"/>
  <c r="F37" i="25"/>
  <c r="E37" i="25"/>
  <c r="E36" i="25"/>
  <c r="F35" i="25"/>
  <c r="E35" i="25"/>
  <c r="E34" i="25"/>
  <c r="F31" i="25"/>
  <c r="E31" i="25"/>
  <c r="F30" i="25"/>
  <c r="E30" i="25"/>
  <c r="F29" i="25"/>
  <c r="E29" i="25"/>
  <c r="F28" i="25"/>
  <c r="E28" i="25"/>
  <c r="E27" i="25"/>
  <c r="F26" i="25"/>
  <c r="E26" i="25"/>
  <c r="E25" i="25"/>
  <c r="F23" i="25"/>
  <c r="E23" i="25"/>
  <c r="F22" i="25"/>
  <c r="E22" i="25"/>
  <c r="E21" i="25"/>
  <c r="F20" i="25"/>
  <c r="E20" i="25"/>
  <c r="E19" i="25"/>
  <c r="F17" i="25"/>
  <c r="E17" i="25"/>
  <c r="F16" i="25"/>
  <c r="E16" i="25"/>
  <c r="F15" i="25"/>
  <c r="E15" i="25"/>
  <c r="F14" i="25"/>
  <c r="E14" i="25"/>
  <c r="F13" i="25"/>
  <c r="E13" i="25"/>
  <c r="F12" i="25"/>
  <c r="E12" i="25"/>
  <c r="F11" i="25"/>
  <c r="E11" i="25"/>
  <c r="E10" i="25"/>
  <c r="E9" i="25"/>
  <c r="F8" i="25"/>
  <c r="E8" i="25"/>
  <c r="E7" i="25"/>
  <c r="F6" i="25"/>
  <c r="E6" i="25"/>
  <c r="M84" i="4"/>
  <c r="J84" i="4"/>
  <c r="G84" i="4"/>
  <c r="C84" i="4"/>
  <c r="A84" i="4"/>
  <c r="M83" i="4"/>
  <c r="J83" i="4"/>
  <c r="G83" i="4"/>
  <c r="C83" i="4"/>
  <c r="A83" i="4"/>
  <c r="M82" i="4"/>
  <c r="J82" i="4"/>
  <c r="G82" i="4"/>
  <c r="C82" i="4"/>
  <c r="A82" i="4"/>
  <c r="M81" i="4"/>
  <c r="J81" i="4"/>
  <c r="G81" i="4"/>
  <c r="C81" i="4"/>
  <c r="A81" i="4"/>
  <c r="M80" i="4"/>
  <c r="J80" i="4"/>
  <c r="G80" i="4"/>
  <c r="C80" i="4"/>
  <c r="A80" i="4"/>
  <c r="J79" i="4"/>
  <c r="G79" i="4"/>
  <c r="C79" i="4"/>
  <c r="A79" i="4"/>
  <c r="B78" i="4"/>
  <c r="A78" i="4"/>
  <c r="A77" i="4"/>
  <c r="A76" i="4"/>
  <c r="L75" i="4"/>
  <c r="K75" i="4"/>
  <c r="I75" i="4"/>
  <c r="H75" i="4"/>
  <c r="C75" i="4"/>
  <c r="A75" i="4"/>
  <c r="L74" i="4"/>
  <c r="K74" i="4"/>
  <c r="I74" i="4"/>
  <c r="H74" i="4"/>
  <c r="C74" i="4"/>
  <c r="A74" i="4"/>
  <c r="L73" i="4"/>
  <c r="I73" i="4"/>
  <c r="C73" i="4"/>
  <c r="A73" i="4"/>
  <c r="K72" i="4"/>
  <c r="H72" i="4"/>
  <c r="C72" i="4"/>
  <c r="A72" i="4"/>
  <c r="J71" i="4"/>
  <c r="G71" i="4"/>
  <c r="C71" i="4"/>
  <c r="A71" i="4"/>
  <c r="L70" i="4"/>
  <c r="K70" i="4"/>
  <c r="J70" i="4"/>
  <c r="I70" i="4"/>
  <c r="G70" i="4"/>
  <c r="A70" i="4"/>
  <c r="J69" i="4"/>
  <c r="G69" i="4"/>
  <c r="C69" i="4"/>
  <c r="A69" i="4"/>
  <c r="B68" i="4"/>
  <c r="A68" i="4"/>
  <c r="A67" i="4"/>
  <c r="D66" i="4"/>
  <c r="C66" i="4"/>
  <c r="A66" i="4"/>
  <c r="D65" i="4"/>
  <c r="C65" i="4"/>
  <c r="A65" i="4"/>
  <c r="D64" i="4"/>
  <c r="C64" i="4"/>
  <c r="A64" i="4"/>
  <c r="B63" i="4"/>
  <c r="A63" i="4"/>
  <c r="Q62" i="4"/>
  <c r="P62" i="4"/>
  <c r="M62" i="4"/>
  <c r="J62" i="4"/>
  <c r="G62" i="4"/>
  <c r="D62" i="4"/>
  <c r="C62" i="4"/>
  <c r="A62" i="4"/>
  <c r="O61" i="4"/>
  <c r="N61" i="4"/>
  <c r="I61" i="4"/>
  <c r="H61" i="4"/>
  <c r="A61" i="4"/>
  <c r="P60" i="4"/>
  <c r="M60" i="4"/>
  <c r="J60" i="4"/>
  <c r="G60" i="4"/>
  <c r="D60" i="4"/>
  <c r="C60" i="4"/>
  <c r="A60" i="4"/>
  <c r="O59" i="4"/>
  <c r="N59" i="4"/>
  <c r="I59" i="4"/>
  <c r="H59" i="4"/>
  <c r="A59" i="4"/>
  <c r="Q58" i="4"/>
  <c r="P58" i="4"/>
  <c r="M58" i="4"/>
  <c r="J58" i="4"/>
  <c r="G58" i="4"/>
  <c r="D58" i="4"/>
  <c r="C58" i="4"/>
  <c r="A58" i="4"/>
  <c r="O57" i="4"/>
  <c r="N57" i="4"/>
  <c r="I57" i="4"/>
  <c r="H57" i="4"/>
  <c r="A57" i="4"/>
  <c r="Q56" i="4"/>
  <c r="P56" i="4"/>
  <c r="M56" i="4"/>
  <c r="J56" i="4"/>
  <c r="G56" i="4"/>
  <c r="D56" i="4"/>
  <c r="C56" i="4"/>
  <c r="A56" i="4"/>
  <c r="O55" i="4"/>
  <c r="N55" i="4"/>
  <c r="I55" i="4"/>
  <c r="H55" i="4"/>
  <c r="A55" i="4"/>
  <c r="Q54" i="4"/>
  <c r="P54" i="4"/>
  <c r="M54" i="4"/>
  <c r="J54" i="4"/>
  <c r="G54" i="4"/>
  <c r="D54" i="4"/>
  <c r="C54" i="4"/>
  <c r="A54" i="4"/>
  <c r="O53" i="4"/>
  <c r="N53" i="4"/>
  <c r="I53" i="4"/>
  <c r="H53" i="4"/>
  <c r="A53" i="4"/>
  <c r="P52" i="4"/>
  <c r="M52" i="4"/>
  <c r="J52" i="4"/>
  <c r="G52" i="4"/>
  <c r="D52" i="4"/>
  <c r="C52" i="4"/>
  <c r="B52" i="4"/>
  <c r="A52" i="4"/>
  <c r="Q51" i="4"/>
  <c r="O51" i="4"/>
  <c r="M51" i="4"/>
  <c r="I51" i="4"/>
  <c r="G51" i="4"/>
  <c r="A51" i="4"/>
  <c r="Q50" i="4"/>
  <c r="P50" i="4"/>
  <c r="M50" i="4"/>
  <c r="J50" i="4"/>
  <c r="G50" i="4"/>
  <c r="D50" i="4"/>
  <c r="A50" i="4"/>
  <c r="D49" i="4"/>
  <c r="C49" i="4"/>
  <c r="A49" i="4"/>
  <c r="B48" i="4"/>
  <c r="A48" i="4"/>
  <c r="J40" i="4"/>
  <c r="Q93" i="22"/>
  <c r="N93" i="22"/>
  <c r="K93" i="22"/>
  <c r="H93" i="22"/>
  <c r="F93" i="22"/>
  <c r="E93" i="22"/>
  <c r="Q92" i="22"/>
  <c r="N92" i="22"/>
  <c r="K92" i="22"/>
  <c r="H92" i="22"/>
  <c r="F92" i="22"/>
  <c r="E92" i="22"/>
  <c r="Q91" i="22"/>
  <c r="N91" i="22"/>
  <c r="K91" i="22"/>
  <c r="H91" i="22"/>
  <c r="F91" i="22"/>
  <c r="E91" i="22"/>
  <c r="Q90" i="22"/>
  <c r="N90" i="22"/>
  <c r="K90" i="22"/>
  <c r="H90" i="22"/>
  <c r="F90" i="22"/>
  <c r="E90" i="22"/>
  <c r="E89" i="22"/>
  <c r="E88" i="22"/>
  <c r="E87" i="22"/>
  <c r="F86" i="22"/>
  <c r="E86" i="22"/>
  <c r="Q83" i="22"/>
  <c r="N83" i="22"/>
  <c r="K83" i="22"/>
  <c r="G83" i="22"/>
  <c r="E83" i="22"/>
  <c r="Q82" i="22"/>
  <c r="N82" i="22"/>
  <c r="K82" i="22"/>
  <c r="G82" i="22"/>
  <c r="E82" i="22"/>
  <c r="Q81" i="22"/>
  <c r="N81" i="22"/>
  <c r="K81" i="22"/>
  <c r="G81" i="22"/>
  <c r="E81" i="22"/>
  <c r="Q80" i="22"/>
  <c r="N80" i="22"/>
  <c r="K80" i="22"/>
  <c r="G80" i="22"/>
  <c r="E80" i="22"/>
  <c r="Q79" i="22"/>
  <c r="N79" i="22"/>
  <c r="K79" i="22"/>
  <c r="G79" i="22"/>
  <c r="E79" i="22"/>
  <c r="N78" i="22"/>
  <c r="K78" i="22"/>
  <c r="G78" i="22"/>
  <c r="E78" i="22"/>
  <c r="F77" i="22"/>
  <c r="E77" i="22"/>
  <c r="E76" i="22"/>
  <c r="E75" i="22"/>
  <c r="P74" i="22"/>
  <c r="O74" i="22"/>
  <c r="M74" i="22"/>
  <c r="L74" i="22"/>
  <c r="G74" i="22"/>
  <c r="E74" i="22"/>
  <c r="P73" i="22"/>
  <c r="O73" i="22"/>
  <c r="M73" i="22"/>
  <c r="L73" i="22"/>
  <c r="G73" i="22"/>
  <c r="E73" i="22"/>
  <c r="P72" i="22"/>
  <c r="M72" i="22"/>
  <c r="G72" i="22"/>
  <c r="E72" i="22"/>
  <c r="O71" i="22"/>
  <c r="L71" i="22"/>
  <c r="G71" i="22"/>
  <c r="E71" i="22"/>
  <c r="N70" i="22"/>
  <c r="K70" i="22"/>
  <c r="G70" i="22"/>
  <c r="E70" i="22"/>
  <c r="P69" i="22"/>
  <c r="O69" i="22"/>
  <c r="N69" i="22"/>
  <c r="M69" i="22"/>
  <c r="K69" i="22"/>
  <c r="E69" i="22"/>
  <c r="N68" i="22"/>
  <c r="K68" i="22"/>
  <c r="G68" i="22"/>
  <c r="E68" i="22"/>
  <c r="F67" i="22"/>
  <c r="E67" i="22"/>
  <c r="E66" i="22"/>
  <c r="H65" i="22"/>
  <c r="G65" i="22"/>
  <c r="E65" i="22"/>
  <c r="H64" i="22"/>
  <c r="G64" i="22"/>
  <c r="E64" i="22"/>
  <c r="H63" i="22"/>
  <c r="G63" i="22"/>
  <c r="E63" i="22"/>
  <c r="F62" i="22"/>
  <c r="E62" i="22"/>
  <c r="U61" i="22"/>
  <c r="T61" i="22"/>
  <c r="Q61" i="22"/>
  <c r="N61" i="22"/>
  <c r="K61" i="22"/>
  <c r="H61" i="22"/>
  <c r="G61" i="22"/>
  <c r="E61" i="22"/>
  <c r="S60" i="22"/>
  <c r="R60" i="22"/>
  <c r="M60" i="22"/>
  <c r="L60" i="22"/>
  <c r="E60" i="22"/>
  <c r="T59" i="22"/>
  <c r="Q59" i="22"/>
  <c r="N59" i="22"/>
  <c r="K59" i="22"/>
  <c r="H59" i="22"/>
  <c r="G59" i="22"/>
  <c r="E59" i="22"/>
  <c r="S58" i="22"/>
  <c r="R58" i="22"/>
  <c r="M58" i="22"/>
  <c r="L58" i="22"/>
  <c r="E58" i="22"/>
  <c r="U57" i="22"/>
  <c r="T57" i="22"/>
  <c r="Q57" i="22"/>
  <c r="N57" i="22"/>
  <c r="K57" i="22"/>
  <c r="H57" i="22"/>
  <c r="G57" i="22"/>
  <c r="E57" i="22"/>
  <c r="S56" i="22"/>
  <c r="R56" i="22"/>
  <c r="M56" i="22"/>
  <c r="L56" i="22"/>
  <c r="E56" i="22"/>
  <c r="U55" i="22"/>
  <c r="T55" i="22"/>
  <c r="Q55" i="22"/>
  <c r="N55" i="22"/>
  <c r="K55" i="22"/>
  <c r="H55" i="22"/>
  <c r="G55" i="22"/>
  <c r="E55" i="22"/>
  <c r="S54" i="22"/>
  <c r="R54" i="22"/>
  <c r="M54" i="22"/>
  <c r="L54" i="22"/>
  <c r="E54" i="22"/>
  <c r="U53" i="22"/>
  <c r="T53" i="22"/>
  <c r="Q53" i="22"/>
  <c r="N53" i="22"/>
  <c r="K53" i="22"/>
  <c r="H53" i="22"/>
  <c r="G53" i="22"/>
  <c r="E53" i="22"/>
  <c r="S52" i="22"/>
  <c r="R52" i="22"/>
  <c r="M52" i="22"/>
  <c r="L52" i="22"/>
  <c r="E52" i="22"/>
  <c r="T51" i="22"/>
  <c r="Q51" i="22"/>
  <c r="N51" i="22"/>
  <c r="K51" i="22"/>
  <c r="H51" i="22"/>
  <c r="G51" i="22"/>
  <c r="F51" i="22"/>
  <c r="E51" i="22"/>
  <c r="U50" i="22"/>
  <c r="S50" i="22"/>
  <c r="Q50" i="22"/>
  <c r="M50" i="22"/>
  <c r="K50" i="22"/>
  <c r="E50" i="22"/>
  <c r="U49" i="22"/>
  <c r="T49" i="22"/>
  <c r="Q49" i="22"/>
  <c r="N49" i="22"/>
  <c r="K49" i="22"/>
  <c r="H49" i="22"/>
  <c r="E49" i="22"/>
  <c r="H48" i="22"/>
  <c r="G48" i="22"/>
  <c r="E48" i="22"/>
  <c r="F47" i="22"/>
  <c r="E47" i="22"/>
  <c r="N26" i="22"/>
  <c r="DT982" i="18"/>
  <c r="X982" i="18"/>
  <c r="W7" i="18" l="1"/>
  <c r="AN192" i="18"/>
  <c r="Q657" i="18"/>
  <c r="Q652" i="18"/>
  <c r="Q641" i="18"/>
  <c r="Q640" i="18"/>
  <c r="Q639" i="18"/>
  <c r="Q638" i="18"/>
  <c r="U629" i="18"/>
  <c r="Q637" i="18"/>
  <c r="Q632" i="18"/>
  <c r="Q629" i="18"/>
  <c r="C156" i="19" l="1"/>
  <c r="C155" i="19"/>
  <c r="X2083" i="18" s="1"/>
  <c r="C154" i="19"/>
  <c r="C52" i="19"/>
  <c r="C51" i="19"/>
  <c r="X2033" i="18" s="1"/>
  <c r="C50" i="19"/>
  <c r="X2031" i="18" l="1"/>
  <c r="AE2079" i="18" l="1"/>
  <c r="EJ2085" i="18"/>
  <c r="Q2085" i="18"/>
  <c r="D2085" i="18"/>
  <c r="Y2077" i="18" s="1"/>
  <c r="C2085" i="18"/>
  <c r="EV2084" i="18"/>
  <c r="D2084" i="18"/>
  <c r="C2084" i="18" s="1"/>
  <c r="Q2083" i="18"/>
  <c r="D2083" i="18"/>
  <c r="EV2082" i="18"/>
  <c r="D2082" i="18"/>
  <c r="C2082" i="18"/>
  <c r="Q2081" i="18"/>
  <c r="D2081" i="18"/>
  <c r="C2081" i="18" s="1"/>
  <c r="EV2080" i="18"/>
  <c r="D2080" i="18"/>
  <c r="C2080" i="18" s="1"/>
  <c r="DT2079" i="18"/>
  <c r="Q2079" i="18"/>
  <c r="D2079" i="18"/>
  <c r="U2077" i="18" s="1"/>
  <c r="EV2078" i="18"/>
  <c r="D2078" i="18"/>
  <c r="C2078" i="18" s="1"/>
  <c r="BJ2077" i="18"/>
  <c r="W2077" i="18"/>
  <c r="D2077" i="18"/>
  <c r="BM2077" i="18" s="1"/>
  <c r="EV2076" i="18"/>
  <c r="D2076" i="18"/>
  <c r="C2076" i="18" s="1"/>
  <c r="EV2075" i="18"/>
  <c r="E2075" i="18"/>
  <c r="D2075" i="18"/>
  <c r="C2075" i="18"/>
  <c r="CZ2077" i="18"/>
  <c r="DF2077" i="18"/>
  <c r="DA2077" i="18"/>
  <c r="DD2077" i="18"/>
  <c r="DC2077" i="18"/>
  <c r="DE2077" i="18"/>
  <c r="CY2077" i="18"/>
  <c r="DB2077" i="18"/>
  <c r="EV2077" i="18" l="1"/>
  <c r="C2079" i="18"/>
  <c r="C2083" i="18"/>
  <c r="X2077" i="18"/>
  <c r="AJ2083" i="18"/>
  <c r="W2079" i="18"/>
  <c r="AF2081" i="18"/>
  <c r="AF2083" i="18"/>
  <c r="C2077" i="18"/>
  <c r="BC2077" i="18"/>
  <c r="AY2077" i="18"/>
  <c r="BA2077" i="18"/>
  <c r="G211" i="21"/>
  <c r="H211" i="21"/>
  <c r="I211" i="21"/>
  <c r="J211" i="21"/>
  <c r="K211" i="21"/>
  <c r="W2081" i="18" l="1"/>
  <c r="U2081" i="18"/>
  <c r="AD2085" i="18"/>
  <c r="W2083" i="18"/>
  <c r="W2085" i="18" s="1"/>
  <c r="A211" i="21"/>
  <c r="A210" i="21"/>
  <c r="U2085" i="18" l="1"/>
  <c r="CU2085" i="18" s="1"/>
  <c r="E2085" i="18" s="1"/>
  <c r="EV2085" i="18"/>
  <c r="EJ2073" i="18"/>
  <c r="Q2073" i="18"/>
  <c r="D2073" i="18"/>
  <c r="C2073" i="18"/>
  <c r="EV2072" i="18"/>
  <c r="D2072" i="18"/>
  <c r="C2072" i="18" s="1"/>
  <c r="AI2071" i="18"/>
  <c r="AG2071" i="18"/>
  <c r="AF2071" i="18"/>
  <c r="AD2071" i="18"/>
  <c r="Y2071" i="18"/>
  <c r="Q2071" i="18" s="1"/>
  <c r="D2071" i="18"/>
  <c r="C2071" i="18" s="1"/>
  <c r="EJ2070" i="18"/>
  <c r="Q2070" i="18"/>
  <c r="D2070" i="18"/>
  <c r="C2070" i="18" s="1"/>
  <c r="EV2069" i="18"/>
  <c r="D2069" i="18"/>
  <c r="C2069" i="18" s="1"/>
  <c r="EJ2068" i="18"/>
  <c r="Q2068" i="18"/>
  <c r="D2068" i="18"/>
  <c r="W2061" i="18" s="1"/>
  <c r="EV2067" i="18"/>
  <c r="D2067" i="18"/>
  <c r="C2067" i="18" s="1"/>
  <c r="Q2066" i="18"/>
  <c r="D2066" i="18"/>
  <c r="C2066" i="18" s="1"/>
  <c r="U2065" i="18" s="1"/>
  <c r="CU2065" i="18" s="1"/>
  <c r="E2065" i="18" s="1"/>
  <c r="EJ2065" i="18"/>
  <c r="DT2065" i="18"/>
  <c r="Q2065" i="18"/>
  <c r="D2065" i="18"/>
  <c r="C2065" i="18" s="1"/>
  <c r="EV2064" i="18"/>
  <c r="D2064" i="18"/>
  <c r="C2064" i="18" s="1"/>
  <c r="EJ2063" i="18"/>
  <c r="U2063" i="18"/>
  <c r="Q2063" i="18"/>
  <c r="D2063" i="18"/>
  <c r="C2063" i="18" s="1"/>
  <c r="EV2062" i="18"/>
  <c r="D2062" i="18"/>
  <c r="C2062" i="18" s="1"/>
  <c r="BJ2061" i="18"/>
  <c r="Y2061" i="18"/>
  <c r="U2061" i="18"/>
  <c r="EV2061" i="18" s="1"/>
  <c r="D2061" i="18"/>
  <c r="C2061" i="18" s="1"/>
  <c r="EV2060" i="18"/>
  <c r="D2060" i="18"/>
  <c r="C2060" i="18" s="1"/>
  <c r="E2059" i="18"/>
  <c r="D2059" i="18"/>
  <c r="EJ2057" i="18"/>
  <c r="Q2057" i="18"/>
  <c r="D2057" i="18"/>
  <c r="C2057" i="18" s="1"/>
  <c r="EV2056" i="18"/>
  <c r="D2056" i="18"/>
  <c r="C2056" i="18" s="1"/>
  <c r="AI2055" i="18"/>
  <c r="AK2055" i="18" s="1"/>
  <c r="AO2055" i="18" s="1"/>
  <c r="W2054" i="18" s="1"/>
  <c r="W2057" i="18" s="1"/>
  <c r="Q2055" i="18"/>
  <c r="D2055" i="18"/>
  <c r="C2055" i="18" s="1"/>
  <c r="U2054" i="18" s="1"/>
  <c r="X2054" i="18"/>
  <c r="EJ2054" i="18" s="1"/>
  <c r="Q2054" i="18"/>
  <c r="D2054" i="18"/>
  <c r="EV2053" i="18"/>
  <c r="D2053" i="18"/>
  <c r="C2053" i="18" s="1"/>
  <c r="AF2052" i="18"/>
  <c r="AJ2052" i="18" s="1"/>
  <c r="W2052" i="18" s="1"/>
  <c r="Q2052" i="18"/>
  <c r="D2052" i="18"/>
  <c r="C2052" i="18" s="1"/>
  <c r="EV2051" i="18"/>
  <c r="D2051" i="18"/>
  <c r="C2051" i="18" s="1"/>
  <c r="EJ2050" i="18"/>
  <c r="DT2050" i="18"/>
  <c r="Q2050" i="18"/>
  <c r="D2050" i="18"/>
  <c r="C2050" i="18" s="1"/>
  <c r="EV2049" i="18"/>
  <c r="D2049" i="18"/>
  <c r="C2049" i="18" s="1"/>
  <c r="BJ2048" i="18"/>
  <c r="Y2048" i="18"/>
  <c r="D2048" i="18"/>
  <c r="C2048" i="18" s="1"/>
  <c r="EV2047" i="18"/>
  <c r="D2047" i="18"/>
  <c r="C2047" i="18" s="1"/>
  <c r="E2046" i="18"/>
  <c r="D2046" i="18"/>
  <c r="EJ2044" i="18"/>
  <c r="AI2044" i="18"/>
  <c r="AH2044" i="18"/>
  <c r="AD2044" i="18"/>
  <c r="AF2044" i="18" s="1"/>
  <c r="Q2044" i="18"/>
  <c r="D2044" i="18"/>
  <c r="EV2043" i="18"/>
  <c r="D2043" i="18"/>
  <c r="C2043" i="18" s="1"/>
  <c r="DT2042" i="18"/>
  <c r="AE2042" i="18"/>
  <c r="X2042" i="18"/>
  <c r="EJ2042" i="18" s="1"/>
  <c r="D2042" i="18"/>
  <c r="C2042" i="18" s="1"/>
  <c r="EV2041" i="18"/>
  <c r="D2041" i="18"/>
  <c r="C2041" i="18" s="1"/>
  <c r="X2040" i="18"/>
  <c r="EJ2040" i="18" s="1"/>
  <c r="Q2040" i="18"/>
  <c r="D2040" i="18"/>
  <c r="C2040" i="18" s="1"/>
  <c r="E2039" i="18"/>
  <c r="BJ2039" i="18" s="1"/>
  <c r="D2039" i="18"/>
  <c r="BM2039" i="18" s="1"/>
  <c r="EV2038" i="18"/>
  <c r="D2038" i="18"/>
  <c r="C2038" i="18" s="1"/>
  <c r="EJ2037" i="18"/>
  <c r="W2037" i="18"/>
  <c r="Q2037" i="18"/>
  <c r="D2037" i="18"/>
  <c r="EV2036" i="18"/>
  <c r="D2036" i="18"/>
  <c r="C2036" i="18" s="1"/>
  <c r="Y2035" i="18"/>
  <c r="Q2035" i="18" s="1"/>
  <c r="D2035" i="18"/>
  <c r="C2035" i="18" s="1"/>
  <c r="EV2034" i="18"/>
  <c r="D2034" i="18"/>
  <c r="C2034" i="18" s="1"/>
  <c r="W2033" i="18"/>
  <c r="Q2033" i="18"/>
  <c r="D2033" i="18"/>
  <c r="C2033" i="18" s="1"/>
  <c r="EV2032" i="18"/>
  <c r="D2032" i="18"/>
  <c r="C2032" i="18" s="1"/>
  <c r="DT2031" i="18"/>
  <c r="AM2031" i="18"/>
  <c r="U2031" i="18" s="1"/>
  <c r="EV2031" i="18" s="1"/>
  <c r="Q2031" i="18"/>
  <c r="D2031" i="18"/>
  <c r="EV2030" i="18"/>
  <c r="D2030" i="18"/>
  <c r="C2030" i="18" s="1"/>
  <c r="BJ2029" i="18"/>
  <c r="D2029" i="18"/>
  <c r="EV2028" i="18"/>
  <c r="D2028" i="18"/>
  <c r="C2028" i="18" s="1"/>
  <c r="E2027" i="18"/>
  <c r="D2027" i="18"/>
  <c r="EV2027" i="18" s="1"/>
  <c r="EJ2025" i="18"/>
  <c r="AI2025" i="18"/>
  <c r="AH2025" i="18"/>
  <c r="AD2025" i="18"/>
  <c r="AF2025" i="18" s="1"/>
  <c r="Q2025" i="18"/>
  <c r="D2025" i="18"/>
  <c r="EV2024" i="18"/>
  <c r="D2024" i="18"/>
  <c r="C2024" i="18" s="1"/>
  <c r="DT2023" i="18"/>
  <c r="AE2023" i="18"/>
  <c r="X2023" i="18"/>
  <c r="EJ2023" i="18" s="1"/>
  <c r="D2023" i="18"/>
  <c r="C2023" i="18" s="1"/>
  <c r="EV2022" i="18"/>
  <c r="D2022" i="18"/>
  <c r="C2022" i="18" s="1"/>
  <c r="X2021" i="18"/>
  <c r="EJ2021" i="18" s="1"/>
  <c r="Q2021" i="18"/>
  <c r="D2021" i="18"/>
  <c r="C2021" i="18" s="1"/>
  <c r="E2020" i="18"/>
  <c r="BJ2020" i="18" s="1"/>
  <c r="D2020" i="18"/>
  <c r="BM2020" i="18" s="1"/>
  <c r="EV2019" i="18"/>
  <c r="D2019" i="18"/>
  <c r="C2019" i="18" s="1"/>
  <c r="EJ2018" i="18"/>
  <c r="W2018" i="18"/>
  <c r="Q2018" i="18"/>
  <c r="D2018" i="18"/>
  <c r="EV2017" i="18"/>
  <c r="D2017" i="18"/>
  <c r="C2017" i="18" s="1"/>
  <c r="W2016" i="18"/>
  <c r="Q2016" i="18"/>
  <c r="D2016" i="18"/>
  <c r="C2016" i="18" s="1"/>
  <c r="EV2015" i="18"/>
  <c r="D2015" i="18"/>
  <c r="C2015" i="18" s="1"/>
  <c r="Q2014" i="18"/>
  <c r="D2014" i="18"/>
  <c r="EV2013" i="18"/>
  <c r="D2013" i="18"/>
  <c r="C2013" i="18" s="1"/>
  <c r="EK2012" i="18"/>
  <c r="EJ2012" i="18"/>
  <c r="DT2012" i="18"/>
  <c r="Q2012" i="18"/>
  <c r="D2012" i="18"/>
  <c r="C2012" i="18" s="1"/>
  <c r="U2021" i="18" s="1"/>
  <c r="EV2021" i="18" s="1"/>
  <c r="EV2011" i="18"/>
  <c r="D2011" i="18"/>
  <c r="C2011" i="18" s="1"/>
  <c r="BJ2010" i="18"/>
  <c r="D2010" i="18"/>
  <c r="EV2009" i="18"/>
  <c r="D2009" i="18"/>
  <c r="C2009" i="18" s="1"/>
  <c r="E2008" i="18"/>
  <c r="D2008" i="18"/>
  <c r="C2008" i="18" s="1"/>
  <c r="EV2007" i="18"/>
  <c r="D2007" i="18"/>
  <c r="C2007" i="18" s="1"/>
  <c r="EJ2006" i="18"/>
  <c r="U2006" i="18"/>
  <c r="Q2006" i="18"/>
  <c r="D2006" i="18"/>
  <c r="C2006" i="18" s="1"/>
  <c r="EJ2005" i="18"/>
  <c r="U2005" i="18"/>
  <c r="CU2005" i="18" s="1"/>
  <c r="E2005" i="18" s="1"/>
  <c r="Q2005" i="18"/>
  <c r="D2005" i="18"/>
  <c r="C2005" i="18" s="1"/>
  <c r="EJ2004" i="18"/>
  <c r="U2004" i="18"/>
  <c r="Q2004" i="18"/>
  <c r="D2004" i="18"/>
  <c r="C2004" i="18" s="1"/>
  <c r="EK2003" i="18"/>
  <c r="EJ2003" i="18"/>
  <c r="DT2003" i="18"/>
  <c r="U2003" i="18"/>
  <c r="Q2003" i="18"/>
  <c r="D2003" i="18"/>
  <c r="C2003" i="18" s="1"/>
  <c r="EJ2002" i="18"/>
  <c r="U2002" i="18"/>
  <c r="Q2002" i="18"/>
  <c r="D2002" i="18"/>
  <c r="C2002" i="18" s="1"/>
  <c r="E2000" i="18"/>
  <c r="D2000" i="18"/>
  <c r="C2000" i="18" s="1"/>
  <c r="EV986" i="18"/>
  <c r="D986" i="18"/>
  <c r="C986" i="18" s="1"/>
  <c r="EV985" i="18"/>
  <c r="EJ985" i="18"/>
  <c r="CU985" i="18"/>
  <c r="D985" i="18"/>
  <c r="C985" i="18" s="1"/>
  <c r="Q984" i="18"/>
  <c r="D984" i="18"/>
  <c r="C984" i="18" s="1"/>
  <c r="EV983" i="18"/>
  <c r="D983" i="18"/>
  <c r="C983" i="18" s="1"/>
  <c r="CU982" i="18"/>
  <c r="E982" i="18" s="1"/>
  <c r="EJ982" i="18"/>
  <c r="Q982" i="18"/>
  <c r="D982" i="18"/>
  <c r="EV982" i="18" s="1"/>
  <c r="E981" i="18"/>
  <c r="D981" i="18"/>
  <c r="EV980" i="18"/>
  <c r="D980" i="18"/>
  <c r="C980" i="18" s="1"/>
  <c r="E979" i="18"/>
  <c r="F210" i="21" s="1"/>
  <c r="D979" i="18"/>
  <c r="EV978" i="18"/>
  <c r="D978" i="18"/>
  <c r="C978" i="18" s="1"/>
  <c r="DD2029" i="18"/>
  <c r="DC2020" i="18"/>
  <c r="DF2010" i="18"/>
  <c r="CY2029" i="18"/>
  <c r="DC2010" i="18"/>
  <c r="DB2029" i="18"/>
  <c r="DD981" i="18"/>
  <c r="DE2020" i="18"/>
  <c r="DB981" i="18"/>
  <c r="DA2061" i="18"/>
  <c r="DB2020" i="18"/>
  <c r="DF2039" i="18"/>
  <c r="DC2048" i="18"/>
  <c r="CZ2010" i="18"/>
  <c r="DF981" i="18"/>
  <c r="DB2061" i="18"/>
  <c r="CY2010" i="18"/>
  <c r="CZ2029" i="18"/>
  <c r="DC2061" i="18"/>
  <c r="DB2048" i="18"/>
  <c r="DE2061" i="18"/>
  <c r="DB2039" i="18"/>
  <c r="DB2010" i="18"/>
  <c r="CZ2048" i="18"/>
  <c r="DA2020" i="18"/>
  <c r="DD2020" i="18"/>
  <c r="DC981" i="18"/>
  <c r="CY2061" i="18"/>
  <c r="DA2048" i="18"/>
  <c r="DF2048" i="18"/>
  <c r="CZ2039" i="18"/>
  <c r="CZ2020" i="18"/>
  <c r="DA2010" i="18"/>
  <c r="DF2061" i="18"/>
  <c r="DE2010" i="18"/>
  <c r="CZ981" i="18"/>
  <c r="DA2029" i="18"/>
  <c r="DD2061" i="18"/>
  <c r="DD2010" i="18"/>
  <c r="DD2048" i="18"/>
  <c r="DD2039" i="18"/>
  <c r="DE981" i="18"/>
  <c r="DE2029" i="18"/>
  <c r="CY2039" i="18"/>
  <c r="DF2029" i="18"/>
  <c r="DE2039" i="18"/>
  <c r="CY2020" i="18"/>
  <c r="DF2020" i="18"/>
  <c r="DE2048" i="18"/>
  <c r="DC2029" i="18"/>
  <c r="DC2039" i="18"/>
  <c r="DA981" i="18"/>
  <c r="CZ2061" i="18"/>
  <c r="CY981" i="18"/>
  <c r="DA2039" i="18"/>
  <c r="CY2048" i="18"/>
  <c r="EV2006" i="18" l="1"/>
  <c r="EV2008" i="18"/>
  <c r="EV2063" i="18"/>
  <c r="U981" i="18"/>
  <c r="EV2002" i="18"/>
  <c r="EV2003" i="18"/>
  <c r="CU2006" i="18"/>
  <c r="E2006" i="18" s="1"/>
  <c r="U2048" i="18"/>
  <c r="EV2048" i="18" s="1"/>
  <c r="CU2003" i="18"/>
  <c r="E2003" i="18" s="1"/>
  <c r="C2068" i="18"/>
  <c r="W2048" i="18"/>
  <c r="U2020" i="18"/>
  <c r="EV2020" i="18" s="1"/>
  <c r="W2029" i="18"/>
  <c r="EV2004" i="18"/>
  <c r="X2061" i="18"/>
  <c r="BM981" i="18"/>
  <c r="E211" i="21"/>
  <c r="EV979" i="18"/>
  <c r="E210" i="21"/>
  <c r="EV981" i="18"/>
  <c r="U2039" i="18"/>
  <c r="EV2039" i="18" s="1"/>
  <c r="BM2061" i="18"/>
  <c r="BJ981" i="18"/>
  <c r="F211" i="21"/>
  <c r="BM2048" i="18"/>
  <c r="CU2002" i="18"/>
  <c r="E2002" i="18" s="1"/>
  <c r="C979" i="18"/>
  <c r="D210" i="21" s="1"/>
  <c r="X2029" i="18"/>
  <c r="CU2063" i="18"/>
  <c r="E2063" i="18" s="1"/>
  <c r="P2003" i="18"/>
  <c r="P2012" i="18"/>
  <c r="AJ2044" i="18"/>
  <c r="AL2044" i="18" s="1"/>
  <c r="U2044" i="18" s="1"/>
  <c r="AJ2025" i="18"/>
  <c r="W2031" i="18"/>
  <c r="AY2029" i="18"/>
  <c r="AY981" i="18"/>
  <c r="BC2010" i="18"/>
  <c r="AY2010" i="18"/>
  <c r="AY2039" i="18"/>
  <c r="BA2010" i="18"/>
  <c r="BC2020" i="18"/>
  <c r="AY2020" i="18"/>
  <c r="BC981" i="18"/>
  <c r="BA2020" i="18"/>
  <c r="BA981" i="18"/>
  <c r="BA2029" i="18"/>
  <c r="BA2039" i="18"/>
  <c r="BC2048" i="18"/>
  <c r="BC2061" i="18"/>
  <c r="BC2029" i="18"/>
  <c r="BC2039" i="18"/>
  <c r="AY2048" i="18"/>
  <c r="AY2061" i="18"/>
  <c r="BA2048" i="18"/>
  <c r="BA2061" i="18"/>
  <c r="C2031" i="18"/>
  <c r="U2040" i="18" s="1"/>
  <c r="U2029" i="18"/>
  <c r="EV2029" i="18" s="1"/>
  <c r="C2044" i="18"/>
  <c r="W2039" i="18"/>
  <c r="EV2054" i="18"/>
  <c r="CU2054" i="18"/>
  <c r="E2054" i="18" s="1"/>
  <c r="EV2000" i="18"/>
  <c r="EV2046" i="18"/>
  <c r="C2046" i="18"/>
  <c r="W2020" i="18"/>
  <c r="C2025" i="18"/>
  <c r="U2010" i="18"/>
  <c r="EV2010" i="18" s="1"/>
  <c r="W2025" i="18"/>
  <c r="AL2025" i="18"/>
  <c r="U2025" i="18" s="1"/>
  <c r="CU2021" i="18"/>
  <c r="E2021" i="18" s="1"/>
  <c r="C982" i="18"/>
  <c r="CU2004" i="18"/>
  <c r="E2004" i="18" s="1"/>
  <c r="X2010" i="18"/>
  <c r="Y2010" i="18"/>
  <c r="C2018" i="18"/>
  <c r="Y2029" i="18"/>
  <c r="C2037" i="18"/>
  <c r="C2054" i="18"/>
  <c r="U2057" i="18" s="1"/>
  <c r="X2048" i="18"/>
  <c r="EV2059" i="18"/>
  <c r="C2059" i="18"/>
  <c r="W2044" i="18"/>
  <c r="C981" i="18"/>
  <c r="D211" i="21" s="1"/>
  <c r="W981" i="18"/>
  <c r="EV2005" i="18"/>
  <c r="BM2010" i="18"/>
  <c r="C2010" i="18"/>
  <c r="C2014" i="18"/>
  <c r="W2010" i="18"/>
  <c r="U2018" i="18"/>
  <c r="CU2031" i="18"/>
  <c r="E2031" i="18" s="1"/>
  <c r="U2037" i="18"/>
  <c r="C2029" i="18"/>
  <c r="BM2029" i="18"/>
  <c r="EV2065" i="18"/>
  <c r="C2027" i="18"/>
  <c r="C2039" i="18"/>
  <c r="C2020" i="18"/>
  <c r="EV2057" i="18" l="1"/>
  <c r="CU2057" i="18"/>
  <c r="E2057" i="18" s="1"/>
  <c r="EV2044" i="18"/>
  <c r="CU2044" i="18"/>
  <c r="E2044" i="18" s="1"/>
  <c r="CU2025" i="18"/>
  <c r="E2025" i="18" s="1"/>
  <c r="EV2025" i="18"/>
  <c r="EV2040" i="18"/>
  <c r="CU2040" i="18"/>
  <c r="E2040" i="18" s="1"/>
  <c r="EV2018" i="18"/>
  <c r="CU2018" i="18"/>
  <c r="E2018" i="18" s="1"/>
  <c r="EV2037" i="18"/>
  <c r="CU2037" i="18"/>
  <c r="E2037" i="18" s="1"/>
  <c r="Q18" i="18" l="1"/>
  <c r="H3" i="27" l="1"/>
  <c r="J18" i="29"/>
  <c r="J16" i="29"/>
  <c r="J15" i="29"/>
  <c r="M22" i="18"/>
  <c r="K22" i="18"/>
  <c r="B1" i="30"/>
  <c r="D45" i="29"/>
  <c r="D44" i="29"/>
  <c r="D43" i="29"/>
  <c r="D42" i="29"/>
  <c r="D41" i="29"/>
  <c r="D40" i="29"/>
  <c r="D39" i="29"/>
  <c r="D38" i="29"/>
  <c r="D37" i="29"/>
  <c r="D36" i="29"/>
  <c r="D35" i="29"/>
  <c r="D34" i="29"/>
  <c r="D33" i="29"/>
  <c r="D32" i="29"/>
  <c r="D31" i="29"/>
  <c r="D30" i="29"/>
  <c r="G29" i="29"/>
  <c r="D29" i="29"/>
  <c r="D28" i="29"/>
  <c r="D27" i="29"/>
  <c r="D26" i="29"/>
  <c r="C26" i="29" s="1"/>
  <c r="D25" i="29"/>
  <c r="D24" i="29"/>
  <c r="C24" i="29" s="1"/>
  <c r="D23" i="29"/>
  <c r="D22" i="29"/>
  <c r="C22" i="29" s="1"/>
  <c r="D21" i="29"/>
  <c r="D20" i="29"/>
  <c r="D19" i="29"/>
  <c r="D18" i="29"/>
  <c r="D17" i="29"/>
  <c r="D16" i="29"/>
  <c r="D15" i="29"/>
  <c r="D13" i="29"/>
  <c r="D12" i="29"/>
  <c r="D11" i="29"/>
  <c r="D9" i="29"/>
  <c r="C9" i="29"/>
  <c r="D8" i="29"/>
  <c r="D7" i="29"/>
  <c r="C7" i="29" s="1"/>
  <c r="D6" i="29"/>
  <c r="D5" i="29"/>
  <c r="C5" i="29"/>
  <c r="D4" i="29"/>
  <c r="C4" i="29" s="1"/>
  <c r="X1" i="29"/>
  <c r="V1" i="29" s="1"/>
  <c r="E8" i="29" s="1"/>
  <c r="W1" i="29" l="1"/>
  <c r="U1" i="29"/>
  <c r="T1" i="29" s="1"/>
  <c r="A16" i="28"/>
  <c r="B14" i="28"/>
  <c r="B13" i="28"/>
  <c r="A13" i="28"/>
  <c r="B4" i="28"/>
  <c r="A1" i="28"/>
  <c r="A2" i="28" s="1"/>
  <c r="I50" i="27"/>
  <c r="J50" i="27"/>
  <c r="N50" i="27" s="1"/>
  <c r="K50" i="27"/>
  <c r="O50" i="27" s="1"/>
  <c r="L50" i="27"/>
  <c r="P50" i="27" s="1"/>
  <c r="M50" i="27"/>
  <c r="Q50" i="27" s="1"/>
  <c r="I49" i="27"/>
  <c r="J49" i="27"/>
  <c r="N49" i="27" s="1"/>
  <c r="K49" i="27"/>
  <c r="O49" i="27" s="1"/>
  <c r="L49" i="27"/>
  <c r="P49" i="27" s="1"/>
  <c r="M49" i="27"/>
  <c r="Q49" i="27" s="1"/>
  <c r="M98" i="27"/>
  <c r="Q98" i="27" s="1"/>
  <c r="L98" i="27"/>
  <c r="P98" i="27" s="1"/>
  <c r="K98" i="27"/>
  <c r="O98" i="27" s="1"/>
  <c r="J98" i="27"/>
  <c r="N98" i="27" s="1"/>
  <c r="I98" i="27"/>
  <c r="M97" i="27"/>
  <c r="Q97" i="27" s="1"/>
  <c r="L97" i="27"/>
  <c r="P97" i="27" s="1"/>
  <c r="K97" i="27"/>
  <c r="O97" i="27" s="1"/>
  <c r="J97" i="27"/>
  <c r="N97" i="27" s="1"/>
  <c r="I97" i="27"/>
  <c r="M96" i="27"/>
  <c r="Q96" i="27" s="1"/>
  <c r="L96" i="27"/>
  <c r="P96" i="27" s="1"/>
  <c r="K96" i="27"/>
  <c r="O96" i="27" s="1"/>
  <c r="J96" i="27"/>
  <c r="N96" i="27" s="1"/>
  <c r="I96" i="27"/>
  <c r="M95" i="27"/>
  <c r="Q95" i="27" s="1"/>
  <c r="L95" i="27"/>
  <c r="P95" i="27" s="1"/>
  <c r="K95" i="27"/>
  <c r="O95" i="27" s="1"/>
  <c r="J95" i="27"/>
  <c r="N95" i="27" s="1"/>
  <c r="I95" i="27"/>
  <c r="M94" i="27"/>
  <c r="Q94" i="27" s="1"/>
  <c r="L94" i="27"/>
  <c r="P94" i="27" s="1"/>
  <c r="K94" i="27"/>
  <c r="O94" i="27" s="1"/>
  <c r="J94" i="27"/>
  <c r="N94" i="27" s="1"/>
  <c r="I94" i="27"/>
  <c r="M93" i="27"/>
  <c r="Q93" i="27" s="1"/>
  <c r="L93" i="27"/>
  <c r="P93" i="27" s="1"/>
  <c r="K93" i="27"/>
  <c r="O93" i="27" s="1"/>
  <c r="J93" i="27"/>
  <c r="N93" i="27" s="1"/>
  <c r="I93" i="27"/>
  <c r="M92" i="27"/>
  <c r="Q92" i="27" s="1"/>
  <c r="L92" i="27"/>
  <c r="P92" i="27" s="1"/>
  <c r="K92" i="27"/>
  <c r="O92" i="27" s="1"/>
  <c r="J92" i="27"/>
  <c r="N92" i="27" s="1"/>
  <c r="I92" i="27"/>
  <c r="M91" i="27"/>
  <c r="Q91" i="27" s="1"/>
  <c r="L91" i="27"/>
  <c r="P91" i="27" s="1"/>
  <c r="K91" i="27"/>
  <c r="O91" i="27" s="1"/>
  <c r="J91" i="27"/>
  <c r="N91" i="27" s="1"/>
  <c r="I91" i="27"/>
  <c r="M90" i="27"/>
  <c r="Q90" i="27" s="1"/>
  <c r="L90" i="27"/>
  <c r="P90" i="27" s="1"/>
  <c r="K90" i="27"/>
  <c r="O90" i="27" s="1"/>
  <c r="J90" i="27"/>
  <c r="N90" i="27" s="1"/>
  <c r="I90" i="27"/>
  <c r="M89" i="27"/>
  <c r="Q89" i="27" s="1"/>
  <c r="L89" i="27"/>
  <c r="P89" i="27" s="1"/>
  <c r="K89" i="27"/>
  <c r="O89" i="27" s="1"/>
  <c r="J89" i="27"/>
  <c r="N89" i="27" s="1"/>
  <c r="I89" i="27"/>
  <c r="M88" i="27"/>
  <c r="Q88" i="27" s="1"/>
  <c r="L88" i="27"/>
  <c r="P88" i="27" s="1"/>
  <c r="K88" i="27"/>
  <c r="O88" i="27" s="1"/>
  <c r="J88" i="27"/>
  <c r="N88" i="27" s="1"/>
  <c r="I88" i="27"/>
  <c r="M87" i="27"/>
  <c r="Q87" i="27" s="1"/>
  <c r="L87" i="27"/>
  <c r="P87" i="27" s="1"/>
  <c r="K87" i="27"/>
  <c r="O87" i="27" s="1"/>
  <c r="J87" i="27"/>
  <c r="N87" i="27" s="1"/>
  <c r="I87" i="27"/>
  <c r="M86" i="27"/>
  <c r="Q86" i="27" s="1"/>
  <c r="L86" i="27"/>
  <c r="P86" i="27" s="1"/>
  <c r="K86" i="27"/>
  <c r="O86" i="27" s="1"/>
  <c r="J86" i="27"/>
  <c r="N86" i="27" s="1"/>
  <c r="I86" i="27"/>
  <c r="M85" i="27"/>
  <c r="Q85" i="27" s="1"/>
  <c r="L85" i="27"/>
  <c r="P85" i="27" s="1"/>
  <c r="K85" i="27"/>
  <c r="O85" i="27" s="1"/>
  <c r="J85" i="27"/>
  <c r="N85" i="27" s="1"/>
  <c r="I85" i="27"/>
  <c r="M84" i="27"/>
  <c r="Q84" i="27" s="1"/>
  <c r="L84" i="27"/>
  <c r="P84" i="27" s="1"/>
  <c r="K84" i="27"/>
  <c r="O84" i="27" s="1"/>
  <c r="J84" i="27"/>
  <c r="N84" i="27" s="1"/>
  <c r="I84" i="27"/>
  <c r="M83" i="27"/>
  <c r="Q83" i="27" s="1"/>
  <c r="L83" i="27"/>
  <c r="P83" i="27" s="1"/>
  <c r="K83" i="27"/>
  <c r="O83" i="27" s="1"/>
  <c r="J83" i="27"/>
  <c r="N83" i="27" s="1"/>
  <c r="I83" i="27"/>
  <c r="M82" i="27"/>
  <c r="Q82" i="27" s="1"/>
  <c r="L82" i="27"/>
  <c r="P82" i="27" s="1"/>
  <c r="K82" i="27"/>
  <c r="O82" i="27" s="1"/>
  <c r="J82" i="27"/>
  <c r="N82" i="27" s="1"/>
  <c r="I82" i="27"/>
  <c r="M81" i="27"/>
  <c r="Q81" i="27" s="1"/>
  <c r="L81" i="27"/>
  <c r="P81" i="27" s="1"/>
  <c r="K81" i="27"/>
  <c r="O81" i="27" s="1"/>
  <c r="J81" i="27"/>
  <c r="N81" i="27" s="1"/>
  <c r="I81" i="27"/>
  <c r="M80" i="27"/>
  <c r="Q80" i="27" s="1"/>
  <c r="L80" i="27"/>
  <c r="P80" i="27" s="1"/>
  <c r="K80" i="27"/>
  <c r="O80" i="27" s="1"/>
  <c r="J80" i="27"/>
  <c r="N80" i="27" s="1"/>
  <c r="I80" i="27"/>
  <c r="M79" i="27"/>
  <c r="Q79" i="27" s="1"/>
  <c r="L79" i="27"/>
  <c r="P79" i="27" s="1"/>
  <c r="K79" i="27"/>
  <c r="O79" i="27" s="1"/>
  <c r="J79" i="27"/>
  <c r="N79" i="27" s="1"/>
  <c r="I79" i="27"/>
  <c r="M78" i="27"/>
  <c r="Q78" i="27" s="1"/>
  <c r="L78" i="27"/>
  <c r="P78" i="27" s="1"/>
  <c r="K78" i="27"/>
  <c r="O78" i="27" s="1"/>
  <c r="J78" i="27"/>
  <c r="N78" i="27" s="1"/>
  <c r="I78" i="27"/>
  <c r="M77" i="27"/>
  <c r="Q77" i="27" s="1"/>
  <c r="L77" i="27"/>
  <c r="P77" i="27" s="1"/>
  <c r="K77" i="27"/>
  <c r="O77" i="27" s="1"/>
  <c r="J77" i="27"/>
  <c r="N77" i="27" s="1"/>
  <c r="I77" i="27"/>
  <c r="M76" i="27"/>
  <c r="Q76" i="27" s="1"/>
  <c r="L76" i="27"/>
  <c r="P76" i="27" s="1"/>
  <c r="K76" i="27"/>
  <c r="O76" i="27" s="1"/>
  <c r="J76" i="27"/>
  <c r="N76" i="27" s="1"/>
  <c r="I76" i="27"/>
  <c r="M75" i="27"/>
  <c r="Q75" i="27" s="1"/>
  <c r="L75" i="27"/>
  <c r="P75" i="27" s="1"/>
  <c r="K75" i="27"/>
  <c r="O75" i="27" s="1"/>
  <c r="J75" i="27"/>
  <c r="N75" i="27" s="1"/>
  <c r="I75" i="27"/>
  <c r="M74" i="27"/>
  <c r="Q74" i="27" s="1"/>
  <c r="L74" i="27"/>
  <c r="P74" i="27" s="1"/>
  <c r="K74" i="27"/>
  <c r="O74" i="27" s="1"/>
  <c r="J74" i="27"/>
  <c r="N74" i="27" s="1"/>
  <c r="I74" i="27"/>
  <c r="M73" i="27"/>
  <c r="Q73" i="27" s="1"/>
  <c r="L73" i="27"/>
  <c r="P73" i="27" s="1"/>
  <c r="K73" i="27"/>
  <c r="O73" i="27" s="1"/>
  <c r="J73" i="27"/>
  <c r="N73" i="27" s="1"/>
  <c r="I73" i="27"/>
  <c r="M72" i="27"/>
  <c r="Q72" i="27" s="1"/>
  <c r="L72" i="27"/>
  <c r="P72" i="27" s="1"/>
  <c r="K72" i="27"/>
  <c r="O72" i="27" s="1"/>
  <c r="J72" i="27"/>
  <c r="N72" i="27" s="1"/>
  <c r="I72" i="27"/>
  <c r="M71" i="27"/>
  <c r="Q71" i="27" s="1"/>
  <c r="L71" i="27"/>
  <c r="P71" i="27" s="1"/>
  <c r="K71" i="27"/>
  <c r="O71" i="27" s="1"/>
  <c r="J71" i="27"/>
  <c r="N71" i="27" s="1"/>
  <c r="I71" i="27"/>
  <c r="M70" i="27"/>
  <c r="Q70" i="27" s="1"/>
  <c r="L70" i="27"/>
  <c r="P70" i="27" s="1"/>
  <c r="K70" i="27"/>
  <c r="O70" i="27" s="1"/>
  <c r="J70" i="27"/>
  <c r="N70" i="27" s="1"/>
  <c r="I70" i="27"/>
  <c r="M69" i="27"/>
  <c r="Q69" i="27" s="1"/>
  <c r="L69" i="27"/>
  <c r="P69" i="27" s="1"/>
  <c r="K69" i="27"/>
  <c r="O69" i="27" s="1"/>
  <c r="J69" i="27"/>
  <c r="N69" i="27" s="1"/>
  <c r="I69" i="27"/>
  <c r="M68" i="27"/>
  <c r="Q68" i="27" s="1"/>
  <c r="L68" i="27"/>
  <c r="P68" i="27" s="1"/>
  <c r="K68" i="27"/>
  <c r="O68" i="27" s="1"/>
  <c r="J68" i="27"/>
  <c r="N68" i="27" s="1"/>
  <c r="I68" i="27"/>
  <c r="M67" i="27"/>
  <c r="Q67" i="27" s="1"/>
  <c r="L67" i="27"/>
  <c r="P67" i="27" s="1"/>
  <c r="K67" i="27"/>
  <c r="O67" i="27" s="1"/>
  <c r="J67" i="27"/>
  <c r="N67" i="27" s="1"/>
  <c r="I67" i="27"/>
  <c r="M66" i="27"/>
  <c r="Q66" i="27" s="1"/>
  <c r="L66" i="27"/>
  <c r="P66" i="27" s="1"/>
  <c r="K66" i="27"/>
  <c r="O66" i="27" s="1"/>
  <c r="J66" i="27"/>
  <c r="N66" i="27" s="1"/>
  <c r="I66" i="27"/>
  <c r="M65" i="27"/>
  <c r="Q65" i="27" s="1"/>
  <c r="L65" i="27"/>
  <c r="P65" i="27" s="1"/>
  <c r="K65" i="27"/>
  <c r="O65" i="27" s="1"/>
  <c r="J65" i="27"/>
  <c r="N65" i="27" s="1"/>
  <c r="I65" i="27"/>
  <c r="M64" i="27"/>
  <c r="Q64" i="27" s="1"/>
  <c r="L64" i="27"/>
  <c r="P64" i="27" s="1"/>
  <c r="K64" i="27"/>
  <c r="O64" i="27" s="1"/>
  <c r="J64" i="27"/>
  <c r="N64" i="27" s="1"/>
  <c r="I64" i="27"/>
  <c r="M63" i="27"/>
  <c r="Q63" i="27" s="1"/>
  <c r="L63" i="27"/>
  <c r="P63" i="27" s="1"/>
  <c r="K63" i="27"/>
  <c r="O63" i="27" s="1"/>
  <c r="J63" i="27"/>
  <c r="N63" i="27" s="1"/>
  <c r="I63" i="27"/>
  <c r="M62" i="27"/>
  <c r="Q62" i="27" s="1"/>
  <c r="L62" i="27"/>
  <c r="P62" i="27" s="1"/>
  <c r="K62" i="27"/>
  <c r="O62" i="27" s="1"/>
  <c r="J62" i="27"/>
  <c r="N62" i="27" s="1"/>
  <c r="I62" i="27"/>
  <c r="M61" i="27"/>
  <c r="Q61" i="27" s="1"/>
  <c r="L61" i="27"/>
  <c r="P61" i="27" s="1"/>
  <c r="K61" i="27"/>
  <c r="O61" i="27" s="1"/>
  <c r="J61" i="27"/>
  <c r="N61" i="27" s="1"/>
  <c r="I61" i="27"/>
  <c r="M60" i="27"/>
  <c r="Q60" i="27" s="1"/>
  <c r="L60" i="27"/>
  <c r="P60" i="27" s="1"/>
  <c r="K60" i="27"/>
  <c r="O60" i="27" s="1"/>
  <c r="J60" i="27"/>
  <c r="N60" i="27" s="1"/>
  <c r="I60" i="27"/>
  <c r="M59" i="27"/>
  <c r="Q59" i="27" s="1"/>
  <c r="L59" i="27"/>
  <c r="P59" i="27" s="1"/>
  <c r="K59" i="27"/>
  <c r="O59" i="27" s="1"/>
  <c r="J59" i="27"/>
  <c r="N59" i="27" s="1"/>
  <c r="I59" i="27"/>
  <c r="M58" i="27"/>
  <c r="Q58" i="27" s="1"/>
  <c r="L58" i="27"/>
  <c r="P58" i="27" s="1"/>
  <c r="K58" i="27"/>
  <c r="O58" i="27" s="1"/>
  <c r="J58" i="27"/>
  <c r="N58" i="27" s="1"/>
  <c r="I58" i="27"/>
  <c r="M57" i="27"/>
  <c r="Q57" i="27" s="1"/>
  <c r="L57" i="27"/>
  <c r="P57" i="27" s="1"/>
  <c r="K57" i="27"/>
  <c r="O57" i="27" s="1"/>
  <c r="J57" i="27"/>
  <c r="N57" i="27" s="1"/>
  <c r="I57" i="27"/>
  <c r="M56" i="27"/>
  <c r="Q56" i="27" s="1"/>
  <c r="L56" i="27"/>
  <c r="P56" i="27" s="1"/>
  <c r="K56" i="27"/>
  <c r="O56" i="27" s="1"/>
  <c r="J56" i="27"/>
  <c r="N56" i="27" s="1"/>
  <c r="I56" i="27"/>
  <c r="M55" i="27"/>
  <c r="Q55" i="27" s="1"/>
  <c r="L55" i="27"/>
  <c r="P55" i="27" s="1"/>
  <c r="K55" i="27"/>
  <c r="O55" i="27" s="1"/>
  <c r="J55" i="27"/>
  <c r="N55" i="27" s="1"/>
  <c r="I55" i="27"/>
  <c r="M54" i="27"/>
  <c r="Q54" i="27" s="1"/>
  <c r="L54" i="27"/>
  <c r="P54" i="27" s="1"/>
  <c r="K54" i="27"/>
  <c r="O54" i="27" s="1"/>
  <c r="J54" i="27"/>
  <c r="N54" i="27" s="1"/>
  <c r="I54" i="27"/>
  <c r="M53" i="27"/>
  <c r="Q53" i="27" s="1"/>
  <c r="L53" i="27"/>
  <c r="P53" i="27" s="1"/>
  <c r="K53" i="27"/>
  <c r="O53" i="27" s="1"/>
  <c r="J53" i="27"/>
  <c r="N53" i="27" s="1"/>
  <c r="I53" i="27"/>
  <c r="M52" i="27"/>
  <c r="Q52" i="27" s="1"/>
  <c r="L52" i="27"/>
  <c r="P52" i="27" s="1"/>
  <c r="K52" i="27"/>
  <c r="O52" i="27" s="1"/>
  <c r="J52" i="27"/>
  <c r="N52" i="27" s="1"/>
  <c r="I52" i="27"/>
  <c r="M51" i="27"/>
  <c r="Q51" i="27" s="1"/>
  <c r="L51" i="27"/>
  <c r="P51" i="27" s="1"/>
  <c r="K51" i="27"/>
  <c r="O51" i="27" s="1"/>
  <c r="J51" i="27"/>
  <c r="N51" i="27" s="1"/>
  <c r="I51" i="27"/>
  <c r="M48" i="27"/>
  <c r="Q48" i="27" s="1"/>
  <c r="L48" i="27"/>
  <c r="P48" i="27" s="1"/>
  <c r="K48" i="27"/>
  <c r="O48" i="27" s="1"/>
  <c r="J48" i="27"/>
  <c r="N48" i="27" s="1"/>
  <c r="I48" i="27"/>
  <c r="M47" i="27"/>
  <c r="Q47" i="27" s="1"/>
  <c r="L47" i="27"/>
  <c r="P47" i="27" s="1"/>
  <c r="K47" i="27"/>
  <c r="O47" i="27" s="1"/>
  <c r="J47" i="27"/>
  <c r="N47" i="27" s="1"/>
  <c r="I47" i="27"/>
  <c r="M46" i="27"/>
  <c r="Q46" i="27" s="1"/>
  <c r="L46" i="27"/>
  <c r="P46" i="27" s="1"/>
  <c r="K46" i="27"/>
  <c r="O46" i="27" s="1"/>
  <c r="J46" i="27"/>
  <c r="N46" i="27" s="1"/>
  <c r="I46" i="27"/>
  <c r="M45" i="27"/>
  <c r="Q45" i="27" s="1"/>
  <c r="L45" i="27"/>
  <c r="P45" i="27" s="1"/>
  <c r="K45" i="27"/>
  <c r="O45" i="27" s="1"/>
  <c r="J45" i="27"/>
  <c r="N45" i="27" s="1"/>
  <c r="I45" i="27"/>
  <c r="M3" i="27"/>
  <c r="L3" i="27"/>
  <c r="K3" i="27"/>
  <c r="J3" i="27"/>
  <c r="I3" i="27"/>
  <c r="A3" i="28"/>
  <c r="W22" i="18" l="1"/>
  <c r="J22" i="18"/>
  <c r="S1" i="29"/>
  <c r="A4" i="29"/>
  <c r="A12" i="28"/>
  <c r="A6" i="28"/>
  <c r="A11" i="28" s="1"/>
  <c r="R53" i="27"/>
  <c r="R47" i="27"/>
  <c r="R51" i="27"/>
  <c r="R65" i="27"/>
  <c r="R67" i="27"/>
  <c r="R81" i="27"/>
  <c r="R83" i="27"/>
  <c r="R45" i="27"/>
  <c r="R57" i="27"/>
  <c r="R63" i="27"/>
  <c r="R73" i="27"/>
  <c r="R79" i="27"/>
  <c r="R49" i="27"/>
  <c r="R50" i="27"/>
  <c r="R69" i="27"/>
  <c r="R59" i="27"/>
  <c r="R61" i="27"/>
  <c r="R77" i="27"/>
  <c r="R75" i="27"/>
  <c r="R55" i="27"/>
  <c r="R71" i="27"/>
  <c r="R54" i="27"/>
  <c r="R78" i="27"/>
  <c r="R95" i="27"/>
  <c r="R97" i="27"/>
  <c r="R3" i="27"/>
  <c r="A3" i="27" s="1"/>
  <c r="R68" i="27"/>
  <c r="R84" i="27"/>
  <c r="R86" i="27"/>
  <c r="R88" i="27"/>
  <c r="R90" i="27"/>
  <c r="R94" i="27"/>
  <c r="R46" i="27"/>
  <c r="R48" i="27"/>
  <c r="R58" i="27"/>
  <c r="R66" i="27"/>
  <c r="R74" i="27"/>
  <c r="R82" i="27"/>
  <c r="R96" i="27"/>
  <c r="R98" i="27"/>
  <c r="R62" i="27"/>
  <c r="R70" i="27"/>
  <c r="R52" i="27"/>
  <c r="R60" i="27"/>
  <c r="R76" i="27"/>
  <c r="R92" i="27"/>
  <c r="R56" i="27"/>
  <c r="R64" i="27"/>
  <c r="R72" i="27"/>
  <c r="R80" i="27"/>
  <c r="R85" i="27"/>
  <c r="R87" i="27"/>
  <c r="R89" i="27"/>
  <c r="R91" i="27"/>
  <c r="R93" i="27"/>
  <c r="A5" i="30" l="1"/>
  <c r="C1" i="27"/>
  <c r="O2" i="29"/>
  <c r="M2" i="25"/>
  <c r="D1" i="19"/>
  <c r="N2" i="18"/>
  <c r="V2" i="22"/>
  <c r="W940" i="18" l="1"/>
  <c r="W892" i="18"/>
  <c r="G205" i="21" l="1"/>
  <c r="H205" i="21"/>
  <c r="I205" i="21"/>
  <c r="J205" i="21"/>
  <c r="K205" i="21"/>
  <c r="U922" i="18"/>
  <c r="U920" i="18"/>
  <c r="EJ922" i="18"/>
  <c r="Q922" i="18"/>
  <c r="D922" i="18"/>
  <c r="C922" i="18" s="1"/>
  <c r="EV921" i="18"/>
  <c r="D921" i="18"/>
  <c r="C921" i="18" s="1"/>
  <c r="DT920" i="18"/>
  <c r="D920" i="18"/>
  <c r="U919" i="18" s="1"/>
  <c r="E919" i="18"/>
  <c r="BJ919" i="18" s="1"/>
  <c r="D919" i="18"/>
  <c r="C919" i="18" s="1"/>
  <c r="D205" i="21" s="1"/>
  <c r="EV918" i="18"/>
  <c r="D918" i="18"/>
  <c r="C918" i="18" s="1"/>
  <c r="CY919" i="18"/>
  <c r="EV920" i="18" l="1"/>
  <c r="EV919" i="18"/>
  <c r="EV922" i="18"/>
  <c r="C920" i="18"/>
  <c r="F205" i="21"/>
  <c r="E205" i="21"/>
  <c r="BM919" i="18"/>
  <c r="W919" i="18"/>
  <c r="CU920" i="18"/>
  <c r="E920" i="18" s="1"/>
  <c r="CU922" i="18"/>
  <c r="E922" i="18" s="1"/>
  <c r="G204" i="21" l="1"/>
  <c r="H204" i="21"/>
  <c r="I204" i="21"/>
  <c r="J204" i="21"/>
  <c r="K204" i="21"/>
  <c r="U941" i="18"/>
  <c r="CU941" i="18" s="1"/>
  <c r="E941" i="18" s="1"/>
  <c r="U937" i="18"/>
  <c r="Q943" i="18"/>
  <c r="D943" i="18"/>
  <c r="C943" i="18"/>
  <c r="Q942" i="18"/>
  <c r="D942" i="18"/>
  <c r="C942" i="18" s="1"/>
  <c r="EJ941" i="18"/>
  <c r="Q941" i="18"/>
  <c r="D941" i="18"/>
  <c r="C941" i="18" s="1"/>
  <c r="Q940" i="18"/>
  <c r="D940" i="18"/>
  <c r="C940" i="18" s="1"/>
  <c r="EV939" i="18"/>
  <c r="D939" i="18"/>
  <c r="C939" i="18" s="1"/>
  <c r="EV938" i="18"/>
  <c r="CU938" i="18"/>
  <c r="E938" i="18" s="1"/>
  <c r="AH938" i="18"/>
  <c r="D938" i="18"/>
  <c r="C938" i="18" s="1"/>
  <c r="EJ937" i="18"/>
  <c r="DT937" i="18"/>
  <c r="W937" i="18"/>
  <c r="Q937" i="18"/>
  <c r="D937" i="18"/>
  <c r="C937" i="18" s="1"/>
  <c r="E936" i="18"/>
  <c r="BJ936" i="18" s="1"/>
  <c r="D936" i="18"/>
  <c r="BM936" i="18" s="1"/>
  <c r="EV935" i="18"/>
  <c r="D935" i="18"/>
  <c r="C935" i="18" s="1"/>
  <c r="U889" i="18"/>
  <c r="G203" i="21"/>
  <c r="H203" i="21"/>
  <c r="I203" i="21"/>
  <c r="J203" i="21"/>
  <c r="K203" i="21"/>
  <c r="W889" i="18"/>
  <c r="Q895" i="18"/>
  <c r="D895" i="18"/>
  <c r="C895" i="18" s="1"/>
  <c r="Q894" i="18"/>
  <c r="D894" i="18"/>
  <c r="C894" i="18" s="1"/>
  <c r="EJ893" i="18"/>
  <c r="U893" i="18"/>
  <c r="CU893" i="18" s="1"/>
  <c r="E893" i="18" s="1"/>
  <c r="Q893" i="18"/>
  <c r="D893" i="18"/>
  <c r="C893" i="18" s="1"/>
  <c r="Q892" i="18"/>
  <c r="D892" i="18"/>
  <c r="C892" i="18" s="1"/>
  <c r="EV891" i="18"/>
  <c r="D891" i="18"/>
  <c r="C891" i="18" s="1"/>
  <c r="AH890" i="18"/>
  <c r="D890" i="18"/>
  <c r="C890" i="18" s="1"/>
  <c r="EJ889" i="18"/>
  <c r="DT889" i="18"/>
  <c r="Q889" i="18"/>
  <c r="D889" i="18"/>
  <c r="U888" i="18" s="1"/>
  <c r="E888" i="18"/>
  <c r="BJ888" i="18" s="1"/>
  <c r="D888" i="18"/>
  <c r="C888" i="18" s="1"/>
  <c r="U901" i="18" s="1"/>
  <c r="EV887" i="18"/>
  <c r="D887" i="18"/>
  <c r="C887" i="18" s="1"/>
  <c r="K137" i="21"/>
  <c r="J137" i="21"/>
  <c r="I137" i="21"/>
  <c r="H137" i="21"/>
  <c r="G137" i="21"/>
  <c r="W927" i="18"/>
  <c r="W925" i="18"/>
  <c r="U925" i="18"/>
  <c r="CY936" i="18"/>
  <c r="CY888" i="18"/>
  <c r="C889" i="18" l="1"/>
  <c r="F203" i="21"/>
  <c r="F204" i="21"/>
  <c r="EV937" i="18"/>
  <c r="E204" i="21"/>
  <c r="U936" i="18"/>
  <c r="EV936" i="18" s="1"/>
  <c r="C936" i="18"/>
  <c r="W936" i="18"/>
  <c r="EV941" i="18"/>
  <c r="D203" i="21"/>
  <c r="EV888" i="18"/>
  <c r="W888" i="18"/>
  <c r="E203" i="21"/>
  <c r="CU937" i="18"/>
  <c r="E937" i="18" s="1"/>
  <c r="EV889" i="18"/>
  <c r="CU889" i="18"/>
  <c r="E889" i="18" s="1"/>
  <c r="EV893" i="18"/>
  <c r="BM888" i="18"/>
  <c r="Q928" i="18"/>
  <c r="D928" i="18"/>
  <c r="C928" i="18" s="1"/>
  <c r="EJ927" i="18"/>
  <c r="AE927" i="18"/>
  <c r="U927" i="18" s="1"/>
  <c r="Q927" i="18"/>
  <c r="D927" i="18"/>
  <c r="W924" i="18" s="1"/>
  <c r="EV926" i="18"/>
  <c r="D926" i="18"/>
  <c r="C926" i="18" s="1"/>
  <c r="DT925" i="18"/>
  <c r="Q925" i="18"/>
  <c r="D925" i="18"/>
  <c r="C925" i="18" s="1"/>
  <c r="E924" i="18"/>
  <c r="D924" i="18"/>
  <c r="C924" i="18" s="1"/>
  <c r="D137" i="21" s="1"/>
  <c r="EV923" i="18"/>
  <c r="D923" i="18"/>
  <c r="C923" i="18" s="1"/>
  <c r="G130" i="21"/>
  <c r="H130" i="21"/>
  <c r="I130" i="21"/>
  <c r="J130" i="21"/>
  <c r="K130" i="21"/>
  <c r="C206" i="19"/>
  <c r="C77" i="19"/>
  <c r="C78" i="19"/>
  <c r="X2079" i="18" s="1"/>
  <c r="C79" i="19"/>
  <c r="AI621" i="18"/>
  <c r="Q621" i="18"/>
  <c r="D621" i="18"/>
  <c r="C621" i="18" s="1"/>
  <c r="U620" i="18" s="1"/>
  <c r="EJ620" i="18"/>
  <c r="Q620" i="18"/>
  <c r="D620" i="18"/>
  <c r="C620" i="18" s="1"/>
  <c r="EV619" i="18"/>
  <c r="D619" i="18"/>
  <c r="C619" i="18" s="1"/>
  <c r="EJ618" i="18"/>
  <c r="DT618" i="18"/>
  <c r="Q618" i="18"/>
  <c r="D618" i="18"/>
  <c r="C618" i="18" s="1"/>
  <c r="E617" i="18"/>
  <c r="BJ617" i="18" s="1"/>
  <c r="D617" i="18"/>
  <c r="C617" i="18" s="1"/>
  <c r="D130" i="21" s="1"/>
  <c r="EV616" i="18"/>
  <c r="D616" i="18"/>
  <c r="C616" i="18" s="1"/>
  <c r="CY924" i="18"/>
  <c r="CY617" i="18"/>
  <c r="BJ924" i="18" l="1"/>
  <c r="F137" i="21"/>
  <c r="F130" i="21"/>
  <c r="D204" i="21"/>
  <c r="U949" i="18"/>
  <c r="U946" i="18"/>
  <c r="U617" i="18"/>
  <c r="EV617" i="18" s="1"/>
  <c r="E130" i="21"/>
  <c r="BM924" i="18"/>
  <c r="E137" i="21"/>
  <c r="U924" i="18"/>
  <c r="EV924" i="18" s="1"/>
  <c r="C927" i="18"/>
  <c r="CU620" i="18"/>
  <c r="E620" i="18" s="1"/>
  <c r="EV620" i="18"/>
  <c r="BM617" i="18"/>
  <c r="W617" i="18"/>
  <c r="CU927" i="18" l="1"/>
  <c r="E927" i="18" s="1"/>
  <c r="EV927" i="18"/>
  <c r="W43" i="18" l="1"/>
  <c r="U603" i="18" l="1"/>
  <c r="U400" i="18"/>
  <c r="U422" i="18"/>
  <c r="U284" i="18"/>
  <c r="L6" i="21"/>
  <c r="AD45" i="18"/>
  <c r="AG45" i="18" s="1"/>
  <c r="W45" i="18" s="1"/>
  <c r="W448" i="18"/>
  <c r="AE368" i="18"/>
  <c r="AH369" i="18" l="1"/>
  <c r="AH2071" i="18" s="1"/>
  <c r="W2070" i="18" s="1"/>
  <c r="W88" i="18"/>
  <c r="AE88" i="18"/>
  <c r="W83" i="18"/>
  <c r="W2073" i="18" l="1"/>
  <c r="U2073" i="18" s="1"/>
  <c r="U2070" i="18"/>
  <c r="AL641" i="18"/>
  <c r="AM641" i="18" s="1"/>
  <c r="CU2070" i="18" l="1"/>
  <c r="E2070" i="18" s="1"/>
  <c r="EV2070" i="18"/>
  <c r="EV2073" i="18"/>
  <c r="CU2073" i="18"/>
  <c r="E2073" i="18" s="1"/>
  <c r="AQ641" i="18"/>
  <c r="AS641" i="18" s="1"/>
  <c r="AG590" i="18" l="1"/>
  <c r="W590" i="18" s="1"/>
  <c r="U566" i="18"/>
  <c r="U561" i="18"/>
  <c r="AF559" i="18"/>
  <c r="AH559" i="18" s="1"/>
  <c r="U556" i="18"/>
  <c r="W554" i="18"/>
  <c r="C70" i="19"/>
  <c r="X920" i="18" s="1"/>
  <c r="C163" i="19"/>
  <c r="C164" i="19"/>
  <c r="X641" i="18" s="1"/>
  <c r="C165" i="19"/>
  <c r="C204" i="19"/>
  <c r="C205" i="19"/>
  <c r="AG521" i="18"/>
  <c r="AJ521" i="18" s="1"/>
  <c r="AI521" i="18"/>
  <c r="AJ522" i="18"/>
  <c r="AF510" i="18"/>
  <c r="AF495" i="18"/>
  <c r="W495" i="18"/>
  <c r="AH451" i="18"/>
  <c r="AJ451" i="18" s="1"/>
  <c r="AH448" i="18"/>
  <c r="AQ445" i="18"/>
  <c r="AN446" i="18"/>
  <c r="AF446" i="18"/>
  <c r="W446" i="18"/>
  <c r="X925" i="18" l="1"/>
  <c r="X621" i="18"/>
  <c r="X593" i="18"/>
  <c r="X590" i="18"/>
  <c r="AS445" i="18"/>
  <c r="W561" i="18"/>
  <c r="W559" i="18"/>
  <c r="AJ414" i="18"/>
  <c r="W414" i="18" s="1"/>
  <c r="U405" i="18"/>
  <c r="AH421" i="18"/>
  <c r="AH398" i="18"/>
  <c r="AD393" i="18"/>
  <c r="AH393" i="18" s="1"/>
  <c r="AD386" i="18"/>
  <c r="AK376" i="18"/>
  <c r="AG377" i="18"/>
  <c r="AF378" i="18"/>
  <c r="AF377" i="18" s="1"/>
  <c r="AH366" i="18"/>
  <c r="W366" i="18"/>
  <c r="AN366" i="18"/>
  <c r="AR366" i="18" s="1"/>
  <c r="AT366" i="18" s="1"/>
  <c r="Y378" i="18"/>
  <c r="AD378" i="18"/>
  <c r="C103" i="19"/>
  <c r="C102" i="19"/>
  <c r="X366" i="18" s="1"/>
  <c r="C101" i="19"/>
  <c r="U358" i="18"/>
  <c r="C73" i="19"/>
  <c r="C72" i="19"/>
  <c r="X357" i="18" s="1"/>
  <c r="C71" i="19"/>
  <c r="W306" i="18"/>
  <c r="X378" i="18" l="1"/>
  <c r="X413" i="18"/>
  <c r="X311" i="18"/>
  <c r="X392" i="18"/>
  <c r="X375" i="18"/>
  <c r="X398" i="18"/>
  <c r="X408" i="18"/>
  <c r="X361" i="18"/>
  <c r="X464" i="18"/>
  <c r="X521" i="18"/>
  <c r="X462" i="18"/>
  <c r="X463" i="18"/>
  <c r="X559" i="18"/>
  <c r="X554" i="18"/>
  <c r="X512" i="18"/>
  <c r="X377" i="18"/>
  <c r="X421" i="18"/>
  <c r="X451" i="18"/>
  <c r="X446" i="18"/>
  <c r="X501" i="18"/>
  <c r="X495" i="18"/>
  <c r="X452" i="18"/>
  <c r="X503" i="18"/>
  <c r="X393" i="18"/>
  <c r="X414" i="18"/>
  <c r="AF376" i="18"/>
  <c r="W377" i="18"/>
  <c r="AF421" i="18"/>
  <c r="W393" i="18"/>
  <c r="AH392" i="18"/>
  <c r="AJ398" i="18"/>
  <c r="AH304" i="18"/>
  <c r="AF232" i="18"/>
  <c r="AH232" i="18"/>
  <c r="AJ217" i="18"/>
  <c r="W217" i="18" s="1"/>
  <c r="C87" i="19"/>
  <c r="X217" i="18" s="1"/>
  <c r="C88" i="19"/>
  <c r="C47" i="19"/>
  <c r="C48" i="19"/>
  <c r="C49" i="19"/>
  <c r="C213" i="19"/>
  <c r="C214" i="19"/>
  <c r="C215" i="19"/>
  <c r="C68" i="19"/>
  <c r="C69" i="19"/>
  <c r="W207" i="18"/>
  <c r="AD206" i="18"/>
  <c r="U200" i="18"/>
  <c r="X386" i="18" l="1"/>
  <c r="X376" i="18"/>
  <c r="AF386" i="18"/>
  <c r="AH386" i="18" s="1"/>
  <c r="W386" i="18" s="1"/>
  <c r="AH376" i="18"/>
  <c r="AJ376" i="18" s="1"/>
  <c r="AI180" i="18"/>
  <c r="AH180" i="18"/>
  <c r="AG180" i="18"/>
  <c r="AF180" i="18"/>
  <c r="AK167" i="18"/>
  <c r="U135" i="18"/>
  <c r="AG135" i="18"/>
  <c r="AK130" i="18"/>
  <c r="AD130" i="18"/>
  <c r="W131" i="18"/>
  <c r="AJ123" i="18"/>
  <c r="AF130" i="18" s="1"/>
  <c r="W124" i="18"/>
  <c r="AG113" i="18"/>
  <c r="AL123" i="18" l="1"/>
  <c r="AH130" i="18"/>
  <c r="C271" i="19"/>
  <c r="C234" i="19"/>
  <c r="C235" i="19"/>
  <c r="X81" i="18" s="1"/>
  <c r="C236" i="19"/>
  <c r="C149" i="19"/>
  <c r="C150" i="19"/>
  <c r="X258" i="18" s="1"/>
  <c r="C151" i="19"/>
  <c r="C53" i="19"/>
  <c r="C54" i="19"/>
  <c r="X111" i="18" s="1"/>
  <c r="C55" i="19"/>
  <c r="C157" i="19"/>
  <c r="C158" i="19"/>
  <c r="C159" i="19"/>
  <c r="C74" i="19"/>
  <c r="C75" i="19"/>
  <c r="X124" i="18" s="1"/>
  <c r="C76" i="19"/>
  <c r="C216" i="19"/>
  <c r="C217" i="19"/>
  <c r="X200" i="18" s="1"/>
  <c r="C218" i="19"/>
  <c r="C86" i="19"/>
  <c r="Q80" i="18"/>
  <c r="AK81" i="18"/>
  <c r="AD83" i="18" s="1"/>
  <c r="AD287" i="18"/>
  <c r="AD282" i="18"/>
  <c r="W268" i="18"/>
  <c r="AP111" i="18"/>
  <c r="W81" i="18" l="1"/>
  <c r="AF93" i="18"/>
  <c r="X91" i="18"/>
  <c r="W91" i="18"/>
  <c r="W86" i="18"/>
  <c r="AN304" i="18" s="1"/>
  <c r="AF83" i="18"/>
  <c r="W97" i="18"/>
  <c r="AD110" i="18" s="1"/>
  <c r="W76" i="18"/>
  <c r="W70" i="18"/>
  <c r="W65" i="18"/>
  <c r="AI62" i="18"/>
  <c r="C243" i="19"/>
  <c r="C242" i="19"/>
  <c r="C241" i="19"/>
  <c r="X62" i="18" s="1"/>
  <c r="W59" i="18"/>
  <c r="Q14" i="18"/>
  <c r="Q28" i="18"/>
  <c r="Q30" i="18"/>
  <c r="Q35" i="18"/>
  <c r="Q41" i="18"/>
  <c r="Q43" i="18"/>
  <c r="Q45" i="18"/>
  <c r="Q46" i="18"/>
  <c r="Q47" i="18"/>
  <c r="Q50" i="18"/>
  <c r="Q52" i="18"/>
  <c r="Q53" i="18"/>
  <c r="Q54" i="18"/>
  <c r="Q56" i="18"/>
  <c r="Q59" i="18"/>
  <c r="Q61" i="18"/>
  <c r="Q62" i="18"/>
  <c r="Q65" i="18"/>
  <c r="Q67" i="18"/>
  <c r="Q70" i="18"/>
  <c r="Q72" i="18"/>
  <c r="Q73" i="18"/>
  <c r="Q76" i="18"/>
  <c r="Q78" i="18"/>
  <c r="Q81" i="18"/>
  <c r="Q83" i="18"/>
  <c r="Q86" i="18"/>
  <c r="Q88" i="18"/>
  <c r="Q91" i="18"/>
  <c r="Q93" i="18"/>
  <c r="Q94" i="18"/>
  <c r="Q97" i="18"/>
  <c r="Q98" i="18"/>
  <c r="Q100" i="18"/>
  <c r="Q101" i="18"/>
  <c r="Q104" i="18"/>
  <c r="Q105" i="18"/>
  <c r="Q107" i="18"/>
  <c r="Q110" i="18"/>
  <c r="Q111" i="18"/>
  <c r="Q113" i="18"/>
  <c r="Q116" i="18"/>
  <c r="Q114" i="18"/>
  <c r="Q115" i="18"/>
  <c r="Q121" i="18"/>
  <c r="Q122" i="18"/>
  <c r="Q123" i="18"/>
  <c r="Q124" i="18"/>
  <c r="Q126" i="18"/>
  <c r="Q127" i="18"/>
  <c r="Q130" i="18"/>
  <c r="Q131" i="18"/>
  <c r="Q133" i="18"/>
  <c r="Q134" i="18"/>
  <c r="Q135" i="18"/>
  <c r="Q138" i="18"/>
  <c r="Q139" i="18"/>
  <c r="Q141" i="18"/>
  <c r="Q144" i="18"/>
  <c r="Q146" i="18"/>
  <c r="Q149" i="18"/>
  <c r="Q151" i="18"/>
  <c r="Q154" i="18"/>
  <c r="Q155" i="18"/>
  <c r="Q156" i="18"/>
  <c r="Q158" i="18"/>
  <c r="Q162" i="18"/>
  <c r="Q164" i="18"/>
  <c r="Q167" i="18"/>
  <c r="Q169" i="18"/>
  <c r="Q174" i="18"/>
  <c r="Q175" i="18"/>
  <c r="Q176" i="18"/>
  <c r="Q177" i="18"/>
  <c r="Q179" i="18"/>
  <c r="Q180" i="18"/>
  <c r="Q182" i="18"/>
  <c r="Q186" i="18"/>
  <c r="Q189" i="18"/>
  <c r="Q190" i="18"/>
  <c r="Q192" i="18"/>
  <c r="Q193" i="18"/>
  <c r="Q194" i="18"/>
  <c r="Q195" i="18"/>
  <c r="Q198" i="18"/>
  <c r="Q199" i="18"/>
  <c r="Q200" i="18"/>
  <c r="Q202" i="18"/>
  <c r="Q203" i="18"/>
  <c r="Q206" i="18"/>
  <c r="Q207" i="18"/>
  <c r="Q209" i="18"/>
  <c r="Q210" i="18"/>
  <c r="Q211" i="18"/>
  <c r="Q212" i="18"/>
  <c r="Q217" i="18"/>
  <c r="Q219" i="18"/>
  <c r="Q220" i="18"/>
  <c r="Q223" i="18"/>
  <c r="Q225" i="18"/>
  <c r="Q226" i="18"/>
  <c r="Q227" i="18"/>
  <c r="Q232" i="18"/>
  <c r="Q234" i="18"/>
  <c r="Q237" i="18"/>
  <c r="Q238" i="18"/>
  <c r="Q239" i="18"/>
  <c r="Q241" i="18"/>
  <c r="Q246" i="18"/>
  <c r="Q247" i="18"/>
  <c r="Q248" i="18"/>
  <c r="Q249" i="18"/>
  <c r="Q250" i="18"/>
  <c r="Q252" i="18"/>
  <c r="Q253" i="18"/>
  <c r="Q254" i="18"/>
  <c r="Q255" i="18"/>
  <c r="Q258" i="18"/>
  <c r="Q259" i="18"/>
  <c r="Q261" i="18"/>
  <c r="Q262" i="18"/>
  <c r="Q267" i="18"/>
  <c r="Q268" i="18"/>
  <c r="Q270" i="18"/>
  <c r="Q273" i="18"/>
  <c r="Q274" i="18"/>
  <c r="Q275" i="18"/>
  <c r="Q277" i="18"/>
  <c r="Q282" i="18"/>
  <c r="Q284" i="18"/>
  <c r="Q287" i="18"/>
  <c r="Q289" i="18"/>
  <c r="Q292" i="18"/>
  <c r="Q294" i="18"/>
  <c r="Q297" i="18"/>
  <c r="Q299" i="18"/>
  <c r="Q304" i="18"/>
  <c r="Q306" i="18"/>
  <c r="Q307" i="18"/>
  <c r="Q308" i="18"/>
  <c r="Q311" i="18"/>
  <c r="Q313" i="18"/>
  <c r="Q316" i="18"/>
  <c r="Q318" i="18"/>
  <c r="Q321" i="18"/>
  <c r="Q323" i="18"/>
  <c r="Q326" i="18"/>
  <c r="Q328" i="18"/>
  <c r="Q331" i="18"/>
  <c r="Q333" i="18"/>
  <c r="Q338" i="18"/>
  <c r="Q339" i="18"/>
  <c r="Q340" i="18"/>
  <c r="Q342" i="18"/>
  <c r="Q345" i="18"/>
  <c r="Q346" i="18"/>
  <c r="Q351" i="18"/>
  <c r="Q352" i="18"/>
  <c r="Q357" i="18"/>
  <c r="Q358" i="18"/>
  <c r="Q361" i="18"/>
  <c r="Q362" i="18"/>
  <c r="Q366" i="18"/>
  <c r="Q368" i="18"/>
  <c r="Q369" i="18"/>
  <c r="Q370" i="18"/>
  <c r="Q371" i="18"/>
  <c r="Q374" i="18"/>
  <c r="Q375" i="18"/>
  <c r="Q376" i="18"/>
  <c r="Q377" i="18"/>
  <c r="Q378" i="18"/>
  <c r="Q380" i="18"/>
  <c r="Q381" i="18"/>
  <c r="Q382" i="18"/>
  <c r="Q385" i="18"/>
  <c r="Q386" i="18"/>
  <c r="Q388" i="18"/>
  <c r="Q389" i="18"/>
  <c r="Q392" i="18"/>
  <c r="Q393" i="18"/>
  <c r="Q395" i="18"/>
  <c r="Q398" i="18"/>
  <c r="Q400" i="18"/>
  <c r="Q403" i="18"/>
  <c r="Q405" i="18"/>
  <c r="Q408" i="18"/>
  <c r="Q410" i="18"/>
  <c r="Q413" i="18"/>
  <c r="Q414" i="18"/>
  <c r="Q415" i="18"/>
  <c r="Q417" i="18"/>
  <c r="Q420" i="18"/>
  <c r="Q421" i="18"/>
  <c r="Q422" i="18"/>
  <c r="Q425" i="18"/>
  <c r="Q426" i="18"/>
  <c r="Q428" i="18"/>
  <c r="Q429" i="18"/>
  <c r="Q432" i="18"/>
  <c r="Q433" i="18"/>
  <c r="Q436" i="18"/>
  <c r="Q437" i="18"/>
  <c r="Q438" i="18"/>
  <c r="Q439" i="18"/>
  <c r="Q441" i="18"/>
  <c r="Q446" i="18"/>
  <c r="Q448" i="18"/>
  <c r="Q451" i="18"/>
  <c r="Q452" i="18"/>
  <c r="Q454" i="18"/>
  <c r="Q455" i="18"/>
  <c r="Q456" i="18"/>
  <c r="Q459" i="18"/>
  <c r="Q460" i="18"/>
  <c r="Q461" i="18"/>
  <c r="Q462" i="18"/>
  <c r="Q463" i="18"/>
  <c r="Q464" i="18"/>
  <c r="Q465" i="18"/>
  <c r="Q466" i="18"/>
  <c r="Q468" i="18"/>
  <c r="Q469" i="18"/>
  <c r="Q470" i="18"/>
  <c r="Q473" i="18"/>
  <c r="Q475" i="18"/>
  <c r="Q478" i="18"/>
  <c r="Q480" i="18"/>
  <c r="Q483" i="18"/>
  <c r="Q485" i="18"/>
  <c r="Q488" i="18"/>
  <c r="Q490" i="18"/>
  <c r="Q495" i="18"/>
  <c r="Q497" i="18"/>
  <c r="Q500" i="18"/>
  <c r="Q501" i="18"/>
  <c r="Q502" i="18"/>
  <c r="Q503" i="18"/>
  <c r="Q505" i="18"/>
  <c r="Q506" i="18"/>
  <c r="Q507" i="18"/>
  <c r="Q510" i="18"/>
  <c r="Q511" i="18"/>
  <c r="Q512" i="18"/>
  <c r="Q513" i="18"/>
  <c r="Q515" i="18"/>
  <c r="Q520" i="18"/>
  <c r="Q521" i="18"/>
  <c r="Q522" i="18"/>
  <c r="Q524" i="18"/>
  <c r="Q525" i="18"/>
  <c r="Q528" i="18"/>
  <c r="Q530" i="18"/>
  <c r="Q533" i="18"/>
  <c r="Q534" i="18"/>
  <c r="Q536" i="18"/>
  <c r="Q537" i="18"/>
  <c r="Q538" i="18"/>
  <c r="Q541" i="18"/>
  <c r="Q542" i="18"/>
  <c r="Q544" i="18"/>
  <c r="Q547" i="18"/>
  <c r="Q549" i="18"/>
  <c r="Q554" i="18"/>
  <c r="Q556" i="18"/>
  <c r="Q559" i="18"/>
  <c r="Q561" i="18"/>
  <c r="Q564" i="18"/>
  <c r="Q566" i="18"/>
  <c r="Q569" i="18"/>
  <c r="Q570" i="18"/>
  <c r="Q571" i="18"/>
  <c r="Q574" i="18"/>
  <c r="Q575" i="18"/>
  <c r="Q578" i="18"/>
  <c r="Q580" i="18"/>
  <c r="Q585" i="18"/>
  <c r="Q587" i="18"/>
  <c r="Q590" i="18"/>
  <c r="Q592" i="18"/>
  <c r="Q593" i="18"/>
  <c r="Q596" i="18"/>
  <c r="Q598" i="18"/>
  <c r="Q601" i="18"/>
  <c r="Q603" i="18"/>
  <c r="Q606" i="18"/>
  <c r="Q608" i="18"/>
  <c r="Q609" i="18"/>
  <c r="Q612" i="18"/>
  <c r="Q614" i="18"/>
  <c r="Q615" i="18"/>
  <c r="Q626" i="18"/>
  <c r="Q627" i="18"/>
  <c r="Q628" i="18"/>
  <c r="Q630" i="18"/>
  <c r="Q635" i="18"/>
  <c r="Q642" i="18"/>
  <c r="Q645" i="18"/>
  <c r="Q647" i="18"/>
  <c r="Q650" i="18"/>
  <c r="Q655" i="18"/>
  <c r="Q662" i="18"/>
  <c r="Q664" i="18"/>
  <c r="Q669" i="18"/>
  <c r="Q670" i="18"/>
  <c r="Q675" i="18"/>
  <c r="Q677" i="18"/>
  <c r="Q679" i="18"/>
  <c r="Q682" i="18"/>
  <c r="Q683" i="18"/>
  <c r="Q684" i="18"/>
  <c r="Q685" i="18"/>
  <c r="Q686" i="18"/>
  <c r="Q689" i="18"/>
  <c r="Q691" i="18"/>
  <c r="Q694" i="18"/>
  <c r="Q696" i="18"/>
  <c r="Q703" i="18"/>
  <c r="Q706" i="18"/>
  <c r="Q708" i="18"/>
  <c r="Q709" i="18"/>
  <c r="Q710" i="18"/>
  <c r="Q715" i="18"/>
  <c r="Q718" i="18"/>
  <c r="Q720" i="18"/>
  <c r="Q723" i="18"/>
  <c r="Q725" i="18"/>
  <c r="Q726" i="18"/>
  <c r="Q731" i="18"/>
  <c r="Q734" i="18"/>
  <c r="Q736" i="18"/>
  <c r="Q739" i="18"/>
  <c r="Q741" i="18"/>
  <c r="Q742" i="18"/>
  <c r="Q749" i="18"/>
  <c r="Q752" i="18"/>
  <c r="Q754" i="18"/>
  <c r="Q759" i="18"/>
  <c r="Q762" i="18"/>
  <c r="Q764" i="18"/>
  <c r="Q765" i="18"/>
  <c r="Q770" i="18"/>
  <c r="Q773" i="18"/>
  <c r="Q776" i="18"/>
  <c r="Q777" i="18"/>
  <c r="Q778" i="18"/>
  <c r="Q779" i="18"/>
  <c r="Q782" i="18"/>
  <c r="Q785" i="18"/>
  <c r="Q787" i="18"/>
  <c r="Q792" i="18"/>
  <c r="Q795" i="18"/>
  <c r="Q797" i="18"/>
  <c r="Q802" i="18"/>
  <c r="Q807" i="18"/>
  <c r="Q808" i="18"/>
  <c r="Q813" i="18"/>
  <c r="Q814" i="18"/>
  <c r="Q817" i="18"/>
  <c r="Q819" i="18"/>
  <c r="Q826" i="18"/>
  <c r="Q829" i="18"/>
  <c r="Q831" i="18"/>
  <c r="Q836" i="18"/>
  <c r="Q839" i="18"/>
  <c r="Q841" i="18"/>
  <c r="Q844" i="18"/>
  <c r="Q846" i="18"/>
  <c r="Q847" i="18"/>
  <c r="Q848" i="18"/>
  <c r="Q849" i="18"/>
  <c r="Q850" i="18"/>
  <c r="Q855" i="18"/>
  <c r="Q858" i="18"/>
  <c r="Q860" i="18"/>
  <c r="Q865" i="18"/>
  <c r="Q870" i="18"/>
  <c r="Q877" i="18"/>
  <c r="Q878" i="18"/>
  <c r="Q880" i="18"/>
  <c r="Q883" i="18"/>
  <c r="Q885" i="18"/>
  <c r="Q886" i="18"/>
  <c r="Q898" i="18"/>
  <c r="Q899" i="18"/>
  <c r="Q901" i="18"/>
  <c r="Q902" i="18"/>
  <c r="Q903" i="18"/>
  <c r="Q904" i="18"/>
  <c r="Q907" i="18"/>
  <c r="Q909" i="18"/>
  <c r="Q910" i="18"/>
  <c r="Q911" i="18"/>
  <c r="Q914" i="18"/>
  <c r="Q916" i="18"/>
  <c r="Q917" i="18"/>
  <c r="Q931" i="18"/>
  <c r="Q933" i="18"/>
  <c r="Q934" i="18"/>
  <c r="Q946" i="18"/>
  <c r="Q947" i="18"/>
  <c r="Q949" i="18"/>
  <c r="Q950" i="18"/>
  <c r="Q951" i="18"/>
  <c r="Q952" i="18"/>
  <c r="Q955" i="18"/>
  <c r="Q957" i="18"/>
  <c r="Q958" i="18"/>
  <c r="Q959" i="18"/>
  <c r="Q962" i="18"/>
  <c r="Q964" i="18"/>
  <c r="Q969" i="18"/>
  <c r="Q971" i="18"/>
  <c r="Q974" i="18"/>
  <c r="Q976" i="18"/>
  <c r="Q977" i="18"/>
  <c r="AP495" i="18" l="1"/>
  <c r="AN495" i="18" s="1"/>
  <c r="AL445" i="18"/>
  <c r="AJ445" i="18" s="1"/>
  <c r="AD365" i="18"/>
  <c r="AL495" i="18"/>
  <c r="AJ495" i="18" s="1"/>
  <c r="AH445" i="18"/>
  <c r="AF445" i="18" s="1"/>
  <c r="AH365" i="18"/>
  <c r="AJ365" i="18" s="1"/>
  <c r="C106" i="19"/>
  <c r="C105" i="19"/>
  <c r="C104" i="19"/>
  <c r="X14" i="18" l="1"/>
  <c r="U18" i="18"/>
  <c r="N6" i="21" s="1"/>
  <c r="X18" i="18"/>
  <c r="X892" i="18"/>
  <c r="X940" i="18"/>
  <c r="AF365" i="18"/>
  <c r="AT365" i="18"/>
  <c r="G33" i="23"/>
  <c r="F33" i="23"/>
  <c r="E33" i="23"/>
  <c r="G32" i="23"/>
  <c r="F32" i="23"/>
  <c r="E32" i="23"/>
  <c r="G31" i="23"/>
  <c r="F31" i="23"/>
  <c r="E31" i="23"/>
  <c r="G30" i="23"/>
  <c r="F30" i="23"/>
  <c r="E30" i="23"/>
  <c r="G29" i="23"/>
  <c r="F29" i="23"/>
  <c r="E29" i="23"/>
  <c r="G28" i="23"/>
  <c r="F28" i="23"/>
  <c r="E28" i="23"/>
  <c r="F24" i="23"/>
  <c r="F21" i="23"/>
  <c r="W964" i="18" l="1"/>
  <c r="W916" i="18"/>
  <c r="Q2090" i="18" l="1"/>
  <c r="Q2091" i="18"/>
  <c r="Q2089" i="18"/>
  <c r="C40" i="19" l="1"/>
  <c r="C39" i="19"/>
  <c r="C38" i="19"/>
  <c r="W223" i="18"/>
  <c r="AT217" i="18"/>
  <c r="AV217" i="18" s="1"/>
  <c r="C201" i="19"/>
  <c r="C200" i="19"/>
  <c r="C198" i="19"/>
  <c r="AD848" i="18" l="1"/>
  <c r="C137" i="19"/>
  <c r="C139" i="19"/>
  <c r="C138" i="19"/>
  <c r="X847" i="18" s="1"/>
  <c r="C136" i="19"/>
  <c r="D847" i="18"/>
  <c r="C847" i="18" s="1"/>
  <c r="W536" i="18" l="1"/>
  <c r="C115" i="19"/>
  <c r="C114" i="19"/>
  <c r="X537" i="18" s="1"/>
  <c r="C113" i="19"/>
  <c r="D537" i="18"/>
  <c r="C537" i="18" s="1"/>
  <c r="D538" i="18"/>
  <c r="C538" i="18" s="1"/>
  <c r="D307" i="18"/>
  <c r="AI252" i="18"/>
  <c r="AG252" i="18"/>
  <c r="C182" i="19"/>
  <c r="X307" i="18" s="1"/>
  <c r="AJ255" i="18"/>
  <c r="AH255" i="18"/>
  <c r="AG253" i="18"/>
  <c r="D253" i="18"/>
  <c r="C253" i="18" s="1"/>
  <c r="AG254" i="18"/>
  <c r="AF254" i="18"/>
  <c r="AL254" i="18" s="1"/>
  <c r="AF253" i="18" s="1"/>
  <c r="AJ253" i="18" s="1"/>
  <c r="AF252" i="18" s="1"/>
  <c r="D254" i="18"/>
  <c r="C254" i="18" s="1"/>
  <c r="AI261" i="18"/>
  <c r="AI254" i="18" s="1"/>
  <c r="AH262" i="18"/>
  <c r="D262" i="18"/>
  <c r="C262" i="18" s="1"/>
  <c r="AI262" i="18"/>
  <c r="AG262" i="18"/>
  <c r="AF262" i="18"/>
  <c r="AT258" i="18"/>
  <c r="AH259" i="18"/>
  <c r="D259" i="18"/>
  <c r="C259" i="18" s="1"/>
  <c r="C8" i="19"/>
  <c r="C7" i="19"/>
  <c r="X259" i="18" s="1"/>
  <c r="EV251" i="18"/>
  <c r="D251" i="18"/>
  <c r="C251" i="18" s="1"/>
  <c r="AL134" i="18"/>
  <c r="AH134" i="18"/>
  <c r="D134" i="18"/>
  <c r="C134" i="18" s="1"/>
  <c r="D114" i="18"/>
  <c r="C114" i="18" s="1"/>
  <c r="C58" i="19"/>
  <c r="C57" i="19"/>
  <c r="X104" i="18" s="1"/>
  <c r="D105" i="18"/>
  <c r="C105" i="18" s="1"/>
  <c r="C178" i="19"/>
  <c r="C177" i="19"/>
  <c r="C175" i="19"/>
  <c r="D98" i="18"/>
  <c r="C98" i="18" s="1"/>
  <c r="C188" i="19"/>
  <c r="C187" i="19"/>
  <c r="X146" i="18" s="1"/>
  <c r="C186" i="19"/>
  <c r="C192" i="19"/>
  <c r="AP135" i="18"/>
  <c r="AL135" i="18"/>
  <c r="D135" i="18"/>
  <c r="C135" i="18" s="1"/>
  <c r="C307" i="18" l="1"/>
  <c r="U253" i="18"/>
  <c r="AG258" i="18"/>
  <c r="AR258" i="18" s="1"/>
  <c r="AV258" i="18" s="1"/>
  <c r="AI258" i="18"/>
  <c r="W258" i="18" s="1"/>
  <c r="W261" i="18" s="1"/>
  <c r="U536" i="18"/>
  <c r="AL255" i="18"/>
  <c r="X255" i="18"/>
  <c r="X135" i="18"/>
  <c r="AJ262" i="18"/>
  <c r="AH261" i="18" s="1"/>
  <c r="AH254" i="18" s="1"/>
  <c r="AF146" i="18"/>
  <c r="W146" i="18" s="1"/>
  <c r="EV6" i="18"/>
  <c r="EV8" i="18"/>
  <c r="EV9" i="18"/>
  <c r="EV11" i="18"/>
  <c r="EV12" i="18"/>
  <c r="EV15" i="18"/>
  <c r="EV17" i="18"/>
  <c r="EV19" i="18"/>
  <c r="EV21" i="18"/>
  <c r="EV23" i="18"/>
  <c r="EV25" i="18"/>
  <c r="EV26" i="18"/>
  <c r="EV29" i="18"/>
  <c r="EV31" i="18"/>
  <c r="EV33" i="18"/>
  <c r="EV36" i="18"/>
  <c r="EV38" i="18"/>
  <c r="EV39" i="18"/>
  <c r="EV42" i="18"/>
  <c r="EV44" i="18"/>
  <c r="EV48" i="18"/>
  <c r="EV51" i="18"/>
  <c r="EV55" i="18"/>
  <c r="EV57" i="18"/>
  <c r="EV60" i="18"/>
  <c r="EV63" i="18"/>
  <c r="EV66" i="18"/>
  <c r="EV68" i="18"/>
  <c r="EV71" i="18"/>
  <c r="EV74" i="18"/>
  <c r="EV77" i="18"/>
  <c r="EV79" i="18"/>
  <c r="EV82" i="18"/>
  <c r="EV84" i="18"/>
  <c r="EV87" i="18"/>
  <c r="EV89" i="18"/>
  <c r="EV92" i="18"/>
  <c r="EV95" i="18"/>
  <c r="EV99" i="18"/>
  <c r="EV102" i="18"/>
  <c r="EV106" i="18"/>
  <c r="EV108" i="18"/>
  <c r="EV112" i="18"/>
  <c r="EV117" i="18"/>
  <c r="EV119" i="18"/>
  <c r="EV125" i="18"/>
  <c r="EV128" i="18"/>
  <c r="EV132" i="18"/>
  <c r="EV136" i="18"/>
  <c r="EV140" i="18"/>
  <c r="EV142" i="18"/>
  <c r="EV145" i="18"/>
  <c r="EV147" i="18"/>
  <c r="EV150" i="18"/>
  <c r="EV152" i="18"/>
  <c r="EV157" i="18"/>
  <c r="EV160" i="18"/>
  <c r="EV163" i="18"/>
  <c r="EV165" i="18"/>
  <c r="EV168" i="18"/>
  <c r="EV170" i="18"/>
  <c r="EV172" i="18"/>
  <c r="EV178" i="18"/>
  <c r="EV183" i="18"/>
  <c r="EV185" i="18"/>
  <c r="EV187" i="18"/>
  <c r="EV191" i="18"/>
  <c r="EV196" i="18"/>
  <c r="EV201" i="18"/>
  <c r="EV204" i="18"/>
  <c r="EV208" i="18"/>
  <c r="EV213" i="18"/>
  <c r="EV215" i="18"/>
  <c r="EV218" i="18"/>
  <c r="EV221" i="18"/>
  <c r="EV224" i="18"/>
  <c r="EV228" i="18"/>
  <c r="EV230" i="18"/>
  <c r="EV233" i="18"/>
  <c r="EV235" i="18"/>
  <c r="EV240" i="18"/>
  <c r="EV242" i="18"/>
  <c r="EV244" i="18"/>
  <c r="EV256" i="18"/>
  <c r="EV260" i="18"/>
  <c r="EV263" i="18"/>
  <c r="EV265" i="18"/>
  <c r="EV269" i="18"/>
  <c r="EV271" i="18"/>
  <c r="EV276" i="18"/>
  <c r="EV278" i="18"/>
  <c r="EV280" i="18"/>
  <c r="EV283" i="18"/>
  <c r="EV285" i="18"/>
  <c r="EV288" i="18"/>
  <c r="EV290" i="18"/>
  <c r="EV293" i="18"/>
  <c r="EV295" i="18"/>
  <c r="EV298" i="18"/>
  <c r="EV300" i="18"/>
  <c r="EV302" i="18"/>
  <c r="EV305" i="18"/>
  <c r="EV309" i="18"/>
  <c r="EV312" i="18"/>
  <c r="EV314" i="18"/>
  <c r="EV317" i="18"/>
  <c r="EV319" i="18"/>
  <c r="EV322" i="18"/>
  <c r="EV324" i="18"/>
  <c r="EV327" i="18"/>
  <c r="EV329" i="18"/>
  <c r="EV332" i="18"/>
  <c r="EV334" i="18"/>
  <c r="EV336" i="18"/>
  <c r="EV341" i="18"/>
  <c r="EV343" i="18"/>
  <c r="EV347" i="18"/>
  <c r="EV349" i="18"/>
  <c r="EV353" i="18"/>
  <c r="EV355" i="18"/>
  <c r="EV359" i="18"/>
  <c r="EV364" i="18"/>
  <c r="EV367" i="18"/>
  <c r="EV372" i="18"/>
  <c r="EV379" i="18"/>
  <c r="EV383" i="18"/>
  <c r="EV387" i="18"/>
  <c r="EV390" i="18"/>
  <c r="EV394" i="18"/>
  <c r="EV396" i="18"/>
  <c r="EV399" i="18"/>
  <c r="EV401" i="18"/>
  <c r="EV404" i="18"/>
  <c r="EV406" i="18"/>
  <c r="EV409" i="18"/>
  <c r="EV411" i="18"/>
  <c r="EV416" i="18"/>
  <c r="EV418" i="18"/>
  <c r="EV423" i="18"/>
  <c r="EV427" i="18"/>
  <c r="EV429" i="18"/>
  <c r="EV430" i="18"/>
  <c r="EV434" i="18"/>
  <c r="EV440" i="18"/>
  <c r="EV442" i="18"/>
  <c r="EV444" i="18"/>
  <c r="EV447" i="18"/>
  <c r="EV449" i="18"/>
  <c r="EV453" i="18"/>
  <c r="EV457" i="18"/>
  <c r="EV467" i="18"/>
  <c r="EV471" i="18"/>
  <c r="EV474" i="18"/>
  <c r="EV476" i="18"/>
  <c r="EV479" i="18"/>
  <c r="EV481" i="18"/>
  <c r="EV484" i="18"/>
  <c r="EV486" i="18"/>
  <c r="EV489" i="18"/>
  <c r="EV491" i="18"/>
  <c r="EV493" i="18"/>
  <c r="EV496" i="18"/>
  <c r="EV498" i="18"/>
  <c r="EV504" i="18"/>
  <c r="EV508" i="18"/>
  <c r="EV514" i="18"/>
  <c r="EV516" i="18"/>
  <c r="EV518" i="18"/>
  <c r="EV523" i="18"/>
  <c r="EV526" i="18"/>
  <c r="EV529" i="18"/>
  <c r="EV531" i="18"/>
  <c r="EV535" i="18"/>
  <c r="EV539" i="18"/>
  <c r="EV543" i="18"/>
  <c r="EV545" i="18"/>
  <c r="EV548" i="18"/>
  <c r="EV550" i="18"/>
  <c r="EV552" i="18"/>
  <c r="EV555" i="18"/>
  <c r="EV557" i="18"/>
  <c r="EV560" i="18"/>
  <c r="EV562" i="18"/>
  <c r="EV565" i="18"/>
  <c r="EV567" i="18"/>
  <c r="EV572" i="18"/>
  <c r="EV576" i="18"/>
  <c r="EV579" i="18"/>
  <c r="EV581" i="18"/>
  <c r="EV583" i="18"/>
  <c r="EV586" i="18"/>
  <c r="EV588" i="18"/>
  <c r="EV591" i="18"/>
  <c r="EV594" i="18"/>
  <c r="EV597" i="18"/>
  <c r="EV599" i="18"/>
  <c r="EV602" i="18"/>
  <c r="EV604" i="18"/>
  <c r="EV607" i="18"/>
  <c r="EV610" i="18"/>
  <c r="EV613" i="18"/>
  <c r="EV622" i="18"/>
  <c r="EV624" i="18"/>
  <c r="EV631" i="18"/>
  <c r="EV633" i="18"/>
  <c r="EV636" i="18"/>
  <c r="EV643" i="18"/>
  <c r="EV646" i="18"/>
  <c r="EV648" i="18"/>
  <c r="EV651" i="18"/>
  <c r="EV653" i="18"/>
  <c r="EV656" i="18"/>
  <c r="EV658" i="18"/>
  <c r="EV660" i="18"/>
  <c r="EV663" i="18"/>
  <c r="EV665" i="18"/>
  <c r="EV668" i="18"/>
  <c r="EV671" i="18"/>
  <c r="EV673" i="18"/>
  <c r="EV676" i="18"/>
  <c r="EV678" i="18"/>
  <c r="EV680" i="18"/>
  <c r="EV687" i="18"/>
  <c r="EV690" i="18"/>
  <c r="EV692" i="18"/>
  <c r="EV695" i="18"/>
  <c r="EV697" i="18"/>
  <c r="EV699" i="18"/>
  <c r="EV702" i="18"/>
  <c r="EV704" i="18"/>
  <c r="EV707" i="18"/>
  <c r="EV709" i="18"/>
  <c r="EV711" i="18"/>
  <c r="EV714" i="18"/>
  <c r="EV716" i="18"/>
  <c r="EV719" i="18"/>
  <c r="EV721" i="18"/>
  <c r="EV724" i="18"/>
  <c r="EV726" i="18"/>
  <c r="EV727" i="18"/>
  <c r="EV730" i="18"/>
  <c r="EV732" i="18"/>
  <c r="EV735" i="18"/>
  <c r="EV737" i="18"/>
  <c r="EV740" i="18"/>
  <c r="EV742" i="18"/>
  <c r="EV743" i="18"/>
  <c r="EV745" i="18"/>
  <c r="EV748" i="18"/>
  <c r="EV750" i="18"/>
  <c r="EV753" i="18"/>
  <c r="EV755" i="18"/>
  <c r="EV758" i="18"/>
  <c r="EV760" i="18"/>
  <c r="EV763" i="18"/>
  <c r="EV766" i="18"/>
  <c r="EV769" i="18"/>
  <c r="EV771" i="18"/>
  <c r="EV775" i="18"/>
  <c r="EV780" i="18"/>
  <c r="EV783" i="18"/>
  <c r="EV786" i="18"/>
  <c r="EV788" i="18"/>
  <c r="EV791" i="18"/>
  <c r="EV793" i="18"/>
  <c r="EV796" i="18"/>
  <c r="EV798" i="18"/>
  <c r="EV801" i="18"/>
  <c r="EV803" i="18"/>
  <c r="EV806" i="18"/>
  <c r="EV809" i="18"/>
  <c r="EV812" i="18"/>
  <c r="EV815" i="18"/>
  <c r="EV818" i="18"/>
  <c r="EV820" i="18"/>
  <c r="EV822" i="18"/>
  <c r="EV825" i="18"/>
  <c r="EV827" i="18"/>
  <c r="EV830" i="18"/>
  <c r="EV832" i="18"/>
  <c r="EV835" i="18"/>
  <c r="EV837" i="18"/>
  <c r="EV840" i="18"/>
  <c r="EV842" i="18"/>
  <c r="EV845" i="18"/>
  <c r="EV851" i="18"/>
  <c r="EV854" i="18"/>
  <c r="EV856" i="18"/>
  <c r="EV859" i="18"/>
  <c r="EV861" i="18"/>
  <c r="EV864" i="18"/>
  <c r="EV866" i="18"/>
  <c r="EV869" i="18"/>
  <c r="EV871" i="18"/>
  <c r="EV873" i="18"/>
  <c r="EV875" i="18"/>
  <c r="EV879" i="18"/>
  <c r="EV881" i="18"/>
  <c r="EV884" i="18"/>
  <c r="EV896" i="18"/>
  <c r="EV900" i="18"/>
  <c r="EV905" i="18"/>
  <c r="EV908" i="18"/>
  <c r="EV912" i="18"/>
  <c r="EV915" i="18"/>
  <c r="EV929" i="18"/>
  <c r="EV932" i="18"/>
  <c r="EV944" i="18"/>
  <c r="EV948" i="18"/>
  <c r="EV953" i="18"/>
  <c r="EV956" i="18"/>
  <c r="EV960" i="18"/>
  <c r="EV963" i="18"/>
  <c r="EV965" i="18"/>
  <c r="EV967" i="18"/>
  <c r="EV970" i="18"/>
  <c r="EV972" i="18"/>
  <c r="EV975" i="18"/>
  <c r="EV2086" i="18"/>
  <c r="D10" i="18"/>
  <c r="D11" i="18"/>
  <c r="D12" i="18"/>
  <c r="D13" i="18"/>
  <c r="D14" i="18"/>
  <c r="EV14" i="18" s="1"/>
  <c r="D15" i="18"/>
  <c r="D16" i="18"/>
  <c r="D17" i="18"/>
  <c r="D18" i="18"/>
  <c r="EV18" i="18" s="1"/>
  <c r="D19" i="18"/>
  <c r="D20" i="18"/>
  <c r="D21" i="18"/>
  <c r="D22" i="18"/>
  <c r="D23" i="18"/>
  <c r="D24" i="18"/>
  <c r="EV24" i="18" s="1"/>
  <c r="D25" i="18"/>
  <c r="D26" i="18"/>
  <c r="D27" i="18"/>
  <c r="D28" i="18"/>
  <c r="D29" i="18"/>
  <c r="D30" i="18"/>
  <c r="EV30" i="18" s="1"/>
  <c r="D31" i="18"/>
  <c r="D32" i="18"/>
  <c r="EV32" i="18" s="1"/>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EV67" i="18" s="1"/>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9" i="18"/>
  <c r="D100" i="18"/>
  <c r="D101" i="18"/>
  <c r="D102" i="18"/>
  <c r="D103" i="18"/>
  <c r="D104" i="18"/>
  <c r="D106" i="18"/>
  <c r="D107" i="18"/>
  <c r="EV107" i="18" s="1"/>
  <c r="D108" i="18"/>
  <c r="D109" i="18"/>
  <c r="D110" i="18"/>
  <c r="D111" i="18"/>
  <c r="D112" i="18"/>
  <c r="D113" i="18"/>
  <c r="D116" i="18"/>
  <c r="D115" i="18"/>
  <c r="D117" i="18"/>
  <c r="D118" i="18"/>
  <c r="EV118" i="18" s="1"/>
  <c r="D119" i="18"/>
  <c r="D120" i="18"/>
  <c r="D121" i="18"/>
  <c r="D122" i="18"/>
  <c r="D123" i="18"/>
  <c r="D124" i="18"/>
  <c r="D125" i="18"/>
  <c r="D126" i="18"/>
  <c r="D127" i="18"/>
  <c r="D128" i="18"/>
  <c r="D129" i="18"/>
  <c r="D130" i="18"/>
  <c r="D131" i="18"/>
  <c r="D132" i="18"/>
  <c r="D133" i="18"/>
  <c r="D136" i="18"/>
  <c r="D137" i="18"/>
  <c r="D138" i="18"/>
  <c r="D139" i="18"/>
  <c r="D140" i="18"/>
  <c r="D141" i="18"/>
  <c r="D142" i="18"/>
  <c r="D143" i="18"/>
  <c r="D144" i="18"/>
  <c r="D145" i="18"/>
  <c r="D146" i="18"/>
  <c r="D147" i="18"/>
  <c r="D148" i="18"/>
  <c r="D149" i="18"/>
  <c r="D150" i="18"/>
  <c r="D151" i="18"/>
  <c r="D152" i="18"/>
  <c r="D153" i="18"/>
  <c r="D154" i="18"/>
  <c r="D155" i="18"/>
  <c r="D156" i="18"/>
  <c r="D157" i="18"/>
  <c r="D158" i="18"/>
  <c r="D159" i="18"/>
  <c r="D160" i="18"/>
  <c r="D161" i="18"/>
  <c r="D162" i="18"/>
  <c r="D163" i="18"/>
  <c r="D164" i="18"/>
  <c r="D165" i="18"/>
  <c r="D166" i="18"/>
  <c r="D167" i="18"/>
  <c r="D168" i="18"/>
  <c r="D169" i="18"/>
  <c r="D170" i="18"/>
  <c r="D171" i="18"/>
  <c r="EV171" i="18" s="1"/>
  <c r="D172" i="18"/>
  <c r="D173" i="18"/>
  <c r="D174" i="18"/>
  <c r="D175" i="18"/>
  <c r="D176" i="18"/>
  <c r="D177" i="18"/>
  <c r="D178" i="18"/>
  <c r="D179" i="18"/>
  <c r="D180" i="18"/>
  <c r="D181" i="18"/>
  <c r="D182" i="18"/>
  <c r="D183" i="18"/>
  <c r="D184" i="18"/>
  <c r="D185" i="18"/>
  <c r="D186" i="18"/>
  <c r="D187" i="18"/>
  <c r="D188" i="18"/>
  <c r="D189" i="18"/>
  <c r="D190" i="18"/>
  <c r="D191" i="18"/>
  <c r="D192" i="18"/>
  <c r="D193" i="18"/>
  <c r="D194" i="18"/>
  <c r="D195" i="18"/>
  <c r="D196" i="18"/>
  <c r="D197" i="18"/>
  <c r="D198" i="18"/>
  <c r="D199" i="18"/>
  <c r="D200" i="18"/>
  <c r="D201" i="18"/>
  <c r="D202" i="18"/>
  <c r="D203" i="18"/>
  <c r="D204" i="18"/>
  <c r="D205" i="18"/>
  <c r="D206" i="18"/>
  <c r="D207" i="18"/>
  <c r="D208" i="18"/>
  <c r="D209" i="18"/>
  <c r="D210" i="18"/>
  <c r="D211" i="18"/>
  <c r="D212" i="18"/>
  <c r="D213" i="18"/>
  <c r="D214" i="18"/>
  <c r="EV214" i="18" s="1"/>
  <c r="D215" i="18"/>
  <c r="D216" i="18"/>
  <c r="D217" i="18"/>
  <c r="D218" i="18"/>
  <c r="D219" i="18"/>
  <c r="D220" i="18"/>
  <c r="D221" i="18"/>
  <c r="D222" i="18"/>
  <c r="D223" i="18"/>
  <c r="D224" i="18"/>
  <c r="D225" i="18"/>
  <c r="D226" i="18"/>
  <c r="D227" i="18"/>
  <c r="D228" i="18"/>
  <c r="D229" i="18"/>
  <c r="EV229" i="18" s="1"/>
  <c r="D230" i="18"/>
  <c r="D231" i="18"/>
  <c r="D232" i="18"/>
  <c r="D233" i="18"/>
  <c r="D234" i="18"/>
  <c r="D235" i="18"/>
  <c r="D236" i="18"/>
  <c r="D237" i="18"/>
  <c r="D238" i="18"/>
  <c r="D239" i="18"/>
  <c r="D240" i="18"/>
  <c r="D241" i="18"/>
  <c r="D242" i="18"/>
  <c r="D243" i="18"/>
  <c r="EV243" i="18" s="1"/>
  <c r="D244" i="18"/>
  <c r="D245" i="18"/>
  <c r="D246" i="18"/>
  <c r="D247" i="18"/>
  <c r="D248" i="18"/>
  <c r="D249" i="18"/>
  <c r="D250" i="18"/>
  <c r="D252" i="18"/>
  <c r="D255" i="18"/>
  <c r="D256" i="18"/>
  <c r="D257" i="18"/>
  <c r="D258" i="18"/>
  <c r="D260" i="18"/>
  <c r="D261" i="18"/>
  <c r="D263" i="18"/>
  <c r="D264" i="18"/>
  <c r="EV264" i="18" s="1"/>
  <c r="D265" i="18"/>
  <c r="D266" i="18"/>
  <c r="D267" i="18"/>
  <c r="D268" i="18"/>
  <c r="D269" i="18"/>
  <c r="D270" i="18"/>
  <c r="D271" i="18"/>
  <c r="D272" i="18"/>
  <c r="D273" i="18"/>
  <c r="D274" i="18"/>
  <c r="D275" i="18"/>
  <c r="D276" i="18"/>
  <c r="D277" i="18"/>
  <c r="D278" i="18"/>
  <c r="D279" i="18"/>
  <c r="EV279" i="18" s="1"/>
  <c r="D280" i="18"/>
  <c r="D281" i="18"/>
  <c r="D282" i="18"/>
  <c r="D283" i="18"/>
  <c r="D284" i="18"/>
  <c r="D285" i="18"/>
  <c r="D286" i="18"/>
  <c r="D287" i="18"/>
  <c r="D288" i="18"/>
  <c r="D289" i="18"/>
  <c r="D290" i="18"/>
  <c r="D291" i="18"/>
  <c r="D292" i="18"/>
  <c r="D293" i="18"/>
  <c r="D294" i="18"/>
  <c r="D295" i="18"/>
  <c r="D296" i="18"/>
  <c r="D297" i="18"/>
  <c r="D298" i="18"/>
  <c r="D299" i="18"/>
  <c r="D300" i="18"/>
  <c r="D301" i="18"/>
  <c r="EV301" i="18" s="1"/>
  <c r="D302" i="18"/>
  <c r="D303" i="18"/>
  <c r="D304" i="18"/>
  <c r="D305" i="18"/>
  <c r="D306" i="18"/>
  <c r="D308" i="18"/>
  <c r="D309" i="18"/>
  <c r="D310" i="18"/>
  <c r="D311" i="18"/>
  <c r="D312" i="18"/>
  <c r="D313" i="18"/>
  <c r="D314" i="18"/>
  <c r="D315" i="18"/>
  <c r="D316" i="18"/>
  <c r="D317" i="18"/>
  <c r="D318" i="18"/>
  <c r="D319" i="18"/>
  <c r="D320" i="18"/>
  <c r="D321" i="18"/>
  <c r="D322" i="18"/>
  <c r="D323" i="18"/>
  <c r="D324" i="18"/>
  <c r="D325" i="18"/>
  <c r="D326" i="18"/>
  <c r="D327" i="18"/>
  <c r="D328" i="18"/>
  <c r="D329" i="18"/>
  <c r="D330" i="18"/>
  <c r="D331" i="18"/>
  <c r="D332" i="18"/>
  <c r="D333" i="18"/>
  <c r="D334" i="18"/>
  <c r="D335" i="18"/>
  <c r="EV335" i="18" s="1"/>
  <c r="D336" i="18"/>
  <c r="D337" i="18"/>
  <c r="D338" i="18"/>
  <c r="D339" i="18"/>
  <c r="D340" i="18"/>
  <c r="D341" i="18"/>
  <c r="D342" i="18"/>
  <c r="D343" i="18"/>
  <c r="D344" i="18"/>
  <c r="D345" i="18"/>
  <c r="D346" i="18"/>
  <c r="D347" i="18"/>
  <c r="D348" i="18"/>
  <c r="EV348" i="18" s="1"/>
  <c r="D349" i="18"/>
  <c r="D350" i="18"/>
  <c r="D351" i="18"/>
  <c r="EV351" i="18" s="1"/>
  <c r="D352" i="18"/>
  <c r="EV352" i="18" s="1"/>
  <c r="D353" i="18"/>
  <c r="D354" i="18"/>
  <c r="EV354" i="18" s="1"/>
  <c r="D355" i="18"/>
  <c r="D356" i="18"/>
  <c r="D357" i="18"/>
  <c r="D358" i="18"/>
  <c r="D359" i="18"/>
  <c r="D360" i="18"/>
  <c r="D361" i="18"/>
  <c r="D362" i="18"/>
  <c r="D363" i="18"/>
  <c r="EV363" i="18" s="1"/>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EV395" i="18" s="1"/>
  <c r="D396" i="18"/>
  <c r="D397" i="18"/>
  <c r="D398" i="18"/>
  <c r="D399" i="18"/>
  <c r="D400" i="18"/>
  <c r="D401" i="18"/>
  <c r="D402" i="18"/>
  <c r="D403" i="18"/>
  <c r="D404" i="18"/>
  <c r="D405" i="18"/>
  <c r="D406" i="18"/>
  <c r="D407" i="18"/>
  <c r="D408" i="18"/>
  <c r="D409" i="18"/>
  <c r="D410" i="18"/>
  <c r="D411" i="18"/>
  <c r="D412" i="18"/>
  <c r="D413" i="18"/>
  <c r="D414" i="18"/>
  <c r="D415" i="18"/>
  <c r="D416" i="18"/>
  <c r="D417" i="18"/>
  <c r="D418" i="18"/>
  <c r="D419" i="18"/>
  <c r="D420" i="18"/>
  <c r="D421" i="18"/>
  <c r="D422" i="18"/>
  <c r="D423" i="18"/>
  <c r="D424" i="18"/>
  <c r="D425" i="18"/>
  <c r="D426" i="18"/>
  <c r="D427" i="18"/>
  <c r="D428" i="18"/>
  <c r="D429" i="18"/>
  <c r="D430" i="18"/>
  <c r="D431" i="18"/>
  <c r="D432" i="18"/>
  <c r="EV432" i="18" s="1"/>
  <c r="D433" i="18"/>
  <c r="D434" i="18"/>
  <c r="D435" i="18"/>
  <c r="D436" i="18"/>
  <c r="D437" i="18"/>
  <c r="D438" i="18"/>
  <c r="D439" i="18"/>
  <c r="D440" i="18"/>
  <c r="D441" i="18"/>
  <c r="D442" i="18"/>
  <c r="D443" i="18"/>
  <c r="EV443" i="18" s="1"/>
  <c r="D444" i="18"/>
  <c r="D445" i="18"/>
  <c r="D446" i="18"/>
  <c r="D447" i="18"/>
  <c r="D448" i="18"/>
  <c r="D449" i="18"/>
  <c r="D450" i="18"/>
  <c r="D451" i="18"/>
  <c r="D452" i="18"/>
  <c r="D453" i="18"/>
  <c r="D454" i="18"/>
  <c r="D455" i="18"/>
  <c r="D456" i="18"/>
  <c r="D457" i="18"/>
  <c r="D458" i="18"/>
  <c r="D459" i="18"/>
  <c r="D460" i="18"/>
  <c r="D461" i="18"/>
  <c r="D462" i="18"/>
  <c r="D463" i="18"/>
  <c r="D464" i="18"/>
  <c r="D465" i="18"/>
  <c r="D466" i="18"/>
  <c r="D467" i="18"/>
  <c r="D468" i="18"/>
  <c r="D469" i="18"/>
  <c r="D470" i="18"/>
  <c r="D471" i="18"/>
  <c r="D472" i="18"/>
  <c r="D473" i="18"/>
  <c r="D474" i="18"/>
  <c r="D475" i="18"/>
  <c r="D476" i="18"/>
  <c r="D477" i="18"/>
  <c r="D478" i="18"/>
  <c r="D479" i="18"/>
  <c r="D480" i="18"/>
  <c r="D481" i="18"/>
  <c r="D482" i="18"/>
  <c r="D483" i="18"/>
  <c r="D484" i="18"/>
  <c r="D485" i="18"/>
  <c r="EV485" i="18" s="1"/>
  <c r="D486" i="18"/>
  <c r="D487" i="18"/>
  <c r="D488" i="18"/>
  <c r="EV488" i="18" s="1"/>
  <c r="D489" i="18"/>
  <c r="D490" i="18"/>
  <c r="EV490" i="18" s="1"/>
  <c r="D491" i="18"/>
  <c r="D492" i="18"/>
  <c r="EV492" i="18" s="1"/>
  <c r="D493" i="18"/>
  <c r="D494" i="18"/>
  <c r="D495" i="18"/>
  <c r="D496" i="18"/>
  <c r="D497" i="18"/>
  <c r="D498" i="18"/>
  <c r="D499" i="18"/>
  <c r="D500" i="18"/>
  <c r="D501" i="18"/>
  <c r="D502" i="18"/>
  <c r="D503" i="18"/>
  <c r="D504" i="18"/>
  <c r="D505" i="18"/>
  <c r="D506" i="18"/>
  <c r="D507" i="18"/>
  <c r="D508" i="18"/>
  <c r="D509" i="18"/>
  <c r="D510" i="18"/>
  <c r="D511" i="18"/>
  <c r="D512" i="18"/>
  <c r="D513" i="18"/>
  <c r="D514" i="18"/>
  <c r="D515" i="18"/>
  <c r="EV515" i="18" s="1"/>
  <c r="D516" i="18"/>
  <c r="D517" i="18"/>
  <c r="EV517" i="18" s="1"/>
  <c r="D518" i="18"/>
  <c r="D519" i="18"/>
  <c r="D520" i="18"/>
  <c r="D521" i="18"/>
  <c r="D522" i="18"/>
  <c r="D523" i="18"/>
  <c r="D524" i="18"/>
  <c r="D525" i="18"/>
  <c r="D526" i="18"/>
  <c r="D527" i="18"/>
  <c r="D528" i="18"/>
  <c r="D529" i="18"/>
  <c r="D530" i="18"/>
  <c r="D531" i="18"/>
  <c r="D532" i="18"/>
  <c r="D533" i="18"/>
  <c r="D534" i="18"/>
  <c r="D535" i="18"/>
  <c r="D536" i="18"/>
  <c r="D539" i="18"/>
  <c r="D540" i="18"/>
  <c r="D541" i="18"/>
  <c r="D542" i="18"/>
  <c r="D543" i="18"/>
  <c r="D544" i="18"/>
  <c r="D545" i="18"/>
  <c r="D546" i="18"/>
  <c r="D547" i="18"/>
  <c r="D548" i="18"/>
  <c r="D549" i="18"/>
  <c r="EV549" i="18" s="1"/>
  <c r="D550" i="18"/>
  <c r="D551" i="18"/>
  <c r="EV551" i="18" s="1"/>
  <c r="D552" i="18"/>
  <c r="D553" i="18"/>
  <c r="D554" i="18"/>
  <c r="D555" i="18"/>
  <c r="D556" i="18"/>
  <c r="EV556" i="18" s="1"/>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EV582" i="18" s="1"/>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22" i="18"/>
  <c r="D623" i="18"/>
  <c r="EV623" i="18" s="1"/>
  <c r="D624" i="18"/>
  <c r="D625" i="18"/>
  <c r="D626" i="18"/>
  <c r="D627" i="18"/>
  <c r="EV627" i="18" s="1"/>
  <c r="D628" i="18"/>
  <c r="EV628" i="18" s="1"/>
  <c r="D629" i="18"/>
  <c r="D630" i="18"/>
  <c r="EV630" i="18" s="1"/>
  <c r="D631" i="18"/>
  <c r="D632" i="18"/>
  <c r="D633" i="18"/>
  <c r="D634" i="18"/>
  <c r="D635" i="18"/>
  <c r="D636" i="18"/>
  <c r="D637" i="18"/>
  <c r="D638" i="18"/>
  <c r="D639" i="18"/>
  <c r="D640" i="18"/>
  <c r="D641" i="18"/>
  <c r="D642" i="18"/>
  <c r="D643" i="18"/>
  <c r="D644" i="18"/>
  <c r="D645" i="18"/>
  <c r="D646" i="18"/>
  <c r="D647" i="18"/>
  <c r="D648" i="18"/>
  <c r="D649" i="18"/>
  <c r="D650" i="18"/>
  <c r="D651" i="18"/>
  <c r="D652" i="18"/>
  <c r="D653" i="18"/>
  <c r="D654" i="18"/>
  <c r="D655" i="18"/>
  <c r="D656" i="18"/>
  <c r="D657" i="18"/>
  <c r="D658" i="18"/>
  <c r="D659" i="18"/>
  <c r="EV659" i="18" s="1"/>
  <c r="D660" i="18"/>
  <c r="D661" i="18"/>
  <c r="D662" i="18"/>
  <c r="EV662" i="18" s="1"/>
  <c r="D663" i="18"/>
  <c r="D664" i="18"/>
  <c r="EV664" i="18" s="1"/>
  <c r="D665" i="18"/>
  <c r="D666" i="18"/>
  <c r="D667" i="18"/>
  <c r="D668" i="18"/>
  <c r="D669" i="18"/>
  <c r="D670" i="18"/>
  <c r="D671" i="18"/>
  <c r="D672" i="18"/>
  <c r="EV672" i="18" s="1"/>
  <c r="D673" i="18"/>
  <c r="D674" i="18"/>
  <c r="D675" i="18"/>
  <c r="D676" i="18"/>
  <c r="D677" i="18"/>
  <c r="D678" i="18"/>
  <c r="D679" i="18"/>
  <c r="D680" i="18"/>
  <c r="D681" i="18"/>
  <c r="D682" i="18"/>
  <c r="D683" i="18"/>
  <c r="EV683" i="18" s="1"/>
  <c r="D684" i="18"/>
  <c r="D685" i="18"/>
  <c r="D686" i="18"/>
  <c r="D687" i="18"/>
  <c r="D688" i="18"/>
  <c r="D689" i="18"/>
  <c r="D690" i="18"/>
  <c r="D691" i="18"/>
  <c r="D692" i="18"/>
  <c r="D693" i="18"/>
  <c r="D694" i="18"/>
  <c r="D695" i="18"/>
  <c r="D696" i="18"/>
  <c r="EV696" i="18" s="1"/>
  <c r="D697" i="18"/>
  <c r="D698" i="18"/>
  <c r="EV698" i="18" s="1"/>
  <c r="D699" i="18"/>
  <c r="D700" i="18"/>
  <c r="D701" i="18"/>
  <c r="D702" i="18"/>
  <c r="D703" i="18"/>
  <c r="EV703" i="18" s="1"/>
  <c r="D704" i="18"/>
  <c r="D705" i="18"/>
  <c r="D706" i="18"/>
  <c r="EV706" i="18" s="1"/>
  <c r="D707" i="18"/>
  <c r="D708" i="18"/>
  <c r="D709" i="18"/>
  <c r="D710" i="18"/>
  <c r="D711" i="18"/>
  <c r="D712" i="18"/>
  <c r="D713" i="18"/>
  <c r="D714" i="18"/>
  <c r="D715" i="18"/>
  <c r="EV715" i="18" s="1"/>
  <c r="D716" i="18"/>
  <c r="D717" i="18"/>
  <c r="D718" i="18"/>
  <c r="EV718" i="18" s="1"/>
  <c r="D719" i="18"/>
  <c r="D720" i="18"/>
  <c r="D721" i="18"/>
  <c r="D722" i="18"/>
  <c r="D723" i="18"/>
  <c r="EV723" i="18" s="1"/>
  <c r="D724" i="18"/>
  <c r="D725" i="18"/>
  <c r="D726" i="18"/>
  <c r="D727" i="18"/>
  <c r="D728" i="18"/>
  <c r="D729" i="18"/>
  <c r="D730" i="18"/>
  <c r="D731" i="18"/>
  <c r="EV731" i="18" s="1"/>
  <c r="D732" i="18"/>
  <c r="D733" i="18"/>
  <c r="D734" i="18"/>
  <c r="EV734" i="18" s="1"/>
  <c r="D735" i="18"/>
  <c r="D736" i="18"/>
  <c r="D737" i="18"/>
  <c r="D738" i="18"/>
  <c r="D739" i="18"/>
  <c r="EV739" i="18" s="1"/>
  <c r="D740" i="18"/>
  <c r="D741" i="18"/>
  <c r="D742" i="18"/>
  <c r="D743" i="18"/>
  <c r="D744" i="18"/>
  <c r="EV744" i="18" s="1"/>
  <c r="D745" i="18"/>
  <c r="D746" i="18"/>
  <c r="D747" i="18"/>
  <c r="D748" i="18"/>
  <c r="D749" i="18"/>
  <c r="EV749" i="18" s="1"/>
  <c r="D750" i="18"/>
  <c r="D751" i="18"/>
  <c r="D752" i="18"/>
  <c r="D753" i="18"/>
  <c r="D754" i="18"/>
  <c r="D755" i="18"/>
  <c r="D756" i="18"/>
  <c r="D757" i="18"/>
  <c r="D758" i="18"/>
  <c r="D759" i="18"/>
  <c r="EV759" i="18" s="1"/>
  <c r="D760" i="18"/>
  <c r="D761" i="18"/>
  <c r="D762" i="18"/>
  <c r="EV762" i="18" s="1"/>
  <c r="D763" i="18"/>
  <c r="D764" i="18"/>
  <c r="D765" i="18"/>
  <c r="D766" i="18"/>
  <c r="D767" i="18"/>
  <c r="D768" i="18"/>
  <c r="D769" i="18"/>
  <c r="D770" i="18"/>
  <c r="EV770" i="18" s="1"/>
  <c r="D771" i="18"/>
  <c r="D772" i="18"/>
  <c r="D773" i="18"/>
  <c r="D774" i="18"/>
  <c r="D775" i="18"/>
  <c r="D776" i="18"/>
  <c r="D777" i="18"/>
  <c r="D778" i="18"/>
  <c r="D779" i="18"/>
  <c r="D780" i="18"/>
  <c r="D781" i="18"/>
  <c r="D782" i="18"/>
  <c r="D783" i="18"/>
  <c r="D784" i="18"/>
  <c r="D785" i="18"/>
  <c r="D786" i="18"/>
  <c r="D787" i="18"/>
  <c r="D788" i="18"/>
  <c r="D789" i="18"/>
  <c r="D790" i="18"/>
  <c r="D791" i="18"/>
  <c r="D792" i="18"/>
  <c r="EV792" i="18" s="1"/>
  <c r="D793" i="18"/>
  <c r="D794" i="18"/>
  <c r="D795" i="18"/>
  <c r="EV795" i="18" s="1"/>
  <c r="D796" i="18"/>
  <c r="D797" i="18"/>
  <c r="EV797" i="18" s="1"/>
  <c r="D798" i="18"/>
  <c r="D799" i="18"/>
  <c r="D800" i="18"/>
  <c r="D801" i="18"/>
  <c r="D802" i="18"/>
  <c r="D803" i="18"/>
  <c r="D804" i="18"/>
  <c r="D805" i="18"/>
  <c r="D806" i="18"/>
  <c r="D807" i="18"/>
  <c r="D808" i="18"/>
  <c r="D809" i="18"/>
  <c r="D810" i="18"/>
  <c r="D811" i="18"/>
  <c r="D812" i="18"/>
  <c r="D813" i="18"/>
  <c r="D814" i="18"/>
  <c r="D815" i="18"/>
  <c r="D816" i="18"/>
  <c r="D817" i="18"/>
  <c r="EV817" i="18" s="1"/>
  <c r="D818" i="18"/>
  <c r="D819" i="18"/>
  <c r="EV819" i="18" s="1"/>
  <c r="D820" i="18"/>
  <c r="D821" i="18"/>
  <c r="EV821" i="18" s="1"/>
  <c r="D822" i="18"/>
  <c r="D823" i="18"/>
  <c r="D824" i="18"/>
  <c r="D825" i="18"/>
  <c r="D826" i="18"/>
  <c r="EV826" i="18" s="1"/>
  <c r="D827" i="18"/>
  <c r="D828" i="18"/>
  <c r="D829" i="18"/>
  <c r="EV829" i="18" s="1"/>
  <c r="D830" i="18"/>
  <c r="D831" i="18"/>
  <c r="D832" i="18"/>
  <c r="D833" i="18"/>
  <c r="D834" i="18"/>
  <c r="D835" i="18"/>
  <c r="D836" i="18"/>
  <c r="EV836" i="18" s="1"/>
  <c r="D837" i="18"/>
  <c r="D838" i="18"/>
  <c r="D839" i="18"/>
  <c r="EV839" i="18" s="1"/>
  <c r="D840" i="18"/>
  <c r="D841" i="18"/>
  <c r="D842" i="18"/>
  <c r="D843" i="18"/>
  <c r="D844" i="18"/>
  <c r="EV844" i="18" s="1"/>
  <c r="D845" i="18"/>
  <c r="D846" i="18"/>
  <c r="D848" i="18"/>
  <c r="D849" i="18"/>
  <c r="D850" i="18"/>
  <c r="D851" i="18"/>
  <c r="D852" i="18"/>
  <c r="D853" i="18"/>
  <c r="D854" i="18"/>
  <c r="D855" i="18"/>
  <c r="D856" i="18"/>
  <c r="D857" i="18"/>
  <c r="D858" i="18"/>
  <c r="EV858" i="18" s="1"/>
  <c r="D859" i="18"/>
  <c r="D860" i="18"/>
  <c r="EV860" i="18" s="1"/>
  <c r="D861" i="18"/>
  <c r="D862" i="18"/>
  <c r="D863" i="18"/>
  <c r="D864" i="18"/>
  <c r="D865" i="18"/>
  <c r="EV865" i="18" s="1"/>
  <c r="D866" i="18"/>
  <c r="D867" i="18"/>
  <c r="D868" i="18"/>
  <c r="D869" i="18"/>
  <c r="D870" i="18"/>
  <c r="D871" i="18"/>
  <c r="D872" i="18"/>
  <c r="EV872" i="18" s="1"/>
  <c r="D873" i="18"/>
  <c r="D874" i="18"/>
  <c r="EV874" i="18" s="1"/>
  <c r="D875" i="18"/>
  <c r="D876" i="18"/>
  <c r="D877" i="18"/>
  <c r="D878" i="18"/>
  <c r="D879" i="18"/>
  <c r="D880" i="18"/>
  <c r="EV880" i="18" s="1"/>
  <c r="D881" i="18"/>
  <c r="D882" i="18"/>
  <c r="D883" i="18"/>
  <c r="EV883" i="18" s="1"/>
  <c r="D884" i="18"/>
  <c r="D885" i="18"/>
  <c r="D886" i="18"/>
  <c r="D896" i="18"/>
  <c r="D897" i="18"/>
  <c r="D898" i="18"/>
  <c r="D899" i="18"/>
  <c r="D900" i="18"/>
  <c r="D901" i="18"/>
  <c r="D902" i="18"/>
  <c r="D903" i="18"/>
  <c r="D904" i="18"/>
  <c r="D905" i="18"/>
  <c r="D906" i="18"/>
  <c r="D907" i="18"/>
  <c r="D908" i="18"/>
  <c r="D909" i="18"/>
  <c r="D910" i="18"/>
  <c r="D911" i="18"/>
  <c r="D912" i="18"/>
  <c r="D913" i="18"/>
  <c r="D914" i="18"/>
  <c r="D915" i="18"/>
  <c r="D916" i="18"/>
  <c r="D917" i="18"/>
  <c r="D929" i="18"/>
  <c r="D930" i="18"/>
  <c r="D931" i="18"/>
  <c r="EV931" i="18" s="1"/>
  <c r="D932" i="18"/>
  <c r="D933" i="18"/>
  <c r="D934" i="18"/>
  <c r="D944" i="18"/>
  <c r="D945" i="18"/>
  <c r="D946" i="18"/>
  <c r="D947" i="18"/>
  <c r="D948" i="18"/>
  <c r="D949" i="18"/>
  <c r="D950" i="18"/>
  <c r="D951" i="18"/>
  <c r="D952" i="18"/>
  <c r="D953" i="18"/>
  <c r="D954" i="18"/>
  <c r="D955" i="18"/>
  <c r="D956" i="18"/>
  <c r="D957" i="18"/>
  <c r="D958" i="18"/>
  <c r="D959" i="18"/>
  <c r="D960" i="18"/>
  <c r="D961" i="18"/>
  <c r="D962" i="18"/>
  <c r="D963" i="18"/>
  <c r="D964" i="18"/>
  <c r="D965" i="18"/>
  <c r="D966" i="18"/>
  <c r="EV966" i="18" s="1"/>
  <c r="D967" i="18"/>
  <c r="D968" i="18"/>
  <c r="D969" i="18"/>
  <c r="EV969" i="18" s="1"/>
  <c r="D970" i="18"/>
  <c r="D971" i="18"/>
  <c r="D972" i="18"/>
  <c r="D973" i="18"/>
  <c r="D974" i="18"/>
  <c r="EV974" i="18" s="1"/>
  <c r="D975" i="18"/>
  <c r="D976" i="18"/>
  <c r="D977" i="18"/>
  <c r="D2086" i="18"/>
  <c r="D5" i="18"/>
  <c r="EV5" i="18" s="1"/>
  <c r="D6" i="18"/>
  <c r="D7" i="18"/>
  <c r="D8" i="18"/>
  <c r="D9" i="18"/>
  <c r="D4" i="18"/>
  <c r="AF261" i="18" l="1"/>
  <c r="AD250" i="18"/>
  <c r="EV28" i="18"/>
  <c r="AN207" i="18" l="1"/>
  <c r="C112" i="19" l="1"/>
  <c r="C111" i="19"/>
  <c r="X210" i="18" s="1"/>
  <c r="C110" i="19"/>
  <c r="AF210" i="18"/>
  <c r="C35" i="19"/>
  <c r="C34" i="19"/>
  <c r="X211" i="18" s="1"/>
  <c r="C33" i="19"/>
  <c r="EV422" i="18"/>
  <c r="EV400" i="18"/>
  <c r="X209" i="18" l="1"/>
  <c r="U580" i="18"/>
  <c r="EV580" i="18" s="1"/>
  <c r="W219" i="18" l="1"/>
  <c r="AE210" i="18"/>
  <c r="AJ212" i="18"/>
  <c r="AE180" i="18"/>
  <c r="AD180" i="18"/>
  <c r="AD210" i="18" l="1"/>
  <c r="AH210" i="18" s="1"/>
  <c r="W209" i="18" s="1"/>
  <c r="W212" i="18"/>
  <c r="W614" i="18"/>
  <c r="AF609" i="18"/>
  <c r="AH609" i="18" s="1"/>
  <c r="W608" i="18" s="1"/>
  <c r="C109" i="19"/>
  <c r="C108" i="19"/>
  <c r="X609" i="18" s="1"/>
  <c r="C107" i="19"/>
  <c r="AL131" i="18"/>
  <c r="AM131" i="18" s="1"/>
  <c r="W210" i="18" l="1"/>
  <c r="AN130" i="18"/>
  <c r="AD133" i="18"/>
  <c r="AD437" i="18"/>
  <c r="W436" i="18" s="1"/>
  <c r="W438" i="18"/>
  <c r="AE647" i="18" l="1"/>
  <c r="AF647" i="18"/>
  <c r="AG647" i="18"/>
  <c r="AD647" i="18"/>
  <c r="AJ647" i="18" l="1"/>
  <c r="AL647" i="18" s="1"/>
  <c r="W647" i="18" s="1"/>
  <c r="AH641" i="18"/>
  <c r="EJ639" i="18" l="1"/>
  <c r="EJ638" i="18"/>
  <c r="U670" i="18"/>
  <c r="EV670" i="18" s="1"/>
  <c r="EV629" i="18"/>
  <c r="EJ629" i="18"/>
  <c r="C629" i="18"/>
  <c r="EJ628" i="18"/>
  <c r="CU628" i="18"/>
  <c r="E628" i="18" s="1"/>
  <c r="C628" i="18"/>
  <c r="EJ627" i="18"/>
  <c r="CU627" i="18"/>
  <c r="E627" i="18" s="1"/>
  <c r="C627" i="18"/>
  <c r="AH593" i="18" l="1"/>
  <c r="W593" i="18" s="1"/>
  <c r="W592" i="18" s="1"/>
  <c r="C168" i="19" l="1"/>
  <c r="C167" i="19"/>
  <c r="C166" i="19"/>
  <c r="EJ957" i="18" l="1"/>
  <c r="AE957" i="18"/>
  <c r="EJ958" i="18"/>
  <c r="AG958" i="18"/>
  <c r="AF958" i="18"/>
  <c r="AE958" i="18"/>
  <c r="AD958" i="18"/>
  <c r="AH958" i="18" s="1"/>
  <c r="AE909" i="18"/>
  <c r="AK910" i="18"/>
  <c r="AJ910" i="18"/>
  <c r="AE910" i="18"/>
  <c r="AF910" i="18"/>
  <c r="AG910" i="18"/>
  <c r="AD910" i="18"/>
  <c r="C262" i="19"/>
  <c r="C261" i="19"/>
  <c r="X959" i="18" s="1"/>
  <c r="C260" i="19"/>
  <c r="EJ910" i="18"/>
  <c r="X911" i="18" l="1"/>
  <c r="AH910" i="18"/>
  <c r="AL910" i="18" s="1"/>
  <c r="AD957" i="18"/>
  <c r="AD909" i="18" l="1"/>
  <c r="AH934" i="18" l="1"/>
  <c r="EJ933" i="18"/>
  <c r="C124" i="19"/>
  <c r="C123" i="19"/>
  <c r="X977" i="18" s="1"/>
  <c r="C122" i="19"/>
  <c r="AJ977" i="18"/>
  <c r="AL977" i="18" s="1"/>
  <c r="W976" i="18" s="1"/>
  <c r="AE971" i="18"/>
  <c r="AE964" i="18"/>
  <c r="AE916" i="18"/>
  <c r="AJ917" i="18"/>
  <c r="AI917" i="18"/>
  <c r="C135" i="19"/>
  <c r="X917" i="18" s="1"/>
  <c r="C134" i="19"/>
  <c r="EJ950" i="18"/>
  <c r="C950" i="18"/>
  <c r="AH947" i="18"/>
  <c r="W946" i="18" s="1"/>
  <c r="AF957" i="18" s="1"/>
  <c r="AH957" i="18" s="1"/>
  <c r="EV902" i="18"/>
  <c r="C902" i="18"/>
  <c r="AH899" i="18"/>
  <c r="W898" i="18" s="1"/>
  <c r="AF909" i="18" s="1"/>
  <c r="AH909" i="18" s="1"/>
  <c r="AH886" i="18"/>
  <c r="AH878" i="18"/>
  <c r="W877" i="18" s="1"/>
  <c r="C259" i="19"/>
  <c r="C258" i="19"/>
  <c r="C257" i="19"/>
  <c r="X899" i="18" l="1"/>
  <c r="X938" i="18"/>
  <c r="X890" i="18"/>
  <c r="CU950" i="18"/>
  <c r="E950" i="18" s="1"/>
  <c r="EV950" i="18"/>
  <c r="X947" i="18"/>
  <c r="AD971" i="18"/>
  <c r="AH917" i="18"/>
  <c r="AL917" i="18" s="1"/>
  <c r="AN917" i="18" s="1"/>
  <c r="X878" i="18"/>
  <c r="AD916" i="18" l="1"/>
  <c r="AD964" i="18"/>
  <c r="AF964" i="18" l="1"/>
  <c r="AF916" i="18"/>
  <c r="U841" i="18" l="1"/>
  <c r="EV841" i="18" s="1"/>
  <c r="U736" i="18"/>
  <c r="EV736" i="18" s="1"/>
  <c r="C121" i="19" l="1"/>
  <c r="C120" i="19"/>
  <c r="C119" i="19"/>
  <c r="AD752" i="18"/>
  <c r="W752" i="18" s="1"/>
  <c r="AH683" i="18"/>
  <c r="C683" i="18"/>
  <c r="C270" i="19"/>
  <c r="C269" i="19"/>
  <c r="AH684" i="18"/>
  <c r="X895" i="18" l="1"/>
  <c r="X943" i="18"/>
  <c r="X685" i="18"/>
  <c r="X640" i="18"/>
  <c r="X808" i="18"/>
  <c r="C676" i="18"/>
  <c r="EJ675" i="18"/>
  <c r="C17" i="18"/>
  <c r="C174" i="19" l="1"/>
  <c r="C173" i="19"/>
  <c r="X116" i="18" s="1"/>
  <c r="C172" i="19"/>
  <c r="C171" i="19"/>
  <c r="C170" i="19"/>
  <c r="C169" i="19"/>
  <c r="AF111" i="18"/>
  <c r="AH111" i="18" s="1"/>
  <c r="AG110" i="18"/>
  <c r="AF110" i="18"/>
  <c r="AH110" i="18" s="1"/>
  <c r="C64" i="19"/>
  <c r="C63" i="19"/>
  <c r="C62" i="19"/>
  <c r="U475" i="18"/>
  <c r="EV475" i="18" s="1"/>
  <c r="U480" i="18"/>
  <c r="EV480" i="18" s="1"/>
  <c r="AE448" i="18"/>
  <c r="AH469" i="18"/>
  <c r="C250" i="19"/>
  <c r="C249" i="19"/>
  <c r="X2066" i="18" s="1"/>
  <c r="C248" i="19"/>
  <c r="AI83" i="18"/>
  <c r="C51" i="18"/>
  <c r="C55" i="18"/>
  <c r="C66" i="18"/>
  <c r="C71" i="18"/>
  <c r="C77" i="18"/>
  <c r="C82" i="18"/>
  <c r="C87" i="18"/>
  <c r="C92" i="18"/>
  <c r="C99" i="18"/>
  <c r="C106" i="18"/>
  <c r="C112" i="18"/>
  <c r="AD93" i="18"/>
  <c r="AD78" i="18"/>
  <c r="AD72" i="18"/>
  <c r="AO73" i="18"/>
  <c r="AK73" i="18"/>
  <c r="AM73" i="18" s="1"/>
  <c r="AM574" i="18"/>
  <c r="AL574" i="18"/>
  <c r="AJ574" i="18"/>
  <c r="AF574" i="18"/>
  <c r="AH574" i="18" s="1"/>
  <c r="AJ569" i="18"/>
  <c r="X894" i="18" l="1"/>
  <c r="X942" i="18"/>
  <c r="X814" i="18"/>
  <c r="X686" i="18"/>
  <c r="X778" i="18"/>
  <c r="AQ73" i="18"/>
  <c r="X115" i="18"/>
  <c r="AD448" i="18"/>
  <c r="X101" i="18"/>
  <c r="X371" i="18"/>
  <c r="X470" i="18"/>
  <c r="X370" i="18"/>
  <c r="AK574" i="18"/>
  <c r="AN574" i="18" s="1"/>
  <c r="W574" i="18" s="1"/>
  <c r="AU73" i="18" l="1"/>
  <c r="AF72" i="18" s="1"/>
  <c r="AH72" i="18" s="1"/>
  <c r="AJ72" i="18" s="1"/>
  <c r="AF78" i="18" s="1"/>
  <c r="AH83" i="18" s="1"/>
  <c r="AJ83" i="18" s="1"/>
  <c r="W72" i="18" l="1"/>
  <c r="AH78" i="18"/>
  <c r="W78" i="18" s="1"/>
  <c r="AF764" i="18"/>
  <c r="AD764" i="18"/>
  <c r="A163" i="21"/>
  <c r="G163" i="21"/>
  <c r="H163" i="21"/>
  <c r="I163" i="21"/>
  <c r="J163" i="21"/>
  <c r="K163" i="21"/>
  <c r="C763" i="18"/>
  <c r="EJ762" i="18"/>
  <c r="DT762" i="18"/>
  <c r="CU762" i="18"/>
  <c r="E762" i="18" s="1"/>
  <c r="U761" i="18"/>
  <c r="E761" i="18"/>
  <c r="BJ761" i="18" s="1"/>
  <c r="C760" i="18"/>
  <c r="A180" i="21"/>
  <c r="G180" i="21"/>
  <c r="H180" i="21"/>
  <c r="I180" i="21"/>
  <c r="J180" i="21"/>
  <c r="K180" i="21"/>
  <c r="CU841" i="18"/>
  <c r="E841" i="18" s="1"/>
  <c r="EJ841" i="18"/>
  <c r="C841" i="18"/>
  <c r="C840" i="18"/>
  <c r="EJ839" i="18"/>
  <c r="DT839" i="18"/>
  <c r="CU839" i="18"/>
  <c r="E839" i="18" s="1"/>
  <c r="C839" i="18"/>
  <c r="E838" i="18"/>
  <c r="BJ838" i="18" s="1"/>
  <c r="C837" i="18"/>
  <c r="CU736" i="18"/>
  <c r="E736" i="18" s="1"/>
  <c r="A156" i="21"/>
  <c r="G156" i="21"/>
  <c r="H156" i="21"/>
  <c r="I156" i="21"/>
  <c r="J156" i="21"/>
  <c r="K156" i="21"/>
  <c r="EJ736" i="18"/>
  <c r="C736" i="18"/>
  <c r="C735" i="18"/>
  <c r="EJ734" i="18"/>
  <c r="DT734" i="18"/>
  <c r="CU734" i="18"/>
  <c r="E734" i="18" s="1"/>
  <c r="C734" i="18"/>
  <c r="E733" i="18"/>
  <c r="BJ733" i="18" s="1"/>
  <c r="C732" i="18"/>
  <c r="U720" i="18"/>
  <c r="EV720" i="18" s="1"/>
  <c r="A153" i="21"/>
  <c r="G153" i="21"/>
  <c r="H153" i="21"/>
  <c r="I153" i="21"/>
  <c r="J153" i="21"/>
  <c r="K153" i="21"/>
  <c r="W717" i="18"/>
  <c r="C719" i="18"/>
  <c r="EJ718" i="18"/>
  <c r="DT718" i="18"/>
  <c r="CU718" i="18"/>
  <c r="E718" i="18" s="1"/>
  <c r="C718" i="18"/>
  <c r="E717" i="18"/>
  <c r="BJ717" i="18" s="1"/>
  <c r="C716" i="18"/>
  <c r="BF141" i="18"/>
  <c r="CY761" i="18"/>
  <c r="CY838" i="18"/>
  <c r="CY717" i="18"/>
  <c r="CY733" i="18"/>
  <c r="BM761" i="18" l="1"/>
  <c r="EV761" i="18"/>
  <c r="F153" i="21"/>
  <c r="C762" i="18"/>
  <c r="F163" i="21"/>
  <c r="F180" i="21"/>
  <c r="AH764" i="18"/>
  <c r="E163" i="21"/>
  <c r="U838" i="18"/>
  <c r="E180" i="21"/>
  <c r="C761" i="18"/>
  <c r="D163" i="21" s="1"/>
  <c r="C838" i="18"/>
  <c r="D180" i="21" s="1"/>
  <c r="W838" i="18"/>
  <c r="U733" i="18"/>
  <c r="F156" i="21"/>
  <c r="W733" i="18"/>
  <c r="C720" i="18"/>
  <c r="U717" i="18"/>
  <c r="BM733" i="18" l="1"/>
  <c r="EV733" i="18"/>
  <c r="BM717" i="18"/>
  <c r="EV717" i="18"/>
  <c r="BM838" i="18"/>
  <c r="EV838" i="18"/>
  <c r="C717" i="18"/>
  <c r="D153" i="21" s="1"/>
  <c r="C733" i="18"/>
  <c r="D156" i="21" s="1"/>
  <c r="E153" i="21"/>
  <c r="E156" i="21"/>
  <c r="G89" i="21" l="1"/>
  <c r="H89" i="21"/>
  <c r="I89" i="21"/>
  <c r="J89" i="21"/>
  <c r="K89" i="21"/>
  <c r="G88" i="21"/>
  <c r="H88" i="21"/>
  <c r="I88" i="21"/>
  <c r="J88" i="21"/>
  <c r="K88" i="21"/>
  <c r="A89" i="21"/>
  <c r="A90" i="21"/>
  <c r="A91" i="21"/>
  <c r="EJ441" i="18"/>
  <c r="C440" i="18"/>
  <c r="EJ436" i="18"/>
  <c r="W441" i="18"/>
  <c r="E435" i="18"/>
  <c r="BJ435" i="18" s="1"/>
  <c r="C434" i="18"/>
  <c r="EJ433" i="18"/>
  <c r="U433" i="18"/>
  <c r="C433" i="18"/>
  <c r="EJ432" i="18"/>
  <c r="CU432" i="18"/>
  <c r="E432" i="18" s="1"/>
  <c r="C432" i="18"/>
  <c r="E431" i="18"/>
  <c r="BJ431" i="18" s="1"/>
  <c r="C430" i="18"/>
  <c r="CY431" i="18"/>
  <c r="CY435" i="18"/>
  <c r="CU433" i="18" l="1"/>
  <c r="E433" i="18" s="1"/>
  <c r="EV433" i="18"/>
  <c r="F88" i="21"/>
  <c r="F89" i="21"/>
  <c r="U431" i="18"/>
  <c r="W431" i="18"/>
  <c r="W696" i="18"/>
  <c r="BM431" i="18" l="1"/>
  <c r="EV431" i="18"/>
  <c r="E88" i="21"/>
  <c r="C431" i="18"/>
  <c r="D88" i="21" s="1"/>
  <c r="A106" i="21"/>
  <c r="B106" i="21"/>
  <c r="C106" i="21"/>
  <c r="D106" i="21"/>
  <c r="E106" i="21"/>
  <c r="F106" i="21"/>
  <c r="G106" i="21"/>
  <c r="H106" i="21"/>
  <c r="I106" i="21"/>
  <c r="J106" i="21"/>
  <c r="K106" i="21"/>
  <c r="L106" i="21"/>
  <c r="M106" i="21"/>
  <c r="N106" i="21"/>
  <c r="AG524" i="18" l="1"/>
  <c r="AF524" i="18"/>
  <c r="AD524" i="18"/>
  <c r="W525" i="18"/>
  <c r="AG520" i="18"/>
  <c r="AF520" i="18"/>
  <c r="AE520" i="18"/>
  <c r="AD520" i="18"/>
  <c r="W522" i="18"/>
  <c r="U522" i="18"/>
  <c r="EV522" i="18" s="1"/>
  <c r="C522" i="18"/>
  <c r="AH520" i="18" l="1"/>
  <c r="AH524" i="18"/>
  <c r="AI186" i="18" l="1"/>
  <c r="AM193" i="18"/>
  <c r="AL193" i="18"/>
  <c r="G201" i="21" l="1"/>
  <c r="H201" i="21"/>
  <c r="I201" i="21"/>
  <c r="J201" i="21"/>
  <c r="K201" i="21"/>
  <c r="G200" i="21"/>
  <c r="H200" i="21"/>
  <c r="I200" i="21"/>
  <c r="J200" i="21"/>
  <c r="K200" i="21"/>
  <c r="G199" i="21"/>
  <c r="H199" i="21"/>
  <c r="I199" i="21"/>
  <c r="J199" i="21"/>
  <c r="K199" i="21"/>
  <c r="L199" i="21"/>
  <c r="M199" i="21"/>
  <c r="N199" i="21"/>
  <c r="C967" i="18"/>
  <c r="E966" i="18"/>
  <c r="F199" i="21" s="1"/>
  <c r="E199" i="21"/>
  <c r="C965" i="18"/>
  <c r="C2086" i="18"/>
  <c r="EJ976" i="18"/>
  <c r="C975" i="18"/>
  <c r="EJ974" i="18"/>
  <c r="DT974" i="18"/>
  <c r="CU974" i="18"/>
  <c r="E974" i="18" s="1"/>
  <c r="C974" i="18"/>
  <c r="E973" i="18"/>
  <c r="BJ973" i="18" s="1"/>
  <c r="C972" i="18"/>
  <c r="EJ971" i="18"/>
  <c r="C970" i="18"/>
  <c r="EJ969" i="18"/>
  <c r="DT969" i="18"/>
  <c r="CU969" i="18"/>
  <c r="E969" i="18" s="1"/>
  <c r="C969" i="18"/>
  <c r="E968" i="18"/>
  <c r="BJ968" i="18" s="1"/>
  <c r="G197" i="21"/>
  <c r="H197" i="21"/>
  <c r="I197" i="21"/>
  <c r="J197" i="21"/>
  <c r="K197" i="21"/>
  <c r="G196" i="21"/>
  <c r="H196" i="21"/>
  <c r="I196" i="21"/>
  <c r="J196" i="21"/>
  <c r="K196" i="21"/>
  <c r="G195" i="21"/>
  <c r="H195" i="21"/>
  <c r="I195" i="21"/>
  <c r="J195" i="21"/>
  <c r="K195" i="21"/>
  <c r="EJ964" i="18"/>
  <c r="C963" i="18"/>
  <c r="DT962" i="18"/>
  <c r="C962" i="18"/>
  <c r="E961" i="18"/>
  <c r="BJ961" i="18" s="1"/>
  <c r="C960" i="18"/>
  <c r="C956" i="18"/>
  <c r="DT955" i="18"/>
  <c r="C955" i="18"/>
  <c r="E954" i="18"/>
  <c r="BJ954" i="18" s="1"/>
  <c r="C953" i="18"/>
  <c r="C948" i="18"/>
  <c r="DT946" i="18"/>
  <c r="E945" i="18"/>
  <c r="BJ945" i="18" s="1"/>
  <c r="G194" i="21"/>
  <c r="H194" i="21"/>
  <c r="I194" i="21"/>
  <c r="J194" i="21"/>
  <c r="K194" i="21"/>
  <c r="C944" i="18"/>
  <c r="C932" i="18"/>
  <c r="EJ931" i="18"/>
  <c r="DT931" i="18"/>
  <c r="CU931" i="18"/>
  <c r="E931" i="18" s="1"/>
  <c r="U930" i="18"/>
  <c r="E930" i="18"/>
  <c r="BJ930" i="18" s="1"/>
  <c r="G193" i="21"/>
  <c r="H193" i="21"/>
  <c r="I193" i="21"/>
  <c r="J193" i="21"/>
  <c r="K193" i="21"/>
  <c r="C929" i="18"/>
  <c r="EJ916" i="18"/>
  <c r="C915" i="18"/>
  <c r="DT914" i="18"/>
  <c r="U913" i="18"/>
  <c r="E913" i="18"/>
  <c r="BJ913" i="18" s="1"/>
  <c r="G192" i="21"/>
  <c r="H192" i="21"/>
  <c r="I192" i="21"/>
  <c r="J192" i="21"/>
  <c r="K192" i="21"/>
  <c r="C912" i="18"/>
  <c r="C908" i="18"/>
  <c r="DT907" i="18"/>
  <c r="C907" i="18"/>
  <c r="E906" i="18"/>
  <c r="BJ906" i="18" s="1"/>
  <c r="G191" i="21"/>
  <c r="H191" i="21"/>
  <c r="I191" i="21"/>
  <c r="J191" i="21"/>
  <c r="K191" i="21"/>
  <c r="C905" i="18"/>
  <c r="EJ901" i="18"/>
  <c r="C900" i="18"/>
  <c r="DT898" i="18"/>
  <c r="E897" i="18"/>
  <c r="BJ897" i="18" s="1"/>
  <c r="G190" i="21"/>
  <c r="H190" i="21"/>
  <c r="I190" i="21"/>
  <c r="J190" i="21"/>
  <c r="K190" i="21"/>
  <c r="C896" i="18"/>
  <c r="C884" i="18"/>
  <c r="EJ883" i="18"/>
  <c r="DT883" i="18"/>
  <c r="CU883" i="18"/>
  <c r="E883" i="18" s="1"/>
  <c r="U882" i="18"/>
  <c r="E882" i="18"/>
  <c r="BJ882" i="18" s="1"/>
  <c r="A199" i="21"/>
  <c r="A200" i="21"/>
  <c r="A201" i="21"/>
  <c r="A202" i="21"/>
  <c r="A203" i="21"/>
  <c r="A204" i="21"/>
  <c r="A205" i="21"/>
  <c r="G189" i="21"/>
  <c r="H189" i="21"/>
  <c r="I189" i="21"/>
  <c r="J189" i="21"/>
  <c r="K189" i="21"/>
  <c r="G188" i="21"/>
  <c r="H188" i="21"/>
  <c r="I188" i="21"/>
  <c r="J188" i="21"/>
  <c r="K188" i="21"/>
  <c r="L188" i="21"/>
  <c r="M188" i="21"/>
  <c r="N188" i="21"/>
  <c r="G187" i="21"/>
  <c r="H187" i="21"/>
  <c r="I187" i="21"/>
  <c r="J187" i="21"/>
  <c r="K187" i="21"/>
  <c r="L187" i="21"/>
  <c r="M187" i="21"/>
  <c r="N187" i="21"/>
  <c r="DT877" i="18"/>
  <c r="E874" i="18"/>
  <c r="F188" i="21" s="1"/>
  <c r="C874" i="18"/>
  <c r="D188" i="21" s="1"/>
  <c r="C873" i="18"/>
  <c r="C881" i="18"/>
  <c r="EJ880" i="18"/>
  <c r="CU880" i="18"/>
  <c r="E880" i="18" s="1"/>
  <c r="C880" i="18"/>
  <c r="C879" i="18"/>
  <c r="W880" i="18"/>
  <c r="E876" i="18"/>
  <c r="BJ876" i="18" s="1"/>
  <c r="C875" i="18"/>
  <c r="E872" i="18"/>
  <c r="F187" i="21" s="1"/>
  <c r="C872" i="18"/>
  <c r="D187" i="21" s="1"/>
  <c r="C871" i="18"/>
  <c r="CY882" i="18"/>
  <c r="CY945" i="18"/>
  <c r="CY954" i="18"/>
  <c r="CY961" i="18"/>
  <c r="CY913" i="18"/>
  <c r="CY906" i="18"/>
  <c r="CY973" i="18"/>
  <c r="CY968" i="18"/>
  <c r="CY930" i="18"/>
  <c r="CY897" i="18"/>
  <c r="CY876" i="18"/>
  <c r="BM930" i="18" l="1"/>
  <c r="EV930" i="18"/>
  <c r="C913" i="18"/>
  <c r="D193" i="21" s="1"/>
  <c r="EV913" i="18"/>
  <c r="BM882" i="18"/>
  <c r="EV882" i="18"/>
  <c r="F201" i="21"/>
  <c r="F200" i="21"/>
  <c r="C966" i="18"/>
  <c r="D199" i="21" s="1"/>
  <c r="F196" i="21"/>
  <c r="F195" i="21"/>
  <c r="F197" i="21"/>
  <c r="C930" i="18"/>
  <c r="D194" i="21" s="1"/>
  <c r="F193" i="21"/>
  <c r="C931" i="18"/>
  <c r="U973" i="18"/>
  <c r="E196" i="21"/>
  <c r="U968" i="18"/>
  <c r="U954" i="18"/>
  <c r="F194" i="21"/>
  <c r="E193" i="21"/>
  <c r="U961" i="18"/>
  <c r="C914" i="18"/>
  <c r="E194" i="21"/>
  <c r="F190" i="21"/>
  <c r="F191" i="21"/>
  <c r="F192" i="21"/>
  <c r="BM913" i="18"/>
  <c r="U906" i="18"/>
  <c r="F189" i="21"/>
  <c r="E190" i="21"/>
  <c r="W876" i="18"/>
  <c r="C882" i="18"/>
  <c r="D190" i="21" s="1"/>
  <c r="C883" i="18"/>
  <c r="E188" i="21"/>
  <c r="E187" i="21"/>
  <c r="BM973" i="18" l="1"/>
  <c r="EV973" i="18"/>
  <c r="BM954" i="18"/>
  <c r="EV954" i="18"/>
  <c r="BM961" i="18"/>
  <c r="EV961" i="18"/>
  <c r="BM968" i="18"/>
  <c r="EV968" i="18"/>
  <c r="BM906" i="18"/>
  <c r="EV906" i="18"/>
  <c r="E192" i="21"/>
  <c r="C968" i="18"/>
  <c r="D200" i="21" s="1"/>
  <c r="C973" i="18"/>
  <c r="D201" i="21" s="1"/>
  <c r="C906" i="18"/>
  <c r="D192" i="21" s="1"/>
  <c r="C961" i="18"/>
  <c r="D197" i="21" s="1"/>
  <c r="E201" i="21"/>
  <c r="C954" i="18"/>
  <c r="D196" i="21" s="1"/>
  <c r="E197" i="21"/>
  <c r="E200" i="21"/>
  <c r="AF776" i="18"/>
  <c r="W776" i="18" s="1"/>
  <c r="AL774" i="18"/>
  <c r="AH773" i="18" s="1"/>
  <c r="AI773" i="18"/>
  <c r="AF774" i="18"/>
  <c r="W774" i="18"/>
  <c r="AJ773" i="18" l="1"/>
  <c r="W773" i="18" s="1"/>
  <c r="G174" i="21"/>
  <c r="H174" i="21"/>
  <c r="I174" i="21"/>
  <c r="J174" i="21"/>
  <c r="K174" i="21"/>
  <c r="G173" i="21"/>
  <c r="H173" i="21"/>
  <c r="I173" i="21"/>
  <c r="J173" i="21"/>
  <c r="K173" i="21"/>
  <c r="G172" i="21"/>
  <c r="H172" i="21"/>
  <c r="I172" i="21"/>
  <c r="J172" i="21"/>
  <c r="K172" i="21"/>
  <c r="G171" i="21"/>
  <c r="H171" i="21"/>
  <c r="I171" i="21"/>
  <c r="J171" i="21"/>
  <c r="K171" i="21"/>
  <c r="G170" i="21"/>
  <c r="H170" i="21"/>
  <c r="I170" i="21"/>
  <c r="J170" i="21"/>
  <c r="K170" i="21"/>
  <c r="C803" i="18"/>
  <c r="EJ819" i="18"/>
  <c r="CU819" i="18"/>
  <c r="E819" i="18" s="1"/>
  <c r="C819" i="18"/>
  <c r="C818" i="18"/>
  <c r="EJ817" i="18"/>
  <c r="DT817" i="18"/>
  <c r="CU817" i="18"/>
  <c r="E817" i="18" s="1"/>
  <c r="U816" i="18"/>
  <c r="E816" i="18"/>
  <c r="BJ816" i="18" s="1"/>
  <c r="C815" i="18"/>
  <c r="EJ813" i="18"/>
  <c r="C812" i="18"/>
  <c r="DT811" i="18"/>
  <c r="E810" i="18"/>
  <c r="BJ810" i="18" s="1"/>
  <c r="C809" i="18"/>
  <c r="EJ807" i="18"/>
  <c r="C806" i="18"/>
  <c r="DT805" i="18"/>
  <c r="E804" i="18"/>
  <c r="BJ804" i="18" s="1"/>
  <c r="EJ802" i="18"/>
  <c r="C801" i="18"/>
  <c r="DT800" i="18"/>
  <c r="E799" i="18"/>
  <c r="BJ799" i="18" s="1"/>
  <c r="C798" i="18"/>
  <c r="G169" i="21"/>
  <c r="H169" i="21"/>
  <c r="I169" i="21"/>
  <c r="J169" i="21"/>
  <c r="K169" i="21"/>
  <c r="EJ797" i="18"/>
  <c r="CU797" i="18"/>
  <c r="E797" i="18" s="1"/>
  <c r="W794" i="18"/>
  <c r="C796" i="18"/>
  <c r="EJ795" i="18"/>
  <c r="DT795" i="18"/>
  <c r="CU795" i="18"/>
  <c r="E795" i="18" s="1"/>
  <c r="C795" i="18"/>
  <c r="E794" i="18"/>
  <c r="BJ794" i="18" s="1"/>
  <c r="G168" i="21"/>
  <c r="H168" i="21"/>
  <c r="I168" i="21"/>
  <c r="J168" i="21"/>
  <c r="K168" i="21"/>
  <c r="G167" i="21"/>
  <c r="H167" i="21"/>
  <c r="I167" i="21"/>
  <c r="J167" i="21"/>
  <c r="K167" i="21"/>
  <c r="EJ787" i="18"/>
  <c r="C786" i="18"/>
  <c r="EJ785" i="18"/>
  <c r="E784" i="18"/>
  <c r="BJ784" i="18" s="1"/>
  <c r="C783" i="18"/>
  <c r="G166" i="21"/>
  <c r="H166" i="21"/>
  <c r="I166" i="21"/>
  <c r="J166" i="21"/>
  <c r="K166" i="21"/>
  <c r="M166" i="21"/>
  <c r="N166" i="21"/>
  <c r="C788" i="18"/>
  <c r="X782" i="18"/>
  <c r="EJ782" i="18" s="1"/>
  <c r="BL781" i="18"/>
  <c r="E781" i="18"/>
  <c r="BJ781" i="18" s="1"/>
  <c r="G165" i="21"/>
  <c r="H165" i="21"/>
  <c r="I165" i="21"/>
  <c r="J165" i="21"/>
  <c r="K165" i="21"/>
  <c r="C780" i="18"/>
  <c r="EJ776" i="18"/>
  <c r="C775" i="18"/>
  <c r="DT773" i="18"/>
  <c r="E772" i="18"/>
  <c r="BJ772" i="18" s="1"/>
  <c r="G164" i="21"/>
  <c r="H164" i="21"/>
  <c r="I164" i="21"/>
  <c r="J164" i="21"/>
  <c r="K164" i="21"/>
  <c r="C793" i="18"/>
  <c r="EJ792" i="18"/>
  <c r="CU792" i="18"/>
  <c r="E792" i="18" s="1"/>
  <c r="C792" i="18"/>
  <c r="C791" i="18"/>
  <c r="DT790" i="18"/>
  <c r="E789" i="18"/>
  <c r="BJ789" i="18" s="1"/>
  <c r="C771" i="18"/>
  <c r="EJ770" i="18"/>
  <c r="CU770" i="18"/>
  <c r="E770" i="18" s="1"/>
  <c r="C770" i="18"/>
  <c r="C769" i="18"/>
  <c r="DT768" i="18"/>
  <c r="E767" i="18"/>
  <c r="BJ767" i="18" s="1"/>
  <c r="D38" i="22"/>
  <c r="C38" i="22" s="1"/>
  <c r="D39" i="22"/>
  <c r="C39" i="22" s="1"/>
  <c r="D40" i="22"/>
  <c r="C40" i="22" s="1"/>
  <c r="D41" i="22"/>
  <c r="C41" i="22" s="1"/>
  <c r="D42" i="22"/>
  <c r="C42" i="22" s="1"/>
  <c r="D43" i="22"/>
  <c r="C43" i="22" s="1"/>
  <c r="D44" i="22"/>
  <c r="C44" i="22" s="1"/>
  <c r="G162" i="21"/>
  <c r="H162" i="21"/>
  <c r="I162" i="21"/>
  <c r="J162" i="21"/>
  <c r="K162" i="21"/>
  <c r="C766" i="18"/>
  <c r="EJ759" i="18"/>
  <c r="CU759" i="18"/>
  <c r="E759" i="18" s="1"/>
  <c r="C759" i="18"/>
  <c r="C758" i="18"/>
  <c r="DT757" i="18"/>
  <c r="E756" i="18"/>
  <c r="BJ756" i="18" s="1"/>
  <c r="G161" i="21"/>
  <c r="H161" i="21"/>
  <c r="I161" i="21"/>
  <c r="J161" i="21"/>
  <c r="K161" i="21"/>
  <c r="DT752" i="18"/>
  <c r="C755" i="18"/>
  <c r="C753" i="18"/>
  <c r="E751" i="18"/>
  <c r="BJ751" i="18" s="1"/>
  <c r="G160" i="21"/>
  <c r="H160" i="21"/>
  <c r="I160" i="21"/>
  <c r="J160" i="21"/>
  <c r="K160" i="21"/>
  <c r="G159" i="21"/>
  <c r="H159" i="21"/>
  <c r="I159" i="21"/>
  <c r="J159" i="21"/>
  <c r="K159" i="21"/>
  <c r="L159" i="21"/>
  <c r="M159" i="21"/>
  <c r="N159" i="21"/>
  <c r="A175" i="21"/>
  <c r="A174" i="21"/>
  <c r="A173" i="21"/>
  <c r="A172" i="21"/>
  <c r="A171" i="21"/>
  <c r="A170" i="21"/>
  <c r="A169" i="21"/>
  <c r="A168" i="21"/>
  <c r="A167" i="21"/>
  <c r="A166" i="21"/>
  <c r="A165" i="21"/>
  <c r="A164" i="21"/>
  <c r="A162" i="21"/>
  <c r="A161" i="21"/>
  <c r="A160" i="21"/>
  <c r="A159" i="21"/>
  <c r="C750" i="18"/>
  <c r="EJ749" i="18"/>
  <c r="CU749" i="18"/>
  <c r="E749" i="18" s="1"/>
  <c r="C749" i="18"/>
  <c r="C748" i="18"/>
  <c r="DT747" i="18"/>
  <c r="E746" i="18"/>
  <c r="BJ746" i="18" s="1"/>
  <c r="C745" i="18"/>
  <c r="E744" i="18"/>
  <c r="F159" i="21" s="1"/>
  <c r="C744" i="18"/>
  <c r="D159" i="21" s="1"/>
  <c r="C743" i="18"/>
  <c r="CY810" i="18"/>
  <c r="CY784" i="18"/>
  <c r="CY756" i="18"/>
  <c r="CY799" i="18"/>
  <c r="CY781" i="18"/>
  <c r="CY772" i="18"/>
  <c r="CY767" i="18"/>
  <c r="CY789" i="18"/>
  <c r="CY751" i="18"/>
  <c r="CY746" i="18"/>
  <c r="CY816" i="18"/>
  <c r="CY794" i="18"/>
  <c r="CY804" i="18"/>
  <c r="Z768" i="18" l="1"/>
  <c r="Z790" i="18"/>
  <c r="Z805" i="18"/>
  <c r="Z811" i="18"/>
  <c r="C816" i="18"/>
  <c r="D174" i="21" s="1"/>
  <c r="EV816" i="18"/>
  <c r="F172" i="21"/>
  <c r="F173" i="21"/>
  <c r="F171" i="21"/>
  <c r="F160" i="21"/>
  <c r="F161" i="21"/>
  <c r="F164" i="21"/>
  <c r="F167" i="21"/>
  <c r="F170" i="21"/>
  <c r="F174" i="21"/>
  <c r="F162" i="21"/>
  <c r="F168" i="21"/>
  <c r="C817" i="18"/>
  <c r="C797" i="18"/>
  <c r="W816" i="18"/>
  <c r="BM816" i="18"/>
  <c r="E171" i="21"/>
  <c r="E174" i="21"/>
  <c r="F165" i="21"/>
  <c r="F169" i="21"/>
  <c r="U794" i="18"/>
  <c r="F166" i="21"/>
  <c r="W756" i="18"/>
  <c r="W789" i="18"/>
  <c r="W767" i="18"/>
  <c r="E159" i="21"/>
  <c r="W746" i="18"/>
  <c r="BM794" i="18" l="1"/>
  <c r="EV794" i="18"/>
  <c r="E169" i="21"/>
  <c r="C794" i="18"/>
  <c r="D169" i="21" s="1"/>
  <c r="D171" i="21"/>
  <c r="AD608" i="18"/>
  <c r="AI615" i="18"/>
  <c r="AF669" i="18" l="1"/>
  <c r="W670" i="18"/>
  <c r="EJ670" i="18"/>
  <c r="C670" i="18"/>
  <c r="U626" i="18" s="1"/>
  <c r="EV626" i="18" s="1"/>
  <c r="ER669" i="18" l="1"/>
  <c r="D118" i="25"/>
  <c r="C118" i="25" s="1"/>
  <c r="D117" i="25"/>
  <c r="C117" i="25" s="1"/>
  <c r="D116" i="25"/>
  <c r="C116" i="25" s="1"/>
  <c r="D115" i="25"/>
  <c r="C115" i="25" s="1"/>
  <c r="D114" i="25"/>
  <c r="C114" i="25" s="1"/>
  <c r="D113" i="25"/>
  <c r="C113" i="25" s="1"/>
  <c r="D112" i="25"/>
  <c r="C112" i="25" s="1"/>
  <c r="D111" i="25"/>
  <c r="C111" i="25" s="1"/>
  <c r="D110" i="25"/>
  <c r="C110" i="25" s="1"/>
  <c r="D109" i="25"/>
  <c r="C109" i="25" s="1"/>
  <c r="D108" i="25"/>
  <c r="C108" i="25" s="1"/>
  <c r="D107" i="25"/>
  <c r="C107" i="25" s="1"/>
  <c r="D106" i="25"/>
  <c r="C106" i="25" s="1"/>
  <c r="D105" i="25"/>
  <c r="C105" i="25"/>
  <c r="D104" i="25"/>
  <c r="C104" i="25" s="1"/>
  <c r="D103" i="25"/>
  <c r="C103" i="25" s="1"/>
  <c r="D102" i="25"/>
  <c r="C102" i="25" s="1"/>
  <c r="D101" i="25"/>
  <c r="C101" i="25" s="1"/>
  <c r="D100" i="25"/>
  <c r="C100" i="25" s="1"/>
  <c r="D99" i="25"/>
  <c r="C99" i="25" s="1"/>
  <c r="D98" i="25"/>
  <c r="C98" i="25" s="1"/>
  <c r="D97" i="25"/>
  <c r="C97" i="25" s="1"/>
  <c r="D96" i="25"/>
  <c r="C96" i="25" s="1"/>
  <c r="D95" i="25"/>
  <c r="C95" i="25" s="1"/>
  <c r="D94" i="25"/>
  <c r="C94" i="25" s="1"/>
  <c r="D93" i="25"/>
  <c r="C93" i="25" s="1"/>
  <c r="D92" i="25"/>
  <c r="C92" i="25" s="1"/>
  <c r="D91" i="25"/>
  <c r="C91" i="25" s="1"/>
  <c r="D90" i="25"/>
  <c r="C90" i="25" s="1"/>
  <c r="D89" i="25"/>
  <c r="C89" i="25"/>
  <c r="D88" i="25"/>
  <c r="C88" i="25" s="1"/>
  <c r="D87" i="25"/>
  <c r="C87" i="25" s="1"/>
  <c r="D86" i="25"/>
  <c r="C86" i="25" s="1"/>
  <c r="D85" i="25"/>
  <c r="C85" i="25" s="1"/>
  <c r="D84" i="25"/>
  <c r="C84" i="25" s="1"/>
  <c r="D83" i="25"/>
  <c r="C83" i="25" s="1"/>
  <c r="D82" i="25"/>
  <c r="C82" i="25" s="1"/>
  <c r="D81" i="25"/>
  <c r="C81" i="25" s="1"/>
  <c r="D80" i="25"/>
  <c r="C80" i="25" s="1"/>
  <c r="D79" i="25"/>
  <c r="C79" i="25" s="1"/>
  <c r="D78" i="25"/>
  <c r="C78" i="25" s="1"/>
  <c r="D77" i="25"/>
  <c r="C77" i="25" s="1"/>
  <c r="D76" i="25"/>
  <c r="C76" i="25" s="1"/>
  <c r="D75" i="25"/>
  <c r="C75" i="25" s="1"/>
  <c r="D74" i="25"/>
  <c r="C74" i="25"/>
  <c r="D73" i="25"/>
  <c r="C73" i="25" s="1"/>
  <c r="D72" i="25"/>
  <c r="C72" i="25" s="1"/>
  <c r="D71" i="25"/>
  <c r="C71" i="25" s="1"/>
  <c r="D70" i="25"/>
  <c r="C70" i="25" s="1"/>
  <c r="D69" i="25"/>
  <c r="C69" i="25" s="1"/>
  <c r="D68" i="25"/>
  <c r="C68" i="25" s="1"/>
  <c r="D67" i="25"/>
  <c r="C67" i="25"/>
  <c r="D66" i="25"/>
  <c r="C66" i="25" s="1"/>
  <c r="D65" i="25"/>
  <c r="C65" i="25" s="1"/>
  <c r="D64" i="25"/>
  <c r="C64" i="25" s="1"/>
  <c r="D63" i="25"/>
  <c r="C63" i="25" s="1"/>
  <c r="D62" i="25"/>
  <c r="C62" i="25" s="1"/>
  <c r="D61" i="25"/>
  <c r="C61" i="25" s="1"/>
  <c r="D60" i="25"/>
  <c r="C60" i="25" s="1"/>
  <c r="D59" i="25"/>
  <c r="C59" i="25" s="1"/>
  <c r="D58" i="25"/>
  <c r="C58" i="25"/>
  <c r="D57" i="25"/>
  <c r="C57" i="25" s="1"/>
  <c r="D56" i="25"/>
  <c r="C56" i="25" s="1"/>
  <c r="D55" i="25"/>
  <c r="C55" i="25" s="1"/>
  <c r="D54" i="25"/>
  <c r="C54" i="25"/>
  <c r="D53" i="25"/>
  <c r="C53" i="25" s="1"/>
  <c r="D52" i="25"/>
  <c r="C52" i="25" s="1"/>
  <c r="D51" i="25"/>
  <c r="C51" i="25"/>
  <c r="D50" i="25"/>
  <c r="C50" i="25" s="1"/>
  <c r="D49" i="25"/>
  <c r="C49" i="25" s="1"/>
  <c r="D48" i="25"/>
  <c r="C48" i="25" s="1"/>
  <c r="D47" i="25"/>
  <c r="C47" i="25"/>
  <c r="D46" i="25"/>
  <c r="C46" i="25"/>
  <c r="D45" i="25"/>
  <c r="C45" i="25" s="1"/>
  <c r="D44" i="25"/>
  <c r="C44" i="25" s="1"/>
  <c r="D43" i="25"/>
  <c r="C43" i="25" s="1"/>
  <c r="D42" i="25"/>
  <c r="C42" i="25" s="1"/>
  <c r="D41" i="25"/>
  <c r="C41" i="25" s="1"/>
  <c r="D40" i="25"/>
  <c r="C40" i="25" s="1"/>
  <c r="D39" i="25"/>
  <c r="C39" i="25" s="1"/>
  <c r="D38" i="25"/>
  <c r="C38" i="25"/>
  <c r="D37" i="25"/>
  <c r="C37" i="25" s="1"/>
  <c r="D36" i="25"/>
  <c r="C36" i="25" s="1"/>
  <c r="D35" i="25"/>
  <c r="C35" i="25" s="1"/>
  <c r="D34" i="25"/>
  <c r="C34" i="25"/>
  <c r="D33" i="25"/>
  <c r="C33" i="25" s="1"/>
  <c r="D32" i="25"/>
  <c r="C32" i="25" s="1"/>
  <c r="D31" i="25"/>
  <c r="C31" i="25" s="1"/>
  <c r="D30" i="25"/>
  <c r="C30" i="25" s="1"/>
  <c r="D29" i="25"/>
  <c r="C29" i="25" s="1"/>
  <c r="D28" i="25"/>
  <c r="C28" i="25" s="1"/>
  <c r="D27" i="25"/>
  <c r="C27" i="25" s="1"/>
  <c r="D26" i="25"/>
  <c r="C26" i="25" s="1"/>
  <c r="D25" i="25"/>
  <c r="C25" i="25" s="1"/>
  <c r="D24" i="25"/>
  <c r="C24" i="25" s="1"/>
  <c r="D23" i="25"/>
  <c r="C23" i="25" s="1"/>
  <c r="D22" i="25"/>
  <c r="C22" i="25" s="1"/>
  <c r="D21" i="25"/>
  <c r="C21" i="25" s="1"/>
  <c r="D20" i="25"/>
  <c r="C20" i="25" s="1"/>
  <c r="D19" i="25"/>
  <c r="C19" i="25" s="1"/>
  <c r="D18" i="25"/>
  <c r="C18" i="25" s="1"/>
  <c r="D17" i="25"/>
  <c r="C17" i="25" s="1"/>
  <c r="D16" i="25"/>
  <c r="C16" i="25" s="1"/>
  <c r="D15" i="25"/>
  <c r="C15" i="25" s="1"/>
  <c r="D14" i="25"/>
  <c r="C14" i="25" s="1"/>
  <c r="D13" i="25"/>
  <c r="C13" i="25" s="1"/>
  <c r="D12" i="25"/>
  <c r="C12" i="25" s="1"/>
  <c r="D11" i="25"/>
  <c r="C11" i="25" s="1"/>
  <c r="D10" i="25"/>
  <c r="C10" i="25" s="1"/>
  <c r="D9" i="25"/>
  <c r="C9" i="25" s="1"/>
  <c r="D8" i="25"/>
  <c r="C8" i="25" s="1"/>
  <c r="D7" i="25"/>
  <c r="C7" i="25" s="1"/>
  <c r="D6" i="25"/>
  <c r="C6" i="25" s="1"/>
  <c r="D5" i="25"/>
  <c r="C5" i="25" s="1"/>
  <c r="D4" i="25"/>
  <c r="C4" i="25" s="1"/>
  <c r="CK1" i="25"/>
  <c r="CJ1" i="25"/>
  <c r="BS1" i="25"/>
  <c r="BP1" i="25" s="1"/>
  <c r="BO1" i="25" s="1"/>
  <c r="AF1" i="25"/>
  <c r="AE1" i="25" s="1"/>
  <c r="B10" i="30" s="1"/>
  <c r="AD667" i="18"/>
  <c r="AF667" i="18" s="1"/>
  <c r="Z667" i="18" l="1"/>
  <c r="W667" i="18"/>
  <c r="AD669" i="18"/>
  <c r="BR1" i="25"/>
  <c r="BQ1" i="25" s="1"/>
  <c r="CC1" i="25"/>
  <c r="AB1" i="25"/>
  <c r="U669" i="18" l="1"/>
  <c r="EV669" i="18" s="1"/>
  <c r="W669" i="18"/>
  <c r="B66" i="25"/>
  <c r="A66" i="25" s="1"/>
  <c r="ER1" i="18"/>
  <c r="ER667" i="18" s="1"/>
  <c r="CE1" i="25"/>
  <c r="B37" i="25"/>
  <c r="A37" i="25" s="1"/>
  <c r="B41" i="25"/>
  <c r="A41" i="25" s="1"/>
  <c r="B90" i="25"/>
  <c r="A90" i="25" s="1"/>
  <c r="B73" i="25"/>
  <c r="A73" i="25" s="1"/>
  <c r="B39" i="25"/>
  <c r="A39" i="25" s="1"/>
  <c r="B95" i="25"/>
  <c r="A95" i="25" s="1"/>
  <c r="B12" i="25"/>
  <c r="A12" i="25" s="1"/>
  <c r="B68" i="25"/>
  <c r="A68" i="25" s="1"/>
  <c r="B75" i="25"/>
  <c r="A75" i="25" s="1"/>
  <c r="B106" i="25"/>
  <c r="A106" i="25" s="1"/>
  <c r="B13" i="25"/>
  <c r="A13" i="25" s="1"/>
  <c r="B23" i="25"/>
  <c r="A23" i="25" s="1"/>
  <c r="B81" i="25"/>
  <c r="A81" i="25" s="1"/>
  <c r="B114" i="25"/>
  <c r="A114" i="25" s="1"/>
  <c r="B16" i="25"/>
  <c r="A16" i="25" s="1"/>
  <c r="B36" i="25"/>
  <c r="A36" i="25" s="1"/>
  <c r="B25" i="25"/>
  <c r="A25" i="25" s="1"/>
  <c r="B51" i="25"/>
  <c r="A51" i="25" s="1"/>
  <c r="B82" i="25"/>
  <c r="A82" i="25" s="1"/>
  <c r="B97" i="25"/>
  <c r="A97" i="25" s="1"/>
  <c r="B118" i="25"/>
  <c r="A118" i="25" s="1"/>
  <c r="B42" i="25"/>
  <c r="A42" i="25" s="1"/>
  <c r="B26" i="25"/>
  <c r="A26" i="25" s="1"/>
  <c r="B60" i="25"/>
  <c r="A60" i="25" s="1"/>
  <c r="B32" i="25"/>
  <c r="A32" i="25" s="1"/>
  <c r="B71" i="25"/>
  <c r="A71" i="25" s="1"/>
  <c r="B87" i="25"/>
  <c r="A87" i="25" s="1"/>
  <c r="B105" i="25"/>
  <c r="A105" i="25" s="1"/>
  <c r="B38" i="25"/>
  <c r="A38" i="25" s="1"/>
  <c r="B62" i="25"/>
  <c r="A62" i="25" s="1"/>
  <c r="B18" i="25"/>
  <c r="A18" i="25" s="1"/>
  <c r="B49" i="25"/>
  <c r="A49" i="25" s="1"/>
  <c r="B48" i="25"/>
  <c r="A48" i="25" s="1"/>
  <c r="B15" i="25"/>
  <c r="A15" i="25" s="1"/>
  <c r="B27" i="25"/>
  <c r="A27" i="25" s="1"/>
  <c r="B53" i="25"/>
  <c r="A53" i="25" s="1"/>
  <c r="B55" i="25"/>
  <c r="A55" i="25" s="1"/>
  <c r="B77" i="25"/>
  <c r="A77" i="25" s="1"/>
  <c r="B85" i="25"/>
  <c r="A85" i="25" s="1"/>
  <c r="B91" i="25"/>
  <c r="A91" i="25" s="1"/>
  <c r="B98" i="25"/>
  <c r="A98" i="25" s="1"/>
  <c r="B110" i="25"/>
  <c r="A110" i="25" s="1"/>
  <c r="B14" i="25"/>
  <c r="A14" i="25" s="1"/>
  <c r="B74" i="25"/>
  <c r="A74" i="25" s="1"/>
  <c r="B46" i="25"/>
  <c r="A46" i="25" s="1"/>
  <c r="B22" i="25"/>
  <c r="A22" i="25" s="1"/>
  <c r="B69" i="25"/>
  <c r="A69" i="25" s="1"/>
  <c r="B52" i="25"/>
  <c r="A52" i="25" s="1"/>
  <c r="B17" i="25"/>
  <c r="A17" i="25" s="1"/>
  <c r="B31" i="25"/>
  <c r="A31" i="25" s="1"/>
  <c r="B35" i="25"/>
  <c r="A35" i="25" s="1"/>
  <c r="B59" i="25"/>
  <c r="A59" i="25" s="1"/>
  <c r="B79" i="25"/>
  <c r="A79" i="25" s="1"/>
  <c r="B86" i="25"/>
  <c r="A86" i="25" s="1"/>
  <c r="B93" i="25"/>
  <c r="A93" i="25" s="1"/>
  <c r="B102" i="25"/>
  <c r="A102" i="25" s="1"/>
  <c r="B113" i="25"/>
  <c r="A113" i="25" s="1"/>
  <c r="B10" i="25"/>
  <c r="A10" i="25" s="1"/>
  <c r="B8" i="25"/>
  <c r="A8" i="25" s="1"/>
  <c r="B5" i="25"/>
  <c r="A5" i="25" s="1"/>
  <c r="B24" i="25"/>
  <c r="A24" i="25" s="1"/>
  <c r="B61" i="25"/>
  <c r="A61" i="25" s="1"/>
  <c r="B44" i="25"/>
  <c r="A44" i="25" s="1"/>
  <c r="B64" i="25"/>
  <c r="A64" i="25" s="1"/>
  <c r="B19" i="25"/>
  <c r="A19" i="25" s="1"/>
  <c r="B30" i="25"/>
  <c r="A30" i="25" s="1"/>
  <c r="B45" i="25"/>
  <c r="A45" i="25" s="1"/>
  <c r="B43" i="25"/>
  <c r="A43" i="25" s="1"/>
  <c r="B67" i="25"/>
  <c r="A67" i="25" s="1"/>
  <c r="B78" i="25"/>
  <c r="A78" i="25" s="1"/>
  <c r="B83" i="25"/>
  <c r="A83" i="25" s="1"/>
  <c r="B89" i="25"/>
  <c r="A89" i="25" s="1"/>
  <c r="B94" i="25"/>
  <c r="A94" i="25" s="1"/>
  <c r="B101" i="25"/>
  <c r="A101" i="25" s="1"/>
  <c r="B109" i="25"/>
  <c r="A109" i="25" s="1"/>
  <c r="B117" i="25"/>
  <c r="A117" i="25" s="1"/>
  <c r="B54" i="25"/>
  <c r="A54" i="25" s="1"/>
  <c r="B99" i="25"/>
  <c r="A99" i="25" s="1"/>
  <c r="B103" i="25"/>
  <c r="A103" i="25" s="1"/>
  <c r="B107" i="25"/>
  <c r="A107" i="25" s="1"/>
  <c r="B111" i="25"/>
  <c r="A111" i="25" s="1"/>
  <c r="B115" i="25"/>
  <c r="A115" i="25" s="1"/>
  <c r="B50" i="25"/>
  <c r="A50" i="25" s="1"/>
  <c r="B6" i="25"/>
  <c r="A6" i="25" s="1"/>
  <c r="B11" i="25"/>
  <c r="A11" i="25" s="1"/>
  <c r="B58" i="25"/>
  <c r="A58" i="25" s="1"/>
  <c r="A4" i="25"/>
  <c r="B9" i="25"/>
  <c r="A9" i="25" s="1"/>
  <c r="B20" i="25"/>
  <c r="A20" i="25" s="1"/>
  <c r="B28" i="25"/>
  <c r="A28" i="25" s="1"/>
  <c r="B65" i="25"/>
  <c r="A65" i="25" s="1"/>
  <c r="B40" i="25"/>
  <c r="A40" i="25" s="1"/>
  <c r="B56" i="25"/>
  <c r="A56" i="25" s="1"/>
  <c r="B72" i="25"/>
  <c r="A72" i="25" s="1"/>
  <c r="B21" i="25"/>
  <c r="A21" i="25" s="1"/>
  <c r="B29" i="25"/>
  <c r="A29" i="25" s="1"/>
  <c r="B33" i="25"/>
  <c r="A33" i="25" s="1"/>
  <c r="B57" i="25"/>
  <c r="A57" i="25" s="1"/>
  <c r="B47" i="25"/>
  <c r="A47" i="25" s="1"/>
  <c r="B63" i="25"/>
  <c r="A63" i="25" s="1"/>
  <c r="B76" i="25"/>
  <c r="A76" i="25" s="1"/>
  <c r="B80" i="25"/>
  <c r="A80" i="25" s="1"/>
  <c r="B84" i="25"/>
  <c r="A84" i="25" s="1"/>
  <c r="B88" i="25"/>
  <c r="A88" i="25" s="1"/>
  <c r="B92" i="25"/>
  <c r="A92" i="25" s="1"/>
  <c r="B96" i="25"/>
  <c r="A96" i="25" s="1"/>
  <c r="B100" i="25"/>
  <c r="A100" i="25" s="1"/>
  <c r="B104" i="25"/>
  <c r="A104" i="25" s="1"/>
  <c r="B108" i="25"/>
  <c r="A108" i="25" s="1"/>
  <c r="B112" i="25"/>
  <c r="A112" i="25" s="1"/>
  <c r="B116" i="25"/>
  <c r="A116" i="25" s="1"/>
  <c r="B34" i="25"/>
  <c r="A34" i="25" s="1"/>
  <c r="B70" i="25"/>
  <c r="A70" i="25" s="1"/>
  <c r="B7" i="25"/>
  <c r="A7" i="25" s="1"/>
  <c r="BN1" i="25"/>
  <c r="G140" i="21" l="1"/>
  <c r="H140" i="21"/>
  <c r="I140" i="21"/>
  <c r="J140" i="21"/>
  <c r="K140" i="21"/>
  <c r="G139" i="21"/>
  <c r="H139" i="21"/>
  <c r="I139" i="21"/>
  <c r="J139" i="21"/>
  <c r="K139" i="21"/>
  <c r="F138" i="21"/>
  <c r="G138" i="21"/>
  <c r="H138" i="21"/>
  <c r="I138" i="21"/>
  <c r="J138" i="21"/>
  <c r="K138" i="21"/>
  <c r="L138" i="21"/>
  <c r="M138" i="21"/>
  <c r="N138" i="21"/>
  <c r="A140" i="21"/>
  <c r="A141" i="21"/>
  <c r="A142" i="21"/>
  <c r="EJ669" i="18" l="1"/>
  <c r="CU669" i="18"/>
  <c r="E669" i="18" s="1"/>
  <c r="C669" i="18" s="1"/>
  <c r="C668" i="18"/>
  <c r="DT667" i="18"/>
  <c r="E666" i="18"/>
  <c r="C665" i="18"/>
  <c r="EJ664" i="18"/>
  <c r="CU664" i="18"/>
  <c r="E664" i="18" s="1"/>
  <c r="C664" i="18"/>
  <c r="C663" i="18"/>
  <c r="EJ662" i="18"/>
  <c r="DT662" i="18"/>
  <c r="CU662" i="18"/>
  <c r="E662" i="18" s="1"/>
  <c r="C662" i="18"/>
  <c r="E661" i="18"/>
  <c r="C660" i="18"/>
  <c r="C671" i="18"/>
  <c r="A137" i="21"/>
  <c r="A138" i="21"/>
  <c r="A139" i="21"/>
  <c r="G136" i="21"/>
  <c r="H136" i="21"/>
  <c r="I136" i="21"/>
  <c r="J136" i="21"/>
  <c r="K136" i="21"/>
  <c r="EJ657" i="18"/>
  <c r="AF657" i="18"/>
  <c r="C656" i="18"/>
  <c r="EJ655" i="18"/>
  <c r="DT655" i="18"/>
  <c r="E654" i="18"/>
  <c r="BJ654" i="18" s="1"/>
  <c r="C653" i="18"/>
  <c r="G135" i="21"/>
  <c r="H135" i="21"/>
  <c r="I135" i="21"/>
  <c r="J135" i="21"/>
  <c r="K135" i="21"/>
  <c r="EJ652" i="18"/>
  <c r="C651" i="18"/>
  <c r="EJ650" i="18"/>
  <c r="DT650" i="18"/>
  <c r="E649" i="18"/>
  <c r="BJ649" i="18" s="1"/>
  <c r="C648" i="18"/>
  <c r="G134" i="21"/>
  <c r="H134" i="21"/>
  <c r="I134" i="21"/>
  <c r="J134" i="21"/>
  <c r="K134" i="21"/>
  <c r="C658" i="18"/>
  <c r="EJ647" i="18"/>
  <c r="C646" i="18"/>
  <c r="EJ645" i="18"/>
  <c r="DT645" i="18"/>
  <c r="E644" i="18"/>
  <c r="BJ644" i="18" s="1"/>
  <c r="G133" i="21"/>
  <c r="H133" i="21"/>
  <c r="I133" i="21"/>
  <c r="J133" i="21"/>
  <c r="K133" i="21"/>
  <c r="EJ637" i="18"/>
  <c r="AF637" i="18"/>
  <c r="C636" i="18"/>
  <c r="EJ635" i="18"/>
  <c r="DT635" i="18"/>
  <c r="E634" i="18"/>
  <c r="BJ634" i="18" s="1"/>
  <c r="C633" i="18"/>
  <c r="G132" i="21"/>
  <c r="H132" i="21"/>
  <c r="I132" i="21"/>
  <c r="J132" i="21"/>
  <c r="K132" i="21"/>
  <c r="G131" i="21"/>
  <c r="H131" i="21"/>
  <c r="I131" i="21"/>
  <c r="J131" i="21"/>
  <c r="K131" i="21"/>
  <c r="L131" i="21"/>
  <c r="M131" i="21"/>
  <c r="N131" i="21"/>
  <c r="C643" i="18"/>
  <c r="EJ632" i="18"/>
  <c r="AF632" i="18"/>
  <c r="C631" i="18"/>
  <c r="EJ630" i="18"/>
  <c r="DT630" i="18"/>
  <c r="CU630" i="18"/>
  <c r="E630" i="18" s="1"/>
  <c r="U625" i="18"/>
  <c r="E625" i="18"/>
  <c r="BJ625" i="18" s="1"/>
  <c r="G129" i="21"/>
  <c r="H129" i="21"/>
  <c r="I129" i="21"/>
  <c r="J129" i="21"/>
  <c r="K129" i="21"/>
  <c r="C613" i="18"/>
  <c r="EJ612" i="18"/>
  <c r="DT612" i="18"/>
  <c r="E611" i="18"/>
  <c r="BJ611" i="18" s="1"/>
  <c r="G128" i="21"/>
  <c r="H128" i="21"/>
  <c r="I128" i="21"/>
  <c r="J128" i="21"/>
  <c r="K128" i="21"/>
  <c r="C610" i="18"/>
  <c r="C607" i="18"/>
  <c r="EJ606" i="18"/>
  <c r="DT606" i="18"/>
  <c r="E605" i="18"/>
  <c r="BJ605" i="18" s="1"/>
  <c r="G127" i="21"/>
  <c r="H127" i="21"/>
  <c r="I127" i="21"/>
  <c r="J127" i="21"/>
  <c r="K127" i="21"/>
  <c r="C604" i="18"/>
  <c r="EJ603" i="18"/>
  <c r="C603" i="18"/>
  <c r="C602" i="18"/>
  <c r="EJ601" i="18"/>
  <c r="DT601" i="18"/>
  <c r="E600" i="18"/>
  <c r="BJ600" i="18" s="1"/>
  <c r="G126" i="21"/>
  <c r="H126" i="21"/>
  <c r="I126" i="21"/>
  <c r="J126" i="21"/>
  <c r="K126" i="21"/>
  <c r="C599" i="18"/>
  <c r="EJ598" i="18"/>
  <c r="C597" i="18"/>
  <c r="EJ596" i="18"/>
  <c r="DT596" i="18"/>
  <c r="E595" i="18"/>
  <c r="BJ595" i="18" s="1"/>
  <c r="A43" i="23"/>
  <c r="A42" i="23"/>
  <c r="A41" i="23"/>
  <c r="A40" i="23"/>
  <c r="A39" i="23"/>
  <c r="A38" i="23"/>
  <c r="A37" i="23"/>
  <c r="A36" i="23"/>
  <c r="A35" i="23"/>
  <c r="A34" i="23"/>
  <c r="A33" i="23"/>
  <c r="A32" i="23"/>
  <c r="A31" i="23"/>
  <c r="A30" i="23"/>
  <c r="A29" i="23"/>
  <c r="A28" i="23"/>
  <c r="A27" i="23"/>
  <c r="A26" i="23"/>
  <c r="A25" i="23"/>
  <c r="A24" i="23"/>
  <c r="A23" i="23"/>
  <c r="A22" i="23"/>
  <c r="A21" i="23"/>
  <c r="A20" i="23"/>
  <c r="A19" i="23"/>
  <c r="A18" i="23"/>
  <c r="A17" i="23"/>
  <c r="A16" i="23"/>
  <c r="A15" i="23"/>
  <c r="A14" i="23"/>
  <c r="A13" i="23"/>
  <c r="A12" i="23"/>
  <c r="A11" i="23"/>
  <c r="A10" i="23"/>
  <c r="A9" i="23"/>
  <c r="A8" i="23"/>
  <c r="A7" i="23"/>
  <c r="A6" i="23"/>
  <c r="A5" i="23"/>
  <c r="A4" i="23"/>
  <c r="A3" i="23"/>
  <c r="A2" i="23"/>
  <c r="A1" i="23"/>
  <c r="G125" i="21"/>
  <c r="H125" i="21"/>
  <c r="I125" i="21"/>
  <c r="J125" i="21"/>
  <c r="K125" i="21"/>
  <c r="C594" i="18"/>
  <c r="EJ592" i="18"/>
  <c r="C591" i="18"/>
  <c r="DT590" i="18"/>
  <c r="E589" i="18"/>
  <c r="BJ589" i="18" s="1"/>
  <c r="C588" i="18"/>
  <c r="G124" i="21"/>
  <c r="H124" i="21"/>
  <c r="I124" i="21"/>
  <c r="J124" i="21"/>
  <c r="K124" i="21"/>
  <c r="G123" i="21"/>
  <c r="H123" i="21"/>
  <c r="I123" i="21"/>
  <c r="J123" i="21"/>
  <c r="K123" i="21"/>
  <c r="L123" i="21"/>
  <c r="M123" i="21"/>
  <c r="N123" i="21"/>
  <c r="A121" i="21"/>
  <c r="A122" i="21"/>
  <c r="A123" i="21"/>
  <c r="A124" i="21"/>
  <c r="A125" i="21"/>
  <c r="A126" i="21"/>
  <c r="A127" i="21"/>
  <c r="A128" i="21"/>
  <c r="A129" i="21"/>
  <c r="A130" i="21"/>
  <c r="A131" i="21"/>
  <c r="A132" i="21"/>
  <c r="A133" i="21"/>
  <c r="A134" i="21"/>
  <c r="A135" i="21"/>
  <c r="A136" i="21"/>
  <c r="A143" i="21"/>
  <c r="C587" i="18"/>
  <c r="C586" i="18"/>
  <c r="EJ585" i="18"/>
  <c r="DT585" i="18"/>
  <c r="C585" i="18"/>
  <c r="U618" i="18" s="1"/>
  <c r="E584" i="18"/>
  <c r="BJ584" i="18" s="1"/>
  <c r="C583" i="18"/>
  <c r="CY625" i="18"/>
  <c r="CY605" i="18"/>
  <c r="CY649" i="18"/>
  <c r="CY661" i="18"/>
  <c r="CY654" i="18"/>
  <c r="CY595" i="18"/>
  <c r="CY589" i="18"/>
  <c r="CY611" i="18"/>
  <c r="CY666" i="18"/>
  <c r="CY600" i="18"/>
  <c r="CY634" i="18"/>
  <c r="CY644" i="18"/>
  <c r="CY584" i="18"/>
  <c r="EV618" i="18" l="1"/>
  <c r="CU618" i="18"/>
  <c r="E618" i="18" s="1"/>
  <c r="BM625" i="18"/>
  <c r="EV625" i="18"/>
  <c r="CU603" i="18"/>
  <c r="E603" i="18" s="1"/>
  <c r="EV603" i="18"/>
  <c r="U605" i="18"/>
  <c r="EV605" i="18" s="1"/>
  <c r="W666" i="18"/>
  <c r="BJ661" i="18"/>
  <c r="F139" i="21"/>
  <c r="BJ666" i="18"/>
  <c r="F140" i="21"/>
  <c r="U612" i="18"/>
  <c r="EV612" i="18" s="1"/>
  <c r="C659" i="18"/>
  <c r="D138" i="21" s="1"/>
  <c r="E138" i="21"/>
  <c r="EV596" i="18"/>
  <c r="EV601" i="18"/>
  <c r="F136" i="21"/>
  <c r="F135" i="21"/>
  <c r="U661" i="18"/>
  <c r="W661" i="18"/>
  <c r="W600" i="18"/>
  <c r="F134" i="21"/>
  <c r="F125" i="21"/>
  <c r="F133" i="21"/>
  <c r="F127" i="21"/>
  <c r="F129" i="21"/>
  <c r="F126" i="21"/>
  <c r="C630" i="18"/>
  <c r="F132" i="21"/>
  <c r="F128" i="21"/>
  <c r="E132" i="21"/>
  <c r="C625" i="18"/>
  <c r="D132" i="21" s="1"/>
  <c r="F124" i="21"/>
  <c r="U584" i="18"/>
  <c r="W584" i="18"/>
  <c r="BM584" i="18" l="1"/>
  <c r="EV584" i="18"/>
  <c r="E139" i="21"/>
  <c r="EV661" i="18"/>
  <c r="E124" i="21"/>
  <c r="C584" i="18"/>
  <c r="D124" i="21" s="1"/>
  <c r="BM605" i="18"/>
  <c r="E128" i="21"/>
  <c r="C605" i="18"/>
  <c r="D128" i="21" s="1"/>
  <c r="BM661" i="18"/>
  <c r="CU612" i="18"/>
  <c r="E612" i="18" s="1"/>
  <c r="U611" i="18"/>
  <c r="EV611" i="18" s="1"/>
  <c r="CU596" i="18"/>
  <c r="E596" i="18" s="1"/>
  <c r="C590" i="18"/>
  <c r="C661" i="18"/>
  <c r="D139" i="21" s="1"/>
  <c r="CU601" i="18"/>
  <c r="E601" i="18" s="1"/>
  <c r="U600" i="18" s="1"/>
  <c r="EV600" i="18" s="1"/>
  <c r="C601" i="18"/>
  <c r="U606" i="18" s="1"/>
  <c r="C606" i="18"/>
  <c r="U595" i="18"/>
  <c r="EV595" i="18" s="1"/>
  <c r="U635" i="18"/>
  <c r="EV635" i="18" s="1"/>
  <c r="U655" i="18"/>
  <c r="EV655" i="18" s="1"/>
  <c r="U650" i="18"/>
  <c r="EV650" i="18" s="1"/>
  <c r="U645" i="18"/>
  <c r="EV645" i="18" s="1"/>
  <c r="E582" i="18"/>
  <c r="F123" i="21" s="1"/>
  <c r="C581" i="18"/>
  <c r="E623" i="18"/>
  <c r="F131" i="21" s="1"/>
  <c r="C622" i="18"/>
  <c r="EV606" i="18" l="1"/>
  <c r="CU606" i="18"/>
  <c r="E606" i="18" s="1"/>
  <c r="BM611" i="18"/>
  <c r="C611" i="18"/>
  <c r="D129" i="21" s="1"/>
  <c r="E129" i="21"/>
  <c r="CU645" i="18"/>
  <c r="E645" i="18" s="1"/>
  <c r="BM595" i="18"/>
  <c r="C595" i="18"/>
  <c r="D126" i="21" s="1"/>
  <c r="E126" i="21"/>
  <c r="BM600" i="18"/>
  <c r="E127" i="21"/>
  <c r="C600" i="18"/>
  <c r="D127" i="21" s="1"/>
  <c r="CU650" i="18"/>
  <c r="E650" i="18" s="1"/>
  <c r="C596" i="18"/>
  <c r="CU655" i="18"/>
  <c r="E655" i="18" s="1"/>
  <c r="C655" i="18"/>
  <c r="CU635" i="18"/>
  <c r="E635" i="18" s="1"/>
  <c r="C635" i="18"/>
  <c r="U589" i="18"/>
  <c r="EV589" i="18" s="1"/>
  <c r="C612" i="18"/>
  <c r="C645" i="18"/>
  <c r="U644" i="18"/>
  <c r="EV644" i="18" s="1"/>
  <c r="C650" i="18"/>
  <c r="U649" i="18"/>
  <c r="EV649" i="18" s="1"/>
  <c r="C623" i="18"/>
  <c r="D131" i="21" s="1"/>
  <c r="E131" i="21"/>
  <c r="C582" i="18"/>
  <c r="D123" i="21" s="1"/>
  <c r="E123" i="21"/>
  <c r="U634" i="18" l="1"/>
  <c r="C634" i="18"/>
  <c r="D133" i="21" s="1"/>
  <c r="C589" i="18"/>
  <c r="D125" i="21" s="1"/>
  <c r="E125" i="21"/>
  <c r="BM589" i="18"/>
  <c r="BM649" i="18"/>
  <c r="E135" i="21"/>
  <c r="C649" i="18"/>
  <c r="D135" i="21" s="1"/>
  <c r="BM644" i="18"/>
  <c r="E134" i="21"/>
  <c r="C644" i="18"/>
  <c r="D134" i="21" s="1"/>
  <c r="U654" i="18"/>
  <c r="EV654" i="18" s="1"/>
  <c r="AF580" i="18"/>
  <c r="AE580" i="18"/>
  <c r="AG580" i="18" s="1"/>
  <c r="AF575" i="18"/>
  <c r="AH575" i="18" s="1"/>
  <c r="AG575" i="18"/>
  <c r="BM634" i="18" l="1"/>
  <c r="EV634" i="18"/>
  <c r="E133" i="21"/>
  <c r="BM654" i="18"/>
  <c r="E136" i="21"/>
  <c r="C654" i="18"/>
  <c r="W575" i="18"/>
  <c r="AM569" i="18"/>
  <c r="AL569" i="18"/>
  <c r="W571" i="18"/>
  <c r="W570" i="18"/>
  <c r="AF569" i="18"/>
  <c r="AH569" i="18" s="1"/>
  <c r="AK569" i="18" s="1"/>
  <c r="C245" i="19"/>
  <c r="C244" i="19"/>
  <c r="C240" i="19"/>
  <c r="C14" i="19"/>
  <c r="C13" i="19"/>
  <c r="C579" i="18"/>
  <c r="A120" i="21"/>
  <c r="G120" i="21"/>
  <c r="H120" i="21"/>
  <c r="I120" i="21"/>
  <c r="J120" i="21"/>
  <c r="K120" i="21"/>
  <c r="N120" i="21"/>
  <c r="BL573" i="18"/>
  <c r="E573" i="18"/>
  <c r="F120" i="21" s="1"/>
  <c r="C572" i="18"/>
  <c r="C565" i="18"/>
  <c r="C560" i="18"/>
  <c r="C555" i="18"/>
  <c r="AF547" i="18"/>
  <c r="AH547" i="18" s="1"/>
  <c r="CY573" i="18"/>
  <c r="D136" i="21" l="1"/>
  <c r="X574" i="18"/>
  <c r="AN569" i="18"/>
  <c r="W569" i="18" s="1"/>
  <c r="X570" i="18"/>
  <c r="X566" i="18"/>
  <c r="X571" i="18"/>
  <c r="X569" i="18"/>
  <c r="X575" i="18"/>
  <c r="BJ573" i="18"/>
  <c r="EJ541" i="18"/>
  <c r="U533" i="18"/>
  <c r="EJ533" i="18"/>
  <c r="C533" i="18"/>
  <c r="U541" i="18" s="1"/>
  <c r="EV541" i="18" s="1"/>
  <c r="W534" i="18"/>
  <c r="AF521" i="18" s="1"/>
  <c r="AL521" i="18" s="1"/>
  <c r="AM521" i="18" s="1"/>
  <c r="W521" i="18" s="1"/>
  <c r="W520" i="18" s="1"/>
  <c r="W530" i="18"/>
  <c r="C183" i="19"/>
  <c r="CU533" i="18" l="1"/>
  <c r="E533" i="18" s="1"/>
  <c r="EV533" i="18"/>
  <c r="CU541" i="18"/>
  <c r="E541" i="18" s="1"/>
  <c r="C541" i="18" s="1"/>
  <c r="W549" i="18"/>
  <c r="G111" i="21"/>
  <c r="H111" i="21"/>
  <c r="I111" i="21"/>
  <c r="J111" i="21"/>
  <c r="K111" i="21"/>
  <c r="EJ549" i="18"/>
  <c r="CU549" i="18"/>
  <c r="E549" i="18" s="1"/>
  <c r="C549" i="18"/>
  <c r="C548" i="18"/>
  <c r="DT547" i="18"/>
  <c r="E546" i="18"/>
  <c r="BJ546" i="18" s="1"/>
  <c r="C545" i="18"/>
  <c r="G110" i="21"/>
  <c r="H110" i="21"/>
  <c r="I110" i="21"/>
  <c r="J110" i="21"/>
  <c r="K110" i="21"/>
  <c r="C543" i="18"/>
  <c r="DT542" i="18"/>
  <c r="E540" i="18"/>
  <c r="BJ540" i="18" s="1"/>
  <c r="C539" i="18"/>
  <c r="A109" i="21"/>
  <c r="A110" i="21"/>
  <c r="A111" i="21"/>
  <c r="A112" i="21"/>
  <c r="A113" i="21"/>
  <c r="A114" i="21"/>
  <c r="G109" i="21"/>
  <c r="H109" i="21"/>
  <c r="I109" i="21"/>
  <c r="J109" i="21"/>
  <c r="K109" i="21"/>
  <c r="C535" i="18"/>
  <c r="DT534" i="18"/>
  <c r="E532" i="18"/>
  <c r="BJ532" i="18" s="1"/>
  <c r="C531" i="18"/>
  <c r="C529" i="18"/>
  <c r="C523" i="18"/>
  <c r="CY546" i="18"/>
  <c r="CY540" i="18"/>
  <c r="CY532" i="18"/>
  <c r="W546" i="18" l="1"/>
  <c r="F111" i="21"/>
  <c r="F110" i="21"/>
  <c r="F109" i="21"/>
  <c r="W483" i="18" l="1"/>
  <c r="AF511" i="18"/>
  <c r="AE511" i="18"/>
  <c r="AD511" i="18"/>
  <c r="EJ515" i="18"/>
  <c r="CU515" i="18"/>
  <c r="E515" i="18" s="1"/>
  <c r="C515" i="18"/>
  <c r="C514" i="18"/>
  <c r="EJ513" i="18"/>
  <c r="EJ511" i="18"/>
  <c r="EJ510" i="18"/>
  <c r="DT510" i="18"/>
  <c r="AI510" i="18"/>
  <c r="AG500" i="18"/>
  <c r="AF500" i="18"/>
  <c r="AK501" i="18"/>
  <c r="AI501" i="18"/>
  <c r="C268" i="19"/>
  <c r="C267" i="19"/>
  <c r="X502" i="18" s="1"/>
  <c r="C266" i="19"/>
  <c r="AH502" i="18"/>
  <c r="AL502" i="18" s="1"/>
  <c r="AJ501" i="18" s="1"/>
  <c r="EJ507" i="18"/>
  <c r="U507" i="18"/>
  <c r="C507" i="18"/>
  <c r="EJ506" i="18"/>
  <c r="U506" i="18"/>
  <c r="C506" i="18"/>
  <c r="EJ505" i="18"/>
  <c r="AE505" i="18"/>
  <c r="C504" i="18"/>
  <c r="DT500" i="18"/>
  <c r="CU507" i="18" l="1"/>
  <c r="E507" i="18" s="1"/>
  <c r="EV507" i="18"/>
  <c r="CU506" i="18"/>
  <c r="E506" i="18" s="1"/>
  <c r="EV506" i="18"/>
  <c r="W509" i="18"/>
  <c r="AJ502" i="18"/>
  <c r="AH501" i="18" s="1"/>
  <c r="AL501" i="18" s="1"/>
  <c r="AD500" i="18" s="1"/>
  <c r="AH500" i="18" l="1"/>
  <c r="AJ500" i="18" s="1"/>
  <c r="AD505" i="18" s="1"/>
  <c r="AH505" i="18" s="1"/>
  <c r="W505" i="18" s="1"/>
  <c r="U505" i="18" l="1"/>
  <c r="EV505" i="18" s="1"/>
  <c r="W500" i="18"/>
  <c r="AF513" i="18" s="1"/>
  <c r="CU505" i="18" l="1"/>
  <c r="E505" i="18" s="1"/>
  <c r="W499" i="18"/>
  <c r="C496" i="18"/>
  <c r="C505" i="18" l="1"/>
  <c r="G12" i="21"/>
  <c r="H12" i="21"/>
  <c r="I12" i="21"/>
  <c r="J12" i="21"/>
  <c r="K12" i="21"/>
  <c r="A12" i="21"/>
  <c r="A13" i="21"/>
  <c r="AH56" i="18"/>
  <c r="W53" i="18"/>
  <c r="AH35" i="18"/>
  <c r="AE35" i="18"/>
  <c r="C42" i="18"/>
  <c r="EJ41" i="18"/>
  <c r="EJ50" i="18"/>
  <c r="C38" i="18"/>
  <c r="C36" i="18"/>
  <c r="AF61" i="18"/>
  <c r="W61" i="18" s="1"/>
  <c r="AJ61" i="18"/>
  <c r="C60" i="18"/>
  <c r="AN45" i="18"/>
  <c r="AF47" i="18"/>
  <c r="AK45" i="18" s="1"/>
  <c r="C253" i="19"/>
  <c r="C252" i="19"/>
  <c r="X47" i="18" s="1"/>
  <c r="C251" i="19"/>
  <c r="C191" i="19"/>
  <c r="C190" i="19"/>
  <c r="C189" i="19"/>
  <c r="C142" i="19"/>
  <c r="C141" i="19"/>
  <c r="X773" i="18" s="1"/>
  <c r="C140" i="19"/>
  <c r="C61" i="19"/>
  <c r="C60" i="19"/>
  <c r="C59" i="19"/>
  <c r="C153" i="19"/>
  <c r="C152" i="19"/>
  <c r="C82" i="19"/>
  <c r="C185" i="19"/>
  <c r="C184" i="19"/>
  <c r="C81" i="19"/>
  <c r="X538" i="18" s="1"/>
  <c r="C43" i="19"/>
  <c r="C42" i="19"/>
  <c r="X483" i="18" s="1"/>
  <c r="C41" i="19"/>
  <c r="AH45" i="18"/>
  <c r="AF46" i="18"/>
  <c r="AG46" i="18" s="1"/>
  <c r="C44" i="18"/>
  <c r="C29" i="18"/>
  <c r="A49" i="21"/>
  <c r="A50" i="21"/>
  <c r="A24" i="21"/>
  <c r="A34" i="21"/>
  <c r="A45" i="21"/>
  <c r="A40" i="21"/>
  <c r="A41" i="21"/>
  <c r="A42" i="21"/>
  <c r="G40" i="21"/>
  <c r="H40" i="21"/>
  <c r="I40" i="21"/>
  <c r="J40" i="21"/>
  <c r="K40" i="21"/>
  <c r="CY37" i="18"/>
  <c r="X547" i="18" l="1"/>
  <c r="X2052" i="18"/>
  <c r="AJ126" i="18"/>
  <c r="AI45" i="18"/>
  <c r="X642" i="18"/>
  <c r="X615" i="18"/>
  <c r="X886" i="18"/>
  <c r="X934" i="18"/>
  <c r="W52" i="18"/>
  <c r="AH54" i="18"/>
  <c r="X684" i="18"/>
  <c r="X779" i="18"/>
  <c r="X765" i="18"/>
  <c r="X752" i="18"/>
  <c r="X754" i="18"/>
  <c r="X469" i="18"/>
  <c r="X369" i="18"/>
  <c r="X2071" i="18" s="1"/>
  <c r="X72" i="18"/>
  <c r="X73" i="18"/>
  <c r="X522" i="18"/>
  <c r="X525" i="18"/>
  <c r="X544" i="18"/>
  <c r="X534" i="18"/>
  <c r="X542" i="18"/>
  <c r="X528" i="18"/>
  <c r="X530" i="18"/>
  <c r="AD61" i="18"/>
  <c r="AG61" i="18" s="1"/>
  <c r="AM45" i="18"/>
  <c r="AI61" i="18"/>
  <c r="AL45" i="18"/>
  <c r="AL56" i="18" s="1"/>
  <c r="C429" i="18"/>
  <c r="U389" i="18"/>
  <c r="AE388" i="18"/>
  <c r="AI388" i="18" s="1"/>
  <c r="C27" i="19"/>
  <c r="C28" i="19"/>
  <c r="X774" i="18" s="1"/>
  <c r="C29" i="19"/>
  <c r="C30" i="19"/>
  <c r="C389" i="18"/>
  <c r="EV405" i="18"/>
  <c r="U456" i="18"/>
  <c r="EV456" i="18" s="1"/>
  <c r="U455" i="18"/>
  <c r="AE454" i="18"/>
  <c r="AE380" i="18"/>
  <c r="C456" i="18"/>
  <c r="EJ455" i="18"/>
  <c r="C455" i="18"/>
  <c r="AG478" i="18"/>
  <c r="AE478" i="18"/>
  <c r="AG473" i="18"/>
  <c r="AK473" i="18"/>
  <c r="AE473" i="18"/>
  <c r="AE460" i="18"/>
  <c r="EJ461" i="18"/>
  <c r="AI461" i="18"/>
  <c r="AG461" i="18"/>
  <c r="AE461" i="18"/>
  <c r="AI459" i="18"/>
  <c r="AF460" i="18"/>
  <c r="AG464" i="18"/>
  <c r="AH462" i="18"/>
  <c r="AD473" i="18" s="1"/>
  <c r="W490" i="18"/>
  <c r="W485" i="18"/>
  <c r="AG451" i="18"/>
  <c r="W451" i="18"/>
  <c r="C489" i="18"/>
  <c r="C484" i="18"/>
  <c r="C479" i="18"/>
  <c r="C474" i="18"/>
  <c r="C453" i="18"/>
  <c r="A94" i="21"/>
  <c r="A95" i="21"/>
  <c r="G94" i="21"/>
  <c r="H94" i="21"/>
  <c r="I94" i="21"/>
  <c r="J94" i="21"/>
  <c r="K94" i="21"/>
  <c r="G95" i="21"/>
  <c r="H95" i="21"/>
  <c r="I95" i="21"/>
  <c r="J95" i="21"/>
  <c r="K95" i="21"/>
  <c r="C471" i="18"/>
  <c r="EJ468" i="18"/>
  <c r="C467" i="18"/>
  <c r="E458" i="18"/>
  <c r="BJ458" i="18" s="1"/>
  <c r="C447" i="18"/>
  <c r="EV358" i="18"/>
  <c r="U362" i="18"/>
  <c r="EV362" i="18" s="1"/>
  <c r="U333" i="18"/>
  <c r="EV333" i="18" s="1"/>
  <c r="U328" i="18"/>
  <c r="EV328" i="18" s="1"/>
  <c r="U323" i="18"/>
  <c r="EV323" i="18" s="1"/>
  <c r="U318" i="18"/>
  <c r="EV318" i="18" s="1"/>
  <c r="U294" i="18"/>
  <c r="EV294" i="18" s="1"/>
  <c r="U289" i="18"/>
  <c r="EV289" i="18" s="1"/>
  <c r="EV284" i="18"/>
  <c r="U299" i="18"/>
  <c r="EV299" i="18" s="1"/>
  <c r="U381" i="18"/>
  <c r="EJ381" i="18"/>
  <c r="C381" i="18"/>
  <c r="AJ426" i="18"/>
  <c r="AL426" i="18" s="1"/>
  <c r="W425" i="18"/>
  <c r="W428" i="18" s="1"/>
  <c r="U417" i="18"/>
  <c r="EV417" i="18" s="1"/>
  <c r="AF415" i="18"/>
  <c r="AJ421" i="18"/>
  <c r="AI392" i="18"/>
  <c r="AO393" i="18"/>
  <c r="AQ386" i="18"/>
  <c r="AT386" i="18"/>
  <c r="AS386" i="18"/>
  <c r="AI385" i="18"/>
  <c r="AG374" i="18"/>
  <c r="AE374" i="18"/>
  <c r="W378" i="18"/>
  <c r="AI375" i="18"/>
  <c r="AG376" i="18"/>
  <c r="AG386" i="18" s="1"/>
  <c r="C11" i="19"/>
  <c r="C10" i="19"/>
  <c r="AD415" i="18"/>
  <c r="C379" i="18"/>
  <c r="C91" i="19"/>
  <c r="C246" i="19"/>
  <c r="C247" i="19"/>
  <c r="X426" i="18" s="1"/>
  <c r="C44" i="19"/>
  <c r="C45" i="19"/>
  <c r="X382" i="18" s="1"/>
  <c r="C46" i="19"/>
  <c r="C36" i="19"/>
  <c r="C37" i="19"/>
  <c r="X438" i="18" s="1"/>
  <c r="C237" i="19"/>
  <c r="C238" i="19"/>
  <c r="X46" i="18" s="1"/>
  <c r="C239" i="19"/>
  <c r="C427" i="18"/>
  <c r="C416" i="18"/>
  <c r="C409" i="18"/>
  <c r="C404" i="18"/>
  <c r="A76" i="21"/>
  <c r="A82" i="21"/>
  <c r="G82" i="21"/>
  <c r="H82" i="21"/>
  <c r="I82" i="21"/>
  <c r="J82" i="21"/>
  <c r="K82" i="21"/>
  <c r="C401" i="18"/>
  <c r="EJ400" i="18"/>
  <c r="C400" i="18"/>
  <c r="C399" i="18"/>
  <c r="U397" i="18"/>
  <c r="E397" i="18"/>
  <c r="BJ397" i="18" s="1"/>
  <c r="A81" i="21"/>
  <c r="G81" i="21"/>
  <c r="H81" i="21"/>
  <c r="I81" i="21"/>
  <c r="J81" i="21"/>
  <c r="K81" i="21"/>
  <c r="G83" i="21"/>
  <c r="H83" i="21"/>
  <c r="I83" i="21"/>
  <c r="J83" i="21"/>
  <c r="K83" i="21"/>
  <c r="EJ395" i="18"/>
  <c r="C395" i="18"/>
  <c r="C394" i="18"/>
  <c r="E391" i="18"/>
  <c r="BJ391" i="18" s="1"/>
  <c r="C390" i="18"/>
  <c r="A80" i="21"/>
  <c r="G80" i="21"/>
  <c r="H80" i="21"/>
  <c r="I80" i="21"/>
  <c r="J80" i="21"/>
  <c r="K80" i="21"/>
  <c r="C387" i="18"/>
  <c r="C367" i="18"/>
  <c r="C396" i="18"/>
  <c r="EJ388" i="18"/>
  <c r="E384" i="18"/>
  <c r="BJ384" i="18" s="1"/>
  <c r="CY397" i="18"/>
  <c r="CY458" i="18"/>
  <c r="AL421" i="18" l="1"/>
  <c r="W420" i="18" s="1"/>
  <c r="CU389" i="18"/>
  <c r="E389" i="18" s="1"/>
  <c r="EV389" i="18"/>
  <c r="CU455" i="18"/>
  <c r="E455" i="18" s="1"/>
  <c r="EV455" i="18"/>
  <c r="BM397" i="18"/>
  <c r="EV397" i="18"/>
  <c r="CU381" i="18"/>
  <c r="E381" i="18" s="1"/>
  <c r="EV381" i="18"/>
  <c r="X439" i="18"/>
  <c r="AD56" i="18"/>
  <c r="X768" i="18"/>
  <c r="X790" i="18"/>
  <c r="X811" i="18"/>
  <c r="X805" i="18"/>
  <c r="X800" i="18"/>
  <c r="X757" i="18"/>
  <c r="X747" i="18"/>
  <c r="X389" i="18"/>
  <c r="AH415" i="18"/>
  <c r="AD461" i="18"/>
  <c r="AD392" i="18"/>
  <c r="W392" i="18" s="1"/>
  <c r="AJ415" i="18" s="1"/>
  <c r="AD454" i="18"/>
  <c r="AH454" i="18" s="1"/>
  <c r="W454" i="18" s="1"/>
  <c r="U454" i="18" s="1"/>
  <c r="EV454" i="18" s="1"/>
  <c r="F94" i="21"/>
  <c r="AF466" i="18"/>
  <c r="W452" i="18"/>
  <c r="W376" i="18"/>
  <c r="AH375" i="18"/>
  <c r="AD375" i="18" s="1"/>
  <c r="AF374" i="18"/>
  <c r="AU386" i="18"/>
  <c r="AH385" i="18" s="1"/>
  <c r="AD385" i="18" s="1"/>
  <c r="AD388" i="18" s="1"/>
  <c r="AH388" i="18" s="1"/>
  <c r="W388" i="18" s="1"/>
  <c r="U388" i="18" s="1"/>
  <c r="EV388" i="18" s="1"/>
  <c r="W397" i="18"/>
  <c r="C398" i="18"/>
  <c r="CU400" i="18" s="1"/>
  <c r="E400" i="18" s="1"/>
  <c r="E82" i="21"/>
  <c r="F82" i="21"/>
  <c r="C397" i="18"/>
  <c r="D82" i="21" s="1"/>
  <c r="W391" i="18"/>
  <c r="F81" i="21"/>
  <c r="F80" i="21"/>
  <c r="CU709" i="18"/>
  <c r="C709" i="18"/>
  <c r="AF403" i="18" l="1"/>
  <c r="AL415" i="18"/>
  <c r="W415" i="18" s="1"/>
  <c r="W395" i="18"/>
  <c r="CU388" i="18"/>
  <c r="E388" i="18" s="1"/>
  <c r="W385" i="18"/>
  <c r="W375" i="18"/>
  <c r="AD374" i="18"/>
  <c r="C692" i="18"/>
  <c r="E693" i="18"/>
  <c r="BJ693" i="18" s="1"/>
  <c r="CY693" i="18"/>
  <c r="AH374" i="18" l="1"/>
  <c r="W413" i="18"/>
  <c r="C388" i="18"/>
  <c r="W384" i="18"/>
  <c r="DT694" i="18"/>
  <c r="C695" i="18"/>
  <c r="W693" i="18"/>
  <c r="CU696" i="18"/>
  <c r="E696" i="18" s="1"/>
  <c r="EJ696" i="18"/>
  <c r="W374" i="18" l="1"/>
  <c r="AD380" i="18"/>
  <c r="AH380" i="18" s="1"/>
  <c r="W380" i="18" s="1"/>
  <c r="C696" i="18"/>
  <c r="G143" i="21"/>
  <c r="H143" i="21"/>
  <c r="I143" i="21"/>
  <c r="J143" i="21"/>
  <c r="K143" i="21"/>
  <c r="A144" i="21"/>
  <c r="C680" i="18"/>
  <c r="EJ679" i="18"/>
  <c r="C678" i="18"/>
  <c r="EJ677" i="18"/>
  <c r="DT677" i="18"/>
  <c r="E674" i="18"/>
  <c r="BJ674" i="18" s="1"/>
  <c r="CY674" i="18"/>
  <c r="F143" i="21" l="1"/>
  <c r="G102" i="21" l="1"/>
  <c r="H102" i="21"/>
  <c r="I102" i="21"/>
  <c r="J102" i="21"/>
  <c r="K102" i="21"/>
  <c r="G103" i="21"/>
  <c r="H103" i="21"/>
  <c r="I103" i="21"/>
  <c r="J103" i="21"/>
  <c r="K103" i="21"/>
  <c r="G101" i="21"/>
  <c r="H101" i="21"/>
  <c r="I101" i="21"/>
  <c r="J101" i="21"/>
  <c r="K101" i="21"/>
  <c r="G100" i="21"/>
  <c r="H100" i="21"/>
  <c r="I100" i="21"/>
  <c r="J100" i="21"/>
  <c r="K100" i="21"/>
  <c r="L100" i="21"/>
  <c r="M100" i="21"/>
  <c r="N100" i="21"/>
  <c r="A99" i="21"/>
  <c r="A100" i="21"/>
  <c r="A101" i="21"/>
  <c r="A103" i="21"/>
  <c r="A102" i="21"/>
  <c r="A104" i="21"/>
  <c r="E499" i="18"/>
  <c r="BJ499" i="18" s="1"/>
  <c r="C498" i="18"/>
  <c r="E509" i="18"/>
  <c r="BJ509" i="18" s="1"/>
  <c r="C508" i="18"/>
  <c r="EJ497" i="18"/>
  <c r="DT495" i="18"/>
  <c r="E494" i="18"/>
  <c r="BJ494" i="18" s="1"/>
  <c r="C493" i="18"/>
  <c r="E492" i="18"/>
  <c r="F100" i="21" s="1"/>
  <c r="E100" i="21"/>
  <c r="C491" i="18"/>
  <c r="C180" i="19"/>
  <c r="C179" i="19"/>
  <c r="C176" i="19"/>
  <c r="CY509" i="18"/>
  <c r="CY494" i="18"/>
  <c r="CY499" i="18"/>
  <c r="AD466" i="18" l="1"/>
  <c r="AH466" i="18" s="1"/>
  <c r="AD513" i="18"/>
  <c r="F102" i="21"/>
  <c r="F101" i="21"/>
  <c r="C492" i="18"/>
  <c r="D100" i="21" s="1"/>
  <c r="F103" i="21"/>
  <c r="G157" i="21"/>
  <c r="H157" i="21"/>
  <c r="I157" i="21"/>
  <c r="J157" i="21"/>
  <c r="K157" i="21"/>
  <c r="G155" i="21"/>
  <c r="H155" i="21"/>
  <c r="I155" i="21"/>
  <c r="J155" i="21"/>
  <c r="K155" i="21"/>
  <c r="CU742" i="18"/>
  <c r="C742" i="18"/>
  <c r="C740" i="18"/>
  <c r="EJ739" i="18"/>
  <c r="DT739" i="18"/>
  <c r="CU739" i="18"/>
  <c r="E739" i="18" s="1"/>
  <c r="U738" i="18"/>
  <c r="E738" i="18"/>
  <c r="BJ738" i="18" s="1"/>
  <c r="C737" i="18"/>
  <c r="EJ731" i="18"/>
  <c r="CU731" i="18"/>
  <c r="E731" i="18" s="1"/>
  <c r="C731" i="18"/>
  <c r="C730" i="18"/>
  <c r="DT729" i="18"/>
  <c r="E728" i="18"/>
  <c r="BJ728" i="18" s="1"/>
  <c r="C727" i="18"/>
  <c r="G154" i="21"/>
  <c r="H154" i="21"/>
  <c r="I154" i="21"/>
  <c r="J154" i="21"/>
  <c r="K154" i="21"/>
  <c r="G152" i="21"/>
  <c r="H152" i="21"/>
  <c r="I152" i="21"/>
  <c r="J152" i="21"/>
  <c r="K152" i="21"/>
  <c r="G151" i="21"/>
  <c r="H151" i="21"/>
  <c r="I151" i="21"/>
  <c r="J151" i="21"/>
  <c r="K151" i="21"/>
  <c r="CY728" i="18"/>
  <c r="CY738" i="18"/>
  <c r="AH459" i="18" l="1"/>
  <c r="BM738" i="18"/>
  <c r="EV738" i="18"/>
  <c r="AH513" i="18"/>
  <c r="W728" i="18"/>
  <c r="C738" i="18"/>
  <c r="D157" i="21" s="1"/>
  <c r="F157" i="21"/>
  <c r="C739" i="18"/>
  <c r="E157" i="21"/>
  <c r="F155" i="21"/>
  <c r="G150" i="21"/>
  <c r="H150" i="21"/>
  <c r="I150" i="21"/>
  <c r="J150" i="21"/>
  <c r="K150" i="21"/>
  <c r="A146" i="21"/>
  <c r="A147" i="21"/>
  <c r="A148" i="21"/>
  <c r="A149" i="21"/>
  <c r="A150" i="21"/>
  <c r="A151" i="21"/>
  <c r="A152" i="21"/>
  <c r="A154" i="21"/>
  <c r="A155" i="21"/>
  <c r="A157" i="21"/>
  <c r="A158" i="21"/>
  <c r="A176" i="21"/>
  <c r="G149" i="21"/>
  <c r="H149" i="21"/>
  <c r="I149" i="21"/>
  <c r="J149" i="21"/>
  <c r="L149" i="21"/>
  <c r="M149" i="21"/>
  <c r="N149" i="21"/>
  <c r="CU726" i="18"/>
  <c r="C726" i="18"/>
  <c r="C724" i="18"/>
  <c r="EJ723" i="18"/>
  <c r="DT723" i="18"/>
  <c r="CU723" i="18"/>
  <c r="E723" i="18" s="1"/>
  <c r="U722" i="18"/>
  <c r="E722" i="18"/>
  <c r="C721" i="18"/>
  <c r="EJ715" i="18"/>
  <c r="CU715" i="18"/>
  <c r="E715" i="18" s="1"/>
  <c r="C715" i="18"/>
  <c r="C714" i="18"/>
  <c r="DT713" i="18"/>
  <c r="E712" i="18"/>
  <c r="C711" i="18"/>
  <c r="C707" i="18"/>
  <c r="EJ706" i="18"/>
  <c r="DT706" i="18"/>
  <c r="CU706" i="18"/>
  <c r="E706" i="18" s="1"/>
  <c r="C706" i="18"/>
  <c r="E705" i="18"/>
  <c r="C704" i="18"/>
  <c r="EJ703" i="18"/>
  <c r="CU703" i="18"/>
  <c r="E703" i="18" s="1"/>
  <c r="C703" i="18"/>
  <c r="C702" i="18"/>
  <c r="DT701" i="18"/>
  <c r="AE701" i="18"/>
  <c r="E700" i="18"/>
  <c r="BJ700" i="18" s="1"/>
  <c r="C699" i="18"/>
  <c r="E698" i="18"/>
  <c r="F149" i="21" s="1"/>
  <c r="C698" i="18"/>
  <c r="D149" i="21" s="1"/>
  <c r="C697" i="18"/>
  <c r="A177" i="21"/>
  <c r="G177" i="21"/>
  <c r="H177" i="21"/>
  <c r="I177" i="21"/>
  <c r="J177" i="21"/>
  <c r="K177" i="21"/>
  <c r="EJ826" i="18"/>
  <c r="CU826" i="18"/>
  <c r="E826" i="18" s="1"/>
  <c r="C826" i="18"/>
  <c r="C825" i="18"/>
  <c r="DT824" i="18"/>
  <c r="E823" i="18"/>
  <c r="BJ823" i="18" s="1"/>
  <c r="C832" i="18"/>
  <c r="DT853" i="18"/>
  <c r="DT863" i="18"/>
  <c r="DT868" i="18"/>
  <c r="D33" i="22"/>
  <c r="C33" i="22" s="1"/>
  <c r="C209" i="19"/>
  <c r="C208" i="19"/>
  <c r="C56" i="19"/>
  <c r="C65" i="19"/>
  <c r="C66" i="19"/>
  <c r="C67" i="19"/>
  <c r="C80" i="19"/>
  <c r="C83" i="19"/>
  <c r="C84" i="19"/>
  <c r="C85" i="19"/>
  <c r="C92" i="19"/>
  <c r="C93" i="19"/>
  <c r="C94" i="19"/>
  <c r="C95" i="19"/>
  <c r="C96" i="19"/>
  <c r="C97" i="19"/>
  <c r="C98" i="19"/>
  <c r="C99" i="19"/>
  <c r="C100" i="19"/>
  <c r="C116" i="19"/>
  <c r="C117" i="19"/>
  <c r="C118" i="19"/>
  <c r="C128" i="19"/>
  <c r="C129" i="19"/>
  <c r="C130" i="19"/>
  <c r="C131" i="19"/>
  <c r="C132" i="19"/>
  <c r="C133" i="19"/>
  <c r="C143" i="19"/>
  <c r="C144" i="19"/>
  <c r="X267" i="18" s="1"/>
  <c r="C145" i="19"/>
  <c r="C160" i="19"/>
  <c r="C161" i="19"/>
  <c r="X2055" i="18" s="1"/>
  <c r="C162" i="19"/>
  <c r="C181" i="19"/>
  <c r="C199" i="19"/>
  <c r="X223" i="18" s="1"/>
  <c r="C202" i="19"/>
  <c r="C203" i="19"/>
  <c r="C207" i="19"/>
  <c r="C223" i="19"/>
  <c r="C224" i="19"/>
  <c r="C231" i="19"/>
  <c r="C232" i="19"/>
  <c r="C233" i="19"/>
  <c r="X105" i="18" s="1"/>
  <c r="C210" i="19"/>
  <c r="C211" i="19"/>
  <c r="C212" i="19"/>
  <c r="C263" i="19"/>
  <c r="C264" i="19"/>
  <c r="C265" i="19"/>
  <c r="C193" i="19"/>
  <c r="C194" i="19"/>
  <c r="C228" i="19"/>
  <c r="C146" i="19"/>
  <c r="C147" i="19"/>
  <c r="X94" i="18" s="1"/>
  <c r="C148" i="19"/>
  <c r="C229" i="19"/>
  <c r="X689" i="18" s="1"/>
  <c r="C230" i="19"/>
  <c r="C225" i="19"/>
  <c r="C226" i="19"/>
  <c r="X694" i="18" s="1"/>
  <c r="C227" i="19"/>
  <c r="C254" i="19"/>
  <c r="C255" i="19"/>
  <c r="C256" i="19"/>
  <c r="C4" i="19"/>
  <c r="C5" i="19"/>
  <c r="C89" i="19"/>
  <c r="C90" i="19"/>
  <c r="X713" i="18"/>
  <c r="D84" i="22"/>
  <c r="C84" i="22" s="1"/>
  <c r="D85" i="22"/>
  <c r="C85" i="22" s="1"/>
  <c r="D86" i="22"/>
  <c r="C86" i="22" s="1"/>
  <c r="D87" i="22"/>
  <c r="C87" i="22" s="1"/>
  <c r="D88" i="22"/>
  <c r="C88" i="22" s="1"/>
  <c r="D89" i="22"/>
  <c r="C89" i="22" s="1"/>
  <c r="D90" i="22"/>
  <c r="Z824" i="18" s="1"/>
  <c r="D91" i="22"/>
  <c r="D92" i="22"/>
  <c r="D93" i="22"/>
  <c r="C93" i="22" s="1"/>
  <c r="D94" i="22"/>
  <c r="C94" i="22" s="1"/>
  <c r="D95" i="22"/>
  <c r="C95" i="22" s="1"/>
  <c r="D96" i="22"/>
  <c r="C96" i="22" s="1"/>
  <c r="D97" i="22"/>
  <c r="C97" i="22" s="1"/>
  <c r="D98" i="22"/>
  <c r="C98" i="22" s="1"/>
  <c r="D99" i="22"/>
  <c r="C99" i="22" s="1"/>
  <c r="D100" i="22"/>
  <c r="C100" i="22" s="1"/>
  <c r="D101" i="22"/>
  <c r="C101" i="22" s="1"/>
  <c r="D102" i="22"/>
  <c r="C102" i="22" s="1"/>
  <c r="D103" i="22"/>
  <c r="C103" i="22" s="1"/>
  <c r="D104" i="22"/>
  <c r="C104" i="22" s="1"/>
  <c r="D105" i="22"/>
  <c r="C105" i="22" s="1"/>
  <c r="D106" i="22"/>
  <c r="C106" i="22" s="1"/>
  <c r="W713" i="18"/>
  <c r="W715" i="18" s="1"/>
  <c r="AE834" i="18"/>
  <c r="W729" i="18"/>
  <c r="W731" i="18" s="1"/>
  <c r="AD834" i="18"/>
  <c r="W824" i="18"/>
  <c r="W747" i="18"/>
  <c r="W749" i="18" s="1"/>
  <c r="W701" i="18"/>
  <c r="W703" i="18" s="1"/>
  <c r="CY712" i="18"/>
  <c r="CY705" i="18"/>
  <c r="CY823" i="18"/>
  <c r="CY722" i="18"/>
  <c r="CY700" i="18"/>
  <c r="X2016" i="18" l="1"/>
  <c r="X2014" i="18"/>
  <c r="X98" i="18"/>
  <c r="X80" i="18"/>
  <c r="X86" i="18"/>
  <c r="X97" i="18"/>
  <c r="X76" i="18"/>
  <c r="X261" i="18"/>
  <c r="X254" i="18"/>
  <c r="C722" i="18"/>
  <c r="D154" i="21" s="1"/>
  <c r="EV722" i="18"/>
  <c r="X194" i="18"/>
  <c r="X339" i="18"/>
  <c r="X226" i="18"/>
  <c r="X220" i="18"/>
  <c r="X2035" i="18" s="1"/>
  <c r="X849" i="18"/>
  <c r="X850" i="18"/>
  <c r="X848" i="18"/>
  <c r="X709" i="18"/>
  <c r="X777" i="18"/>
  <c r="C91" i="22"/>
  <c r="Z757" i="18"/>
  <c r="Z713" i="18"/>
  <c r="C90" i="22"/>
  <c r="Z747" i="18"/>
  <c r="W757" i="18"/>
  <c r="W759" i="18" s="1"/>
  <c r="C92" i="22"/>
  <c r="Z729" i="18"/>
  <c r="Z701" i="18"/>
  <c r="AH510" i="18"/>
  <c r="X385" i="18"/>
  <c r="X410" i="18"/>
  <c r="X741" i="18"/>
  <c r="X708" i="18"/>
  <c r="X725" i="18"/>
  <c r="X710" i="18"/>
  <c r="X701" i="18"/>
  <c r="X831" i="18"/>
  <c r="X863" i="18"/>
  <c r="X729" i="18"/>
  <c r="X742" i="18"/>
  <c r="X726" i="18"/>
  <c r="X824" i="18"/>
  <c r="BJ712" i="18"/>
  <c r="F152" i="21"/>
  <c r="F177" i="21"/>
  <c r="BJ722" i="18"/>
  <c r="F154" i="21"/>
  <c r="F150" i="21"/>
  <c r="BM722" i="18"/>
  <c r="E154" i="21"/>
  <c r="C723" i="18"/>
  <c r="W700" i="18"/>
  <c r="E149" i="21"/>
  <c r="BJ705" i="18"/>
  <c r="F151" i="21"/>
  <c r="W712" i="18"/>
  <c r="U705" i="18"/>
  <c r="W823" i="18"/>
  <c r="X834" i="18"/>
  <c r="X853" i="18"/>
  <c r="X868" i="18"/>
  <c r="Z834" i="18"/>
  <c r="AF834" i="18"/>
  <c r="W834" i="18" s="1"/>
  <c r="C705" i="18" l="1"/>
  <c r="D151" i="21" s="1"/>
  <c r="EV705" i="18"/>
  <c r="E151" i="21"/>
  <c r="BM705" i="18"/>
  <c r="D34" i="22"/>
  <c r="C34" i="22" s="1"/>
  <c r="D35" i="22"/>
  <c r="C35" i="22" s="1"/>
  <c r="D36" i="22"/>
  <c r="C36" i="22" s="1"/>
  <c r="D37" i="22"/>
  <c r="Z800" i="18" s="1"/>
  <c r="D45" i="22"/>
  <c r="C45" i="22" s="1"/>
  <c r="D46" i="22"/>
  <c r="C46" i="22" s="1"/>
  <c r="D47" i="22"/>
  <c r="C47" i="22" s="1"/>
  <c r="D48" i="22"/>
  <c r="C48" i="22" s="1"/>
  <c r="AF1" i="22"/>
  <c r="AB1" i="22" s="1"/>
  <c r="BS1" i="22"/>
  <c r="BP1" i="22" s="1"/>
  <c r="BO1" i="22" s="1"/>
  <c r="CJ1" i="22"/>
  <c r="CK1" i="22"/>
  <c r="D122" i="22"/>
  <c r="C122" i="22" s="1"/>
  <c r="D121" i="22"/>
  <c r="C121" i="22" s="1"/>
  <c r="D120" i="22"/>
  <c r="C120" i="22" s="1"/>
  <c r="D119" i="22"/>
  <c r="C119" i="22" s="1"/>
  <c r="D118" i="22"/>
  <c r="C118" i="22" s="1"/>
  <c r="D117" i="22"/>
  <c r="C117" i="22" s="1"/>
  <c r="D116" i="22"/>
  <c r="C116" i="22" s="1"/>
  <c r="D115" i="22"/>
  <c r="C115" i="22" s="1"/>
  <c r="D114" i="22"/>
  <c r="C114" i="22" s="1"/>
  <c r="D113" i="22"/>
  <c r="C113" i="22" s="1"/>
  <c r="D112" i="22"/>
  <c r="C112" i="22" s="1"/>
  <c r="D111" i="22"/>
  <c r="C111" i="22" s="1"/>
  <c r="D110" i="22"/>
  <c r="C110" i="22" s="1"/>
  <c r="D109" i="22"/>
  <c r="C109" i="22" s="1"/>
  <c r="G108" i="22"/>
  <c r="D108" i="22"/>
  <c r="C108" i="22" s="1"/>
  <c r="D107" i="22"/>
  <c r="C107" i="22" s="1"/>
  <c r="D83" i="22"/>
  <c r="C83" i="22" s="1"/>
  <c r="D82" i="22"/>
  <c r="C82" i="22" s="1"/>
  <c r="AD824" i="18"/>
  <c r="D81" i="22"/>
  <c r="C81" i="22" s="1"/>
  <c r="AE824" i="18"/>
  <c r="D80" i="22"/>
  <c r="C80" i="22" s="1"/>
  <c r="D79" i="22"/>
  <c r="C79" i="22" s="1"/>
  <c r="D78" i="22"/>
  <c r="C78" i="22" s="1"/>
  <c r="D77" i="22"/>
  <c r="C77" i="22" s="1"/>
  <c r="D76" i="22"/>
  <c r="C76" i="22" s="1"/>
  <c r="D75" i="22"/>
  <c r="C75" i="22" s="1"/>
  <c r="G31" i="22"/>
  <c r="G121" i="22" s="1"/>
  <c r="D74" i="22"/>
  <c r="C74" i="22" s="1"/>
  <c r="G30" i="22"/>
  <c r="D73" i="22"/>
  <c r="C73" i="22" s="1"/>
  <c r="G29" i="22"/>
  <c r="D72" i="22"/>
  <c r="C72" i="22" s="1"/>
  <c r="G28" i="22"/>
  <c r="D71" i="22"/>
  <c r="C71" i="22" s="1"/>
  <c r="G27" i="22"/>
  <c r="D70" i="22"/>
  <c r="C70" i="22" s="1"/>
  <c r="P26" i="22"/>
  <c r="AO26" i="22" s="1"/>
  <c r="O26" i="22"/>
  <c r="AN26" i="22" s="1"/>
  <c r="M26" i="22"/>
  <c r="AL26" i="22" s="1"/>
  <c r="K26" i="22"/>
  <c r="AJ26" i="22" s="1"/>
  <c r="D69" i="22"/>
  <c r="C69" i="22" s="1"/>
  <c r="N25" i="22"/>
  <c r="AM25" i="22" s="1"/>
  <c r="K25" i="22"/>
  <c r="AJ25" i="22" s="1"/>
  <c r="D68" i="22"/>
  <c r="C68" i="22" s="1"/>
  <c r="D67" i="22"/>
  <c r="C67" i="22" s="1"/>
  <c r="D66" i="22"/>
  <c r="C66" i="22" s="1"/>
  <c r="D65" i="22"/>
  <c r="C65" i="22" s="1"/>
  <c r="D64" i="22"/>
  <c r="C64" i="22" s="1"/>
  <c r="D63" i="22"/>
  <c r="C63" i="22" s="1"/>
  <c r="D62" i="22"/>
  <c r="C62" i="22" s="1"/>
  <c r="AD585" i="18"/>
  <c r="G21" i="22"/>
  <c r="D61" i="22"/>
  <c r="C61" i="22" s="1"/>
  <c r="D60" i="22"/>
  <c r="C60" i="22" s="1"/>
  <c r="G19" i="22"/>
  <c r="G119" i="22" s="1"/>
  <c r="D59" i="22"/>
  <c r="C59" i="22" s="1"/>
  <c r="D58" i="22"/>
  <c r="C58" i="22" s="1"/>
  <c r="G17" i="22"/>
  <c r="G117" i="22" s="1"/>
  <c r="D57" i="22"/>
  <c r="C57" i="22" s="1"/>
  <c r="D56" i="22"/>
  <c r="C56" i="22" s="1"/>
  <c r="G15" i="22"/>
  <c r="G115" i="22" s="1"/>
  <c r="D55" i="22"/>
  <c r="C55" i="22" s="1"/>
  <c r="D54" i="22"/>
  <c r="C54" i="22" s="1"/>
  <c r="AD701" i="18"/>
  <c r="AF701" i="18" s="1"/>
  <c r="G13" i="22"/>
  <c r="G113" i="22" s="1"/>
  <c r="D53" i="22"/>
  <c r="C53" i="22" s="1"/>
  <c r="D52" i="22"/>
  <c r="C52" i="22" s="1"/>
  <c r="K37" i="22"/>
  <c r="G11" i="22"/>
  <c r="G111" i="22" s="1"/>
  <c r="F11" i="22"/>
  <c r="F111" i="22" s="1"/>
  <c r="D51" i="22"/>
  <c r="C51" i="22" s="1"/>
  <c r="U110" i="22"/>
  <c r="S10" i="22"/>
  <c r="S110" i="22" s="1"/>
  <c r="Q10" i="22"/>
  <c r="Q110" i="22" s="1"/>
  <c r="D50" i="22"/>
  <c r="C50" i="22" s="1"/>
  <c r="U109" i="22"/>
  <c r="T9" i="22"/>
  <c r="T109" i="22" s="1"/>
  <c r="Q9" i="22"/>
  <c r="Q109" i="22" s="1"/>
  <c r="N9" i="22"/>
  <c r="K9" i="22"/>
  <c r="H9" i="22"/>
  <c r="H109" i="22" s="1"/>
  <c r="D49" i="22"/>
  <c r="C49" i="22" s="1"/>
  <c r="H8" i="22"/>
  <c r="H108" i="22" s="1"/>
  <c r="D32" i="22"/>
  <c r="C32" i="22" s="1"/>
  <c r="D31" i="22"/>
  <c r="C31" i="22" s="1"/>
  <c r="D30" i="22"/>
  <c r="C30" i="22" s="1"/>
  <c r="D29" i="22"/>
  <c r="C29" i="22" s="1"/>
  <c r="D28" i="22"/>
  <c r="C28" i="22" s="1"/>
  <c r="D27" i="22"/>
  <c r="C27" i="22" s="1"/>
  <c r="D26" i="22"/>
  <c r="C26" i="22" s="1"/>
  <c r="D25" i="22"/>
  <c r="C25" i="22" s="1"/>
  <c r="D24" i="22"/>
  <c r="C24" i="22" s="1"/>
  <c r="D23" i="22"/>
  <c r="C23" i="22" s="1"/>
  <c r="D22" i="22"/>
  <c r="C22" i="22" s="1"/>
  <c r="D21" i="22"/>
  <c r="C21" i="22" s="1"/>
  <c r="D20" i="22"/>
  <c r="C20" i="22" s="1"/>
  <c r="D19" i="22"/>
  <c r="C19" i="22" s="1"/>
  <c r="D18" i="22"/>
  <c r="C18" i="22" s="1"/>
  <c r="D17" i="22"/>
  <c r="C17" i="22" s="1"/>
  <c r="D16" i="22"/>
  <c r="C16" i="22" s="1"/>
  <c r="D15" i="22"/>
  <c r="C15" i="22" s="1"/>
  <c r="D14" i="22"/>
  <c r="C14" i="22" s="1"/>
  <c r="D13" i="22"/>
  <c r="C13" i="22" s="1"/>
  <c r="D12" i="22"/>
  <c r="C12" i="22" s="1"/>
  <c r="D11" i="22"/>
  <c r="C11" i="22" s="1"/>
  <c r="AO10" i="22"/>
  <c r="AM10" i="22"/>
  <c r="D10" i="22"/>
  <c r="C10" i="22" s="1"/>
  <c r="D9" i="22"/>
  <c r="C9" i="22" s="1"/>
  <c r="D8" i="22"/>
  <c r="C8" i="22" s="1"/>
  <c r="D7" i="22"/>
  <c r="C7" i="22" s="1"/>
  <c r="D6" i="22"/>
  <c r="C6" i="22" s="1"/>
  <c r="D5" i="22"/>
  <c r="C5" i="22" s="1"/>
  <c r="D4" i="22"/>
  <c r="C4" i="22" s="1"/>
  <c r="AF587" i="18" l="1"/>
  <c r="W585" i="18"/>
  <c r="L38" i="22"/>
  <c r="M42" i="22"/>
  <c r="M40" i="22"/>
  <c r="M38" i="22"/>
  <c r="M10" i="22"/>
  <c r="AL10" i="22" s="1"/>
  <c r="M36" i="22"/>
  <c r="K10" i="22"/>
  <c r="AJ10" i="22" s="1"/>
  <c r="K36" i="22"/>
  <c r="AD800" i="18"/>
  <c r="W800" i="18" s="1"/>
  <c r="L42" i="22"/>
  <c r="L40" i="22"/>
  <c r="M66" i="22"/>
  <c r="L66" i="22"/>
  <c r="H39" i="22"/>
  <c r="N39" i="22"/>
  <c r="W863" i="18" s="1"/>
  <c r="AF824" i="18"/>
  <c r="W826" i="18" s="1"/>
  <c r="Q37" i="22"/>
  <c r="K41" i="22"/>
  <c r="W811" i="18" s="1"/>
  <c r="Q41" i="22"/>
  <c r="F45" i="22"/>
  <c r="C37" i="22"/>
  <c r="Z868" i="18"/>
  <c r="V12" i="22"/>
  <c r="Z863" i="18"/>
  <c r="H37" i="22"/>
  <c r="N37" i="22"/>
  <c r="W868" i="18" s="1"/>
  <c r="H41" i="22"/>
  <c r="N41" i="22"/>
  <c r="W853" i="18" s="1"/>
  <c r="K39" i="22"/>
  <c r="W805" i="18" s="1"/>
  <c r="Q39" i="22"/>
  <c r="Z853" i="18"/>
  <c r="V13" i="22"/>
  <c r="V21" i="22"/>
  <c r="V17" i="22"/>
  <c r="U10" i="22"/>
  <c r="K109" i="22"/>
  <c r="AJ9" i="22"/>
  <c r="V16" i="22"/>
  <c r="V14" i="22"/>
  <c r="U9" i="22"/>
  <c r="V18" i="22"/>
  <c r="V19" i="22"/>
  <c r="V11" i="22"/>
  <c r="BR1" i="22"/>
  <c r="CC1" i="22"/>
  <c r="AE1" i="22"/>
  <c r="B9" i="30" s="1"/>
  <c r="K110" i="22"/>
  <c r="AM9" i="22"/>
  <c r="N109" i="22"/>
  <c r="V15" i="22"/>
  <c r="V20" i="22"/>
  <c r="W587" i="18" l="1"/>
  <c r="M44" i="22"/>
  <c r="W790" i="18" s="1"/>
  <c r="W792" i="18" s="1"/>
  <c r="K43" i="22"/>
  <c r="L44" i="22"/>
  <c r="W768" i="18" s="1"/>
  <c r="W770" i="18" s="1"/>
  <c r="M110" i="22"/>
  <c r="N43" i="22"/>
  <c r="H43" i="22"/>
  <c r="Q43" i="22"/>
  <c r="BQ1" i="22"/>
  <c r="Z3" i="18"/>
  <c r="CE1" i="22"/>
  <c r="B38" i="22" l="1"/>
  <c r="A38" i="22" s="1"/>
  <c r="B39" i="22"/>
  <c r="A39" i="22" s="1"/>
  <c r="B40" i="22"/>
  <c r="A40" i="22" s="1"/>
  <c r="B41" i="22"/>
  <c r="A41" i="22" s="1"/>
  <c r="B42" i="22"/>
  <c r="A42" i="22" s="1"/>
  <c r="B43" i="22"/>
  <c r="A43" i="22" s="1"/>
  <c r="B44" i="22"/>
  <c r="A44" i="22" s="1"/>
  <c r="B92" i="22"/>
  <c r="AH834" i="18" s="1"/>
  <c r="EN1" i="18"/>
  <c r="B49" i="22"/>
  <c r="A49" i="22" s="1"/>
  <c r="B117" i="22"/>
  <c r="A117" i="22" s="1"/>
  <c r="B30" i="22"/>
  <c r="A30" i="22" s="1"/>
  <c r="B52" i="22"/>
  <c r="A52" i="22" s="1"/>
  <c r="B36" i="22"/>
  <c r="A36" i="22" s="1"/>
  <c r="B16" i="22"/>
  <c r="A16" i="22" s="1"/>
  <c r="B21" i="22"/>
  <c r="A21" i="22" s="1"/>
  <c r="B11" i="22"/>
  <c r="A11" i="22" s="1"/>
  <c r="B83" i="22"/>
  <c r="B122" i="22"/>
  <c r="A122" i="22" s="1"/>
  <c r="B81" i="22"/>
  <c r="BN1" i="22"/>
  <c r="B65" i="22"/>
  <c r="A65" i="22" s="1"/>
  <c r="B9" i="22"/>
  <c r="A9" i="22" s="1"/>
  <c r="B105" i="22"/>
  <c r="A105" i="22" s="1"/>
  <c r="B56" i="22"/>
  <c r="A56" i="22" s="1"/>
  <c r="B62" i="22"/>
  <c r="A62" i="22" s="1"/>
  <c r="B67" i="22"/>
  <c r="A67" i="22" s="1"/>
  <c r="B22" i="22"/>
  <c r="A22" i="22" s="1"/>
  <c r="B48" i="22"/>
  <c r="A48" i="22" s="1"/>
  <c r="B100" i="22"/>
  <c r="A100" i="22" s="1"/>
  <c r="B93" i="22"/>
  <c r="A93" i="22" s="1"/>
  <c r="B70" i="22"/>
  <c r="A70" i="22" s="1"/>
  <c r="B10" i="22"/>
  <c r="A10" i="22" s="1"/>
  <c r="B110" i="22"/>
  <c r="A110" i="22" s="1"/>
  <c r="B120" i="22"/>
  <c r="A120" i="22" s="1"/>
  <c r="B61" i="22"/>
  <c r="B80" i="22"/>
  <c r="A80" i="22" s="1"/>
  <c r="B116" i="22"/>
  <c r="A116" i="22" s="1"/>
  <c r="B73" i="22"/>
  <c r="B8" i="22"/>
  <c r="A8" i="22" s="1"/>
  <c r="B79" i="22"/>
  <c r="A79" i="22" s="1"/>
  <c r="B55" i="22"/>
  <c r="A55" i="22" s="1"/>
  <c r="B7" i="22"/>
  <c r="A7" i="22" s="1"/>
  <c r="B27" i="22"/>
  <c r="A27" i="22" s="1"/>
  <c r="B114" i="22"/>
  <c r="A114" i="22" s="1"/>
  <c r="B12" i="22"/>
  <c r="A12" i="22" s="1"/>
  <c r="B47" i="22"/>
  <c r="A47" i="22" s="1"/>
  <c r="B37" i="22"/>
  <c r="A37" i="22" s="1"/>
  <c r="B104" i="22"/>
  <c r="A104" i="22" s="1"/>
  <c r="B98" i="22"/>
  <c r="A98" i="22" s="1"/>
  <c r="B90" i="22"/>
  <c r="B76" i="22"/>
  <c r="A76" i="22" s="1"/>
  <c r="B60" i="22"/>
  <c r="A60" i="22" s="1"/>
  <c r="A4" i="22"/>
  <c r="B6" i="22"/>
  <c r="A6" i="22" s="1"/>
  <c r="B28" i="22"/>
  <c r="A28" i="22" s="1"/>
  <c r="B63" i="22"/>
  <c r="A63" i="22" s="1"/>
  <c r="B50" i="22"/>
  <c r="A50" i="22" s="1"/>
  <c r="B20" i="22"/>
  <c r="A20" i="22" s="1"/>
  <c r="B14" i="22"/>
  <c r="A14" i="22" s="1"/>
  <c r="B72" i="22"/>
  <c r="A72" i="22" s="1"/>
  <c r="B31" i="22"/>
  <c r="A31" i="22" s="1"/>
  <c r="B26" i="22"/>
  <c r="A26" i="22" s="1"/>
  <c r="B69" i="22"/>
  <c r="A69" i="22" s="1"/>
  <c r="B24" i="22"/>
  <c r="A24" i="22" s="1"/>
  <c r="B23" i="22"/>
  <c r="A23" i="22" s="1"/>
  <c r="B15" i="22"/>
  <c r="A15" i="22" s="1"/>
  <c r="B59" i="22"/>
  <c r="A59" i="22" s="1"/>
  <c r="B58" i="22"/>
  <c r="A58" i="22" s="1"/>
  <c r="B45" i="22"/>
  <c r="A45" i="22" s="1"/>
  <c r="B35" i="22"/>
  <c r="A35" i="22" s="1"/>
  <c r="B102" i="22"/>
  <c r="A102" i="22" s="1"/>
  <c r="B97" i="22"/>
  <c r="A97" i="22" s="1"/>
  <c r="B86" i="22"/>
  <c r="A86" i="22" s="1"/>
  <c r="B17" i="22"/>
  <c r="A17" i="22" s="1"/>
  <c r="B113" i="22"/>
  <c r="A113" i="22" s="1"/>
  <c r="B68" i="22"/>
  <c r="A68" i="22" s="1"/>
  <c r="B29" i="22"/>
  <c r="A29" i="22" s="1"/>
  <c r="B71" i="22"/>
  <c r="A71" i="22" s="1"/>
  <c r="B25" i="22"/>
  <c r="A25" i="22" s="1"/>
  <c r="B64" i="22"/>
  <c r="B112" i="22"/>
  <c r="A112" i="22" s="1"/>
  <c r="B19" i="22"/>
  <c r="A19" i="22" s="1"/>
  <c r="B118" i="22"/>
  <c r="A118" i="22" s="1"/>
  <c r="B54" i="22"/>
  <c r="A54" i="22" s="1"/>
  <c r="B13" i="22"/>
  <c r="A13" i="22" s="1"/>
  <c r="B78" i="22"/>
  <c r="B121" i="22"/>
  <c r="A121" i="22" s="1"/>
  <c r="B5" i="22"/>
  <c r="A5" i="22" s="1"/>
  <c r="B77" i="22"/>
  <c r="A77" i="22" s="1"/>
  <c r="B32" i="22"/>
  <c r="A32" i="22" s="1"/>
  <c r="B108" i="22"/>
  <c r="B18" i="22"/>
  <c r="A18" i="22" s="1"/>
  <c r="B46" i="22"/>
  <c r="A46" i="22" s="1"/>
  <c r="B106" i="22"/>
  <c r="A106" i="22" s="1"/>
  <c r="B101" i="22"/>
  <c r="A101" i="22" s="1"/>
  <c r="B96" i="22"/>
  <c r="A96" i="22" s="1"/>
  <c r="B87" i="22"/>
  <c r="A87" i="22" s="1"/>
  <c r="B33" i="22"/>
  <c r="A33" i="22" s="1"/>
  <c r="B53" i="22"/>
  <c r="B75" i="22"/>
  <c r="A75" i="22" s="1"/>
  <c r="B107" i="22"/>
  <c r="A107" i="22" s="1"/>
  <c r="B115" i="22"/>
  <c r="A115" i="22" s="1"/>
  <c r="B51" i="22"/>
  <c r="A51" i="22" s="1"/>
  <c r="B66" i="22"/>
  <c r="A66" i="22" s="1"/>
  <c r="B82" i="22"/>
  <c r="A82" i="22" s="1"/>
  <c r="B109" i="22"/>
  <c r="A109" i="22" s="1"/>
  <c r="B74" i="22"/>
  <c r="A74" i="22" s="1"/>
  <c r="B57" i="22"/>
  <c r="A57" i="22" s="1"/>
  <c r="B111" i="22"/>
  <c r="A111" i="22" s="1"/>
  <c r="B34" i="22"/>
  <c r="A34" i="22" s="1"/>
  <c r="B119" i="22"/>
  <c r="A119" i="22" s="1"/>
  <c r="B103" i="22"/>
  <c r="A103" i="22" s="1"/>
  <c r="B99" i="22"/>
  <c r="A99" i="22" s="1"/>
  <c r="B94" i="22"/>
  <c r="A94" i="22" s="1"/>
  <c r="B88" i="22"/>
  <c r="A88" i="22" s="1"/>
  <c r="B85" i="22"/>
  <c r="A85" i="22" s="1"/>
  <c r="B89" i="22"/>
  <c r="A89" i="22" s="1"/>
  <c r="B84" i="22"/>
  <c r="A84" i="22" s="1"/>
  <c r="B95" i="22"/>
  <c r="A95" i="22" s="1"/>
  <c r="B91" i="22"/>
  <c r="A91" i="22" s="1"/>
  <c r="U585" i="18" l="1"/>
  <c r="EV585" i="18" s="1"/>
  <c r="A61" i="22"/>
  <c r="EN774" i="18"/>
  <c r="EN805" i="18"/>
  <c r="EN811" i="18"/>
  <c r="EN790" i="18"/>
  <c r="A90" i="22"/>
  <c r="EN800" i="18"/>
  <c r="EN757" i="18"/>
  <c r="EN768" i="18"/>
  <c r="A83" i="22"/>
  <c r="A78" i="22"/>
  <c r="EN729" i="18"/>
  <c r="EN747" i="18"/>
  <c r="A73" i="22"/>
  <c r="A53" i="22"/>
  <c r="AH701" i="18"/>
  <c r="A64" i="22"/>
  <c r="EN824" i="18"/>
  <c r="EN713" i="18"/>
  <c r="EN701" i="18"/>
  <c r="A81" i="22"/>
  <c r="AH824" i="18"/>
  <c r="A92" i="22"/>
  <c r="EN863" i="18"/>
  <c r="EN853" i="18"/>
  <c r="EN834" i="18"/>
  <c r="EN868" i="18"/>
  <c r="A108" i="22"/>
  <c r="G185" i="21"/>
  <c r="H185" i="21"/>
  <c r="I185" i="21"/>
  <c r="J185" i="21"/>
  <c r="K185" i="21"/>
  <c r="EJ860" i="18"/>
  <c r="CU860" i="18"/>
  <c r="E860" i="18" s="1"/>
  <c r="C860" i="18"/>
  <c r="C859" i="18"/>
  <c r="EJ858" i="18"/>
  <c r="DT858" i="18"/>
  <c r="CU858" i="18"/>
  <c r="E858" i="18" s="1"/>
  <c r="C858" i="18"/>
  <c r="E857" i="18"/>
  <c r="BJ857" i="18" s="1"/>
  <c r="G184" i="21"/>
  <c r="H184" i="21"/>
  <c r="I184" i="21"/>
  <c r="J184" i="21"/>
  <c r="K184" i="21"/>
  <c r="C856" i="18"/>
  <c r="EJ855" i="18"/>
  <c r="C854" i="18"/>
  <c r="E852" i="18"/>
  <c r="BJ852" i="18" s="1"/>
  <c r="G183" i="21"/>
  <c r="H183" i="21"/>
  <c r="I183" i="21"/>
  <c r="J183" i="21"/>
  <c r="K183" i="21"/>
  <c r="C851" i="18"/>
  <c r="EJ865" i="18"/>
  <c r="CU865" i="18"/>
  <c r="E865" i="18" s="1"/>
  <c r="C865" i="18"/>
  <c r="C864" i="18"/>
  <c r="E862" i="18"/>
  <c r="BJ862" i="18" s="1"/>
  <c r="G182" i="21"/>
  <c r="H182" i="21"/>
  <c r="I182" i="21"/>
  <c r="J182" i="21"/>
  <c r="K182" i="21"/>
  <c r="C861" i="18"/>
  <c r="EJ870" i="18"/>
  <c r="C869" i="18"/>
  <c r="E867" i="18"/>
  <c r="BJ867" i="18" s="1"/>
  <c r="G178" i="21"/>
  <c r="H178" i="21"/>
  <c r="I178" i="21"/>
  <c r="J178" i="21"/>
  <c r="K178" i="21"/>
  <c r="CY852" i="18"/>
  <c r="CY857" i="18"/>
  <c r="CY867" i="18"/>
  <c r="CY862" i="18"/>
  <c r="F183" i="21" l="1"/>
  <c r="F182" i="21"/>
  <c r="F184" i="21"/>
  <c r="F185" i="21"/>
  <c r="W857" i="18"/>
  <c r="U857" i="18"/>
  <c r="W862" i="18"/>
  <c r="C866" i="18"/>
  <c r="C830" i="18"/>
  <c r="EJ829" i="18"/>
  <c r="DT829" i="18"/>
  <c r="CU829" i="18"/>
  <c r="E829" i="18" s="1"/>
  <c r="U828" i="18"/>
  <c r="EV828" i="18" s="1"/>
  <c r="E828" i="18"/>
  <c r="G181" i="21"/>
  <c r="H181" i="21"/>
  <c r="I181" i="21"/>
  <c r="J181" i="21"/>
  <c r="K181" i="21"/>
  <c r="C827" i="18"/>
  <c r="C845" i="18"/>
  <c r="EJ844" i="18"/>
  <c r="DT844" i="18"/>
  <c r="CU844" i="18"/>
  <c r="E844" i="18" s="1"/>
  <c r="U843" i="18"/>
  <c r="EV843" i="18" s="1"/>
  <c r="E843" i="18"/>
  <c r="BJ843" i="18" s="1"/>
  <c r="BM843" i="18"/>
  <c r="G179" i="21"/>
  <c r="H179" i="21"/>
  <c r="I179" i="21"/>
  <c r="J179" i="21"/>
  <c r="K179" i="21"/>
  <c r="G176" i="21"/>
  <c r="H176" i="21"/>
  <c r="I176" i="21"/>
  <c r="J176" i="21"/>
  <c r="K176" i="21"/>
  <c r="L176" i="21"/>
  <c r="M176" i="21"/>
  <c r="N176" i="21"/>
  <c r="W836" i="18"/>
  <c r="C842" i="18"/>
  <c r="EJ836" i="18"/>
  <c r="CU836" i="18"/>
  <c r="E836" i="18" s="1"/>
  <c r="C836" i="18"/>
  <c r="C835" i="18"/>
  <c r="DT834" i="18"/>
  <c r="E833" i="18"/>
  <c r="BJ833" i="18" s="1"/>
  <c r="C822" i="18"/>
  <c r="E821" i="18"/>
  <c r="F176" i="21" s="1"/>
  <c r="C821" i="18"/>
  <c r="D176" i="21" s="1"/>
  <c r="C820" i="18"/>
  <c r="G146" i="21"/>
  <c r="H146" i="21"/>
  <c r="I146" i="21"/>
  <c r="J146" i="21"/>
  <c r="K146" i="21"/>
  <c r="G145" i="21"/>
  <c r="H145" i="21"/>
  <c r="I145" i="21"/>
  <c r="J145" i="21"/>
  <c r="K145" i="21"/>
  <c r="G142" i="21"/>
  <c r="H142" i="21"/>
  <c r="I142" i="21"/>
  <c r="J142" i="21"/>
  <c r="K142" i="21"/>
  <c r="L142" i="21"/>
  <c r="M142" i="21"/>
  <c r="N142" i="21"/>
  <c r="G144" i="21"/>
  <c r="H144" i="21"/>
  <c r="I144" i="21"/>
  <c r="J144" i="21"/>
  <c r="K144" i="21"/>
  <c r="M144" i="21"/>
  <c r="N144" i="21"/>
  <c r="X682" i="18"/>
  <c r="EJ682" i="18" s="1"/>
  <c r="E672" i="18"/>
  <c r="F142" i="21" s="1"/>
  <c r="EJ691" i="18"/>
  <c r="C690" i="18"/>
  <c r="DT689" i="18"/>
  <c r="E688" i="18"/>
  <c r="BJ688" i="18" s="1"/>
  <c r="C687" i="18"/>
  <c r="E681" i="18"/>
  <c r="BJ681" i="18" s="1"/>
  <c r="C673" i="18"/>
  <c r="C672" i="18"/>
  <c r="D142" i="21" s="1"/>
  <c r="C624" i="18"/>
  <c r="CY843" i="18"/>
  <c r="CY833" i="18"/>
  <c r="CY688" i="18"/>
  <c r="CY828" i="18"/>
  <c r="CY681" i="18"/>
  <c r="BM857" i="18" l="1"/>
  <c r="EV857" i="18"/>
  <c r="E185" i="21"/>
  <c r="C857" i="18"/>
  <c r="D185" i="21" s="1"/>
  <c r="F179" i="21"/>
  <c r="F145" i="21"/>
  <c r="F144" i="21"/>
  <c r="F146" i="21"/>
  <c r="BJ828" i="18"/>
  <c r="F178" i="21"/>
  <c r="C829" i="18"/>
  <c r="C843" i="18"/>
  <c r="D181" i="21" s="1"/>
  <c r="C844" i="18"/>
  <c r="BM828" i="18"/>
  <c r="E178" i="21"/>
  <c r="E176" i="21"/>
  <c r="E181" i="21"/>
  <c r="C828" i="18"/>
  <c r="D178" i="21" s="1"/>
  <c r="F181" i="21"/>
  <c r="W833" i="18"/>
  <c r="E142" i="21"/>
  <c r="C26" i="18"/>
  <c r="EJ20" i="18"/>
  <c r="C20" i="18"/>
  <c r="C19" i="18"/>
  <c r="EJ24" i="18"/>
  <c r="CU24" i="18"/>
  <c r="E24" i="18" s="1"/>
  <c r="C24" i="18"/>
  <c r="CU18" i="18"/>
  <c r="E18" i="18" s="1"/>
  <c r="C18" i="18"/>
  <c r="AD346" i="18" l="1"/>
  <c r="W346" i="18" s="1"/>
  <c r="AH345" i="18"/>
  <c r="AF345" i="18"/>
  <c r="AD345" i="18"/>
  <c r="W338" i="18"/>
  <c r="W340" i="18"/>
  <c r="W342" i="18" s="1"/>
  <c r="W339" i="18"/>
  <c r="C341" i="18"/>
  <c r="C332" i="18"/>
  <c r="C327" i="18"/>
  <c r="C322" i="18"/>
  <c r="C317" i="18"/>
  <c r="U313" i="18"/>
  <c r="EV313" i="18" s="1"/>
  <c r="AF311" i="18"/>
  <c r="W311" i="18" s="1"/>
  <c r="AJ304" i="18" s="1"/>
  <c r="AL304" i="18" s="1"/>
  <c r="AP304" i="18" s="1"/>
  <c r="W304" i="18" s="1"/>
  <c r="C312" i="18"/>
  <c r="C305" i="18"/>
  <c r="C298" i="18"/>
  <c r="C293" i="18"/>
  <c r="C288" i="18"/>
  <c r="C283" i="18"/>
  <c r="W270" i="18"/>
  <c r="AO268" i="18"/>
  <c r="AN268" i="18"/>
  <c r="AP268" i="18"/>
  <c r="X268" i="18"/>
  <c r="X308" i="18"/>
  <c r="X340" i="18"/>
  <c r="W313" i="18" l="1"/>
  <c r="AH307" i="18"/>
  <c r="AJ345" i="18"/>
  <c r="W345" i="18" s="1"/>
  <c r="W267" i="18"/>
  <c r="AL274" i="18" l="1"/>
  <c r="AH274" i="18"/>
  <c r="AD277" i="18" s="1"/>
  <c r="W277" i="18" s="1"/>
  <c r="C276" i="18"/>
  <c r="C271" i="18"/>
  <c r="C269" i="18"/>
  <c r="AM274" i="18" l="1"/>
  <c r="W274" i="18" s="1"/>
  <c r="W273" i="18" s="1"/>
  <c r="X275" i="18"/>
  <c r="X274" i="18"/>
  <c r="C260" i="18" l="1"/>
  <c r="AI247" i="18"/>
  <c r="AH247" i="18"/>
  <c r="AD107" i="18"/>
  <c r="C108" i="18"/>
  <c r="EJ107" i="18"/>
  <c r="CU107" i="18"/>
  <c r="E107" i="18" s="1"/>
  <c r="W103" i="18"/>
  <c r="E103" i="18"/>
  <c r="BJ103" i="18" s="1"/>
  <c r="CY103" i="18"/>
  <c r="C107" i="18" l="1"/>
  <c r="AE250" i="18" l="1"/>
  <c r="EJ250" i="18"/>
  <c r="G71" i="21"/>
  <c r="H71" i="21"/>
  <c r="I71" i="21"/>
  <c r="J71" i="21"/>
  <c r="K71" i="21"/>
  <c r="L71" i="21"/>
  <c r="M71" i="21"/>
  <c r="G72" i="21"/>
  <c r="H72" i="21"/>
  <c r="I72" i="21"/>
  <c r="J72" i="21"/>
  <c r="K72" i="21"/>
  <c r="N71" i="21"/>
  <c r="A71" i="21"/>
  <c r="A72" i="21"/>
  <c r="G67" i="21"/>
  <c r="H67" i="21"/>
  <c r="I67" i="21"/>
  <c r="J67" i="21"/>
  <c r="K67" i="21"/>
  <c r="A67" i="21"/>
  <c r="G60" i="21"/>
  <c r="H60" i="21"/>
  <c r="I60" i="21"/>
  <c r="J60" i="21"/>
  <c r="K60" i="21"/>
  <c r="A60" i="21"/>
  <c r="EJ352" i="18"/>
  <c r="C352" i="18"/>
  <c r="EJ351" i="18"/>
  <c r="U350" i="18"/>
  <c r="E350" i="18"/>
  <c r="BJ350" i="18" s="1"/>
  <c r="C349" i="18"/>
  <c r="E348" i="18"/>
  <c r="F71" i="21" s="1"/>
  <c r="E71" i="21"/>
  <c r="C347" i="18"/>
  <c r="EJ333" i="18"/>
  <c r="W330" i="18"/>
  <c r="EJ331" i="18"/>
  <c r="E330" i="18"/>
  <c r="BJ330" i="18" s="1"/>
  <c r="C329" i="18"/>
  <c r="EJ299" i="18"/>
  <c r="W296" i="18"/>
  <c r="EJ297" i="18"/>
  <c r="E296" i="18"/>
  <c r="BJ296" i="18" s="1"/>
  <c r="C295" i="18"/>
  <c r="C300" i="18"/>
  <c r="C301" i="18"/>
  <c r="E301" i="18"/>
  <c r="C302" i="18"/>
  <c r="E303" i="18"/>
  <c r="BJ303" i="18" s="1"/>
  <c r="CY330" i="18"/>
  <c r="CY350" i="18"/>
  <c r="CY296" i="18"/>
  <c r="CY303" i="18"/>
  <c r="C350" i="18" l="1"/>
  <c r="D72" i="21" s="1"/>
  <c r="EV350" i="18"/>
  <c r="F60" i="21"/>
  <c r="F72" i="21"/>
  <c r="F67" i="21"/>
  <c r="C299" i="18"/>
  <c r="C348" i="18"/>
  <c r="D71" i="21" s="1"/>
  <c r="E72" i="21"/>
  <c r="C351" i="18"/>
  <c r="C333" i="18"/>
  <c r="BM350" i="18"/>
  <c r="W350" i="18"/>
  <c r="G75" i="21"/>
  <c r="H75" i="21"/>
  <c r="I75" i="21"/>
  <c r="J75" i="21"/>
  <c r="K75" i="21"/>
  <c r="G74" i="21"/>
  <c r="H74" i="21"/>
  <c r="I74" i="21"/>
  <c r="J74" i="21"/>
  <c r="K74" i="21"/>
  <c r="G73" i="21"/>
  <c r="H73" i="21"/>
  <c r="I73" i="21"/>
  <c r="J73" i="21"/>
  <c r="K73" i="21"/>
  <c r="L73" i="21"/>
  <c r="M73" i="21"/>
  <c r="N73" i="21"/>
  <c r="A73" i="21"/>
  <c r="A74" i="21"/>
  <c r="A75" i="21"/>
  <c r="EJ362" i="18"/>
  <c r="C362" i="18"/>
  <c r="E360" i="18"/>
  <c r="BJ360" i="18" s="1"/>
  <c r="C359" i="18"/>
  <c r="EJ358" i="18"/>
  <c r="C358" i="18"/>
  <c r="E356" i="18"/>
  <c r="BJ356" i="18" s="1"/>
  <c r="C355" i="18"/>
  <c r="E354" i="18"/>
  <c r="F73" i="21" s="1"/>
  <c r="E73" i="21"/>
  <c r="C334" i="18"/>
  <c r="DI356" i="18"/>
  <c r="DF360" i="18"/>
  <c r="DO360" i="18"/>
  <c r="DO356" i="18"/>
  <c r="DA356" i="18"/>
  <c r="DH356" i="18"/>
  <c r="DD356" i="18"/>
  <c r="DK360" i="18"/>
  <c r="DH360" i="18"/>
  <c r="DD360" i="18"/>
  <c r="DG360" i="18"/>
  <c r="DJ360" i="18"/>
  <c r="DA360" i="18"/>
  <c r="DK356" i="18"/>
  <c r="DL356" i="18"/>
  <c r="DE356" i="18"/>
  <c r="DG356" i="18"/>
  <c r="DB356" i="18"/>
  <c r="DC360" i="18"/>
  <c r="DM356" i="18"/>
  <c r="CY360" i="18"/>
  <c r="CZ356" i="18"/>
  <c r="DF356" i="18"/>
  <c r="CZ360" i="18"/>
  <c r="DC356" i="18"/>
  <c r="DN360" i="18"/>
  <c r="DJ356" i="18"/>
  <c r="DN356" i="18"/>
  <c r="DE360" i="18"/>
  <c r="DM360" i="18"/>
  <c r="DI360" i="18"/>
  <c r="CY356" i="18"/>
  <c r="DB360" i="18"/>
  <c r="DL360" i="18"/>
  <c r="F75" i="21" l="1"/>
  <c r="F74" i="21"/>
  <c r="C354" i="18"/>
  <c r="D73" i="21" s="1"/>
  <c r="W360" i="18"/>
  <c r="W356" i="18"/>
  <c r="G68" i="21"/>
  <c r="H68" i="21"/>
  <c r="I68" i="21"/>
  <c r="J68" i="21"/>
  <c r="K68" i="21"/>
  <c r="L68" i="21"/>
  <c r="M68" i="21"/>
  <c r="N68" i="21"/>
  <c r="C336" i="18"/>
  <c r="E335" i="18"/>
  <c r="F68" i="21" s="1"/>
  <c r="C335" i="18"/>
  <c r="D68" i="21" s="1"/>
  <c r="G64" i="21"/>
  <c r="H64" i="21"/>
  <c r="I64" i="21"/>
  <c r="J64" i="21"/>
  <c r="K64" i="21"/>
  <c r="A64" i="21"/>
  <c r="A65" i="21"/>
  <c r="G62" i="21"/>
  <c r="H62" i="21"/>
  <c r="I62" i="21"/>
  <c r="J62" i="21"/>
  <c r="K62" i="21"/>
  <c r="C314" i="18"/>
  <c r="G56" i="21"/>
  <c r="H56" i="21"/>
  <c r="I56" i="21"/>
  <c r="J56" i="21"/>
  <c r="K56" i="21"/>
  <c r="L56" i="21"/>
  <c r="M56" i="21"/>
  <c r="N56" i="21"/>
  <c r="A56" i="21"/>
  <c r="E279" i="18"/>
  <c r="F56" i="21" s="1"/>
  <c r="C279" i="18"/>
  <c r="D56" i="21" s="1"/>
  <c r="C278" i="18"/>
  <c r="G55" i="21"/>
  <c r="H55" i="21"/>
  <c r="I55" i="21"/>
  <c r="J55" i="21"/>
  <c r="K55" i="21"/>
  <c r="EJ277" i="18"/>
  <c r="E272" i="18"/>
  <c r="BJ272" i="18" s="1"/>
  <c r="G54" i="21"/>
  <c r="H54" i="21"/>
  <c r="I54" i="21"/>
  <c r="J54" i="21"/>
  <c r="K54" i="21"/>
  <c r="G53" i="21"/>
  <c r="H53" i="21"/>
  <c r="I53" i="21"/>
  <c r="J53" i="21"/>
  <c r="K53" i="21"/>
  <c r="L53" i="21"/>
  <c r="M53" i="21"/>
  <c r="N53" i="21"/>
  <c r="G50" i="21"/>
  <c r="H50" i="21"/>
  <c r="I50" i="21"/>
  <c r="J50" i="21"/>
  <c r="K50" i="21"/>
  <c r="L50" i="21"/>
  <c r="M50" i="21"/>
  <c r="N50" i="21"/>
  <c r="A51" i="21"/>
  <c r="EJ270" i="18"/>
  <c r="E266" i="18"/>
  <c r="BJ266" i="18" s="1"/>
  <c r="C265" i="18"/>
  <c r="E264" i="18"/>
  <c r="F53" i="21" s="1"/>
  <c r="E53" i="21"/>
  <c r="C263" i="18"/>
  <c r="C244" i="18"/>
  <c r="E243" i="18"/>
  <c r="F50" i="21" s="1"/>
  <c r="C243" i="18"/>
  <c r="D50" i="21" s="1"/>
  <c r="A53" i="21"/>
  <c r="A54" i="21"/>
  <c r="A55" i="21"/>
  <c r="A57" i="21"/>
  <c r="CY266" i="18"/>
  <c r="CY272" i="18"/>
  <c r="C304" i="18" l="1"/>
  <c r="U326" i="18" s="1"/>
  <c r="U303" i="18"/>
  <c r="E68" i="21"/>
  <c r="E56" i="21"/>
  <c r="C264" i="18"/>
  <c r="D53" i="21" s="1"/>
  <c r="F55" i="21"/>
  <c r="E50" i="21"/>
  <c r="F54" i="21"/>
  <c r="G51" i="21"/>
  <c r="H51" i="21"/>
  <c r="I51" i="21"/>
  <c r="J51" i="21"/>
  <c r="K51" i="21"/>
  <c r="EJ246" i="18"/>
  <c r="E245" i="18"/>
  <c r="BJ245" i="18" s="1"/>
  <c r="C242" i="18"/>
  <c r="CY245" i="18"/>
  <c r="E62" i="21" l="1"/>
  <c r="EV303" i="18"/>
  <c r="C303" i="18"/>
  <c r="D62" i="21" s="1"/>
  <c r="BM303" i="18"/>
  <c r="U331" i="18"/>
  <c r="EV331" i="18" s="1"/>
  <c r="EV326" i="18"/>
  <c r="U321" i="18"/>
  <c r="EV321" i="18" s="1"/>
  <c r="U316" i="18"/>
  <c r="EV316" i="18" s="1"/>
  <c r="F51" i="21"/>
  <c r="C233" i="18" l="1"/>
  <c r="C240" i="18"/>
  <c r="AH237" i="18"/>
  <c r="W238" i="18"/>
  <c r="AF237" i="18"/>
  <c r="AJ237" i="18" l="1"/>
  <c r="W237" i="18" s="1"/>
  <c r="W241" i="18" l="1"/>
  <c r="AR232" i="18"/>
  <c r="W232" i="18" s="1"/>
  <c r="W234" i="18" s="1"/>
  <c r="C20" i="19"/>
  <c r="C19" i="19"/>
  <c r="X239" i="18" s="1"/>
  <c r="C201" i="18"/>
  <c r="X232" i="18" l="1"/>
  <c r="AG199" i="18"/>
  <c r="AF199" i="18"/>
  <c r="AH199" i="18" s="1"/>
  <c r="AJ199" i="18" s="1"/>
  <c r="AN199" i="18" s="1"/>
  <c r="AO199" i="18" s="1"/>
  <c r="W199" i="18" s="1"/>
  <c r="AF190" i="18"/>
  <c r="C23" i="19"/>
  <c r="C22" i="19"/>
  <c r="X207" i="18" s="1"/>
  <c r="C200" i="18"/>
  <c r="W190" i="18" l="1"/>
  <c r="AF189" i="18" s="1"/>
  <c r="CU200" i="18"/>
  <c r="E200" i="18" s="1"/>
  <c r="EV200" i="18"/>
  <c r="AH189" i="18"/>
  <c r="W198" i="18"/>
  <c r="AF198" i="18"/>
  <c r="X190" i="18"/>
  <c r="X199" i="18"/>
  <c r="AH206" i="18"/>
  <c r="W206" i="18" s="1"/>
  <c r="AJ189" i="18" l="1"/>
  <c r="W189" i="18" l="1"/>
  <c r="AH198" i="18" s="1"/>
  <c r="AJ198" i="18" s="1"/>
  <c r="AE194" i="18"/>
  <c r="AJ195" i="18"/>
  <c r="AN195" i="18" s="1"/>
  <c r="AP195" i="18" s="1"/>
  <c r="W195" i="18" s="1"/>
  <c r="AD194" i="18" s="1"/>
  <c r="AE184" i="18"/>
  <c r="C183" i="18"/>
  <c r="AF194" i="18" l="1"/>
  <c r="AH193" i="18"/>
  <c r="C208" i="18"/>
  <c r="EJ206" i="18"/>
  <c r="E205" i="18"/>
  <c r="C204" i="18"/>
  <c r="C191" i="18"/>
  <c r="C185" i="18"/>
  <c r="C178" i="18"/>
  <c r="W174" i="18"/>
  <c r="W179" i="18" s="1"/>
  <c r="A2" i="21"/>
  <c r="A3" i="21"/>
  <c r="A4" i="21"/>
  <c r="A5" i="21"/>
  <c r="A6" i="21"/>
  <c r="A7" i="21"/>
  <c r="A8" i="21"/>
  <c r="A9" i="21"/>
  <c r="A10" i="21"/>
  <c r="A14" i="21"/>
  <c r="A15" i="21"/>
  <c r="A11" i="21"/>
  <c r="A16" i="21"/>
  <c r="A17" i="21"/>
  <c r="A18" i="21"/>
  <c r="A19" i="21"/>
  <c r="A20" i="21"/>
  <c r="A21" i="21"/>
  <c r="A22" i="21"/>
  <c r="A23" i="21"/>
  <c r="A25" i="21"/>
  <c r="A26" i="21"/>
  <c r="A27" i="21"/>
  <c r="A28" i="21"/>
  <c r="A29" i="21"/>
  <c r="A30" i="21"/>
  <c r="A31" i="21"/>
  <c r="A32" i="21"/>
  <c r="A33" i="21"/>
  <c r="A35" i="21"/>
  <c r="A36" i="21"/>
  <c r="A37" i="21"/>
  <c r="A38" i="21"/>
  <c r="A39" i="21"/>
  <c r="A43" i="21"/>
  <c r="A44" i="21"/>
  <c r="A46" i="21"/>
  <c r="A47" i="21"/>
  <c r="A48" i="21"/>
  <c r="A52" i="21"/>
  <c r="A58" i="21"/>
  <c r="A59" i="21"/>
  <c r="A69" i="21"/>
  <c r="A70" i="21"/>
  <c r="A61" i="21"/>
  <c r="A62" i="21"/>
  <c r="A63" i="21"/>
  <c r="A66" i="21"/>
  <c r="A68" i="21"/>
  <c r="A77" i="21"/>
  <c r="A78" i="21"/>
  <c r="A83" i="21"/>
  <c r="A84" i="21"/>
  <c r="A85" i="21"/>
  <c r="A86" i="21"/>
  <c r="A87" i="21"/>
  <c r="A88" i="21"/>
  <c r="A79" i="21"/>
  <c r="A92" i="21"/>
  <c r="A93" i="21"/>
  <c r="A96" i="21"/>
  <c r="A97" i="21"/>
  <c r="A98" i="21"/>
  <c r="A105" i="21"/>
  <c r="A107" i="21"/>
  <c r="A108" i="21"/>
  <c r="A115" i="21"/>
  <c r="A116" i="21"/>
  <c r="A117" i="21"/>
  <c r="A118" i="21"/>
  <c r="A119" i="21"/>
  <c r="A145" i="21"/>
  <c r="A179" i="21"/>
  <c r="A181" i="21"/>
  <c r="A178" i="21"/>
  <c r="A182" i="21"/>
  <c r="A183" i="21"/>
  <c r="A184" i="21"/>
  <c r="A185" i="21"/>
  <c r="A186" i="21"/>
  <c r="A187" i="21"/>
  <c r="A188" i="21"/>
  <c r="A189" i="21"/>
  <c r="A190" i="21"/>
  <c r="A191" i="21"/>
  <c r="A192" i="21"/>
  <c r="A193" i="21"/>
  <c r="A194" i="21"/>
  <c r="A195" i="21"/>
  <c r="A196" i="21"/>
  <c r="A197" i="21"/>
  <c r="A198" i="21"/>
  <c r="A1" i="21"/>
  <c r="G37" i="21"/>
  <c r="H37" i="21"/>
  <c r="I37" i="21"/>
  <c r="J37" i="21"/>
  <c r="K37" i="21"/>
  <c r="G36" i="21"/>
  <c r="H36" i="21"/>
  <c r="I36" i="21"/>
  <c r="J36" i="21"/>
  <c r="K36" i="21"/>
  <c r="G42" i="21"/>
  <c r="H42" i="21"/>
  <c r="I42" i="21"/>
  <c r="J42" i="21"/>
  <c r="K42" i="21"/>
  <c r="L42" i="21"/>
  <c r="M42" i="21"/>
  <c r="N42" i="21"/>
  <c r="C187" i="18"/>
  <c r="E181" i="18"/>
  <c r="BJ181" i="18" s="1"/>
  <c r="E173" i="18"/>
  <c r="BJ173" i="18" s="1"/>
  <c r="C172" i="18"/>
  <c r="C215" i="18"/>
  <c r="E214" i="18"/>
  <c r="F42" i="21" s="1"/>
  <c r="C214" i="18"/>
  <c r="D42" i="21" s="1"/>
  <c r="C213" i="18"/>
  <c r="DG205" i="18"/>
  <c r="CY173" i="18"/>
  <c r="DA205" i="18"/>
  <c r="DO205" i="18"/>
  <c r="DE205" i="18"/>
  <c r="DN205" i="18"/>
  <c r="DL205" i="18"/>
  <c r="DB205" i="18"/>
  <c r="DD205" i="18"/>
  <c r="CY205" i="18"/>
  <c r="DF205" i="18"/>
  <c r="DI205" i="18"/>
  <c r="CY181" i="18"/>
  <c r="DK205" i="18"/>
  <c r="DH205" i="18"/>
  <c r="DM205" i="18"/>
  <c r="DC205" i="18"/>
  <c r="DJ205" i="18"/>
  <c r="CZ205" i="18"/>
  <c r="BJ205" i="18" l="1"/>
  <c r="F40" i="21"/>
  <c r="BA205" i="18"/>
  <c r="AZ205" i="18"/>
  <c r="AY205" i="18"/>
  <c r="BC205" i="18"/>
  <c r="BB205" i="18"/>
  <c r="E42" i="21"/>
  <c r="F36" i="21"/>
  <c r="F37" i="21"/>
  <c r="G33" i="21"/>
  <c r="H33" i="21"/>
  <c r="I33" i="21"/>
  <c r="J33" i="21"/>
  <c r="K33" i="21"/>
  <c r="EJ169" i="18"/>
  <c r="C168" i="18"/>
  <c r="E166" i="18"/>
  <c r="BJ166" i="18" s="1"/>
  <c r="C165" i="18"/>
  <c r="AH226" i="18"/>
  <c r="W226" i="18" s="1"/>
  <c r="G14" i="21"/>
  <c r="H14" i="21"/>
  <c r="I14" i="21"/>
  <c r="J14" i="21"/>
  <c r="K14" i="21"/>
  <c r="C57" i="18"/>
  <c r="E58" i="18"/>
  <c r="BJ58" i="18" s="1"/>
  <c r="G44" i="21"/>
  <c r="H44" i="21"/>
  <c r="I44" i="21"/>
  <c r="J44" i="21"/>
  <c r="K44" i="21"/>
  <c r="C26" i="19"/>
  <c r="C25" i="19"/>
  <c r="X227" i="18" s="1"/>
  <c r="U227" i="18"/>
  <c r="C227" i="18"/>
  <c r="AP217" i="18"/>
  <c r="C218" i="18"/>
  <c r="C224" i="18"/>
  <c r="E222" i="18"/>
  <c r="BJ222" i="18" s="1"/>
  <c r="C221" i="18"/>
  <c r="W1" i="18"/>
  <c r="G98" i="21"/>
  <c r="H98" i="21"/>
  <c r="I98" i="21"/>
  <c r="J98" i="21"/>
  <c r="K98" i="21"/>
  <c r="G105" i="21"/>
  <c r="H105" i="21"/>
  <c r="I105" i="21"/>
  <c r="J105" i="21"/>
  <c r="K105" i="21"/>
  <c r="L105" i="21"/>
  <c r="M105" i="21"/>
  <c r="N105" i="21"/>
  <c r="G107" i="21"/>
  <c r="H107" i="21"/>
  <c r="I107" i="21"/>
  <c r="J107" i="21"/>
  <c r="K107" i="21"/>
  <c r="G108" i="21"/>
  <c r="H108" i="21"/>
  <c r="I108" i="21"/>
  <c r="J108" i="21"/>
  <c r="K108" i="21"/>
  <c r="G115" i="21"/>
  <c r="H115" i="21"/>
  <c r="I115" i="21"/>
  <c r="J115" i="21"/>
  <c r="K115" i="21"/>
  <c r="L115" i="21"/>
  <c r="M115" i="21"/>
  <c r="N115" i="21"/>
  <c r="G116" i="21"/>
  <c r="H116" i="21"/>
  <c r="I116" i="21"/>
  <c r="J116" i="21"/>
  <c r="K116" i="21"/>
  <c r="G117" i="21"/>
  <c r="H117" i="21"/>
  <c r="I117" i="21"/>
  <c r="J117" i="21"/>
  <c r="K117" i="21"/>
  <c r="G118" i="21"/>
  <c r="H118" i="21"/>
  <c r="I118" i="21"/>
  <c r="J118" i="21"/>
  <c r="K118" i="21"/>
  <c r="G119" i="21"/>
  <c r="H119" i="21"/>
  <c r="I119" i="21"/>
  <c r="J119" i="21"/>
  <c r="K119" i="21"/>
  <c r="G121" i="21"/>
  <c r="H121" i="21"/>
  <c r="I121" i="21"/>
  <c r="J121" i="21"/>
  <c r="K121" i="21"/>
  <c r="G87" i="21"/>
  <c r="H87" i="21"/>
  <c r="I87" i="21"/>
  <c r="J87" i="21"/>
  <c r="K87" i="21"/>
  <c r="G79" i="21"/>
  <c r="H79" i="21"/>
  <c r="I79" i="21"/>
  <c r="J79" i="21"/>
  <c r="K79" i="21"/>
  <c r="G91" i="21"/>
  <c r="H91" i="21"/>
  <c r="I91" i="21"/>
  <c r="J91" i="21"/>
  <c r="K91" i="21"/>
  <c r="L91" i="21"/>
  <c r="M91" i="21"/>
  <c r="N91" i="21"/>
  <c r="G92" i="21"/>
  <c r="H92" i="21"/>
  <c r="I92" i="21"/>
  <c r="J92" i="21"/>
  <c r="K92" i="21"/>
  <c r="G93" i="21"/>
  <c r="H93" i="21"/>
  <c r="I93" i="21"/>
  <c r="J93" i="21"/>
  <c r="K93" i="21"/>
  <c r="G96" i="21"/>
  <c r="H96" i="21"/>
  <c r="I96" i="21"/>
  <c r="J96" i="21"/>
  <c r="K96" i="21"/>
  <c r="G97" i="21"/>
  <c r="H97" i="21"/>
  <c r="I97" i="21"/>
  <c r="J97" i="21"/>
  <c r="K97" i="21"/>
  <c r="G59" i="21"/>
  <c r="H59" i="21"/>
  <c r="I59" i="21"/>
  <c r="J59" i="21"/>
  <c r="K59" i="21"/>
  <c r="G69" i="21"/>
  <c r="H69" i="21"/>
  <c r="I69" i="21"/>
  <c r="J69" i="21"/>
  <c r="K69" i="21"/>
  <c r="G70" i="21"/>
  <c r="H70" i="21"/>
  <c r="I70" i="21"/>
  <c r="J70" i="21"/>
  <c r="K70" i="21"/>
  <c r="G61" i="21"/>
  <c r="H61" i="21"/>
  <c r="I61" i="21"/>
  <c r="J61" i="21"/>
  <c r="K61" i="21"/>
  <c r="G63" i="21"/>
  <c r="H63" i="21"/>
  <c r="I63" i="21"/>
  <c r="J63" i="21"/>
  <c r="K63" i="21"/>
  <c r="G65" i="21"/>
  <c r="H65" i="21"/>
  <c r="I65" i="21"/>
  <c r="J65" i="21"/>
  <c r="K65" i="21"/>
  <c r="G66" i="21"/>
  <c r="H66" i="21"/>
  <c r="I66" i="21"/>
  <c r="J66" i="21"/>
  <c r="K66" i="21"/>
  <c r="G77" i="21"/>
  <c r="H77" i="21"/>
  <c r="I77" i="21"/>
  <c r="J77" i="21"/>
  <c r="K77" i="21"/>
  <c r="L77" i="21"/>
  <c r="M77" i="21"/>
  <c r="N77" i="21"/>
  <c r="G78" i="21"/>
  <c r="H78" i="21"/>
  <c r="I78" i="21"/>
  <c r="J78" i="21"/>
  <c r="K78" i="21"/>
  <c r="G84" i="21"/>
  <c r="H84" i="21"/>
  <c r="I84" i="21"/>
  <c r="J84" i="21"/>
  <c r="K84" i="21"/>
  <c r="G85" i="21"/>
  <c r="H85" i="21"/>
  <c r="I85" i="21"/>
  <c r="J85" i="21"/>
  <c r="K85" i="21"/>
  <c r="G86" i="21"/>
  <c r="H86" i="21"/>
  <c r="I86" i="21"/>
  <c r="J86" i="21"/>
  <c r="K86" i="21"/>
  <c r="M693" i="18"/>
  <c r="DC166" i="18"/>
  <c r="DB166" i="18"/>
  <c r="DG166" i="18"/>
  <c r="K919" i="18"/>
  <c r="EA61" i="18"/>
  <c r="EB61" i="18"/>
  <c r="K595" i="18"/>
  <c r="DH166" i="18"/>
  <c r="K589" i="18"/>
  <c r="EC61" i="18"/>
  <c r="DJ166" i="18"/>
  <c r="DL166" i="18"/>
  <c r="DN166" i="18"/>
  <c r="M838" i="18"/>
  <c r="ED61" i="18"/>
  <c r="DF166" i="18"/>
  <c r="CZ166" i="18"/>
  <c r="CY166" i="18"/>
  <c r="M600" i="18"/>
  <c r="DO166" i="18"/>
  <c r="DE166" i="18"/>
  <c r="DI166" i="18"/>
  <c r="DD166" i="18"/>
  <c r="DA166" i="18"/>
  <c r="K600" i="18"/>
  <c r="DM166" i="18"/>
  <c r="DK166" i="18"/>
  <c r="CY58" i="18"/>
  <c r="L205" i="21" l="1"/>
  <c r="CU227" i="18"/>
  <c r="E227" i="18" s="1"/>
  <c r="EV227" i="18"/>
  <c r="N180" i="21"/>
  <c r="BL838" i="18"/>
  <c r="L125" i="21"/>
  <c r="BL693" i="18"/>
  <c r="N146" i="21"/>
  <c r="F33" i="21"/>
  <c r="AY166" i="18"/>
  <c r="BA166" i="18"/>
  <c r="AZ166" i="18"/>
  <c r="BC166" i="18"/>
  <c r="BB166" i="18"/>
  <c r="F14" i="21"/>
  <c r="M823" i="18"/>
  <c r="K930" i="18"/>
  <c r="K973" i="18"/>
  <c r="M936" i="18"/>
  <c r="K717" i="18"/>
  <c r="M2077" i="18"/>
  <c r="G2077" i="18"/>
  <c r="M2039" i="18"/>
  <c r="M794" i="18"/>
  <c r="K649" i="18"/>
  <c r="M2061" i="18"/>
  <c r="K816" i="18"/>
  <c r="I2048" i="18"/>
  <c r="K584" i="18"/>
  <c r="M981" i="18"/>
  <c r="M2010" i="18"/>
  <c r="K838" i="18"/>
  <c r="M391" i="18"/>
  <c r="M789" i="18"/>
  <c r="M888" i="18"/>
  <c r="K924" i="18"/>
  <c r="M617" i="18"/>
  <c r="K654" i="18"/>
  <c r="M924" i="18"/>
  <c r="K733" i="18"/>
  <c r="DM222" i="18"/>
  <c r="DI222" i="18"/>
  <c r="G2061" i="18"/>
  <c r="M546" i="18"/>
  <c r="M767" i="18"/>
  <c r="I2029" i="18"/>
  <c r="K882" i="18"/>
  <c r="DB222" i="18"/>
  <c r="DC222" i="18"/>
  <c r="DG222" i="18"/>
  <c r="M746" i="18"/>
  <c r="DN222" i="18"/>
  <c r="K968" i="18"/>
  <c r="M733" i="18"/>
  <c r="DE222" i="18"/>
  <c r="K2020" i="18"/>
  <c r="G2029" i="18"/>
  <c r="M756" i="18"/>
  <c r="M862" i="18"/>
  <c r="K961" i="18"/>
  <c r="K857" i="18"/>
  <c r="K888" i="18"/>
  <c r="M712" i="18"/>
  <c r="M661" i="18"/>
  <c r="DK222" i="18"/>
  <c r="K843" i="18"/>
  <c r="K605" i="18"/>
  <c r="K644" i="18"/>
  <c r="M700" i="18"/>
  <c r="K705" i="18"/>
  <c r="M384" i="18"/>
  <c r="M2020" i="18"/>
  <c r="K761" i="18"/>
  <c r="K2061" i="18"/>
  <c r="K738" i="18"/>
  <c r="DD222" i="18"/>
  <c r="K661" i="18"/>
  <c r="M857" i="18"/>
  <c r="K906" i="18"/>
  <c r="K722" i="18"/>
  <c r="K2077" i="18"/>
  <c r="DL222" i="18"/>
  <c r="K913" i="18"/>
  <c r="K2029" i="18"/>
  <c r="I2077" i="18"/>
  <c r="DJ222" i="18"/>
  <c r="M876" i="18"/>
  <c r="M2029" i="18"/>
  <c r="K981" i="18"/>
  <c r="DH222" i="18"/>
  <c r="M833" i="18"/>
  <c r="K625" i="18"/>
  <c r="CZ222" i="18"/>
  <c r="K794" i="18"/>
  <c r="CY222" i="18"/>
  <c r="K936" i="18"/>
  <c r="M2048" i="18"/>
  <c r="K828" i="18"/>
  <c r="M816" i="18"/>
  <c r="K634" i="18"/>
  <c r="M666" i="18"/>
  <c r="K954" i="18"/>
  <c r="K2048" i="18"/>
  <c r="K2010" i="18"/>
  <c r="DA222" i="18"/>
  <c r="DF222" i="18"/>
  <c r="I2010" i="18"/>
  <c r="M728" i="18"/>
  <c r="M717" i="18"/>
  <c r="K611" i="18"/>
  <c r="K617" i="18"/>
  <c r="DO222" i="18"/>
  <c r="K2039" i="18"/>
  <c r="M919" i="18"/>
  <c r="BL2077" i="18" l="1"/>
  <c r="BK2077" i="18"/>
  <c r="L211" i="21"/>
  <c r="N211" i="21"/>
  <c r="BL2020" i="18"/>
  <c r="BL2048" i="18"/>
  <c r="BK981" i="18"/>
  <c r="BL2010" i="18"/>
  <c r="BL2061" i="18"/>
  <c r="BK2020" i="18"/>
  <c r="BK2029" i="18"/>
  <c r="BL2029" i="18"/>
  <c r="BL2039" i="18"/>
  <c r="BK2039" i="18"/>
  <c r="BL981" i="18"/>
  <c r="BK2061" i="18"/>
  <c r="L180" i="21"/>
  <c r="BK838" i="18"/>
  <c r="N205" i="21"/>
  <c r="BL919" i="18"/>
  <c r="BK919" i="18"/>
  <c r="N204" i="21"/>
  <c r="L204" i="21"/>
  <c r="BL936" i="18"/>
  <c r="BK936" i="18"/>
  <c r="N203" i="21"/>
  <c r="L203" i="21"/>
  <c r="BL888" i="18"/>
  <c r="BK888" i="18"/>
  <c r="L137" i="21"/>
  <c r="N137" i="21"/>
  <c r="BK924" i="18"/>
  <c r="BL924" i="18"/>
  <c r="N130" i="21"/>
  <c r="L130" i="21"/>
  <c r="BL617" i="18"/>
  <c r="BK617" i="18"/>
  <c r="L163" i="21"/>
  <c r="BK761" i="18"/>
  <c r="L156" i="21"/>
  <c r="N156" i="21"/>
  <c r="BK733" i="18"/>
  <c r="BL733" i="18"/>
  <c r="L153" i="21"/>
  <c r="N153" i="21"/>
  <c r="BK717" i="18"/>
  <c r="BL717" i="18"/>
  <c r="L201" i="21"/>
  <c r="L200" i="21"/>
  <c r="BK973" i="18"/>
  <c r="BK968" i="18"/>
  <c r="L197" i="21"/>
  <c r="L196" i="21"/>
  <c r="BK954" i="18"/>
  <c r="BK961" i="18"/>
  <c r="L194" i="21"/>
  <c r="BK930" i="18"/>
  <c r="L193" i="21"/>
  <c r="BK913" i="18"/>
  <c r="L192" i="21"/>
  <c r="BK906" i="18"/>
  <c r="L190" i="21"/>
  <c r="BK882" i="18"/>
  <c r="N189" i="21"/>
  <c r="BL876" i="18"/>
  <c r="L174" i="21"/>
  <c r="N174" i="21"/>
  <c r="L171" i="21"/>
  <c r="N171" i="21"/>
  <c r="BL816" i="18"/>
  <c r="BK816" i="18"/>
  <c r="L169" i="21"/>
  <c r="N169" i="21"/>
  <c r="BK794" i="18"/>
  <c r="BL794" i="18"/>
  <c r="N168" i="21"/>
  <c r="N164" i="21"/>
  <c r="BL789" i="18"/>
  <c r="BL767" i="18"/>
  <c r="N162" i="21"/>
  <c r="BL756" i="18"/>
  <c r="N160" i="21"/>
  <c r="BL746" i="18"/>
  <c r="N140" i="21"/>
  <c r="L139" i="21"/>
  <c r="N139" i="21"/>
  <c r="BL666" i="18"/>
  <c r="BL661" i="18"/>
  <c r="BK661" i="18"/>
  <c r="L136" i="21"/>
  <c r="BK654" i="18"/>
  <c r="L135" i="21"/>
  <c r="BK649" i="18"/>
  <c r="L134" i="21"/>
  <c r="BK644" i="18"/>
  <c r="L133" i="21"/>
  <c r="BK634" i="18"/>
  <c r="L132" i="21"/>
  <c r="BK625" i="18"/>
  <c r="L129" i="21"/>
  <c r="BK611" i="18"/>
  <c r="L128" i="21"/>
  <c r="BK605" i="18"/>
  <c r="L127" i="21"/>
  <c r="N127" i="21"/>
  <c r="BL600" i="18"/>
  <c r="BK600" i="18"/>
  <c r="L126" i="21"/>
  <c r="BK595" i="18"/>
  <c r="BK589" i="18"/>
  <c r="L124" i="21"/>
  <c r="BK584" i="18"/>
  <c r="N111" i="21"/>
  <c r="BL546" i="18"/>
  <c r="N81" i="21"/>
  <c r="BL391" i="18"/>
  <c r="N80" i="21"/>
  <c r="BL384" i="18"/>
  <c r="L157" i="21"/>
  <c r="N155" i="21"/>
  <c r="BL728" i="18"/>
  <c r="BK738" i="18"/>
  <c r="L154" i="21"/>
  <c r="N152" i="21"/>
  <c r="L151" i="21"/>
  <c r="N150" i="21"/>
  <c r="BL712" i="18"/>
  <c r="BK722" i="18"/>
  <c r="BK705" i="18"/>
  <c r="BL700" i="18"/>
  <c r="N177" i="21"/>
  <c r="BL823" i="18"/>
  <c r="L185" i="21"/>
  <c r="N185" i="21"/>
  <c r="BK857" i="18"/>
  <c r="BL857" i="18"/>
  <c r="N183" i="21"/>
  <c r="BL862" i="18"/>
  <c r="L178" i="21"/>
  <c r="BK828" i="18"/>
  <c r="L181" i="21"/>
  <c r="BK843" i="18"/>
  <c r="N179" i="21"/>
  <c r="BL833" i="18"/>
  <c r="F44" i="21"/>
  <c r="AY222" i="18"/>
  <c r="AZ222" i="18"/>
  <c r="BC222" i="18"/>
  <c r="BB222" i="18"/>
  <c r="BA222" i="18"/>
  <c r="G21" i="21"/>
  <c r="H21" i="21"/>
  <c r="I21" i="21"/>
  <c r="J21" i="21"/>
  <c r="K21" i="21"/>
  <c r="G19" i="21"/>
  <c r="H19" i="21"/>
  <c r="I19" i="21"/>
  <c r="J19" i="21"/>
  <c r="K19" i="21"/>
  <c r="X238" i="18"/>
  <c r="E90" i="18"/>
  <c r="BJ90" i="18" s="1"/>
  <c r="C89" i="18"/>
  <c r="EJ83" i="18"/>
  <c r="E80" i="18"/>
  <c r="BJ80" i="18" s="1"/>
  <c r="C79" i="18"/>
  <c r="AD2" i="19"/>
  <c r="DC80" i="18"/>
  <c r="DM90" i="18"/>
  <c r="DB80" i="18"/>
  <c r="DA80" i="18"/>
  <c r="DC90" i="18"/>
  <c r="DN90" i="18"/>
  <c r="CZ90" i="18"/>
  <c r="DA90" i="18"/>
  <c r="DM80" i="18"/>
  <c r="DD80" i="18"/>
  <c r="DB90" i="18"/>
  <c r="CY80" i="18"/>
  <c r="CZ80" i="18"/>
  <c r="DO80" i="18"/>
  <c r="DD90" i="18"/>
  <c r="DN80" i="18"/>
  <c r="CY90" i="18"/>
  <c r="DO90" i="18"/>
  <c r="F21" i="21" l="1"/>
  <c r="F19" i="21"/>
  <c r="BC90" i="18"/>
  <c r="BB90" i="18"/>
  <c r="AY90" i="18"/>
  <c r="BA90" i="18"/>
  <c r="AZ90" i="18"/>
  <c r="BA80" i="18"/>
  <c r="BC80" i="18"/>
  <c r="BB80" i="18"/>
  <c r="AY80" i="18"/>
  <c r="AZ80" i="18"/>
  <c r="D2" i="21" l="1"/>
  <c r="F2" i="21"/>
  <c r="G2" i="21"/>
  <c r="H2" i="21"/>
  <c r="I2" i="21"/>
  <c r="J2" i="21"/>
  <c r="K2" i="21"/>
  <c r="L2" i="21"/>
  <c r="M2" i="21"/>
  <c r="N2" i="21"/>
  <c r="G3" i="21"/>
  <c r="H3" i="21"/>
  <c r="I3" i="21"/>
  <c r="J3" i="21"/>
  <c r="K3" i="21"/>
  <c r="L3" i="21"/>
  <c r="M3" i="21"/>
  <c r="N3" i="21"/>
  <c r="G4" i="21"/>
  <c r="H4" i="21"/>
  <c r="I4" i="21"/>
  <c r="J4" i="21"/>
  <c r="L4" i="21"/>
  <c r="M4" i="21"/>
  <c r="N4" i="21"/>
  <c r="G5" i="21"/>
  <c r="H5" i="21"/>
  <c r="I5" i="21"/>
  <c r="J5" i="21"/>
  <c r="L5" i="21"/>
  <c r="M5" i="21"/>
  <c r="N5" i="21"/>
  <c r="G6" i="21"/>
  <c r="H6" i="21"/>
  <c r="I6" i="21"/>
  <c r="J6" i="21"/>
  <c r="M6" i="21"/>
  <c r="G7" i="21"/>
  <c r="H7" i="21"/>
  <c r="I7" i="21"/>
  <c r="J7" i="21"/>
  <c r="L7" i="21"/>
  <c r="M7" i="21"/>
  <c r="N7" i="21"/>
  <c r="G8" i="21"/>
  <c r="H8" i="21"/>
  <c r="I8" i="21"/>
  <c r="J8" i="21"/>
  <c r="L8" i="21"/>
  <c r="M8" i="21"/>
  <c r="N8" i="21"/>
  <c r="G9" i="21"/>
  <c r="H9" i="21"/>
  <c r="I9" i="21"/>
  <c r="J9" i="21"/>
  <c r="K9" i="21"/>
  <c r="G10" i="21"/>
  <c r="H10" i="21"/>
  <c r="I10" i="21"/>
  <c r="J10" i="21"/>
  <c r="K10" i="21"/>
  <c r="L10" i="21"/>
  <c r="M10" i="21"/>
  <c r="N10" i="21"/>
  <c r="G13" i="21"/>
  <c r="H13" i="21"/>
  <c r="I13" i="21"/>
  <c r="J13" i="21"/>
  <c r="K13" i="21"/>
  <c r="G15" i="21"/>
  <c r="H15" i="21"/>
  <c r="I15" i="21"/>
  <c r="J15" i="21"/>
  <c r="K15" i="21"/>
  <c r="G11" i="21"/>
  <c r="H11" i="21"/>
  <c r="I11" i="21"/>
  <c r="J11" i="21"/>
  <c r="L11" i="21"/>
  <c r="M11" i="21"/>
  <c r="N11" i="21"/>
  <c r="G16" i="21"/>
  <c r="H16" i="21"/>
  <c r="I16" i="21"/>
  <c r="J16" i="21"/>
  <c r="K16" i="21"/>
  <c r="G17" i="21"/>
  <c r="H17" i="21"/>
  <c r="I17" i="21"/>
  <c r="J17" i="21"/>
  <c r="K17" i="21"/>
  <c r="G18" i="21"/>
  <c r="H18" i="21"/>
  <c r="I18" i="21"/>
  <c r="J18" i="21"/>
  <c r="K18" i="21"/>
  <c r="G20" i="21"/>
  <c r="H20" i="21"/>
  <c r="I20" i="21"/>
  <c r="J20" i="21"/>
  <c r="K20" i="21"/>
  <c r="G22" i="21"/>
  <c r="H22" i="21"/>
  <c r="I22" i="21"/>
  <c r="J22" i="21"/>
  <c r="K22" i="21"/>
  <c r="G23" i="21"/>
  <c r="H23" i="21"/>
  <c r="I23" i="21"/>
  <c r="J23" i="21"/>
  <c r="K23" i="21"/>
  <c r="G32" i="21"/>
  <c r="H32" i="21"/>
  <c r="I32" i="21"/>
  <c r="J32" i="21"/>
  <c r="K32" i="21"/>
  <c r="AE138" i="18"/>
  <c r="AF141" i="18" s="1"/>
  <c r="EJ164" i="18"/>
  <c r="C163" i="18"/>
  <c r="EJ162" i="18"/>
  <c r="E161" i="18"/>
  <c r="BJ161" i="18" s="1"/>
  <c r="C160" i="18"/>
  <c r="G27" i="21"/>
  <c r="H27" i="21"/>
  <c r="I27" i="21"/>
  <c r="J27" i="21"/>
  <c r="K27" i="21"/>
  <c r="G28" i="21"/>
  <c r="H28" i="21"/>
  <c r="I28" i="21"/>
  <c r="J28" i="21"/>
  <c r="K28" i="21"/>
  <c r="G29" i="21"/>
  <c r="H29" i="21"/>
  <c r="I29" i="21"/>
  <c r="J29" i="21"/>
  <c r="K29" i="21"/>
  <c r="G30" i="21"/>
  <c r="H30" i="21"/>
  <c r="I30" i="21"/>
  <c r="J30" i="21"/>
  <c r="K30" i="21"/>
  <c r="G31" i="21"/>
  <c r="H31" i="21"/>
  <c r="I31" i="21"/>
  <c r="J31" i="21"/>
  <c r="K31" i="21"/>
  <c r="G35" i="21"/>
  <c r="H35" i="21"/>
  <c r="I35" i="21"/>
  <c r="J35" i="21"/>
  <c r="K35" i="21"/>
  <c r="L35" i="21"/>
  <c r="M35" i="21"/>
  <c r="N35" i="21"/>
  <c r="G38" i="21"/>
  <c r="H38" i="21"/>
  <c r="I38" i="21"/>
  <c r="J38" i="21"/>
  <c r="K38" i="21"/>
  <c r="G43" i="21"/>
  <c r="H43" i="21"/>
  <c r="I43" i="21"/>
  <c r="J43" i="21"/>
  <c r="K43" i="21"/>
  <c r="G39" i="21"/>
  <c r="H39" i="21"/>
  <c r="I39" i="21"/>
  <c r="J39" i="21"/>
  <c r="K39" i="21"/>
  <c r="G46" i="21"/>
  <c r="H46" i="21"/>
  <c r="I46" i="21"/>
  <c r="J46" i="21"/>
  <c r="K46" i="21"/>
  <c r="L46" i="21"/>
  <c r="M46" i="21"/>
  <c r="N46" i="21"/>
  <c r="G47" i="21"/>
  <c r="H47" i="21"/>
  <c r="I47" i="21"/>
  <c r="J47" i="21"/>
  <c r="K47" i="21"/>
  <c r="G48" i="21"/>
  <c r="H48" i="21"/>
  <c r="I48" i="21"/>
  <c r="J48" i="21"/>
  <c r="K48" i="21"/>
  <c r="G57" i="21"/>
  <c r="H57" i="21"/>
  <c r="I57" i="21"/>
  <c r="J57" i="21"/>
  <c r="K57" i="21"/>
  <c r="G52" i="21"/>
  <c r="H52" i="21"/>
  <c r="I52" i="21"/>
  <c r="J52" i="21"/>
  <c r="K52" i="21"/>
  <c r="G58" i="21"/>
  <c r="H58" i="21"/>
  <c r="I58" i="21"/>
  <c r="J58" i="21"/>
  <c r="K58" i="21"/>
  <c r="G26" i="21"/>
  <c r="H26" i="21"/>
  <c r="I26" i="21"/>
  <c r="J26" i="21"/>
  <c r="K26" i="21"/>
  <c r="G25" i="21"/>
  <c r="H25" i="21"/>
  <c r="I25" i="21"/>
  <c r="J25" i="21"/>
  <c r="K25" i="21"/>
  <c r="L25" i="21"/>
  <c r="M25" i="21"/>
  <c r="N25" i="21"/>
  <c r="C132" i="18"/>
  <c r="C157" i="18"/>
  <c r="C150" i="18"/>
  <c r="C145" i="18"/>
  <c r="C140" i="18"/>
  <c r="C125" i="18"/>
  <c r="AI127" i="18"/>
  <c r="AJ127" i="18"/>
  <c r="AL127" i="18" s="1"/>
  <c r="X127" i="18"/>
  <c r="DM161" i="18"/>
  <c r="DA161" i="18"/>
  <c r="DO161" i="18"/>
  <c r="CZ161" i="18"/>
  <c r="DC161" i="18"/>
  <c r="DN161" i="18"/>
  <c r="DD161" i="18"/>
  <c r="DB161" i="18"/>
  <c r="CY161" i="18"/>
  <c r="F32" i="21" l="1"/>
  <c r="AY161" i="18"/>
  <c r="BA161" i="18"/>
  <c r="AZ161" i="18"/>
  <c r="BC161" i="18"/>
  <c r="BB161" i="18"/>
  <c r="C131" i="18"/>
  <c r="U133" i="18" s="1"/>
  <c r="AL159" i="18"/>
  <c r="W159" i="18" s="1"/>
  <c r="AH159" i="18"/>
  <c r="AL155" i="18"/>
  <c r="AH155" i="18"/>
  <c r="W155" i="18" s="1"/>
  <c r="W122" i="18"/>
  <c r="AN123" i="18" l="1"/>
  <c r="AP123" i="18" s="1"/>
  <c r="W123" i="18" s="1"/>
  <c r="AJ130" i="18"/>
  <c r="AL130" i="18" s="1"/>
  <c r="AP130" i="18" s="1"/>
  <c r="W130" i="18" s="1"/>
  <c r="X249" i="18"/>
  <c r="X247" i="18"/>
  <c r="X248" i="18"/>
  <c r="X180" i="18"/>
  <c r="X182" i="18"/>
  <c r="X176" i="18"/>
  <c r="X212" i="18"/>
  <c r="X177" i="18"/>
  <c r="X195" i="18"/>
  <c r="X175" i="18"/>
  <c r="X203" i="18"/>
  <c r="X184" i="18"/>
  <c r="X174" i="18"/>
  <c r="W167" i="18"/>
  <c r="X219" i="18"/>
  <c r="W154" i="18" l="1"/>
  <c r="W169" i="18"/>
  <c r="W121" i="18"/>
  <c r="AD138" i="18" s="1"/>
  <c r="W138" i="18" s="1"/>
  <c r="AF144" i="18"/>
  <c r="W144" i="18" s="1"/>
  <c r="C17" i="19"/>
  <c r="C16" i="19"/>
  <c r="AD34" i="18"/>
  <c r="AD35" i="18" s="1"/>
  <c r="W100" i="18"/>
  <c r="AJ307" i="18"/>
  <c r="AL307" i="18" s="1"/>
  <c r="W307" i="18" s="1"/>
  <c r="AE133" i="18"/>
  <c r="AM127" i="18"/>
  <c r="AN127" i="18" s="1"/>
  <c r="W67" i="18"/>
  <c r="AD203" i="18" s="1"/>
  <c r="AH203" i="18" s="1"/>
  <c r="X167" i="18" l="1"/>
  <c r="X122" i="18"/>
  <c r="AL203" i="18"/>
  <c r="W202" i="18" s="1"/>
  <c r="AF193" i="18"/>
  <c r="W110" i="18"/>
  <c r="AD113" i="18"/>
  <c r="AH113" i="18" s="1"/>
  <c r="AJ113" i="18" s="1"/>
  <c r="W113" i="18" s="1"/>
  <c r="AD37" i="18"/>
  <c r="W162" i="18"/>
  <c r="W158" i="18"/>
  <c r="W164" i="18" s="1"/>
  <c r="W127" i="18"/>
  <c r="AF126" i="18" s="1"/>
  <c r="AH126" i="18" s="1"/>
  <c r="W126" i="18" s="1"/>
  <c r="X144" i="18"/>
  <c r="X123" i="18"/>
  <c r="X139" i="18"/>
  <c r="C580" i="18"/>
  <c r="EJ578" i="18"/>
  <c r="DT578" i="18"/>
  <c r="E577" i="18"/>
  <c r="C576" i="18"/>
  <c r="E568" i="18"/>
  <c r="C567" i="18"/>
  <c r="EJ564" i="18"/>
  <c r="DT564" i="18"/>
  <c r="E563" i="18"/>
  <c r="C562" i="18"/>
  <c r="DT559" i="18"/>
  <c r="E558" i="18"/>
  <c r="C557" i="18"/>
  <c r="EJ556" i="18"/>
  <c r="C556" i="18"/>
  <c r="U564" i="18" s="1"/>
  <c r="DT554" i="18"/>
  <c r="E553" i="18"/>
  <c r="C552" i="18"/>
  <c r="E551" i="18"/>
  <c r="F115" i="21" s="1"/>
  <c r="C550" i="18"/>
  <c r="DT528" i="18"/>
  <c r="E527" i="18"/>
  <c r="C526" i="18"/>
  <c r="DT520" i="18"/>
  <c r="E519" i="18"/>
  <c r="C518" i="18"/>
  <c r="E517" i="18"/>
  <c r="F105" i="21" s="1"/>
  <c r="C516" i="18"/>
  <c r="EJ490" i="18"/>
  <c r="C490" i="18"/>
  <c r="EJ488" i="18"/>
  <c r="DT488" i="18"/>
  <c r="U487" i="18"/>
  <c r="EV487" i="18" s="1"/>
  <c r="E487" i="18"/>
  <c r="C486" i="18"/>
  <c r="EJ485" i="18"/>
  <c r="C485" i="18"/>
  <c r="DT483" i="18"/>
  <c r="E482" i="18"/>
  <c r="C481" i="18"/>
  <c r="EJ480" i="18"/>
  <c r="C480" i="18"/>
  <c r="EJ478" i="18"/>
  <c r="DT478" i="18"/>
  <c r="E477" i="18"/>
  <c r="C476" i="18"/>
  <c r="EJ454" i="18"/>
  <c r="E450" i="18"/>
  <c r="C449" i="18"/>
  <c r="EJ475" i="18"/>
  <c r="W472" i="18"/>
  <c r="EJ473" i="18"/>
  <c r="E472" i="18"/>
  <c r="F95" i="21" s="1"/>
  <c r="C457" i="18"/>
  <c r="EJ448" i="18"/>
  <c r="E445" i="18"/>
  <c r="C444" i="18"/>
  <c r="E443" i="18"/>
  <c r="F91" i="21" s="1"/>
  <c r="C442" i="18"/>
  <c r="EJ380" i="18"/>
  <c r="EJ374" i="18"/>
  <c r="E373" i="18"/>
  <c r="C372" i="18"/>
  <c r="EJ328" i="18"/>
  <c r="C328" i="18"/>
  <c r="EJ326" i="18"/>
  <c r="E325" i="18"/>
  <c r="EJ323" i="18"/>
  <c r="C323" i="18"/>
  <c r="EJ321" i="18"/>
  <c r="E320" i="18"/>
  <c r="C319" i="18"/>
  <c r="EJ368" i="18"/>
  <c r="E365" i="18"/>
  <c r="C364" i="18"/>
  <c r="E363" i="18"/>
  <c r="F77" i="21" s="1"/>
  <c r="C353" i="18"/>
  <c r="E85" i="18"/>
  <c r="C84" i="18"/>
  <c r="EJ417" i="18"/>
  <c r="C417" i="18"/>
  <c r="E412" i="18"/>
  <c r="C411" i="18"/>
  <c r="E407" i="18"/>
  <c r="C406" i="18"/>
  <c r="EJ405" i="18"/>
  <c r="C405" i="18"/>
  <c r="EJ403" i="18"/>
  <c r="E402" i="18"/>
  <c r="F83" i="21" s="1"/>
  <c r="C383" i="18"/>
  <c r="EJ428" i="18"/>
  <c r="EJ425" i="18"/>
  <c r="E424" i="18"/>
  <c r="C423" i="18"/>
  <c r="EJ422" i="18"/>
  <c r="C422" i="18"/>
  <c r="EJ420" i="18"/>
  <c r="U419" i="18"/>
  <c r="EV419" i="18" s="1"/>
  <c r="E419" i="18"/>
  <c r="C418" i="18"/>
  <c r="EJ313" i="18"/>
  <c r="C313" i="18"/>
  <c r="E310" i="18"/>
  <c r="C309" i="18"/>
  <c r="EJ318" i="18"/>
  <c r="W315" i="18"/>
  <c r="EJ316" i="18"/>
  <c r="E315" i="18"/>
  <c r="F64" i="21" s="1"/>
  <c r="F61" i="21"/>
  <c r="EJ346" i="18"/>
  <c r="EJ345" i="18"/>
  <c r="E344" i="18"/>
  <c r="C343" i="18"/>
  <c r="EJ342" i="18"/>
  <c r="EJ338" i="18"/>
  <c r="E337" i="18"/>
  <c r="C324" i="18"/>
  <c r="EJ294" i="18"/>
  <c r="W291" i="18"/>
  <c r="EJ292" i="18"/>
  <c r="E291" i="18"/>
  <c r="C290" i="18"/>
  <c r="EJ289" i="18"/>
  <c r="EJ287" i="18"/>
  <c r="E286" i="18"/>
  <c r="E257" i="18"/>
  <c r="EJ284" i="18"/>
  <c r="EJ282" i="18"/>
  <c r="E281" i="18"/>
  <c r="E109" i="18"/>
  <c r="C102" i="18"/>
  <c r="EJ241" i="18"/>
  <c r="EJ237" i="18"/>
  <c r="E236" i="18"/>
  <c r="EJ234" i="18"/>
  <c r="E231" i="18"/>
  <c r="E229" i="18"/>
  <c r="F46" i="21" s="1"/>
  <c r="C170" i="18"/>
  <c r="C117" i="18"/>
  <c r="C31" i="18"/>
  <c r="EJ202" i="18"/>
  <c r="E197" i="18"/>
  <c r="E216" i="18"/>
  <c r="EJ192" i="18"/>
  <c r="EJ189" i="18"/>
  <c r="E188" i="18"/>
  <c r="E171" i="18"/>
  <c r="F35" i="21" s="1"/>
  <c r="EJ158" i="18"/>
  <c r="EJ154" i="18"/>
  <c r="E153" i="18"/>
  <c r="C152" i="18"/>
  <c r="EJ151" i="18"/>
  <c r="EJ149" i="18"/>
  <c r="E148" i="18"/>
  <c r="C147" i="18"/>
  <c r="C146" i="18"/>
  <c r="E143" i="18"/>
  <c r="C142" i="18"/>
  <c r="EJ141" i="18"/>
  <c r="EJ138" i="18"/>
  <c r="E137" i="18"/>
  <c r="C136" i="18"/>
  <c r="C33" i="18"/>
  <c r="C6" i="18"/>
  <c r="C21" i="18"/>
  <c r="C23" i="18"/>
  <c r="C15" i="18"/>
  <c r="C25" i="18"/>
  <c r="BL16" i="18"/>
  <c r="CY325" i="18"/>
  <c r="CY563" i="18"/>
  <c r="CY568" i="18"/>
  <c r="CY450" i="18"/>
  <c r="CY445" i="18"/>
  <c r="CY477" i="18"/>
  <c r="CY482" i="18"/>
  <c r="CY373" i="18"/>
  <c r="CY487" i="18"/>
  <c r="CY85" i="18"/>
  <c r="CY519" i="18"/>
  <c r="CY320" i="18"/>
  <c r="CY558" i="18"/>
  <c r="CY577" i="18"/>
  <c r="CY553" i="18"/>
  <c r="CY365" i="18"/>
  <c r="CY472" i="18"/>
  <c r="CY527" i="18"/>
  <c r="AR126" i="18" l="1"/>
  <c r="E37" i="18"/>
  <c r="BJ407" i="18"/>
  <c r="F84" i="21"/>
  <c r="BJ291" i="18"/>
  <c r="F59" i="21"/>
  <c r="BJ344" i="18"/>
  <c r="F70" i="21"/>
  <c r="BJ487" i="18"/>
  <c r="F98" i="21"/>
  <c r="BJ337" i="18"/>
  <c r="F69" i="21"/>
  <c r="BJ365" i="18"/>
  <c r="F78" i="21"/>
  <c r="BJ445" i="18"/>
  <c r="F92" i="21"/>
  <c r="BJ450" i="18"/>
  <c r="F93" i="21"/>
  <c r="BJ482" i="18"/>
  <c r="F97" i="21"/>
  <c r="BJ553" i="18"/>
  <c r="F116" i="21"/>
  <c r="BJ563" i="18"/>
  <c r="F118" i="21"/>
  <c r="BJ577" i="18"/>
  <c r="F121" i="21"/>
  <c r="BJ310" i="18"/>
  <c r="F63" i="21"/>
  <c r="BJ424" i="18"/>
  <c r="F87" i="21"/>
  <c r="BJ519" i="18"/>
  <c r="F107" i="21"/>
  <c r="BJ472" i="18"/>
  <c r="BJ477" i="18"/>
  <c r="F96" i="21"/>
  <c r="BJ558" i="18"/>
  <c r="F117" i="21"/>
  <c r="BJ568" i="18"/>
  <c r="F119" i="21"/>
  <c r="BJ315" i="18"/>
  <c r="BJ419" i="18"/>
  <c r="F86" i="21"/>
  <c r="BJ402" i="18"/>
  <c r="BJ412" i="18"/>
  <c r="F85" i="21"/>
  <c r="BJ320" i="18"/>
  <c r="F65" i="21"/>
  <c r="BJ325" i="18"/>
  <c r="F66" i="21"/>
  <c r="BJ373" i="18"/>
  <c r="F79" i="21"/>
  <c r="BJ527" i="18"/>
  <c r="F108" i="21"/>
  <c r="C363" i="18"/>
  <c r="D77" i="21" s="1"/>
  <c r="E77" i="21"/>
  <c r="C443" i="18"/>
  <c r="D91" i="21" s="1"/>
  <c r="E91" i="21"/>
  <c r="C551" i="18"/>
  <c r="D115" i="21" s="1"/>
  <c r="E115" i="21"/>
  <c r="BM487" i="18"/>
  <c r="E98" i="21"/>
  <c r="C419" i="18"/>
  <c r="U403" i="18" s="1"/>
  <c r="E86" i="21"/>
  <c r="D61" i="21"/>
  <c r="E61" i="21"/>
  <c r="C517" i="18"/>
  <c r="D105" i="21" s="1"/>
  <c r="E105" i="21"/>
  <c r="BJ16" i="18"/>
  <c r="F8" i="21"/>
  <c r="BJ109" i="18"/>
  <c r="F23" i="21"/>
  <c r="BJ85" i="18"/>
  <c r="F20" i="21"/>
  <c r="BJ216" i="18"/>
  <c r="F43" i="21"/>
  <c r="BJ197" i="18"/>
  <c r="F39" i="21"/>
  <c r="BJ231" i="18"/>
  <c r="F47" i="21"/>
  <c r="BJ281" i="18"/>
  <c r="F57" i="21"/>
  <c r="BJ286" i="18"/>
  <c r="F58" i="21"/>
  <c r="BJ188" i="18"/>
  <c r="F38" i="21"/>
  <c r="BJ236" i="18"/>
  <c r="F48" i="21"/>
  <c r="BJ257" i="18"/>
  <c r="F52" i="21"/>
  <c r="BJ143" i="18"/>
  <c r="F29" i="21"/>
  <c r="BJ148" i="18"/>
  <c r="F30" i="21"/>
  <c r="BJ137" i="18"/>
  <c r="F28" i="21"/>
  <c r="C171" i="18"/>
  <c r="E35" i="21"/>
  <c r="C229" i="18"/>
  <c r="D46" i="21" s="1"/>
  <c r="E46" i="21"/>
  <c r="C235" i="18"/>
  <c r="W281" i="18"/>
  <c r="C228" i="18"/>
  <c r="C256" i="18"/>
  <c r="C280" i="18"/>
  <c r="C196" i="18"/>
  <c r="C230" i="18"/>
  <c r="C285" i="18"/>
  <c r="C289" i="18"/>
  <c r="BJ153" i="18"/>
  <c r="F31" i="21"/>
  <c r="W577" i="18"/>
  <c r="W482" i="18"/>
  <c r="W553" i="18"/>
  <c r="W477" i="18"/>
  <c r="W487" i="18"/>
  <c r="C487" i="18"/>
  <c r="D98" i="21" s="1"/>
  <c r="C488" i="18"/>
  <c r="C475" i="18"/>
  <c r="W320" i="18"/>
  <c r="W325" i="18"/>
  <c r="W412" i="18"/>
  <c r="C420" i="18"/>
  <c r="C294" i="18"/>
  <c r="C318" i="18"/>
  <c r="CY148" i="18"/>
  <c r="CY236" i="18"/>
  <c r="CY231" i="18"/>
  <c r="CY216" i="18"/>
  <c r="M553" i="18"/>
  <c r="AP255" i="18" l="1"/>
  <c r="AH252" i="18" s="1"/>
  <c r="AJ252" i="18" s="1"/>
  <c r="W252" i="18" s="1"/>
  <c r="D35" i="21"/>
  <c r="BJ37" i="18"/>
  <c r="F12" i="21"/>
  <c r="D86" i="21"/>
  <c r="EV403" i="18"/>
  <c r="CY153" i="18"/>
  <c r="CY197" i="18"/>
  <c r="CY402" i="18"/>
  <c r="CY412" i="18"/>
  <c r="CY419" i="18"/>
  <c r="CY286" i="18"/>
  <c r="CY143" i="18"/>
  <c r="CY109" i="18"/>
  <c r="CY407" i="18"/>
  <c r="CY424" i="18"/>
  <c r="CY337" i="18"/>
  <c r="CY16" i="18"/>
  <c r="CY257" i="18"/>
  <c r="CY137" i="18"/>
  <c r="CY310" i="18"/>
  <c r="CY315" i="18"/>
  <c r="CY188" i="18"/>
  <c r="CY281" i="18"/>
  <c r="CY291" i="18"/>
  <c r="CY344" i="18"/>
  <c r="W310" i="18" l="1"/>
  <c r="BM419" i="18"/>
  <c r="W419" i="18"/>
  <c r="W402" i="18"/>
  <c r="W286" i="18"/>
  <c r="C284" i="18"/>
  <c r="W143" i="18"/>
  <c r="C11" i="18"/>
  <c r="C8" i="18"/>
  <c r="AB2" i="19"/>
  <c r="EJ133" i="18"/>
  <c r="E129" i="18"/>
  <c r="C128" i="18"/>
  <c r="EJ126" i="18"/>
  <c r="E120" i="18"/>
  <c r="C119" i="18"/>
  <c r="E118" i="18"/>
  <c r="F25" i="21" s="1"/>
  <c r="CY129" i="18"/>
  <c r="M143" i="18"/>
  <c r="CY120" i="18"/>
  <c r="BJ120" i="18" l="1"/>
  <c r="F26" i="21"/>
  <c r="BJ129" i="18"/>
  <c r="F27" i="21"/>
  <c r="C118" i="18"/>
  <c r="D25" i="21" s="1"/>
  <c r="E25" i="21"/>
  <c r="N29" i="21"/>
  <c r="BL143" i="18"/>
  <c r="EJ100" i="18"/>
  <c r="E96" i="18"/>
  <c r="C95" i="18"/>
  <c r="EJ78" i="18"/>
  <c r="E75" i="18"/>
  <c r="C74" i="18"/>
  <c r="E69" i="18"/>
  <c r="C68" i="18"/>
  <c r="CU67" i="18"/>
  <c r="E67" i="18" s="1"/>
  <c r="E64" i="18"/>
  <c r="EJ35" i="18"/>
  <c r="BL34" i="18"/>
  <c r="E34" i="18"/>
  <c r="DJ34" i="18"/>
  <c r="DK34" i="18"/>
  <c r="DL34" i="18"/>
  <c r="CY96" i="18"/>
  <c r="CY34" i="18"/>
  <c r="CY75" i="18"/>
  <c r="CY69" i="18"/>
  <c r="C67" i="18" l="1"/>
  <c r="BJ69" i="18"/>
  <c r="F17" i="21"/>
  <c r="BJ75" i="18"/>
  <c r="F18" i="21"/>
  <c r="BJ96" i="18"/>
  <c r="F22" i="21"/>
  <c r="BJ34" i="18"/>
  <c r="F11" i="21"/>
  <c r="BJ64" i="18"/>
  <c r="F16" i="21"/>
  <c r="W64" i="18"/>
  <c r="EJ52" i="18"/>
  <c r="CY64" i="18"/>
  <c r="E49" i="18" l="1"/>
  <c r="C48" i="18"/>
  <c r="M64" i="18"/>
  <c r="CY49" i="18"/>
  <c r="AF2012" i="18" l="1"/>
  <c r="AF56" i="18"/>
  <c r="AJ56" i="18" s="1"/>
  <c r="AP56" i="18" s="1"/>
  <c r="C63" i="18"/>
  <c r="BJ49" i="18"/>
  <c r="F15" i="21"/>
  <c r="N16" i="21"/>
  <c r="BL64" i="18"/>
  <c r="E40" i="18"/>
  <c r="E32" i="18"/>
  <c r="F10" i="21" s="1"/>
  <c r="CU30" i="18"/>
  <c r="E30" i="18" s="1"/>
  <c r="C30" i="18"/>
  <c r="C28" i="18"/>
  <c r="U785" i="18" s="1"/>
  <c r="E27" i="18"/>
  <c r="CN1" i="18"/>
  <c r="CM1" i="18"/>
  <c r="EC45" i="18"/>
  <c r="CY27" i="18"/>
  <c r="EA45" i="18"/>
  <c r="ED45" i="18"/>
  <c r="EB45" i="18"/>
  <c r="AN56" i="18" l="1"/>
  <c r="W56" i="18"/>
  <c r="AK126" i="18" s="1"/>
  <c r="AL126" i="18" s="1"/>
  <c r="AE34" i="18"/>
  <c r="AG361" i="18" s="1"/>
  <c r="BJ40" i="18"/>
  <c r="F13" i="21"/>
  <c r="C32" i="18"/>
  <c r="D10" i="21" s="1"/>
  <c r="E10" i="21"/>
  <c r="BJ27" i="18"/>
  <c r="F9" i="21"/>
  <c r="W149" i="18"/>
  <c r="W27" i="18"/>
  <c r="U27" i="18"/>
  <c r="CY40" i="18"/>
  <c r="AN126" i="18" l="1"/>
  <c r="E9" i="21"/>
  <c r="EV27" i="18"/>
  <c r="C27" i="18"/>
  <c r="BM27" i="18"/>
  <c r="AG34" i="18"/>
  <c r="AG357" i="18"/>
  <c r="M27" i="18"/>
  <c r="K27" i="18"/>
  <c r="W787" i="18" l="1"/>
  <c r="U787" i="18"/>
  <c r="EV787" i="18" s="1"/>
  <c r="D9" i="21"/>
  <c r="U677" i="18"/>
  <c r="U679" i="18"/>
  <c r="C677" i="18"/>
  <c r="W674" i="18"/>
  <c r="U784" i="18"/>
  <c r="EV784" i="18" s="1"/>
  <c r="C787" i="18"/>
  <c r="W784" i="18"/>
  <c r="C679" i="18"/>
  <c r="C785" i="18"/>
  <c r="W679" i="18"/>
  <c r="W677" i="18"/>
  <c r="AJ193" i="18"/>
  <c r="AJ192" i="18" s="1"/>
  <c r="L9" i="21"/>
  <c r="N9" i="21"/>
  <c r="BL27" i="18"/>
  <c r="BK27" i="18"/>
  <c r="K784" i="18"/>
  <c r="M674" i="18"/>
  <c r="M784" i="18"/>
  <c r="CU787" i="18" l="1"/>
  <c r="E787" i="18" s="1"/>
  <c r="CU677" i="18"/>
  <c r="E677" i="18" s="1"/>
  <c r="EV677" i="18"/>
  <c r="CU785" i="18"/>
  <c r="E785" i="18" s="1"/>
  <c r="EV785" i="18"/>
  <c r="CU679" i="18"/>
  <c r="E679" i="18" s="1"/>
  <c r="EV679" i="18"/>
  <c r="BM784" i="18"/>
  <c r="C784" i="18"/>
  <c r="D167" i="21" s="1"/>
  <c r="E167" i="21"/>
  <c r="U674" i="18"/>
  <c r="EV674" i="18" s="1"/>
  <c r="BL784" i="18"/>
  <c r="N167" i="21"/>
  <c r="BK784" i="18"/>
  <c r="L167" i="21"/>
  <c r="W193" i="18"/>
  <c r="N143" i="21"/>
  <c r="BL674" i="18"/>
  <c r="AH202" i="18"/>
  <c r="K674" i="18"/>
  <c r="BK674" i="18" l="1"/>
  <c r="L143" i="21"/>
  <c r="CI1" i="22"/>
  <c r="CL1" i="22" s="1"/>
  <c r="CI1" i="25"/>
  <c r="CL1" i="25" s="1"/>
  <c r="CL1" i="18"/>
  <c r="BL22" i="18"/>
  <c r="E22" i="18"/>
  <c r="C39" i="18"/>
  <c r="BL13" i="18"/>
  <c r="E13" i="18"/>
  <c r="C12" i="18"/>
  <c r="BL10" i="18"/>
  <c r="E10" i="18"/>
  <c r="C9" i="18"/>
  <c r="E7" i="18"/>
  <c r="E5" i="18"/>
  <c r="F3" i="21" s="1"/>
  <c r="BM674" i="18" l="1"/>
  <c r="E143" i="21"/>
  <c r="C674" i="18"/>
  <c r="D143" i="21" s="1"/>
  <c r="C5" i="18"/>
  <c r="D3" i="21" s="1"/>
  <c r="E3" i="21"/>
  <c r="C14" i="18"/>
  <c r="U13" i="18"/>
  <c r="BJ22" i="18"/>
  <c r="F7" i="21"/>
  <c r="BJ10" i="18"/>
  <c r="F5" i="21"/>
  <c r="BJ13" i="18"/>
  <c r="F6" i="21"/>
  <c r="BJ7" i="18"/>
  <c r="F4" i="21"/>
  <c r="CY22" i="18"/>
  <c r="CY10" i="18"/>
  <c r="CY13" i="18"/>
  <c r="J13" i="18"/>
  <c r="E6" i="21" l="1"/>
  <c r="EV13" i="18"/>
  <c r="C13" i="18"/>
  <c r="D6" i="21" s="1"/>
  <c r="BM13" i="18"/>
  <c r="CY7" i="18"/>
  <c r="K6" i="21" l="1"/>
  <c r="BK13" i="18"/>
  <c r="BL7" i="18" l="1"/>
  <c r="X156" i="18" l="1"/>
  <c r="AG1" i="19"/>
  <c r="AF1" i="19" s="1"/>
  <c r="C32" i="19"/>
  <c r="C31" i="19"/>
  <c r="X667" i="18" s="1"/>
  <c r="A6" i="31" l="1"/>
  <c r="B11" i="30"/>
  <c r="X59" i="18"/>
  <c r="X131" i="18"/>
  <c r="X155" i="18"/>
  <c r="X159" i="18"/>
  <c r="X65" i="18"/>
  <c r="X43" i="18"/>
  <c r="X54" i="18"/>
  <c r="X70" i="18"/>
  <c r="J62" i="16"/>
  <c r="N58" i="16"/>
  <c r="J57" i="16"/>
  <c r="J52" i="16"/>
  <c r="N55" i="16"/>
  <c r="N62" i="16"/>
  <c r="J140" i="16"/>
  <c r="N59" i="16"/>
  <c r="J56" i="16"/>
  <c r="J54" i="16"/>
  <c r="J142" i="16"/>
  <c r="J61" i="16"/>
  <c r="J58" i="16"/>
  <c r="N53" i="16"/>
  <c r="J141" i="16"/>
  <c r="J55" i="16"/>
  <c r="J59" i="16"/>
  <c r="AE1" i="19"/>
  <c r="AD1" i="19"/>
  <c r="BY1" i="18"/>
  <c r="BV1" i="18" s="1"/>
  <c r="CO1" i="18" s="1"/>
  <c r="DB58" i="18"/>
  <c r="DA173" i="18"/>
  <c r="DB85" i="18"/>
  <c r="DA365" i="18"/>
  <c r="DA69" i="18"/>
  <c r="DA103" i="18"/>
  <c r="DB458" i="18"/>
  <c r="DB103" i="18"/>
  <c r="EH61" i="18"/>
  <c r="DB188" i="18"/>
  <c r="DA75" i="18"/>
  <c r="DA188" i="18"/>
  <c r="EH45" i="18"/>
  <c r="DA58" i="18"/>
  <c r="DA40" i="18"/>
  <c r="DB64" i="18"/>
  <c r="DA96" i="18"/>
  <c r="DB96" i="18"/>
  <c r="DB120" i="18"/>
  <c r="DA85" i="18"/>
  <c r="DB445" i="18"/>
  <c r="DB69" i="18"/>
  <c r="DB109" i="18"/>
  <c r="DB181" i="18"/>
  <c r="DA109" i="18"/>
  <c r="DA64" i="18"/>
  <c r="DB40" i="18"/>
  <c r="DB173" i="18"/>
  <c r="DB365" i="18"/>
  <c r="DB494" i="18"/>
  <c r="DA181" i="18"/>
  <c r="DB129" i="18"/>
  <c r="DB75" i="18"/>
  <c r="B197" i="19" l="1"/>
  <c r="B219" i="19"/>
  <c r="B195" i="19"/>
  <c r="B220" i="19"/>
  <c r="B196" i="19"/>
  <c r="B221" i="19"/>
  <c r="B127" i="19"/>
  <c r="B125" i="19"/>
  <c r="B126" i="19"/>
  <c r="B155" i="19"/>
  <c r="B154" i="19"/>
  <c r="B156" i="19"/>
  <c r="B50" i="19"/>
  <c r="B51" i="19"/>
  <c r="B52" i="19"/>
  <c r="B77" i="19"/>
  <c r="B206" i="19"/>
  <c r="B79" i="19"/>
  <c r="B78" i="19"/>
  <c r="B164" i="19"/>
  <c r="B163" i="19"/>
  <c r="B205" i="19"/>
  <c r="B70" i="19"/>
  <c r="B204" i="19"/>
  <c r="B165" i="19"/>
  <c r="B102" i="19"/>
  <c r="B103" i="19"/>
  <c r="B101" i="19"/>
  <c r="B72" i="19"/>
  <c r="B71" i="19"/>
  <c r="B73" i="19"/>
  <c r="B88" i="19"/>
  <c r="B213" i="19"/>
  <c r="B69" i="19"/>
  <c r="B48" i="19"/>
  <c r="B215" i="19"/>
  <c r="B214" i="19"/>
  <c r="B87" i="19"/>
  <c r="U217" i="18" s="1"/>
  <c r="B49" i="19"/>
  <c r="B68" i="19"/>
  <c r="B47" i="19"/>
  <c r="B271" i="19"/>
  <c r="B150" i="19"/>
  <c r="B55" i="19"/>
  <c r="B74" i="19"/>
  <c r="B217" i="19"/>
  <c r="B149" i="19"/>
  <c r="B54" i="19"/>
  <c r="B159" i="19"/>
  <c r="B216" i="19"/>
  <c r="B236" i="19"/>
  <c r="B53" i="19"/>
  <c r="B158" i="19"/>
  <c r="B76" i="19"/>
  <c r="B86" i="19"/>
  <c r="B234" i="19"/>
  <c r="B235" i="19"/>
  <c r="B151" i="19"/>
  <c r="B157" i="19"/>
  <c r="B75" i="19"/>
  <c r="B218" i="19"/>
  <c r="B243" i="19"/>
  <c r="B241" i="19"/>
  <c r="B242" i="19"/>
  <c r="B105" i="19"/>
  <c r="B106" i="19"/>
  <c r="B104" i="19"/>
  <c r="B39" i="19"/>
  <c r="B40" i="19"/>
  <c r="B38" i="19"/>
  <c r="B198" i="19"/>
  <c r="B200" i="19"/>
  <c r="B201" i="19"/>
  <c r="B139" i="19"/>
  <c r="B137" i="19"/>
  <c r="B138" i="19"/>
  <c r="B136" i="19"/>
  <c r="B114" i="19"/>
  <c r="B115" i="19"/>
  <c r="B113" i="19"/>
  <c r="B182" i="19"/>
  <c r="B8" i="19"/>
  <c r="B6" i="19"/>
  <c r="B7" i="19"/>
  <c r="B58" i="19"/>
  <c r="B57" i="19"/>
  <c r="B175" i="19"/>
  <c r="B177" i="19"/>
  <c r="B178" i="19"/>
  <c r="B188" i="19"/>
  <c r="B186" i="19"/>
  <c r="B187" i="19"/>
  <c r="B192" i="19"/>
  <c r="B111" i="19"/>
  <c r="B112" i="19"/>
  <c r="B110" i="19"/>
  <c r="B34" i="19"/>
  <c r="B35" i="19"/>
  <c r="B33" i="19"/>
  <c r="B108" i="19"/>
  <c r="B109" i="19"/>
  <c r="B107" i="19"/>
  <c r="B167" i="19"/>
  <c r="B168" i="19"/>
  <c r="B166" i="19"/>
  <c r="B260" i="19"/>
  <c r="B261" i="19"/>
  <c r="B262" i="19"/>
  <c r="B122" i="19"/>
  <c r="B123" i="19"/>
  <c r="B124" i="19"/>
  <c r="B134" i="19"/>
  <c r="B135" i="19"/>
  <c r="B257" i="19"/>
  <c r="B258" i="19"/>
  <c r="B259" i="19"/>
  <c r="B121" i="19"/>
  <c r="B119" i="19"/>
  <c r="B120" i="19"/>
  <c r="B270" i="19"/>
  <c r="B269" i="19"/>
  <c r="B173" i="19"/>
  <c r="B174" i="19"/>
  <c r="B172" i="19"/>
  <c r="B170" i="19"/>
  <c r="B171" i="19"/>
  <c r="B169" i="19"/>
  <c r="B63" i="19"/>
  <c r="B64" i="19"/>
  <c r="B62" i="19"/>
  <c r="B249" i="19"/>
  <c r="B250" i="19"/>
  <c r="B248" i="19"/>
  <c r="B244" i="19"/>
  <c r="B245" i="19"/>
  <c r="B240" i="19"/>
  <c r="B183" i="19"/>
  <c r="B14" i="19"/>
  <c r="B12" i="19"/>
  <c r="B13" i="19"/>
  <c r="B267" i="19"/>
  <c r="B268" i="19"/>
  <c r="B266" i="19"/>
  <c r="B252" i="19"/>
  <c r="B253" i="19"/>
  <c r="B251" i="19"/>
  <c r="B190" i="19"/>
  <c r="B140" i="19"/>
  <c r="B152" i="19"/>
  <c r="B81" i="19"/>
  <c r="B41" i="19"/>
  <c r="B82" i="19"/>
  <c r="B191" i="19"/>
  <c r="B141" i="19"/>
  <c r="B59" i="19"/>
  <c r="B153" i="19"/>
  <c r="B184" i="19"/>
  <c r="B42" i="19"/>
  <c r="B142" i="19"/>
  <c r="B60" i="19"/>
  <c r="B185" i="19"/>
  <c r="B43" i="19"/>
  <c r="B189" i="19"/>
  <c r="B61" i="19"/>
  <c r="BA458" i="18"/>
  <c r="B28" i="19"/>
  <c r="B30" i="19"/>
  <c r="B29" i="19"/>
  <c r="B27" i="19"/>
  <c r="B10" i="19"/>
  <c r="B11" i="19"/>
  <c r="B9" i="19"/>
  <c r="B246" i="19"/>
  <c r="B46" i="19"/>
  <c r="B238" i="19"/>
  <c r="B37" i="19"/>
  <c r="B247" i="19"/>
  <c r="B36" i="19"/>
  <c r="B239" i="19"/>
  <c r="B91" i="19"/>
  <c r="B45" i="19"/>
  <c r="B237" i="19"/>
  <c r="B44" i="19"/>
  <c r="BA494" i="18"/>
  <c r="B179" i="19"/>
  <c r="B180" i="19"/>
  <c r="B176" i="19"/>
  <c r="B208" i="19"/>
  <c r="B209" i="19"/>
  <c r="B3" i="19"/>
  <c r="B67" i="19"/>
  <c r="B83" i="19"/>
  <c r="B93" i="19"/>
  <c r="B97" i="19"/>
  <c r="B116" i="19"/>
  <c r="B129" i="19"/>
  <c r="B133" i="19"/>
  <c r="B160" i="19"/>
  <c r="B203" i="19"/>
  <c r="B231" i="19"/>
  <c r="B211" i="19"/>
  <c r="B146" i="19"/>
  <c r="B230" i="19"/>
  <c r="B254" i="19"/>
  <c r="B56" i="19"/>
  <c r="B66" i="19"/>
  <c r="B92" i="19"/>
  <c r="B96" i="19"/>
  <c r="B128" i="19"/>
  <c r="B145" i="19"/>
  <c r="B65" i="19"/>
  <c r="B85" i="19"/>
  <c r="B95" i="19"/>
  <c r="B99" i="19"/>
  <c r="B118" i="19"/>
  <c r="B131" i="19"/>
  <c r="B144" i="19"/>
  <c r="B162" i="19"/>
  <c r="B199" i="19"/>
  <c r="B223" i="19"/>
  <c r="B233" i="19"/>
  <c r="B263" i="19"/>
  <c r="B264" i="19"/>
  <c r="B194" i="19"/>
  <c r="B148" i="19"/>
  <c r="B226" i="19"/>
  <c r="B256" i="19"/>
  <c r="B89" i="19"/>
  <c r="B80" i="19"/>
  <c r="B84" i="19"/>
  <c r="B94" i="19"/>
  <c r="B98" i="19"/>
  <c r="B117" i="19"/>
  <c r="B130" i="19"/>
  <c r="B143" i="19"/>
  <c r="B161" i="19"/>
  <c r="B207" i="19"/>
  <c r="B232" i="19"/>
  <c r="B212" i="19"/>
  <c r="B193" i="19"/>
  <c r="B147" i="19"/>
  <c r="B225" i="19"/>
  <c r="B255" i="19"/>
  <c r="B5" i="19"/>
  <c r="B100" i="19"/>
  <c r="B132" i="19"/>
  <c r="B265" i="19"/>
  <c r="B90" i="19"/>
  <c r="B181" i="19"/>
  <c r="B224" i="19"/>
  <c r="B229" i="19"/>
  <c r="B202" i="19"/>
  <c r="B210" i="19"/>
  <c r="B228" i="19"/>
  <c r="B227" i="19"/>
  <c r="BA103" i="18"/>
  <c r="AY103" i="18"/>
  <c r="B20" i="19"/>
  <c r="B19" i="19"/>
  <c r="B18" i="19"/>
  <c r="B222" i="19"/>
  <c r="B22" i="19"/>
  <c r="B23" i="19"/>
  <c r="B21" i="19"/>
  <c r="AY181" i="18"/>
  <c r="AY173" i="18"/>
  <c r="BA181" i="18"/>
  <c r="BA173" i="18"/>
  <c r="BA58" i="18"/>
  <c r="AY58" i="18"/>
  <c r="B25" i="19"/>
  <c r="B24" i="19"/>
  <c r="B26" i="19"/>
  <c r="BA445" i="18"/>
  <c r="BA85" i="18"/>
  <c r="BA120" i="18"/>
  <c r="BA75" i="18"/>
  <c r="BA64" i="18"/>
  <c r="AY85" i="18"/>
  <c r="AY75" i="18"/>
  <c r="BA109" i="18"/>
  <c r="BA188" i="18"/>
  <c r="BA129" i="18"/>
  <c r="BA96" i="18"/>
  <c r="BA69" i="18"/>
  <c r="AY64" i="18"/>
  <c r="BA365" i="18"/>
  <c r="AY109" i="18"/>
  <c r="AY188" i="18"/>
  <c r="AY365" i="18"/>
  <c r="AY96" i="18"/>
  <c r="AY69" i="18"/>
  <c r="EJ1" i="18"/>
  <c r="EJ30" i="18" s="1"/>
  <c r="B17" i="19"/>
  <c r="B16" i="19"/>
  <c r="EJ130" i="18"/>
  <c r="EJ110" i="18"/>
  <c r="EJ121" i="18"/>
  <c r="EJ67" i="18"/>
  <c r="AY40" i="18"/>
  <c r="BA40" i="18"/>
  <c r="EJ28" i="18"/>
  <c r="BU1" i="18"/>
  <c r="CJ1" i="18"/>
  <c r="ES1" i="18" s="1"/>
  <c r="ES667" i="18" s="1"/>
  <c r="Q667" i="18" s="1"/>
  <c r="AC1" i="19"/>
  <c r="AB1" i="19" s="1"/>
  <c r="B31" i="19"/>
  <c r="B1" i="19"/>
  <c r="B2" i="19"/>
  <c r="B32" i="19"/>
  <c r="B15" i="19"/>
  <c r="BX1" i="18"/>
  <c r="CZ281" i="18"/>
  <c r="CZ245" i="18"/>
  <c r="CZ266" i="18"/>
  <c r="CZ781" i="18"/>
  <c r="CZ681" i="18"/>
  <c r="CZ272" i="18"/>
  <c r="A219" i="19" l="1"/>
  <c r="A195" i="19"/>
  <c r="A220" i="19"/>
  <c r="A196" i="19"/>
  <c r="A221" i="19"/>
  <c r="A197" i="19"/>
  <c r="EJ2079" i="18"/>
  <c r="EJ984" i="18"/>
  <c r="A125" i="19"/>
  <c r="A127" i="19"/>
  <c r="A126" i="19"/>
  <c r="A154" i="19"/>
  <c r="A156" i="19"/>
  <c r="A155" i="19"/>
  <c r="A50" i="19"/>
  <c r="A52" i="19"/>
  <c r="A51" i="19"/>
  <c r="EJ2081" i="18"/>
  <c r="EJ2083" i="18"/>
  <c r="EJ18" i="18"/>
  <c r="EJ2066" i="18"/>
  <c r="EJ2031" i="18"/>
  <c r="EJ2052" i="18"/>
  <c r="EJ2016" i="18"/>
  <c r="EJ2055" i="18"/>
  <c r="EJ2033" i="18"/>
  <c r="EJ2014" i="18"/>
  <c r="EJ2071" i="18"/>
  <c r="EJ2035" i="18"/>
  <c r="BW1" i="18"/>
  <c r="B8" i="30"/>
  <c r="EJ940" i="18"/>
  <c r="EJ920" i="18"/>
  <c r="EJ892" i="18"/>
  <c r="EJ938" i="18"/>
  <c r="EJ942" i="18"/>
  <c r="EJ943" i="18"/>
  <c r="EJ894" i="18"/>
  <c r="EJ890" i="18"/>
  <c r="EJ895" i="18"/>
  <c r="EJ928" i="18"/>
  <c r="EJ925" i="18"/>
  <c r="A206" i="19"/>
  <c r="A79" i="19"/>
  <c r="A78" i="19"/>
  <c r="A77" i="19"/>
  <c r="EJ641" i="18"/>
  <c r="EJ621" i="18"/>
  <c r="EJ559" i="18"/>
  <c r="EJ590" i="18"/>
  <c r="A70" i="19"/>
  <c r="A163" i="19"/>
  <c r="A205" i="19"/>
  <c r="A204" i="19"/>
  <c r="A165" i="19"/>
  <c r="A164" i="19"/>
  <c r="A101" i="19"/>
  <c r="A102" i="19"/>
  <c r="A103" i="19"/>
  <c r="A71" i="19"/>
  <c r="A72" i="19"/>
  <c r="A73" i="19"/>
  <c r="EJ200" i="18"/>
  <c r="EJ304" i="18"/>
  <c r="A87" i="19"/>
  <c r="A49" i="19"/>
  <c r="A68" i="19"/>
  <c r="A48" i="19"/>
  <c r="A215" i="19"/>
  <c r="A47" i="19"/>
  <c r="A214" i="19"/>
  <c r="A88" i="19"/>
  <c r="A69" i="19"/>
  <c r="A213" i="19"/>
  <c r="A149" i="19"/>
  <c r="A54" i="19"/>
  <c r="A159" i="19"/>
  <c r="A216" i="19"/>
  <c r="A236" i="19"/>
  <c r="A53" i="19"/>
  <c r="A158" i="19"/>
  <c r="A76" i="19"/>
  <c r="A86" i="19"/>
  <c r="A234" i="19"/>
  <c r="A235" i="19"/>
  <c r="A151" i="19"/>
  <c r="A157" i="19"/>
  <c r="A75" i="19"/>
  <c r="A218" i="19"/>
  <c r="A271" i="19"/>
  <c r="A150" i="19"/>
  <c r="A55" i="19"/>
  <c r="A74" i="19"/>
  <c r="A217" i="19"/>
  <c r="EJ847" i="18"/>
  <c r="EJ80" i="18"/>
  <c r="A242" i="19"/>
  <c r="A243" i="19"/>
  <c r="A241" i="19"/>
  <c r="EJ14" i="18"/>
  <c r="A104" i="19"/>
  <c r="A105" i="19"/>
  <c r="A106" i="19"/>
  <c r="A38" i="19"/>
  <c r="A39" i="19"/>
  <c r="A40" i="19"/>
  <c r="A198" i="19"/>
  <c r="A200" i="19"/>
  <c r="A201" i="19"/>
  <c r="A139" i="19"/>
  <c r="A137" i="19"/>
  <c r="A136" i="19"/>
  <c r="A138" i="19"/>
  <c r="A113" i="19"/>
  <c r="A114" i="19"/>
  <c r="A115" i="19"/>
  <c r="EJ538" i="18"/>
  <c r="EJ537" i="18"/>
  <c r="EJ253" i="18"/>
  <c r="EJ307" i="18"/>
  <c r="A182" i="19"/>
  <c r="EJ262" i="18"/>
  <c r="EJ254" i="18"/>
  <c r="EJ259" i="18"/>
  <c r="EJ261" i="18"/>
  <c r="A7" i="19"/>
  <c r="A8" i="19"/>
  <c r="A6" i="19"/>
  <c r="EJ113" i="18"/>
  <c r="EJ134" i="18"/>
  <c r="EJ105" i="18"/>
  <c r="EJ114" i="18"/>
  <c r="A57" i="19"/>
  <c r="A58" i="19"/>
  <c r="A175" i="19"/>
  <c r="A177" i="19"/>
  <c r="A178" i="19"/>
  <c r="EJ146" i="18"/>
  <c r="EJ98" i="18"/>
  <c r="A187" i="19"/>
  <c r="A188" i="19"/>
  <c r="A186" i="19"/>
  <c r="A192" i="19"/>
  <c r="EJ209" i="18"/>
  <c r="EJ135" i="18"/>
  <c r="A110" i="19"/>
  <c r="A111" i="19"/>
  <c r="A112" i="19"/>
  <c r="A33" i="19"/>
  <c r="A34" i="19"/>
  <c r="A35" i="19"/>
  <c r="EJ211" i="18"/>
  <c r="EJ194" i="18"/>
  <c r="EJ608" i="18"/>
  <c r="EJ609" i="18"/>
  <c r="A107" i="19"/>
  <c r="A108" i="19"/>
  <c r="A109" i="19"/>
  <c r="EJ642" i="18"/>
  <c r="EJ438" i="18"/>
  <c r="EJ626" i="18"/>
  <c r="EJ640" i="18"/>
  <c r="A166" i="19"/>
  <c r="A167" i="19"/>
  <c r="A168" i="19"/>
  <c r="EJ959" i="18"/>
  <c r="EJ124" i="18"/>
  <c r="EJ934" i="18"/>
  <c r="EJ911" i="18"/>
  <c r="A262" i="19"/>
  <c r="A260" i="19"/>
  <c r="A261" i="19"/>
  <c r="A124" i="19"/>
  <c r="A122" i="19"/>
  <c r="A123" i="19"/>
  <c r="EJ917" i="18"/>
  <c r="EJ977" i="18"/>
  <c r="A135" i="19"/>
  <c r="A134" i="19"/>
  <c r="EJ951" i="18"/>
  <c r="EJ952" i="18"/>
  <c r="EJ902" i="18"/>
  <c r="EJ947" i="18"/>
  <c r="EJ903" i="18"/>
  <c r="EJ904" i="18"/>
  <c r="EJ886" i="18"/>
  <c r="EJ899" i="18"/>
  <c r="EJ814" i="18"/>
  <c r="EJ878" i="18"/>
  <c r="A259" i="19"/>
  <c r="A257" i="19"/>
  <c r="A258" i="19"/>
  <c r="A120" i="19"/>
  <c r="A121" i="19"/>
  <c r="A119" i="19"/>
  <c r="EJ779" i="18"/>
  <c r="EJ808" i="18"/>
  <c r="EJ778" i="18"/>
  <c r="EJ752" i="18"/>
  <c r="EJ685" i="18"/>
  <c r="EJ683" i="18"/>
  <c r="A270" i="19"/>
  <c r="A269" i="19"/>
  <c r="EJ686" i="18"/>
  <c r="EJ684" i="18"/>
  <c r="A172" i="19"/>
  <c r="A173" i="19"/>
  <c r="A174" i="19"/>
  <c r="EJ111" i="18"/>
  <c r="EJ116" i="18"/>
  <c r="A169" i="19"/>
  <c r="A170" i="19"/>
  <c r="A171" i="19"/>
  <c r="A62" i="19"/>
  <c r="A63" i="19"/>
  <c r="A64" i="19"/>
  <c r="EJ115" i="18"/>
  <c r="EJ101" i="18"/>
  <c r="EJ470" i="18"/>
  <c r="EJ370" i="18"/>
  <c r="EJ369" i="18"/>
  <c r="EJ469" i="18"/>
  <c r="EJ371" i="18"/>
  <c r="A248" i="19"/>
  <c r="A249" i="19"/>
  <c r="A250" i="19"/>
  <c r="AH93" i="18"/>
  <c r="W93" i="18" s="1"/>
  <c r="EJ72" i="18"/>
  <c r="EJ94" i="18"/>
  <c r="EJ949" i="18"/>
  <c r="EJ764" i="18"/>
  <c r="EJ765" i="18"/>
  <c r="EJ73" i="18"/>
  <c r="EJ720" i="18"/>
  <c r="AD141" i="18"/>
  <c r="AH141" i="18" s="1"/>
  <c r="EJ437" i="18"/>
  <c r="EJ439" i="18"/>
  <c r="EJ848" i="18"/>
  <c r="EJ849" i="18"/>
  <c r="EJ850" i="18"/>
  <c r="EJ522" i="18"/>
  <c r="EJ525" i="18"/>
  <c r="EJ193" i="18"/>
  <c r="EJ521" i="18"/>
  <c r="BC781" i="18"/>
  <c r="EJ909" i="18"/>
  <c r="EJ914" i="18"/>
  <c r="EJ955" i="18"/>
  <c r="EJ962" i="18"/>
  <c r="EJ946" i="18"/>
  <c r="EJ898" i="18"/>
  <c r="EJ907" i="18"/>
  <c r="EJ877" i="18"/>
  <c r="EJ885" i="18"/>
  <c r="EJ777" i="18"/>
  <c r="EJ774" i="18"/>
  <c r="EJ773" i="18"/>
  <c r="C171" i="21"/>
  <c r="EJ790" i="18"/>
  <c r="EJ800" i="18"/>
  <c r="EJ805" i="18"/>
  <c r="EJ811" i="18"/>
  <c r="EJ757" i="18"/>
  <c r="EJ768" i="18"/>
  <c r="EJ754" i="18"/>
  <c r="EJ615" i="18"/>
  <c r="EJ747" i="18"/>
  <c r="EJ593" i="18"/>
  <c r="EJ614" i="18"/>
  <c r="ES669" i="18"/>
  <c r="EO1" i="18"/>
  <c r="EJ587" i="18"/>
  <c r="EJ667" i="18"/>
  <c r="EJ575" i="18"/>
  <c r="EJ580" i="18"/>
  <c r="EJ570" i="18"/>
  <c r="EJ571" i="18"/>
  <c r="EJ561" i="18"/>
  <c r="EJ566" i="18"/>
  <c r="A240" i="19"/>
  <c r="A244" i="19"/>
  <c r="A245" i="19"/>
  <c r="EJ574" i="18"/>
  <c r="EJ554" i="18"/>
  <c r="A183" i="19"/>
  <c r="A13" i="19"/>
  <c r="A12" i="19"/>
  <c r="A14" i="19"/>
  <c r="EJ547" i="18"/>
  <c r="EJ569" i="18"/>
  <c r="EJ542" i="18"/>
  <c r="EJ544" i="18"/>
  <c r="EJ534" i="18"/>
  <c r="EJ536" i="18"/>
  <c r="EJ528" i="18"/>
  <c r="EJ530" i="18"/>
  <c r="EJ520" i="18"/>
  <c r="EJ524" i="18"/>
  <c r="EJ483" i="18"/>
  <c r="EJ512" i="18"/>
  <c r="A266" i="19"/>
  <c r="A267" i="19"/>
  <c r="A268" i="19"/>
  <c r="EJ503" i="18"/>
  <c r="EJ502" i="18"/>
  <c r="EJ501" i="18"/>
  <c r="EJ500" i="18"/>
  <c r="EJ47" i="18"/>
  <c r="A251" i="19"/>
  <c r="A252" i="19"/>
  <c r="A253" i="19"/>
  <c r="A189" i="19"/>
  <c r="A61" i="19"/>
  <c r="A82" i="19"/>
  <c r="A190" i="19"/>
  <c r="A140" i="19"/>
  <c r="A152" i="19"/>
  <c r="A81" i="19"/>
  <c r="A41" i="19"/>
  <c r="A191" i="19"/>
  <c r="A141" i="19"/>
  <c r="A59" i="19"/>
  <c r="A153" i="19"/>
  <c r="A184" i="19"/>
  <c r="A42" i="19"/>
  <c r="A142" i="19"/>
  <c r="A60" i="19"/>
  <c r="A185" i="19"/>
  <c r="A43" i="19"/>
  <c r="EJ62" i="18"/>
  <c r="EJ429" i="18"/>
  <c r="EJ46" i="18"/>
  <c r="EJ389" i="18"/>
  <c r="A27" i="19"/>
  <c r="A29" i="19"/>
  <c r="A28" i="19"/>
  <c r="A30" i="19"/>
  <c r="EJ466" i="18"/>
  <c r="EJ456" i="18"/>
  <c r="EJ465" i="18"/>
  <c r="EJ460" i="18"/>
  <c r="EJ463" i="18"/>
  <c r="EJ464" i="18"/>
  <c r="EJ451" i="18"/>
  <c r="EJ462" i="18"/>
  <c r="EJ459" i="18"/>
  <c r="EJ452" i="18"/>
  <c r="EJ357" i="18"/>
  <c r="EJ361" i="18"/>
  <c r="EJ426" i="18"/>
  <c r="EJ382" i="18"/>
  <c r="EJ414" i="18"/>
  <c r="EJ413" i="18"/>
  <c r="EJ421" i="18"/>
  <c r="EJ415" i="18"/>
  <c r="EJ392" i="18"/>
  <c r="EJ393" i="18"/>
  <c r="EJ378" i="18"/>
  <c r="EJ386" i="18"/>
  <c r="A10" i="19"/>
  <c r="A11" i="19"/>
  <c r="A9" i="19"/>
  <c r="EJ376" i="18"/>
  <c r="EJ377" i="18"/>
  <c r="EJ410" i="18"/>
  <c r="EJ375" i="18"/>
  <c r="EJ398" i="18"/>
  <c r="EJ408" i="18"/>
  <c r="A91" i="19"/>
  <c r="A45" i="19"/>
  <c r="A237" i="19"/>
  <c r="A247" i="19"/>
  <c r="A239" i="19"/>
  <c r="A46" i="19"/>
  <c r="A238" i="19"/>
  <c r="A44" i="19"/>
  <c r="A37" i="19"/>
  <c r="A36" i="19"/>
  <c r="A246" i="19"/>
  <c r="EJ385" i="18"/>
  <c r="EJ710" i="18"/>
  <c r="EJ709" i="18"/>
  <c r="EJ689" i="18"/>
  <c r="EJ694" i="18"/>
  <c r="EJ446" i="18"/>
  <c r="EJ495" i="18"/>
  <c r="EJ742" i="18"/>
  <c r="EJ366" i="18"/>
  <c r="A176" i="19"/>
  <c r="A179" i="19"/>
  <c r="A180" i="19"/>
  <c r="EJ726" i="18"/>
  <c r="EJ741" i="18"/>
  <c r="EJ729" i="18"/>
  <c r="EJ824" i="18"/>
  <c r="EJ713" i="18"/>
  <c r="EJ725" i="18"/>
  <c r="EJ701" i="18"/>
  <c r="EJ708" i="18"/>
  <c r="EJ93" i="18"/>
  <c r="EJ853" i="18"/>
  <c r="EJ88" i="18"/>
  <c r="EJ868" i="18"/>
  <c r="EJ863" i="18"/>
  <c r="L1" i="21"/>
  <c r="EJ831" i="18"/>
  <c r="A208" i="19"/>
  <c r="A209" i="19"/>
  <c r="A3" i="19"/>
  <c r="EJ834" i="18"/>
  <c r="EJ846" i="18"/>
  <c r="BC681" i="18"/>
  <c r="A56" i="19"/>
  <c r="A66" i="19"/>
  <c r="A92" i="19"/>
  <c r="A96" i="19"/>
  <c r="A100" i="19"/>
  <c r="A128" i="19"/>
  <c r="A132" i="19"/>
  <c r="A145" i="19"/>
  <c r="A181" i="19"/>
  <c r="A202" i="19"/>
  <c r="A224" i="19"/>
  <c r="A210" i="19"/>
  <c r="A265" i="19"/>
  <c r="A228" i="19"/>
  <c r="A229" i="19"/>
  <c r="A227" i="19"/>
  <c r="A90" i="19"/>
  <c r="A65" i="19"/>
  <c r="A85" i="19"/>
  <c r="A95" i="19"/>
  <c r="A99" i="19"/>
  <c r="A131" i="19"/>
  <c r="A80" i="19"/>
  <c r="A84" i="19"/>
  <c r="A94" i="19"/>
  <c r="A98" i="19"/>
  <c r="A117" i="19"/>
  <c r="A130" i="19"/>
  <c r="A143" i="19"/>
  <c r="A161" i="19"/>
  <c r="A207" i="19"/>
  <c r="A232" i="19"/>
  <c r="A212" i="19"/>
  <c r="A193" i="19"/>
  <c r="A147" i="19"/>
  <c r="A225" i="19"/>
  <c r="A255" i="19"/>
  <c r="A5" i="19"/>
  <c r="A67" i="19"/>
  <c r="A83" i="19"/>
  <c r="A93" i="19"/>
  <c r="A97" i="19"/>
  <c r="A116" i="19"/>
  <c r="A129" i="19"/>
  <c r="A133" i="19"/>
  <c r="A160" i="19"/>
  <c r="A203" i="19"/>
  <c r="A231" i="19"/>
  <c r="A211" i="19"/>
  <c r="A146" i="19"/>
  <c r="A230" i="19"/>
  <c r="A254" i="19"/>
  <c r="A4" i="19"/>
  <c r="A118" i="19"/>
  <c r="A144" i="19"/>
  <c r="A256" i="19"/>
  <c r="A199" i="19"/>
  <c r="A233" i="19"/>
  <c r="A264" i="19"/>
  <c r="A194" i="19"/>
  <c r="A226" i="19"/>
  <c r="A89" i="19"/>
  <c r="A162" i="19"/>
  <c r="A223" i="19"/>
  <c r="A263" i="19"/>
  <c r="A148" i="19"/>
  <c r="EJ339" i="18"/>
  <c r="EJ340" i="18"/>
  <c r="EJ306" i="18"/>
  <c r="EJ311" i="18"/>
  <c r="EJ267" i="18"/>
  <c r="EJ308" i="18"/>
  <c r="EJ255" i="18"/>
  <c r="EJ275" i="18"/>
  <c r="EJ252" i="18"/>
  <c r="EJ273" i="18"/>
  <c r="EJ274" i="18"/>
  <c r="EJ258" i="18"/>
  <c r="EJ268" i="18"/>
  <c r="EJ247" i="18"/>
  <c r="EJ248" i="18"/>
  <c r="EJ104" i="18"/>
  <c r="EJ232" i="18"/>
  <c r="EJ239" i="18"/>
  <c r="A19" i="19"/>
  <c r="A20" i="19"/>
  <c r="A18" i="19"/>
  <c r="EJ198" i="18"/>
  <c r="EJ238" i="18"/>
  <c r="A222" i="19"/>
  <c r="AD189" i="18"/>
  <c r="EJ190" i="18"/>
  <c r="EJ199" i="18"/>
  <c r="A22" i="19"/>
  <c r="A23" i="19"/>
  <c r="A21" i="19"/>
  <c r="AD193" i="18"/>
  <c r="EJ212" i="18"/>
  <c r="EJ210" i="18"/>
  <c r="EJ207" i="18"/>
  <c r="EJ184" i="18"/>
  <c r="EJ186" i="18"/>
  <c r="EJ179" i="18"/>
  <c r="EJ180" i="18"/>
  <c r="EJ176" i="18"/>
  <c r="EJ177" i="18"/>
  <c r="EJ175" i="18"/>
  <c r="EJ195" i="18"/>
  <c r="EJ182" i="18"/>
  <c r="EJ174" i="18"/>
  <c r="EJ203" i="18"/>
  <c r="EJ226" i="18"/>
  <c r="EJ167" i="18"/>
  <c r="EJ61" i="18"/>
  <c r="EJ59" i="18"/>
  <c r="EJ220" i="18"/>
  <c r="EJ227" i="18"/>
  <c r="A26" i="19"/>
  <c r="A25" i="19"/>
  <c r="A24" i="19"/>
  <c r="EJ219" i="18"/>
  <c r="EJ225" i="18"/>
  <c r="EJ217" i="18"/>
  <c r="EJ223" i="18"/>
  <c r="EJ81" i="18"/>
  <c r="EJ91" i="18"/>
  <c r="BC281" i="18"/>
  <c r="AF133" i="18"/>
  <c r="EJ127" i="18"/>
  <c r="EJ159" i="18"/>
  <c r="EJ131" i="18"/>
  <c r="EJ155" i="18"/>
  <c r="EJ123" i="18"/>
  <c r="EJ156" i="18"/>
  <c r="EJ86" i="18"/>
  <c r="EJ144" i="18"/>
  <c r="EJ139" i="18"/>
  <c r="EJ45" i="18"/>
  <c r="EJ97" i="18"/>
  <c r="EJ56" i="18"/>
  <c r="EJ65" i="18"/>
  <c r="EJ54" i="18"/>
  <c r="EJ76" i="18"/>
  <c r="A16" i="19"/>
  <c r="A17" i="19"/>
  <c r="EJ43" i="18"/>
  <c r="EJ53" i="18"/>
  <c r="EJ70" i="18"/>
  <c r="EJ122" i="18"/>
  <c r="X22" i="18"/>
  <c r="EK1" i="18"/>
  <c r="CK1" i="18"/>
  <c r="A2" i="19"/>
  <c r="A31" i="19"/>
  <c r="A32" i="19"/>
  <c r="A15" i="19"/>
  <c r="B2084" i="18" l="1"/>
  <c r="B2083" i="18"/>
  <c r="B2080" i="18"/>
  <c r="B2078" i="18"/>
  <c r="B2076" i="18"/>
  <c r="B2075" i="18"/>
  <c r="B2085" i="18"/>
  <c r="B2082" i="18"/>
  <c r="B2081" i="18"/>
  <c r="B2079" i="18"/>
  <c r="B2077" i="18"/>
  <c r="N2077" i="18"/>
  <c r="L2077" i="18"/>
  <c r="J2077" i="18"/>
  <c r="H2077" i="18"/>
  <c r="EK2085" i="18"/>
  <c r="P2085" i="18" s="1"/>
  <c r="EK2083" i="18"/>
  <c r="P2083" i="18" s="1"/>
  <c r="U2083" i="18" s="1"/>
  <c r="EK2079" i="18"/>
  <c r="P2079" i="18" s="1"/>
  <c r="U2079" i="18" s="1"/>
  <c r="EK2081" i="18"/>
  <c r="P2081" i="18" s="1"/>
  <c r="EK2068" i="18"/>
  <c r="P2068" i="18" s="1"/>
  <c r="EK2065" i="18"/>
  <c r="P2065" i="18" s="1"/>
  <c r="EK2073" i="18"/>
  <c r="P2073" i="18" s="1"/>
  <c r="EK2057" i="18"/>
  <c r="P2057" i="18" s="1"/>
  <c r="EK2044" i="18"/>
  <c r="P2044" i="18" s="1"/>
  <c r="EK2042" i="18"/>
  <c r="P2042" i="18" s="1"/>
  <c r="U2042" i="18" s="1"/>
  <c r="EK2033" i="18"/>
  <c r="P2033" i="18" s="1"/>
  <c r="U2033" i="18" s="1"/>
  <c r="EK2063" i="18"/>
  <c r="P2063" i="18" s="1"/>
  <c r="EK2021" i="18"/>
  <c r="P2021" i="18" s="1"/>
  <c r="EK2018" i="18"/>
  <c r="P2018" i="18" s="1"/>
  <c r="EK2071" i="18"/>
  <c r="P2071" i="18" s="1"/>
  <c r="EK2066" i="18"/>
  <c r="P2066" i="18" s="1"/>
  <c r="EK2055" i="18"/>
  <c r="P2055" i="18" s="1"/>
  <c r="U2055" i="18" s="1"/>
  <c r="EK2054" i="18"/>
  <c r="P2054" i="18" s="1"/>
  <c r="EK2050" i="18"/>
  <c r="P2050" i="18" s="1"/>
  <c r="EK2070" i="18"/>
  <c r="P2070" i="18" s="1"/>
  <c r="EK2052" i="18"/>
  <c r="P2052" i="18" s="1"/>
  <c r="U2052" i="18" s="1"/>
  <c r="EK2035" i="18"/>
  <c r="P2035" i="18" s="1"/>
  <c r="EK2005" i="18"/>
  <c r="P2005" i="18" s="1"/>
  <c r="EK2025" i="18"/>
  <c r="P2025" i="18" s="1"/>
  <c r="EK2006" i="18"/>
  <c r="P2006" i="18" s="1"/>
  <c r="EK2016" i="18"/>
  <c r="P2016" i="18" s="1"/>
  <c r="U2016" i="18" s="1"/>
  <c r="EK2004" i="18"/>
  <c r="P2004" i="18" s="1"/>
  <c r="EK985" i="18"/>
  <c r="EK984" i="18"/>
  <c r="P984" i="18" s="1"/>
  <c r="U984" i="18" s="1"/>
  <c r="EK982" i="18"/>
  <c r="P982" i="18" s="1"/>
  <c r="EK2002" i="18"/>
  <c r="P2002" i="18" s="1"/>
  <c r="EK2031" i="18"/>
  <c r="P2031" i="18" s="1"/>
  <c r="EK2040" i="18"/>
  <c r="P2040" i="18" s="1"/>
  <c r="EK2037" i="18"/>
  <c r="P2037" i="18" s="1"/>
  <c r="EK2023" i="18"/>
  <c r="P2023" i="18" s="1"/>
  <c r="U2023" i="18" s="1"/>
  <c r="EK2014" i="18"/>
  <c r="P2014" i="18" s="1"/>
  <c r="U2014" i="18" s="1"/>
  <c r="B890" i="18"/>
  <c r="B2072" i="18"/>
  <c r="B2070" i="18"/>
  <c r="B2067" i="18"/>
  <c r="B2062" i="18"/>
  <c r="B2060" i="18"/>
  <c r="B2056" i="18"/>
  <c r="B2055" i="18"/>
  <c r="B2051" i="18"/>
  <c r="B2049" i="18"/>
  <c r="B2047" i="18"/>
  <c r="B2044" i="18"/>
  <c r="B2041" i="18"/>
  <c r="B2038" i="18"/>
  <c r="B2035" i="18"/>
  <c r="B2032" i="18"/>
  <c r="B2031" i="18"/>
  <c r="B2029" i="18"/>
  <c r="B2017" i="18"/>
  <c r="B2014" i="18"/>
  <c r="B2065" i="18"/>
  <c r="B2023" i="18"/>
  <c r="B2020" i="18"/>
  <c r="B2073" i="18"/>
  <c r="B2071" i="18"/>
  <c r="B2068" i="18"/>
  <c r="B2063" i="18"/>
  <c r="B2061" i="18"/>
  <c r="B2057" i="18"/>
  <c r="B2053" i="18"/>
  <c r="B2052" i="18"/>
  <c r="B2050" i="18"/>
  <c r="B2048" i="18"/>
  <c r="B2036" i="18"/>
  <c r="B2006" i="18"/>
  <c r="B2069" i="18"/>
  <c r="B2066" i="18"/>
  <c r="B2059" i="18"/>
  <c r="B2054" i="18"/>
  <c r="B2046" i="18"/>
  <c r="B2043" i="18"/>
  <c r="B2040" i="18"/>
  <c r="B2037" i="18"/>
  <c r="B2034" i="18"/>
  <c r="B2030" i="18"/>
  <c r="B2028" i="18"/>
  <c r="B2013" i="18"/>
  <c r="B2025" i="18"/>
  <c r="B2016" i="18"/>
  <c r="B2012" i="18"/>
  <c r="B982" i="18"/>
  <c r="B2042" i="18"/>
  <c r="B2000" i="18"/>
  <c r="B984" i="18"/>
  <c r="B2064" i="18"/>
  <c r="B2010" i="18"/>
  <c r="B2004" i="18"/>
  <c r="B981" i="18"/>
  <c r="C211" i="21" s="1"/>
  <c r="B978" i="18"/>
  <c r="B2005" i="18"/>
  <c r="B2003" i="18"/>
  <c r="B2024" i="18"/>
  <c r="B2021" i="18"/>
  <c r="B2015" i="18"/>
  <c r="B2011" i="18"/>
  <c r="B2008" i="18"/>
  <c r="B2002" i="18"/>
  <c r="B983" i="18"/>
  <c r="B980" i="18"/>
  <c r="B2039" i="18"/>
  <c r="B2033" i="18"/>
  <c r="B2018" i="18"/>
  <c r="B2009" i="18"/>
  <c r="B979" i="18"/>
  <c r="C210" i="21" s="1"/>
  <c r="B2027" i="18"/>
  <c r="B2022" i="18"/>
  <c r="B2019" i="18"/>
  <c r="B2007" i="18"/>
  <c r="B986" i="18"/>
  <c r="B985" i="18"/>
  <c r="N2061" i="18"/>
  <c r="N2048" i="18"/>
  <c r="L2029" i="18"/>
  <c r="J2010" i="18"/>
  <c r="L2061" i="18"/>
  <c r="L2048" i="18"/>
  <c r="J2029" i="18"/>
  <c r="N2020" i="18"/>
  <c r="H2010" i="18"/>
  <c r="J2061" i="18"/>
  <c r="J2048" i="18"/>
  <c r="N2039" i="18"/>
  <c r="L981" i="18"/>
  <c r="M211" i="21" s="1"/>
  <c r="L2039" i="18"/>
  <c r="L2020" i="18"/>
  <c r="H2061" i="18"/>
  <c r="N981" i="18"/>
  <c r="N2029" i="18"/>
  <c r="H2048" i="18"/>
  <c r="N2010" i="18"/>
  <c r="H2029" i="18"/>
  <c r="L2010" i="18"/>
  <c r="B260" i="18"/>
  <c r="B796" i="18"/>
  <c r="BT1" i="18"/>
  <c r="B696" i="18"/>
  <c r="B809" i="18"/>
  <c r="B955" i="18"/>
  <c r="B588" i="18"/>
  <c r="B750" i="18"/>
  <c r="B551" i="18"/>
  <c r="C115" i="21" s="1"/>
  <c r="B660" i="18"/>
  <c r="B171" i="18"/>
  <c r="C35" i="21" s="1"/>
  <c r="B893" i="18"/>
  <c r="B922" i="18"/>
  <c r="B722" i="18"/>
  <c r="C154" i="21" s="1"/>
  <c r="B771" i="18"/>
  <c r="B515" i="18"/>
  <c r="B19" i="18"/>
  <c r="B948" i="18"/>
  <c r="B622" i="18"/>
  <c r="B674" i="18"/>
  <c r="C143" i="21" s="1"/>
  <c r="B913" i="18"/>
  <c r="C193" i="21" s="1"/>
  <c r="B775" i="18"/>
  <c r="B962" i="18"/>
  <c r="B654" i="18"/>
  <c r="C136" i="21" s="1"/>
  <c r="B761" i="18"/>
  <c r="C163" i="21" s="1"/>
  <c r="B629" i="18"/>
  <c r="B535" i="18"/>
  <c r="B429" i="18"/>
  <c r="B550" i="18"/>
  <c r="B401" i="18"/>
  <c r="B314" i="18"/>
  <c r="B18" i="18"/>
  <c r="B307" i="18"/>
  <c r="B900" i="18"/>
  <c r="B826" i="18"/>
  <c r="B418" i="18"/>
  <c r="B869" i="18"/>
  <c r="B699" i="18"/>
  <c r="B906" i="18"/>
  <c r="C192" i="21" s="1"/>
  <c r="B837" i="18"/>
  <c r="B687" i="18"/>
  <c r="B447" i="18"/>
  <c r="B160" i="18"/>
  <c r="B398" i="18"/>
  <c r="B496" i="18"/>
  <c r="B347" i="18"/>
  <c r="B256" i="18"/>
  <c r="B827" i="18"/>
  <c r="B770" i="18"/>
  <c r="B973" i="18"/>
  <c r="C201" i="21" s="1"/>
  <c r="B836" i="18"/>
  <c r="B646" i="18"/>
  <c r="B840" i="18"/>
  <c r="B866" i="18"/>
  <c r="B749" i="18"/>
  <c r="B732" i="18"/>
  <c r="B362" i="18"/>
  <c r="B128" i="18"/>
  <c r="B444" i="18"/>
  <c r="B294" i="18"/>
  <c r="B152" i="18"/>
  <c r="B944" i="18"/>
  <c r="B816" i="18"/>
  <c r="C174" i="21" s="1"/>
  <c r="B567" i="18"/>
  <c r="B762" i="18"/>
  <c r="B663" i="18"/>
  <c r="B967" i="18"/>
  <c r="B907" i="18"/>
  <c r="B828" i="18"/>
  <c r="C178" i="21" s="1"/>
  <c r="B742" i="18"/>
  <c r="B635" i="18"/>
  <c r="B954" i="18"/>
  <c r="C196" i="21" s="1"/>
  <c r="B819" i="18"/>
  <c r="B638" i="18"/>
  <c r="B858" i="18"/>
  <c r="B758" i="18"/>
  <c r="B744" i="18"/>
  <c r="C159" i="21" s="1"/>
  <c r="B624" i="18"/>
  <c r="B721" i="18"/>
  <c r="B491" i="18"/>
  <c r="B214" i="18"/>
  <c r="C42" i="21" s="1"/>
  <c r="B404" i="18"/>
  <c r="B77" i="18"/>
  <c r="B548" i="18"/>
  <c r="B440" i="18"/>
  <c r="B395" i="18"/>
  <c r="B284" i="18"/>
  <c r="B303" i="18"/>
  <c r="C62" i="21" s="1"/>
  <c r="B118" i="18"/>
  <c r="C25" i="21" s="1"/>
  <c r="B972" i="18"/>
  <c r="B865" i="18"/>
  <c r="B739" i="18"/>
  <c r="B821" i="18"/>
  <c r="C176" i="21" s="1"/>
  <c r="B706" i="18"/>
  <c r="B354" i="18"/>
  <c r="C73" i="21" s="1"/>
  <c r="B953" i="18"/>
  <c r="B861" i="18"/>
  <c r="B791" i="18"/>
  <c r="B683" i="18"/>
  <c r="B2086" i="18"/>
  <c r="B902" i="18"/>
  <c r="B760" i="18"/>
  <c r="B829" i="18"/>
  <c r="B806" i="18"/>
  <c r="B671" i="18"/>
  <c r="B677" i="18"/>
  <c r="B431" i="18"/>
  <c r="C88" i="21" s="1"/>
  <c r="B649" i="18"/>
  <c r="C135" i="21" s="1"/>
  <c r="B603" i="18"/>
  <c r="B507" i="18"/>
  <c r="B390" i="18"/>
  <c r="B584" i="18"/>
  <c r="C124" i="21" s="1"/>
  <c r="B492" i="18"/>
  <c r="C100" i="21" s="1"/>
  <c r="B163" i="18"/>
  <c r="B335" i="18"/>
  <c r="C68" i="21" s="1"/>
  <c r="B145" i="18"/>
  <c r="B215" i="18"/>
  <c r="B147" i="18"/>
  <c r="B537" i="18"/>
  <c r="B928" i="18"/>
  <c r="A2" i="31"/>
  <c r="B887" i="18"/>
  <c r="B924" i="18"/>
  <c r="C137" i="21" s="1"/>
  <c r="B619" i="18"/>
  <c r="B114" i="18"/>
  <c r="B135" i="18"/>
  <c r="B6" i="18"/>
  <c r="B30" i="18"/>
  <c r="B74" i="18"/>
  <c r="B112" i="18"/>
  <c r="B11" i="18"/>
  <c r="B27" i="18"/>
  <c r="C9" i="21" s="1"/>
  <c r="B55" i="18"/>
  <c r="B79" i="18"/>
  <c r="B136" i="18"/>
  <c r="B178" i="18"/>
  <c r="B48" i="18"/>
  <c r="B191" i="18"/>
  <c r="B228" i="18"/>
  <c r="B265" i="18"/>
  <c r="B283" i="18"/>
  <c r="B295" i="18"/>
  <c r="B305" i="18"/>
  <c r="B322" i="18"/>
  <c r="B36" i="18"/>
  <c r="B84" i="18"/>
  <c r="B157" i="18"/>
  <c r="B200" i="18"/>
  <c r="B235" i="18"/>
  <c r="B276" i="18"/>
  <c r="B288" i="18"/>
  <c r="B300" i="18"/>
  <c r="B313" i="18"/>
  <c r="B327" i="18"/>
  <c r="B341" i="18"/>
  <c r="B351" i="18"/>
  <c r="B363" i="18"/>
  <c r="C77" i="21" s="1"/>
  <c r="B383" i="18"/>
  <c r="B397" i="18"/>
  <c r="C82" i="21" s="1"/>
  <c r="B409" i="18"/>
  <c r="B423" i="18"/>
  <c r="B89" i="18"/>
  <c r="B221" i="18"/>
  <c r="B336" i="18"/>
  <c r="B430" i="18"/>
  <c r="B442" i="18"/>
  <c r="B476" i="18"/>
  <c r="B488" i="18"/>
  <c r="B498" i="18"/>
  <c r="B514" i="18"/>
  <c r="B526" i="18"/>
  <c r="B556" i="18"/>
  <c r="B576" i="18"/>
  <c r="B586" i="18"/>
  <c r="B596" i="18"/>
  <c r="B13" i="18"/>
  <c r="C6" i="21" s="1"/>
  <c r="B146" i="18"/>
  <c r="B201" i="18"/>
  <c r="B358" i="18"/>
  <c r="B422" i="18"/>
  <c r="B324" i="18"/>
  <c r="B420" i="18"/>
  <c r="B453" i="18"/>
  <c r="B489" i="18"/>
  <c r="B523" i="18"/>
  <c r="B557" i="18"/>
  <c r="B21" i="18"/>
  <c r="B505" i="18"/>
  <c r="B579" i="18"/>
  <c r="B33" i="18"/>
  <c r="B364" i="18"/>
  <c r="B467" i="18"/>
  <c r="B585" i="18"/>
  <c r="B625" i="18"/>
  <c r="C132" i="21" s="1"/>
  <c r="B644" i="18"/>
  <c r="C134" i="21" s="1"/>
  <c r="B668" i="18"/>
  <c r="B697" i="18"/>
  <c r="B724" i="18"/>
  <c r="B745" i="18"/>
  <c r="B218" i="18"/>
  <c r="B455" i="18"/>
  <c r="B545" i="18"/>
  <c r="B610" i="18"/>
  <c r="B648" i="18"/>
  <c r="B664" i="18"/>
  <c r="B680" i="18"/>
  <c r="B616" i="18"/>
  <c r="B262" i="18"/>
  <c r="B134" i="18"/>
  <c r="B98" i="18"/>
  <c r="B14" i="18"/>
  <c r="B38" i="18"/>
  <c r="B82" i="18"/>
  <c r="B117" i="18"/>
  <c r="B15" i="18"/>
  <c r="B31" i="18"/>
  <c r="B63" i="18"/>
  <c r="B87" i="18"/>
  <c r="B140" i="18"/>
  <c r="B8" i="18"/>
  <c r="B106" i="18"/>
  <c r="B196" i="18"/>
  <c r="B244" i="18"/>
  <c r="B269" i="18"/>
  <c r="B285" i="18"/>
  <c r="B299" i="18"/>
  <c r="B312" i="18"/>
  <c r="B12" i="18"/>
  <c r="B44" i="18"/>
  <c r="B92" i="18"/>
  <c r="B168" i="18"/>
  <c r="B208" i="18"/>
  <c r="B240" i="18"/>
  <c r="B278" i="18"/>
  <c r="B290" i="18"/>
  <c r="B302" i="18"/>
  <c r="B317" i="18"/>
  <c r="B329" i="18"/>
  <c r="B343" i="18"/>
  <c r="B353" i="18"/>
  <c r="B367" i="18"/>
  <c r="B387" i="18"/>
  <c r="B399" i="18"/>
  <c r="B411" i="18"/>
  <c r="B9" i="18"/>
  <c r="B107" i="18"/>
  <c r="B242" i="18"/>
  <c r="B251" i="18"/>
  <c r="B26" i="18"/>
  <c r="B108" i="18"/>
  <c r="B23" i="18"/>
  <c r="B71" i="18"/>
  <c r="B170" i="18"/>
  <c r="B183" i="18"/>
  <c r="B263" i="18"/>
  <c r="B293" i="18"/>
  <c r="B318" i="18"/>
  <c r="B68" i="18"/>
  <c r="B187" i="18"/>
  <c r="B264" i="18"/>
  <c r="C53" i="21" s="1"/>
  <c r="B298" i="18"/>
  <c r="B323" i="18"/>
  <c r="B349" i="18"/>
  <c r="B381" i="18"/>
  <c r="B405" i="18"/>
  <c r="B57" i="18"/>
  <c r="B328" i="18"/>
  <c r="B432" i="18"/>
  <c r="B456" i="18"/>
  <c r="B486" i="18"/>
  <c r="B504" i="18"/>
  <c r="B518" i="18"/>
  <c r="B552" i="18"/>
  <c r="B580" i="18"/>
  <c r="B590" i="18"/>
  <c r="B604" i="18"/>
  <c r="B165" i="18"/>
  <c r="B334" i="18"/>
  <c r="B406" i="18"/>
  <c r="B372" i="18"/>
  <c r="B433" i="18"/>
  <c r="B485" i="18"/>
  <c r="B531" i="18"/>
  <c r="B581" i="18"/>
  <c r="B394" i="18"/>
  <c r="B587" i="18"/>
  <c r="B229" i="18"/>
  <c r="C46" i="21" s="1"/>
  <c r="B443" i="18"/>
  <c r="C91" i="21" s="1"/>
  <c r="B599" i="18"/>
  <c r="B633" i="18"/>
  <c r="B665" i="18"/>
  <c r="B705" i="18"/>
  <c r="C151" i="21" s="1"/>
  <c r="B737" i="18"/>
  <c r="B132" i="18"/>
  <c r="B471" i="18"/>
  <c r="B601" i="18"/>
  <c r="B645" i="18"/>
  <c r="B669" i="18"/>
  <c r="B704" i="18"/>
  <c r="B733" i="18"/>
  <c r="C156" i="21" s="1"/>
  <c r="B591" i="18"/>
  <c r="B650" i="18"/>
  <c r="B698" i="18"/>
  <c r="C149" i="21" s="1"/>
  <c r="B730" i="18"/>
  <c r="B766" i="18"/>
  <c r="B798" i="18"/>
  <c r="B817" i="18"/>
  <c r="B838" i="18"/>
  <c r="C180" i="21" s="1"/>
  <c r="B871" i="18"/>
  <c r="B896" i="18"/>
  <c r="B842" i="18"/>
  <c r="B533" i="18"/>
  <c r="B659" i="18"/>
  <c r="C138" i="21" s="1"/>
  <c r="B734" i="18"/>
  <c r="B787" i="18"/>
  <c r="B835" i="18"/>
  <c r="B884" i="18"/>
  <c r="B929" i="18"/>
  <c r="B966" i="18"/>
  <c r="C199" i="21" s="1"/>
  <c r="B517" i="18"/>
  <c r="C105" i="21" s="1"/>
  <c r="B630" i="18"/>
  <c r="B662" i="18"/>
  <c r="B715" i="18"/>
  <c r="B759" i="18"/>
  <c r="B788" i="18"/>
  <c r="B815" i="18"/>
  <c r="B839" i="18"/>
  <c r="B864" i="18"/>
  <c r="B905" i="18"/>
  <c r="B930" i="18"/>
  <c r="C194" i="21" s="1"/>
  <c r="B961" i="18"/>
  <c r="C197" i="21" s="1"/>
  <c r="B969" i="18"/>
  <c r="B230" i="18"/>
  <c r="B631" i="18"/>
  <c r="B679" i="18"/>
  <c r="B711" i="18"/>
  <c r="B743" i="18"/>
  <c r="B794" i="18"/>
  <c r="C169" i="21" s="1"/>
  <c r="B845" i="18"/>
  <c r="B605" i="18"/>
  <c r="C128" i="21" s="1"/>
  <c r="B718" i="18"/>
  <c r="B784" i="18"/>
  <c r="C167" i="21" s="1"/>
  <c r="B832" i="18"/>
  <c r="B881" i="18"/>
  <c r="B931" i="18"/>
  <c r="B960" i="18"/>
  <c r="B5" i="18"/>
  <c r="C3" i="21" s="1"/>
  <c r="B3" i="18"/>
  <c r="C2" i="21" s="1"/>
  <c r="B620" i="18"/>
  <c r="B254" i="18"/>
  <c r="B105" i="18"/>
  <c r="B42" i="18"/>
  <c r="B125" i="18"/>
  <c r="B39" i="18"/>
  <c r="B95" i="18"/>
  <c r="B24" i="18"/>
  <c r="B204" i="18"/>
  <c r="B271" i="18"/>
  <c r="B301" i="18"/>
  <c r="C61" i="21" s="1"/>
  <c r="B20" i="18"/>
  <c r="B119" i="18"/>
  <c r="B224" i="18"/>
  <c r="B280" i="18"/>
  <c r="B304" i="18"/>
  <c r="B333" i="18"/>
  <c r="B355" i="18"/>
  <c r="B389" i="18"/>
  <c r="B417" i="18"/>
  <c r="B142" i="18"/>
  <c r="B352" i="18"/>
  <c r="B434" i="18"/>
  <c r="B474" i="18"/>
  <c r="B490" i="18"/>
  <c r="B506" i="18"/>
  <c r="B522" i="18"/>
  <c r="B560" i="18"/>
  <c r="B582" i="18"/>
  <c r="C123" i="21" s="1"/>
  <c r="B594" i="18"/>
  <c r="B29" i="18"/>
  <c r="B172" i="18"/>
  <c r="B350" i="18"/>
  <c r="C72" i="21" s="1"/>
  <c r="B17" i="18"/>
  <c r="B388" i="18"/>
  <c r="B449" i="18"/>
  <c r="B493" i="18"/>
  <c r="B541" i="18"/>
  <c r="B589" i="18"/>
  <c r="C125" i="21" s="1"/>
  <c r="B529" i="18"/>
  <c r="B595" i="18"/>
  <c r="C126" i="21" s="1"/>
  <c r="B332" i="18"/>
  <c r="B475" i="18"/>
  <c r="B606" i="18"/>
  <c r="B636" i="18"/>
  <c r="B673" i="18"/>
  <c r="B716" i="18"/>
  <c r="B740" i="18"/>
  <c r="B348" i="18"/>
  <c r="C71" i="21" s="1"/>
  <c r="B479" i="18"/>
  <c r="B607" i="18"/>
  <c r="B653" i="18"/>
  <c r="B672" i="18"/>
  <c r="C142" i="21" s="1"/>
  <c r="B709" i="18"/>
  <c r="B736" i="18"/>
  <c r="B612" i="18"/>
  <c r="B655" i="18"/>
  <c r="B703" i="18"/>
  <c r="B735" i="18"/>
  <c r="B769" i="18"/>
  <c r="B801" i="18"/>
  <c r="B822" i="18"/>
  <c r="B841" i="18"/>
  <c r="B874" i="18"/>
  <c r="C188" i="21" s="1"/>
  <c r="B818" i="18"/>
  <c r="B854" i="18"/>
  <c r="B627" i="18"/>
  <c r="B670" i="18"/>
  <c r="B755" i="18"/>
  <c r="B968" i="18"/>
  <c r="C200" i="21" s="1"/>
  <c r="B912" i="18"/>
  <c r="B860" i="18"/>
  <c r="B795" i="18"/>
  <c r="B707" i="18"/>
  <c r="B883" i="18"/>
  <c r="B797" i="18"/>
  <c r="B738" i="18"/>
  <c r="C157" i="21" s="1"/>
  <c r="B695" i="18"/>
  <c r="B658" i="18"/>
  <c r="B102" i="18"/>
  <c r="B965" i="18"/>
  <c r="B932" i="18"/>
  <c r="B880" i="18"/>
  <c r="B856" i="18"/>
  <c r="B820" i="18"/>
  <c r="B783" i="18"/>
  <c r="B731" i="18"/>
  <c r="B678" i="18"/>
  <c r="B613" i="18"/>
  <c r="B974" i="18"/>
  <c r="B950" i="18"/>
  <c r="B873" i="18"/>
  <c r="B803" i="18"/>
  <c r="B723" i="18"/>
  <c r="B875" i="18"/>
  <c r="B882" i="18"/>
  <c r="C190" i="21" s="1"/>
  <c r="B830" i="18"/>
  <c r="B793" i="18"/>
  <c r="B719" i="18"/>
  <c r="B634" i="18"/>
  <c r="C133" i="21" s="1"/>
  <c r="B720" i="18"/>
  <c r="B661" i="18"/>
  <c r="C139" i="21" s="1"/>
  <c r="B597" i="18"/>
  <c r="B753" i="18"/>
  <c r="B692" i="18"/>
  <c r="B628" i="18"/>
  <c r="B427" i="18"/>
  <c r="B555" i="18"/>
  <c r="B565" i="18"/>
  <c r="B481" i="18"/>
  <c r="B213" i="18"/>
  <c r="B233" i="18"/>
  <c r="B602" i="18"/>
  <c r="B572" i="18"/>
  <c r="B516" i="18"/>
  <c r="B484" i="18"/>
  <c r="B416" i="18"/>
  <c r="B25" i="18"/>
  <c r="B379" i="18"/>
  <c r="B319" i="18"/>
  <c r="B243" i="18"/>
  <c r="C50" i="21" s="1"/>
  <c r="B60" i="18"/>
  <c r="B289" i="18"/>
  <c r="B131" i="18"/>
  <c r="B67" i="18"/>
  <c r="B99" i="18"/>
  <c r="B253" i="18"/>
  <c r="B538" i="18"/>
  <c r="B2" i="18"/>
  <c r="B956" i="18"/>
  <c r="B908" i="18"/>
  <c r="B843" i="18"/>
  <c r="C181" i="21" s="1"/>
  <c r="B763" i="18"/>
  <c r="B643" i="18"/>
  <c r="B851" i="18"/>
  <c r="B786" i="18"/>
  <c r="B727" i="18"/>
  <c r="B690" i="18"/>
  <c r="B543" i="18"/>
  <c r="B975" i="18"/>
  <c r="B963" i="18"/>
  <c r="B915" i="18"/>
  <c r="B872" i="18"/>
  <c r="C187" i="21" s="1"/>
  <c r="B844" i="18"/>
  <c r="B812" i="18"/>
  <c r="B780" i="18"/>
  <c r="B726" i="18"/>
  <c r="B651" i="18"/>
  <c r="B583" i="18"/>
  <c r="B970" i="18"/>
  <c r="B914" i="18"/>
  <c r="B857" i="18"/>
  <c r="C185" i="21" s="1"/>
  <c r="B792" i="18"/>
  <c r="B702" i="18"/>
  <c r="B859" i="18"/>
  <c r="B879" i="18"/>
  <c r="B825" i="18"/>
  <c r="B785" i="18"/>
  <c r="B714" i="18"/>
  <c r="B623" i="18"/>
  <c r="C131" i="21" s="1"/>
  <c r="B717" i="18"/>
  <c r="C153" i="21" s="1"/>
  <c r="B656" i="18"/>
  <c r="B487" i="18"/>
  <c r="C98" i="21" s="1"/>
  <c r="B748" i="18"/>
  <c r="B676" i="18"/>
  <c r="B611" i="18"/>
  <c r="C129" i="21" s="1"/>
  <c r="B396" i="18"/>
  <c r="B539" i="18"/>
  <c r="B549" i="18"/>
  <c r="B457" i="18"/>
  <c r="B150" i="18"/>
  <c r="B185" i="18"/>
  <c r="B600" i="18"/>
  <c r="C127" i="21" s="1"/>
  <c r="B562" i="18"/>
  <c r="B508" i="18"/>
  <c r="B480" i="18"/>
  <c r="B400" i="18"/>
  <c r="B419" i="18"/>
  <c r="C86" i="21" s="1"/>
  <c r="B359" i="18"/>
  <c r="B309" i="18"/>
  <c r="B227" i="18"/>
  <c r="B28" i="18"/>
  <c r="B279" i="18"/>
  <c r="C56" i="21" s="1"/>
  <c r="B32" i="18"/>
  <c r="C10" i="21" s="1"/>
  <c r="B51" i="18"/>
  <c r="B66" i="18"/>
  <c r="B259" i="18"/>
  <c r="B847" i="18"/>
  <c r="B927" i="18"/>
  <c r="B895" i="18"/>
  <c r="B894" i="18"/>
  <c r="B940" i="18"/>
  <c r="B939" i="18"/>
  <c r="B621" i="18"/>
  <c r="B923" i="18"/>
  <c r="B891" i="18"/>
  <c r="B938" i="18"/>
  <c r="B935" i="18"/>
  <c r="B618" i="18"/>
  <c r="B925" i="18"/>
  <c r="B889" i="18"/>
  <c r="B943" i="18"/>
  <c r="B941" i="18"/>
  <c r="B942" i="18"/>
  <c r="B918" i="18"/>
  <c r="B920" i="18"/>
  <c r="B617" i="18"/>
  <c r="C130" i="21" s="1"/>
  <c r="B926" i="18"/>
  <c r="B888" i="18"/>
  <c r="C203" i="21" s="1"/>
  <c r="B892" i="18"/>
  <c r="B937" i="18"/>
  <c r="B936" i="18"/>
  <c r="C204" i="21" s="1"/>
  <c r="B921" i="18"/>
  <c r="B919" i="18"/>
  <c r="C205" i="21" s="1"/>
  <c r="EK920" i="18"/>
  <c r="EK922" i="18"/>
  <c r="P922" i="18" s="1"/>
  <c r="L919" i="18"/>
  <c r="M205" i="21" s="1"/>
  <c r="N919" i="18"/>
  <c r="N936" i="18"/>
  <c r="L936" i="18"/>
  <c r="M204" i="21" s="1"/>
  <c r="EK941" i="18"/>
  <c r="P941" i="18" s="1"/>
  <c r="EK943" i="18"/>
  <c r="P943" i="18" s="1"/>
  <c r="U943" i="18" s="1"/>
  <c r="EK937" i="18"/>
  <c r="P937" i="18" s="1"/>
  <c r="EK942" i="18"/>
  <c r="P942" i="18" s="1"/>
  <c r="U942" i="18" s="1"/>
  <c r="EK938" i="18"/>
  <c r="EK940" i="18"/>
  <c r="P940" i="18" s="1"/>
  <c r="U940" i="18" s="1"/>
  <c r="EK890" i="18"/>
  <c r="EK892" i="18"/>
  <c r="P892" i="18" s="1"/>
  <c r="U892" i="18" s="1"/>
  <c r="EK895" i="18"/>
  <c r="P895" i="18" s="1"/>
  <c r="U895" i="18" s="1"/>
  <c r="EK894" i="18"/>
  <c r="P894" i="18" s="1"/>
  <c r="U894" i="18" s="1"/>
  <c r="EK889" i="18"/>
  <c r="P889" i="18" s="1"/>
  <c r="EK893" i="18"/>
  <c r="P893" i="18" s="1"/>
  <c r="L888" i="18"/>
  <c r="M203" i="21" s="1"/>
  <c r="N888" i="18"/>
  <c r="L924" i="18"/>
  <c r="M137" i="21" s="1"/>
  <c r="N924" i="18"/>
  <c r="EK925" i="18"/>
  <c r="P925" i="18" s="1"/>
  <c r="EK928" i="18"/>
  <c r="P928" i="18" s="1"/>
  <c r="EK927" i="18"/>
  <c r="P927" i="18" s="1"/>
  <c r="EK621" i="18"/>
  <c r="P621" i="18" s="1"/>
  <c r="U621" i="18" s="1"/>
  <c r="EK618" i="18"/>
  <c r="P618" i="18" s="1"/>
  <c r="EK620" i="18"/>
  <c r="P620" i="18" s="1"/>
  <c r="L617" i="18"/>
  <c r="M130" i="21" s="1"/>
  <c r="N617" i="18"/>
  <c r="EK847" i="18"/>
  <c r="P847" i="18" s="1"/>
  <c r="U847" i="18" s="1"/>
  <c r="EK80" i="18"/>
  <c r="P80" i="18" s="1"/>
  <c r="EV20" i="18"/>
  <c r="CU20" i="18"/>
  <c r="E20" i="18" s="1"/>
  <c r="L600" i="18"/>
  <c r="M127" i="21" s="1"/>
  <c r="N600" i="18"/>
  <c r="L595" i="18"/>
  <c r="M126" i="21" s="1"/>
  <c r="EK538" i="18"/>
  <c r="EK537" i="18"/>
  <c r="EK253" i="18"/>
  <c r="P253" i="18" s="1"/>
  <c r="EK307" i="18"/>
  <c r="P307" i="18" s="1"/>
  <c r="EK262" i="18"/>
  <c r="P262" i="18" s="1"/>
  <c r="EK254" i="18"/>
  <c r="EK259" i="18"/>
  <c r="EK114" i="18"/>
  <c r="P114" i="18" s="1"/>
  <c r="EK134" i="18"/>
  <c r="P134" i="18" s="1"/>
  <c r="CU114" i="18"/>
  <c r="E114" i="18" s="1"/>
  <c r="EV114" i="18"/>
  <c r="EK98" i="18"/>
  <c r="EK105" i="18"/>
  <c r="EK194" i="18"/>
  <c r="P194" i="18" s="1"/>
  <c r="EK135" i="18"/>
  <c r="P135" i="18" s="1"/>
  <c r="EK609" i="18"/>
  <c r="EK211" i="18"/>
  <c r="P211" i="18" s="1"/>
  <c r="EK642" i="18"/>
  <c r="EK438" i="18"/>
  <c r="P438" i="18" s="1"/>
  <c r="EK641" i="18"/>
  <c r="P641" i="18" s="1"/>
  <c r="EK640" i="18"/>
  <c r="EK639" i="18"/>
  <c r="P639" i="18" s="1"/>
  <c r="EK629" i="18"/>
  <c r="P629" i="18" s="1"/>
  <c r="EK638" i="18"/>
  <c r="P638" i="18" s="1"/>
  <c r="CU629" i="18"/>
  <c r="E629" i="18" s="1"/>
  <c r="EK627" i="18"/>
  <c r="P627" i="18" s="1"/>
  <c r="EK628" i="18"/>
  <c r="P628" i="18" s="1"/>
  <c r="EK124" i="18"/>
  <c r="EK626" i="18"/>
  <c r="W141" i="18"/>
  <c r="EK957" i="18"/>
  <c r="P957" i="18" s="1"/>
  <c r="EK959" i="18"/>
  <c r="EK958" i="18"/>
  <c r="P958" i="18" s="1"/>
  <c r="EK910" i="18"/>
  <c r="P910" i="18" s="1"/>
  <c r="EK911" i="18"/>
  <c r="EK934" i="18"/>
  <c r="P934" i="18" s="1"/>
  <c r="EK933" i="18"/>
  <c r="P933" i="18" s="1"/>
  <c r="EK917" i="18"/>
  <c r="EK977" i="18"/>
  <c r="EK952" i="18"/>
  <c r="EK951" i="18"/>
  <c r="EK950" i="18"/>
  <c r="P950" i="18" s="1"/>
  <c r="EK902" i="18"/>
  <c r="EK947" i="18"/>
  <c r="P947" i="18" s="1"/>
  <c r="EK903" i="18"/>
  <c r="P903" i="18" s="1"/>
  <c r="EK904" i="18"/>
  <c r="P904" i="18" s="1"/>
  <c r="EK886" i="18"/>
  <c r="EK899" i="18"/>
  <c r="P899" i="18" s="1"/>
  <c r="EK814" i="18"/>
  <c r="EK878" i="18"/>
  <c r="EK779" i="18"/>
  <c r="EK808" i="18"/>
  <c r="EK778" i="18"/>
  <c r="P778" i="18" s="1"/>
  <c r="EK684" i="18"/>
  <c r="EK683" i="18"/>
  <c r="EK686" i="18"/>
  <c r="EK675" i="18"/>
  <c r="P675" i="18" s="1"/>
  <c r="EK685" i="18"/>
  <c r="EK111" i="18"/>
  <c r="EK116" i="18"/>
  <c r="P116" i="18" s="1"/>
  <c r="EK115" i="18"/>
  <c r="EK101" i="18"/>
  <c r="EK370" i="18"/>
  <c r="EK469" i="18"/>
  <c r="EK470" i="18"/>
  <c r="EK369" i="18"/>
  <c r="EK94" i="18"/>
  <c r="P94" i="18" s="1"/>
  <c r="U94" i="18" s="1"/>
  <c r="EK371" i="18"/>
  <c r="EK765" i="18"/>
  <c r="L761" i="18"/>
  <c r="M163" i="21" s="1"/>
  <c r="EK764" i="18"/>
  <c r="P764" i="18" s="1"/>
  <c r="EK762" i="18"/>
  <c r="P762" i="18" s="1"/>
  <c r="EK841" i="18"/>
  <c r="P841" i="18" s="1"/>
  <c r="EK839" i="18"/>
  <c r="P839" i="18" s="1"/>
  <c r="N838" i="18"/>
  <c r="L838" i="18"/>
  <c r="M180" i="21" s="1"/>
  <c r="EK736" i="18"/>
  <c r="P736" i="18" s="1"/>
  <c r="EK734" i="18"/>
  <c r="P734" i="18" s="1"/>
  <c r="N733" i="18"/>
  <c r="L733" i="18"/>
  <c r="M156" i="21" s="1"/>
  <c r="EK73" i="18"/>
  <c r="EK720" i="18"/>
  <c r="P720" i="18" s="1"/>
  <c r="EK718" i="18"/>
  <c r="P718" i="18" s="1"/>
  <c r="N717" i="18"/>
  <c r="L717" i="18"/>
  <c r="M153" i="21" s="1"/>
  <c r="N431" i="18"/>
  <c r="L431" i="18"/>
  <c r="M88" i="21" s="1"/>
  <c r="EK439" i="18"/>
  <c r="EK441" i="18"/>
  <c r="P441" i="18" s="1"/>
  <c r="EK437" i="18"/>
  <c r="P437" i="18" s="1"/>
  <c r="EK433" i="18"/>
  <c r="P433" i="18" s="1"/>
  <c r="EK436" i="18"/>
  <c r="P436" i="18" s="1"/>
  <c r="EK432" i="18"/>
  <c r="P432" i="18" s="1"/>
  <c r="EK848" i="18"/>
  <c r="P848" i="18" s="1"/>
  <c r="EK849" i="18"/>
  <c r="EK850" i="18"/>
  <c r="EK522" i="18"/>
  <c r="EK525" i="18"/>
  <c r="EK193" i="18"/>
  <c r="P193" i="18" s="1"/>
  <c r="EK521" i="18"/>
  <c r="P521" i="18" s="1"/>
  <c r="L973" i="18"/>
  <c r="M201" i="21" s="1"/>
  <c r="EK976" i="18"/>
  <c r="P976" i="18" s="1"/>
  <c r="EK974" i="18"/>
  <c r="P974" i="18" s="1"/>
  <c r="L968" i="18"/>
  <c r="M200" i="21" s="1"/>
  <c r="EK969" i="18"/>
  <c r="P969" i="18" s="1"/>
  <c r="EK971" i="18"/>
  <c r="P971" i="18" s="1"/>
  <c r="EK946" i="18"/>
  <c r="P946" i="18" s="1"/>
  <c r="EK964" i="18"/>
  <c r="P964" i="18" s="1"/>
  <c r="EK962" i="18"/>
  <c r="P962" i="18" s="1"/>
  <c r="EK949" i="18"/>
  <c r="P949" i="18" s="1"/>
  <c r="EK955" i="18"/>
  <c r="P955" i="18" s="1"/>
  <c r="L961" i="18"/>
  <c r="M197" i="21" s="1"/>
  <c r="L954" i="18"/>
  <c r="M196" i="21" s="1"/>
  <c r="L930" i="18"/>
  <c r="M194" i="21" s="1"/>
  <c r="EK931" i="18"/>
  <c r="P931" i="18" s="1"/>
  <c r="EK914" i="18"/>
  <c r="P914" i="18" s="1"/>
  <c r="EK916" i="18"/>
  <c r="P916" i="18" s="1"/>
  <c r="L913" i="18"/>
  <c r="M193" i="21" s="1"/>
  <c r="L906" i="18"/>
  <c r="M192" i="21" s="1"/>
  <c r="EK907" i="18"/>
  <c r="P907" i="18" s="1"/>
  <c r="EK909" i="18"/>
  <c r="P909" i="18" s="1"/>
  <c r="EK898" i="18"/>
  <c r="P898" i="18" s="1"/>
  <c r="EK901" i="18"/>
  <c r="P901" i="18" s="1"/>
  <c r="EK877" i="18"/>
  <c r="P877" i="18" s="1"/>
  <c r="EK885" i="18"/>
  <c r="P885" i="18" s="1"/>
  <c r="EK883" i="18"/>
  <c r="P883" i="18" s="1"/>
  <c r="L882" i="18"/>
  <c r="M190" i="21" s="1"/>
  <c r="N876" i="18"/>
  <c r="EK880" i="18"/>
  <c r="P880" i="18" s="1"/>
  <c r="EK777" i="18"/>
  <c r="P777" i="18" s="1"/>
  <c r="EK774" i="18"/>
  <c r="EO774" i="18"/>
  <c r="B171" i="21"/>
  <c r="M171" i="21"/>
  <c r="EK802" i="18"/>
  <c r="P802" i="18" s="1"/>
  <c r="EK817" i="18"/>
  <c r="P817" i="18" s="1"/>
  <c r="EK807" i="18"/>
  <c r="P807" i="18" s="1"/>
  <c r="EK805" i="18"/>
  <c r="P805" i="18" s="1"/>
  <c r="EK800" i="18"/>
  <c r="P800" i="18" s="1"/>
  <c r="EK819" i="18"/>
  <c r="P819" i="18" s="1"/>
  <c r="EK813" i="18"/>
  <c r="P813" i="18" s="1"/>
  <c r="EK811" i="18"/>
  <c r="P811" i="18" s="1"/>
  <c r="L816" i="18"/>
  <c r="M174" i="21" s="1"/>
  <c r="N816" i="18"/>
  <c r="EO790" i="18"/>
  <c r="Q790" i="18" s="1"/>
  <c r="EO805" i="18"/>
  <c r="Q805" i="18" s="1"/>
  <c r="EO800" i="18"/>
  <c r="Q800" i="18" s="1"/>
  <c r="EO811" i="18"/>
  <c r="Q811" i="18" s="1"/>
  <c r="N794" i="18"/>
  <c r="L794" i="18"/>
  <c r="M169" i="21" s="1"/>
  <c r="EK797" i="18"/>
  <c r="P797" i="18" s="1"/>
  <c r="EK795" i="18"/>
  <c r="P795" i="18" s="1"/>
  <c r="EK782" i="18"/>
  <c r="P782" i="18" s="1"/>
  <c r="EK787" i="18"/>
  <c r="P787" i="18" s="1"/>
  <c r="EK785" i="18"/>
  <c r="P785" i="18" s="1"/>
  <c r="N784" i="18"/>
  <c r="L784" i="18"/>
  <c r="M167" i="21" s="1"/>
  <c r="EK773" i="18"/>
  <c r="P773" i="18" s="1"/>
  <c r="EK776" i="18"/>
  <c r="P776" i="18" s="1"/>
  <c r="N789" i="18"/>
  <c r="EK792" i="18"/>
  <c r="P792" i="18" s="1"/>
  <c r="EK790" i="18"/>
  <c r="P790" i="18" s="1"/>
  <c r="EK770" i="18"/>
  <c r="P770" i="18" s="1"/>
  <c r="EK768" i="18"/>
  <c r="P768" i="18" s="1"/>
  <c r="N767" i="18"/>
  <c r="EO757" i="18"/>
  <c r="Q757" i="18" s="1"/>
  <c r="EO768" i="18"/>
  <c r="Q768" i="18" s="1"/>
  <c r="N756" i="18"/>
  <c r="EK752" i="18"/>
  <c r="EK759" i="18"/>
  <c r="P759" i="18" s="1"/>
  <c r="EK757" i="18"/>
  <c r="P757" i="18" s="1"/>
  <c r="EK754" i="18"/>
  <c r="EK615" i="18"/>
  <c r="EK749" i="18"/>
  <c r="P749" i="18" s="1"/>
  <c r="EK747" i="18"/>
  <c r="P747" i="18" s="1"/>
  <c r="N746" i="18"/>
  <c r="EO729" i="18"/>
  <c r="Q729" i="18" s="1"/>
  <c r="EO747" i="18"/>
  <c r="Q747" i="18" s="1"/>
  <c r="EK670" i="18"/>
  <c r="EK593" i="18"/>
  <c r="EO863" i="18"/>
  <c r="Q863" i="18" s="1"/>
  <c r="EO713" i="18"/>
  <c r="Q713" i="18" s="1"/>
  <c r="EO834" i="18"/>
  <c r="Q834" i="18" s="1"/>
  <c r="EO853" i="18"/>
  <c r="Q853" i="18" s="1"/>
  <c r="EO701" i="18"/>
  <c r="Q701" i="18" s="1"/>
  <c r="EO868" i="18"/>
  <c r="Q868" i="18" s="1"/>
  <c r="EO824" i="18"/>
  <c r="Q824" i="18" s="1"/>
  <c r="EK667" i="18"/>
  <c r="EK669" i="18"/>
  <c r="P669" i="18" s="1"/>
  <c r="N666" i="18"/>
  <c r="EK664" i="18"/>
  <c r="P664" i="18" s="1"/>
  <c r="EK662" i="18"/>
  <c r="P662" i="18" s="1"/>
  <c r="N661" i="18"/>
  <c r="L661" i="18"/>
  <c r="M139" i="21" s="1"/>
  <c r="L654" i="18"/>
  <c r="M136" i="21" s="1"/>
  <c r="EK657" i="18"/>
  <c r="P657" i="18" s="1"/>
  <c r="EK655" i="18"/>
  <c r="P655" i="18" s="1"/>
  <c r="L649" i="18"/>
  <c r="M135" i="21" s="1"/>
  <c r="EK650" i="18"/>
  <c r="P650" i="18" s="1"/>
  <c r="EK652" i="18"/>
  <c r="P652" i="18" s="1"/>
  <c r="EK647" i="18"/>
  <c r="P647" i="18" s="1"/>
  <c r="EK645" i="18"/>
  <c r="P645" i="18" s="1"/>
  <c r="L644" i="18"/>
  <c r="M134" i="21" s="1"/>
  <c r="EK637" i="18"/>
  <c r="P637" i="18" s="1"/>
  <c r="EK635" i="18"/>
  <c r="P635" i="18" s="1"/>
  <c r="L634" i="18"/>
  <c r="M133" i="21" s="1"/>
  <c r="EK632" i="18"/>
  <c r="P632" i="18" s="1"/>
  <c r="EK630" i="18"/>
  <c r="P630" i="18" s="1"/>
  <c r="L625" i="18"/>
  <c r="M132" i="21" s="1"/>
  <c r="EK614" i="18"/>
  <c r="P614" i="18" s="1"/>
  <c r="EK612" i="18"/>
  <c r="P612" i="18" s="1"/>
  <c r="L611" i="18"/>
  <c r="M129" i="21" s="1"/>
  <c r="L605" i="18"/>
  <c r="M128" i="21" s="1"/>
  <c r="EK608" i="18"/>
  <c r="P608" i="18" s="1"/>
  <c r="EK606" i="18"/>
  <c r="P606" i="18" s="1"/>
  <c r="EK603" i="18"/>
  <c r="P603" i="18" s="1"/>
  <c r="EK601" i="18"/>
  <c r="P601" i="18" s="1"/>
  <c r="L589" i="18"/>
  <c r="M125" i="21" s="1"/>
  <c r="EK598" i="18"/>
  <c r="P598" i="18" s="1"/>
  <c r="EK596" i="18"/>
  <c r="P596" i="18" s="1"/>
  <c r="EK592" i="18"/>
  <c r="P592" i="18" s="1"/>
  <c r="EK590" i="18"/>
  <c r="P590" i="18" s="1"/>
  <c r="U590" i="18" s="1"/>
  <c r="EK575" i="18"/>
  <c r="P575" i="18" s="1"/>
  <c r="EK587" i="18"/>
  <c r="P587" i="18" s="1"/>
  <c r="U587" i="18" s="1"/>
  <c r="EK585" i="18"/>
  <c r="P585" i="18" s="1"/>
  <c r="L584" i="18"/>
  <c r="M124" i="21" s="1"/>
  <c r="N584" i="18"/>
  <c r="EK570" i="18"/>
  <c r="EK571" i="18"/>
  <c r="P571" i="18" s="1"/>
  <c r="EK569" i="18"/>
  <c r="P569" i="18" s="1"/>
  <c r="EK574" i="18"/>
  <c r="P574" i="18" s="1"/>
  <c r="EK533" i="18"/>
  <c r="P533" i="18" s="1"/>
  <c r="EK541" i="18"/>
  <c r="P541" i="18" s="1"/>
  <c r="N546" i="18"/>
  <c r="EK549" i="18"/>
  <c r="P549" i="18" s="1"/>
  <c r="EK547" i="18"/>
  <c r="EK544" i="18"/>
  <c r="P544" i="18" s="1"/>
  <c r="EK542" i="18"/>
  <c r="P542" i="18" s="1"/>
  <c r="U542" i="18" s="1"/>
  <c r="EK536" i="18"/>
  <c r="P536" i="18" s="1"/>
  <c r="EK534" i="18"/>
  <c r="P534" i="18" s="1"/>
  <c r="U534" i="18" s="1"/>
  <c r="EK515" i="18"/>
  <c r="P515" i="18" s="1"/>
  <c r="EK513" i="18"/>
  <c r="P513" i="18" s="1"/>
  <c r="EK511" i="18"/>
  <c r="P511" i="18" s="1"/>
  <c r="EK512" i="18"/>
  <c r="EK510" i="18"/>
  <c r="P510" i="18" s="1"/>
  <c r="EK503" i="18"/>
  <c r="P503" i="18" s="1"/>
  <c r="EK502" i="18"/>
  <c r="P502" i="18" s="1"/>
  <c r="EK506" i="18"/>
  <c r="P506" i="18" s="1"/>
  <c r="EK500" i="18"/>
  <c r="P500" i="18" s="1"/>
  <c r="EK501" i="18"/>
  <c r="P501" i="18" s="1"/>
  <c r="EK507" i="18"/>
  <c r="P507" i="18" s="1"/>
  <c r="EK505" i="18"/>
  <c r="P505" i="18" s="1"/>
  <c r="EK50" i="18"/>
  <c r="P50" i="18" s="1"/>
  <c r="EK41" i="18"/>
  <c r="P41" i="18" s="1"/>
  <c r="EK47" i="18"/>
  <c r="EK62" i="18"/>
  <c r="P62" i="18" s="1"/>
  <c r="U62" i="18" s="1"/>
  <c r="EK429" i="18"/>
  <c r="EK46" i="18"/>
  <c r="P46" i="18" s="1"/>
  <c r="EK389" i="18"/>
  <c r="P389" i="18" s="1"/>
  <c r="EK456" i="18"/>
  <c r="EK455" i="18"/>
  <c r="P455" i="18" s="1"/>
  <c r="EK466" i="18"/>
  <c r="P466" i="18" s="1"/>
  <c r="EK461" i="18"/>
  <c r="P461" i="18" s="1"/>
  <c r="EK465" i="18"/>
  <c r="P465" i="18" s="1"/>
  <c r="EK460" i="18"/>
  <c r="P460" i="18" s="1"/>
  <c r="EK463" i="18"/>
  <c r="P463" i="18" s="1"/>
  <c r="EK464" i="18"/>
  <c r="P464" i="18" s="1"/>
  <c r="EK452" i="18"/>
  <c r="EK462" i="18"/>
  <c r="EK381" i="18"/>
  <c r="P381" i="18" s="1"/>
  <c r="EK468" i="18"/>
  <c r="P468" i="18" s="1"/>
  <c r="EK459" i="18"/>
  <c r="P459" i="18" s="1"/>
  <c r="EK426" i="18"/>
  <c r="EK382" i="18"/>
  <c r="EK415" i="18"/>
  <c r="P415" i="18" s="1"/>
  <c r="EK414" i="18"/>
  <c r="EK393" i="18"/>
  <c r="EK421" i="18"/>
  <c r="EK386" i="18"/>
  <c r="EK377" i="18"/>
  <c r="EK378" i="18"/>
  <c r="P378" i="18" s="1"/>
  <c r="EK375" i="18"/>
  <c r="P375" i="18" s="1"/>
  <c r="EK376" i="18"/>
  <c r="P376" i="18" s="1"/>
  <c r="N397" i="18"/>
  <c r="L397" i="18"/>
  <c r="M82" i="21" s="1"/>
  <c r="EK400" i="18"/>
  <c r="P400" i="18" s="1"/>
  <c r="EK398" i="18"/>
  <c r="EK395" i="18"/>
  <c r="P395" i="18" s="1"/>
  <c r="EK392" i="18"/>
  <c r="P392" i="18" s="1"/>
  <c r="N391" i="18"/>
  <c r="N384" i="18"/>
  <c r="EK388" i="18"/>
  <c r="P388" i="18" s="1"/>
  <c r="EK385" i="18"/>
  <c r="P385" i="18" s="1"/>
  <c r="EK710" i="18"/>
  <c r="EK709" i="18"/>
  <c r="P709" i="18" s="1"/>
  <c r="N693" i="18"/>
  <c r="EK696" i="18"/>
  <c r="P696" i="18" s="1"/>
  <c r="EK694" i="18"/>
  <c r="L674" i="18"/>
  <c r="M143" i="21" s="1"/>
  <c r="N674" i="18"/>
  <c r="EK679" i="18"/>
  <c r="P679" i="18" s="1"/>
  <c r="EK677" i="18"/>
  <c r="P677" i="18" s="1"/>
  <c r="N509" i="18"/>
  <c r="N499" i="18"/>
  <c r="EK497" i="18"/>
  <c r="P497" i="18" s="1"/>
  <c r="EK495" i="18"/>
  <c r="N728" i="18"/>
  <c r="L738" i="18"/>
  <c r="EK742" i="18"/>
  <c r="P742" i="18" s="1"/>
  <c r="EK741" i="18"/>
  <c r="P741" i="18" s="1"/>
  <c r="EK731" i="18"/>
  <c r="P731" i="18" s="1"/>
  <c r="EK729" i="18"/>
  <c r="P729" i="18" s="1"/>
  <c r="EK739" i="18"/>
  <c r="P739" i="18" s="1"/>
  <c r="EK726" i="18"/>
  <c r="P726" i="18" s="1"/>
  <c r="EK703" i="18"/>
  <c r="P703" i="18" s="1"/>
  <c r="EK701" i="18"/>
  <c r="P701" i="18" s="1"/>
  <c r="EK725" i="18"/>
  <c r="P725" i="18" s="1"/>
  <c r="EK723" i="18"/>
  <c r="P723" i="18" s="1"/>
  <c r="EK715" i="18"/>
  <c r="P715" i="18" s="1"/>
  <c r="EK708" i="18"/>
  <c r="P708" i="18" s="1"/>
  <c r="EK706" i="18"/>
  <c r="P706" i="18" s="1"/>
  <c r="EK713" i="18"/>
  <c r="P713" i="18" s="1"/>
  <c r="L722" i="18"/>
  <c r="M154" i="21" s="1"/>
  <c r="N712" i="18"/>
  <c r="L705" i="18"/>
  <c r="M151" i="21" s="1"/>
  <c r="N700" i="18"/>
  <c r="N823" i="18"/>
  <c r="EK826" i="18"/>
  <c r="P826" i="18" s="1"/>
  <c r="EK824" i="18"/>
  <c r="P824" i="18" s="1"/>
  <c r="EK863" i="18"/>
  <c r="P863" i="18" s="1"/>
  <c r="EK853" i="18"/>
  <c r="P853" i="18" s="1"/>
  <c r="EK868" i="18"/>
  <c r="P868" i="18" s="1"/>
  <c r="L857" i="18"/>
  <c r="M185" i="21" s="1"/>
  <c r="N857" i="18"/>
  <c r="EK858" i="18"/>
  <c r="P858" i="18" s="1"/>
  <c r="EK860" i="18"/>
  <c r="P860" i="18" s="1"/>
  <c r="EK855" i="18"/>
  <c r="P855" i="18" s="1"/>
  <c r="N862" i="18"/>
  <c r="EK865" i="18"/>
  <c r="P865" i="18" s="1"/>
  <c r="EK870" i="18"/>
  <c r="P870" i="18" s="1"/>
  <c r="L828" i="18"/>
  <c r="EK831" i="18"/>
  <c r="EK829" i="18"/>
  <c r="P829" i="18" s="1"/>
  <c r="L843" i="18"/>
  <c r="EK846" i="18"/>
  <c r="P846" i="18" s="1"/>
  <c r="EK844" i="18"/>
  <c r="P844" i="18" s="1"/>
  <c r="N833" i="18"/>
  <c r="EK836" i="18"/>
  <c r="P836" i="18" s="1"/>
  <c r="EK834" i="18"/>
  <c r="P834" i="18" s="1"/>
  <c r="EK682" i="18"/>
  <c r="P682" i="18" s="1"/>
  <c r="EK20" i="18"/>
  <c r="P20" i="18" s="1"/>
  <c r="EK689" i="18"/>
  <c r="P689" i="18" s="1"/>
  <c r="EK691" i="18"/>
  <c r="P691" i="18" s="1"/>
  <c r="EK18" i="18"/>
  <c r="P18" i="18" s="1"/>
  <c r="EK24" i="18"/>
  <c r="P24" i="18" s="1"/>
  <c r="EK339" i="18"/>
  <c r="P339" i="18" s="1"/>
  <c r="EK340" i="18"/>
  <c r="P340" i="18" s="1"/>
  <c r="EK308" i="18"/>
  <c r="EK275" i="18"/>
  <c r="EK255" i="18"/>
  <c r="P255" i="18" s="1"/>
  <c r="EK268" i="18"/>
  <c r="P268" i="18" s="1"/>
  <c r="U268" i="18" s="1"/>
  <c r="EK274" i="18"/>
  <c r="EK247" i="18"/>
  <c r="P247" i="18" s="1"/>
  <c r="EK248" i="18"/>
  <c r="P248" i="18" s="1"/>
  <c r="EK104" i="18"/>
  <c r="P104" i="18" s="1"/>
  <c r="EK107" i="18"/>
  <c r="P107" i="18" s="1"/>
  <c r="N103" i="18"/>
  <c r="EK250" i="18"/>
  <c r="P250" i="18" s="1"/>
  <c r="L350" i="18"/>
  <c r="M72" i="21" s="1"/>
  <c r="N350" i="18"/>
  <c r="EK352" i="18"/>
  <c r="P352" i="18" s="1"/>
  <c r="EK351" i="18"/>
  <c r="P351" i="18" s="1"/>
  <c r="N330" i="18"/>
  <c r="EK333" i="18"/>
  <c r="P333" i="18" s="1"/>
  <c r="EK331" i="18"/>
  <c r="P331" i="18" s="1"/>
  <c r="EK299" i="18"/>
  <c r="P299" i="18" s="1"/>
  <c r="EK297" i="18"/>
  <c r="P297" i="18" s="1"/>
  <c r="N296" i="18"/>
  <c r="L303" i="18"/>
  <c r="M62" i="21" s="1"/>
  <c r="M61" i="21"/>
  <c r="N360" i="18"/>
  <c r="N356" i="18"/>
  <c r="EK362" i="18"/>
  <c r="P362" i="18" s="1"/>
  <c r="EK361" i="18"/>
  <c r="P361" i="18" s="1"/>
  <c r="U361" i="18" s="1"/>
  <c r="EK358" i="18"/>
  <c r="P358" i="18" s="1"/>
  <c r="EK357" i="18"/>
  <c r="P357" i="18" s="1"/>
  <c r="U357" i="18" s="1"/>
  <c r="EK306" i="18"/>
  <c r="P306" i="18" s="1"/>
  <c r="EK304" i="18"/>
  <c r="P304" i="18" s="1"/>
  <c r="EK277" i="18"/>
  <c r="P277" i="18" s="1"/>
  <c r="EK273" i="18"/>
  <c r="P273" i="18" s="1"/>
  <c r="EK270" i="18"/>
  <c r="P270" i="18" s="1"/>
  <c r="EK267" i="18"/>
  <c r="P267" i="18" s="1"/>
  <c r="U267" i="18" s="1"/>
  <c r="EK252" i="18"/>
  <c r="P252" i="18" s="1"/>
  <c r="EK246" i="18"/>
  <c r="P246" i="18" s="1"/>
  <c r="EK238" i="18"/>
  <c r="EK239" i="18"/>
  <c r="EK200" i="18"/>
  <c r="P200" i="18" s="1"/>
  <c r="EK199" i="18"/>
  <c r="EK212" i="18"/>
  <c r="EK210" i="18"/>
  <c r="P210" i="18" s="1"/>
  <c r="EK207" i="18"/>
  <c r="EK177" i="18"/>
  <c r="EK180" i="18"/>
  <c r="EK175" i="18"/>
  <c r="P175" i="18" s="1"/>
  <c r="EK176" i="18"/>
  <c r="EK190" i="18"/>
  <c r="EK206" i="18"/>
  <c r="P206" i="18" s="1"/>
  <c r="EK209" i="18"/>
  <c r="P209" i="18" s="1"/>
  <c r="EK182" i="18"/>
  <c r="P182" i="18" s="1"/>
  <c r="EK203" i="18"/>
  <c r="EK195" i="18"/>
  <c r="EK186" i="18"/>
  <c r="P186" i="18" s="1"/>
  <c r="EK184" i="18"/>
  <c r="P184" i="18" s="1"/>
  <c r="EK179" i="18"/>
  <c r="P179" i="18" s="1"/>
  <c r="EK174" i="18"/>
  <c r="P174" i="18" s="1"/>
  <c r="EK226" i="18"/>
  <c r="EK169" i="18"/>
  <c r="P169" i="18" s="1"/>
  <c r="EK167" i="18"/>
  <c r="EK61" i="18"/>
  <c r="P61" i="18" s="1"/>
  <c r="EK59" i="18"/>
  <c r="EK220" i="18"/>
  <c r="EK227" i="18"/>
  <c r="P227" i="18" s="1"/>
  <c r="EK225" i="18"/>
  <c r="P225" i="18" s="1"/>
  <c r="EK223" i="18"/>
  <c r="EK93" i="18"/>
  <c r="P93" i="18" s="1"/>
  <c r="EK91" i="18"/>
  <c r="EK83" i="18"/>
  <c r="P83" i="18" s="1"/>
  <c r="EK81" i="18"/>
  <c r="EK127" i="18"/>
  <c r="EK164" i="18"/>
  <c r="P164" i="18" s="1"/>
  <c r="EK162" i="18"/>
  <c r="P162" i="18" s="1"/>
  <c r="EK159" i="18"/>
  <c r="EK131" i="18"/>
  <c r="P131" i="18" s="1"/>
  <c r="U131" i="18" s="1"/>
  <c r="EK155" i="18"/>
  <c r="EK156" i="18"/>
  <c r="EK123" i="18"/>
  <c r="P123" i="18" s="1"/>
  <c r="EK122" i="18"/>
  <c r="P122" i="18" s="1"/>
  <c r="EK139" i="18"/>
  <c r="N577" i="18"/>
  <c r="EK580" i="18"/>
  <c r="P580" i="18" s="1"/>
  <c r="EK578" i="18"/>
  <c r="P578" i="18" s="1"/>
  <c r="EK566" i="18"/>
  <c r="EK564" i="18"/>
  <c r="P564" i="18" s="1"/>
  <c r="N553" i="18"/>
  <c r="EK556" i="18"/>
  <c r="P556" i="18" s="1"/>
  <c r="EK554" i="18"/>
  <c r="EK561" i="18"/>
  <c r="EK559" i="18"/>
  <c r="P559" i="18" s="1"/>
  <c r="U559" i="18" s="1"/>
  <c r="EK530" i="18"/>
  <c r="EK528" i="18"/>
  <c r="EK524" i="18"/>
  <c r="P524" i="18" s="1"/>
  <c r="EK520" i="18"/>
  <c r="P520" i="18" s="1"/>
  <c r="N487" i="18"/>
  <c r="N477" i="18"/>
  <c r="L487" i="18"/>
  <c r="M98" i="21" s="1"/>
  <c r="N482" i="18"/>
  <c r="EK490" i="18"/>
  <c r="P490" i="18" s="1"/>
  <c r="EK488" i="18"/>
  <c r="P488" i="18" s="1"/>
  <c r="EK480" i="18"/>
  <c r="P480" i="18" s="1"/>
  <c r="EK478" i="18"/>
  <c r="P478" i="18" s="1"/>
  <c r="EK485" i="18"/>
  <c r="P485" i="18" s="1"/>
  <c r="EK483" i="18"/>
  <c r="N472" i="18"/>
  <c r="EK454" i="18"/>
  <c r="P454" i="18" s="1"/>
  <c r="EK451" i="18"/>
  <c r="P451" i="18" s="1"/>
  <c r="EK475" i="18"/>
  <c r="P475" i="18" s="1"/>
  <c r="EK473" i="18"/>
  <c r="P473" i="18" s="1"/>
  <c r="EK448" i="18"/>
  <c r="P448" i="18" s="1"/>
  <c r="EK446" i="18"/>
  <c r="EK380" i="18"/>
  <c r="P380" i="18" s="1"/>
  <c r="EK374" i="18"/>
  <c r="P374" i="18" s="1"/>
  <c r="N325" i="18"/>
  <c r="N320" i="18"/>
  <c r="EK328" i="18"/>
  <c r="P328" i="18" s="1"/>
  <c r="EK326" i="18"/>
  <c r="P326" i="18" s="1"/>
  <c r="EK323" i="18"/>
  <c r="P323" i="18" s="1"/>
  <c r="EK321" i="18"/>
  <c r="P321" i="18" s="1"/>
  <c r="EK368" i="18"/>
  <c r="P368" i="18" s="1"/>
  <c r="EK366" i="18"/>
  <c r="EK88" i="18"/>
  <c r="P88" i="18" s="1"/>
  <c r="EK86" i="18"/>
  <c r="N412" i="18"/>
  <c r="N402" i="18"/>
  <c r="L419" i="18"/>
  <c r="M86" i="21" s="1"/>
  <c r="N310" i="18"/>
  <c r="N315" i="18"/>
  <c r="N419" i="18"/>
  <c r="EK417" i="18"/>
  <c r="P417" i="18" s="1"/>
  <c r="EK413" i="18"/>
  <c r="P413" i="18" s="1"/>
  <c r="EK405" i="18"/>
  <c r="P405" i="18" s="1"/>
  <c r="EK403" i="18"/>
  <c r="P403" i="18" s="1"/>
  <c r="EK422" i="18"/>
  <c r="P422" i="18" s="1"/>
  <c r="EK420" i="18"/>
  <c r="P420" i="18" s="1"/>
  <c r="EK410" i="18"/>
  <c r="EK311" i="18"/>
  <c r="EK316" i="18"/>
  <c r="P316" i="18" s="1"/>
  <c r="EK425" i="18"/>
  <c r="P425" i="18" s="1"/>
  <c r="EK318" i="18"/>
  <c r="P318" i="18" s="1"/>
  <c r="EK408" i="18"/>
  <c r="EK313" i="18"/>
  <c r="P313" i="18" s="1"/>
  <c r="EK428" i="18"/>
  <c r="P428" i="18" s="1"/>
  <c r="EK346" i="18"/>
  <c r="P346" i="18" s="1"/>
  <c r="EK345" i="18"/>
  <c r="P345" i="18" s="1"/>
  <c r="N291" i="18"/>
  <c r="EK342" i="18"/>
  <c r="P342" i="18" s="1"/>
  <c r="EK338" i="18"/>
  <c r="P338" i="18" s="1"/>
  <c r="EK294" i="18"/>
  <c r="P294" i="18" s="1"/>
  <c r="EK292" i="18"/>
  <c r="P292" i="18" s="1"/>
  <c r="N286" i="18"/>
  <c r="EK289" i="18"/>
  <c r="P289" i="18" s="1"/>
  <c r="EK287" i="18"/>
  <c r="P287" i="18" s="1"/>
  <c r="N281" i="18"/>
  <c r="EK284" i="18"/>
  <c r="P284" i="18" s="1"/>
  <c r="EK282" i="18"/>
  <c r="P282" i="18" s="1"/>
  <c r="EK261" i="18"/>
  <c r="P261" i="18" s="1"/>
  <c r="U261" i="18" s="1"/>
  <c r="EK258" i="18"/>
  <c r="P258" i="18" s="1"/>
  <c r="U258" i="18" s="1"/>
  <c r="EK113" i="18"/>
  <c r="P113" i="18" s="1"/>
  <c r="EK110" i="18"/>
  <c r="P110" i="18" s="1"/>
  <c r="EK241" i="18"/>
  <c r="P241" i="18" s="1"/>
  <c r="EK237" i="18"/>
  <c r="P237" i="18" s="1"/>
  <c r="EK234" i="18"/>
  <c r="P234" i="18" s="1"/>
  <c r="EK232" i="18"/>
  <c r="P232" i="18" s="1"/>
  <c r="EK202" i="18"/>
  <c r="P202" i="18" s="1"/>
  <c r="EK198" i="18"/>
  <c r="P198" i="18" s="1"/>
  <c r="EK219" i="18"/>
  <c r="P219" i="18" s="1"/>
  <c r="EK217" i="18"/>
  <c r="EK192" i="18"/>
  <c r="P192" i="18" s="1"/>
  <c r="EK189" i="18"/>
  <c r="P189" i="18" s="1"/>
  <c r="EK158" i="18"/>
  <c r="P158" i="18" s="1"/>
  <c r="EK154" i="18"/>
  <c r="P154" i="18" s="1"/>
  <c r="EK151" i="18"/>
  <c r="P151" i="18" s="1"/>
  <c r="EK149" i="18"/>
  <c r="P149" i="18" s="1"/>
  <c r="N143" i="18"/>
  <c r="EK146" i="18"/>
  <c r="EK144" i="18"/>
  <c r="P144" i="18" s="1"/>
  <c r="EK141" i="18"/>
  <c r="P141" i="18" s="1"/>
  <c r="EK138" i="18"/>
  <c r="P138" i="18" s="1"/>
  <c r="EK133" i="18"/>
  <c r="P133" i="18" s="1"/>
  <c r="EK130" i="18"/>
  <c r="P130" i="18" s="1"/>
  <c r="EK126" i="18"/>
  <c r="P126" i="18" s="1"/>
  <c r="EK121" i="18"/>
  <c r="P121" i="18" s="1"/>
  <c r="EK100" i="18"/>
  <c r="P100" i="18" s="1"/>
  <c r="EK97" i="18"/>
  <c r="EK78" i="18"/>
  <c r="P78" i="18" s="1"/>
  <c r="EK76" i="18"/>
  <c r="EK72" i="18"/>
  <c r="P72" i="18" s="1"/>
  <c r="EK70" i="18"/>
  <c r="EK35" i="18"/>
  <c r="P35" i="18" s="1"/>
  <c r="EK67" i="18"/>
  <c r="P67" i="18" s="1"/>
  <c r="EK65" i="18"/>
  <c r="P65" i="18" s="1"/>
  <c r="U65" i="18" s="1"/>
  <c r="N64" i="18"/>
  <c r="EK52" i="18"/>
  <c r="P52" i="18" s="1"/>
  <c r="EK53" i="18"/>
  <c r="P53" i="18" s="1"/>
  <c r="EK54" i="18"/>
  <c r="EK56" i="18"/>
  <c r="P56" i="18" s="1"/>
  <c r="EK45" i="18"/>
  <c r="P45" i="18" s="1"/>
  <c r="EK43" i="18"/>
  <c r="P43" i="18" s="1"/>
  <c r="U43" i="18" s="1"/>
  <c r="EK30" i="18"/>
  <c r="P30" i="18" s="1"/>
  <c r="EK28" i="18"/>
  <c r="N27" i="18"/>
  <c r="L27" i="18"/>
  <c r="M9" i="21" s="1"/>
  <c r="EK14" i="18"/>
  <c r="P14" i="18" s="1"/>
  <c r="N13" i="18"/>
  <c r="EV984" i="18" l="1"/>
  <c r="CU984" i="18"/>
  <c r="E984" i="18" s="1"/>
  <c r="A2084" i="18"/>
  <c r="A2083" i="18"/>
  <c r="A2080" i="18"/>
  <c r="A2078" i="18"/>
  <c r="A2076" i="18"/>
  <c r="A2085" i="18"/>
  <c r="A2082" i="18"/>
  <c r="A2081" i="18"/>
  <c r="A2079" i="18"/>
  <c r="A2077" i="18"/>
  <c r="A2075" i="18"/>
  <c r="CU2081" i="18"/>
  <c r="E2081" i="18" s="1"/>
  <c r="EV2081" i="18"/>
  <c r="EV2083" i="18"/>
  <c r="CU2083" i="18"/>
  <c r="E2083" i="18" s="1"/>
  <c r="CU2014" i="18"/>
  <c r="E2014" i="18" s="1"/>
  <c r="EV2014" i="18"/>
  <c r="CU2023" i="18"/>
  <c r="E2023" i="18" s="1"/>
  <c r="EV2023" i="18"/>
  <c r="EV2033" i="18"/>
  <c r="CU2033" i="18"/>
  <c r="E2033" i="18" s="1"/>
  <c r="EV2016" i="18"/>
  <c r="CU2016" i="18"/>
  <c r="E2016" i="18" s="1"/>
  <c r="EV2042" i="18"/>
  <c r="CU2042" i="18"/>
  <c r="E2042" i="18" s="1"/>
  <c r="EV2055" i="18"/>
  <c r="CU2055" i="18"/>
  <c r="E2055" i="18" s="1"/>
  <c r="A18" i="18"/>
  <c r="A2064" i="18"/>
  <c r="A2025" i="18"/>
  <c r="A2022" i="18"/>
  <c r="A2019" i="18"/>
  <c r="A2016" i="18"/>
  <c r="A2012" i="18"/>
  <c r="A2010" i="18"/>
  <c r="A2007" i="18"/>
  <c r="A2005" i="18"/>
  <c r="A2072" i="18"/>
  <c r="A2070" i="18"/>
  <c r="A2067" i="18"/>
  <c r="A2062" i="18"/>
  <c r="A2060" i="18"/>
  <c r="A2056" i="18"/>
  <c r="A2055" i="18"/>
  <c r="A2051" i="18"/>
  <c r="A2049" i="18"/>
  <c r="A2047" i="18"/>
  <c r="A2044" i="18"/>
  <c r="A2041" i="18"/>
  <c r="A2038" i="18"/>
  <c r="A2035" i="18"/>
  <c r="A2032" i="18"/>
  <c r="A2031" i="18"/>
  <c r="A2029" i="18"/>
  <c r="A2065" i="18"/>
  <c r="A2023" i="18"/>
  <c r="A2020" i="18"/>
  <c r="A2008" i="18"/>
  <c r="A2073" i="18"/>
  <c r="A2071" i="18"/>
  <c r="A2068" i="18"/>
  <c r="A2042" i="18"/>
  <c r="A2039" i="18"/>
  <c r="A2033" i="18"/>
  <c r="A2069" i="18"/>
  <c r="A2066" i="18"/>
  <c r="A2053" i="18"/>
  <c r="A2048" i="18"/>
  <c r="A2040" i="18"/>
  <c r="A2036" i="18"/>
  <c r="A2017" i="18"/>
  <c r="A2006" i="18"/>
  <c r="A2003" i="18"/>
  <c r="A983" i="18"/>
  <c r="A980" i="18"/>
  <c r="A2052" i="18"/>
  <c r="A2043" i="18"/>
  <c r="A2030" i="18"/>
  <c r="A2027" i="18"/>
  <c r="A985" i="18"/>
  <c r="A2063" i="18"/>
  <c r="A2014" i="18"/>
  <c r="A2000" i="18"/>
  <c r="A986" i="18"/>
  <c r="A2057" i="18"/>
  <c r="A2028" i="18"/>
  <c r="A2004" i="18"/>
  <c r="A984" i="18"/>
  <c r="A981" i="18"/>
  <c r="B211" i="21" s="1"/>
  <c r="A978" i="18"/>
  <c r="A2002" i="18"/>
  <c r="A2059" i="18"/>
  <c r="A2054" i="18"/>
  <c r="A2037" i="18"/>
  <c r="A2024" i="18"/>
  <c r="A2021" i="18"/>
  <c r="A2015" i="18"/>
  <c r="A2011" i="18"/>
  <c r="A2050" i="18"/>
  <c r="A2018" i="18"/>
  <c r="A982" i="18"/>
  <c r="A2061" i="18"/>
  <c r="A2046" i="18"/>
  <c r="A2013" i="18"/>
  <c r="A2009" i="18"/>
  <c r="A979" i="18"/>
  <c r="B210" i="21" s="1"/>
  <c r="A2034" i="18"/>
  <c r="CU2052" i="18"/>
  <c r="E2052" i="18" s="1"/>
  <c r="EV2052" i="18"/>
  <c r="A866" i="18"/>
  <c r="A107" i="18"/>
  <c r="A762" i="18"/>
  <c r="A288" i="18"/>
  <c r="A314" i="18"/>
  <c r="A659" i="18"/>
  <c r="B138" i="21" s="1"/>
  <c r="A967" i="18"/>
  <c r="A560" i="18"/>
  <c r="A5" i="18"/>
  <c r="B3" i="21" s="1"/>
  <c r="A717" i="18"/>
  <c r="B153" i="21" s="1"/>
  <c r="A766" i="18"/>
  <c r="A709" i="18"/>
  <c r="A801" i="18"/>
  <c r="A280" i="18"/>
  <c r="A636" i="18"/>
  <c r="A420" i="18"/>
  <c r="A697" i="18"/>
  <c r="A305" i="18"/>
  <c r="A944" i="18"/>
  <c r="A504" i="18"/>
  <c r="A763" i="18"/>
  <c r="A679" i="18"/>
  <c r="A486" i="18"/>
  <c r="A323" i="18"/>
  <c r="A873" i="18"/>
  <c r="A541" i="18"/>
  <c r="A905" i="18"/>
  <c r="A835" i="18"/>
  <c r="A567" i="18"/>
  <c r="A696" i="18"/>
  <c r="A493" i="18"/>
  <c r="A82" i="18"/>
  <c r="A538" i="18"/>
  <c r="A838" i="18"/>
  <c r="B180" i="21" s="1"/>
  <c r="A962" i="18"/>
  <c r="A565" i="18"/>
  <c r="A673" i="18"/>
  <c r="A972" i="18"/>
  <c r="A932" i="18"/>
  <c r="A607" i="18"/>
  <c r="A854" i="18"/>
  <c r="A785" i="18"/>
  <c r="A613" i="18"/>
  <c r="A727" i="18"/>
  <c r="A726" i="18"/>
  <c r="A590" i="18"/>
  <c r="A394" i="18"/>
  <c r="A271" i="18"/>
  <c r="A21" i="18"/>
  <c r="A2" i="18"/>
  <c r="A523" i="18"/>
  <c r="A792" i="18"/>
  <c r="A842" i="18"/>
  <c r="A328" i="18"/>
  <c r="A881" i="18"/>
  <c r="A828" i="18"/>
  <c r="B178" i="21" s="1"/>
  <c r="A884" i="18"/>
  <c r="A819" i="18"/>
  <c r="A731" i="18"/>
  <c r="A506" i="18"/>
  <c r="A580" i="18"/>
  <c r="A668" i="18"/>
  <c r="A318" i="18"/>
  <c r="A455" i="18"/>
  <c r="A227" i="18"/>
  <c r="A3" i="18"/>
  <c r="B2" i="21" s="1"/>
  <c r="A896" i="18"/>
  <c r="A806" i="18"/>
  <c r="A649" i="18"/>
  <c r="B135" i="21" s="1"/>
  <c r="A456" i="18"/>
  <c r="A970" i="18"/>
  <c r="A914" i="18"/>
  <c r="A840" i="18"/>
  <c r="A749" i="18"/>
  <c r="A604" i="18"/>
  <c r="A484" i="18"/>
  <c r="A859" i="18"/>
  <c r="A794" i="18"/>
  <c r="B169" i="21" s="1"/>
  <c r="A737" i="18"/>
  <c r="A594" i="18"/>
  <c r="A480" i="18"/>
  <c r="A879" i="18"/>
  <c r="A599" i="18"/>
  <c r="A956" i="18"/>
  <c r="A912" i="18"/>
  <c r="A973" i="18"/>
  <c r="B201" i="21" s="1"/>
  <c r="A961" i="18"/>
  <c r="B197" i="21" s="1"/>
  <c r="A915" i="18"/>
  <c r="A844" i="18"/>
  <c r="A796" i="18"/>
  <c r="A661" i="18"/>
  <c r="B139" i="21" s="1"/>
  <c r="A549" i="18"/>
  <c r="A444" i="18"/>
  <c r="A880" i="18"/>
  <c r="A858" i="18"/>
  <c r="A841" i="18"/>
  <c r="A827" i="18"/>
  <c r="A809" i="18"/>
  <c r="A793" i="18"/>
  <c r="A775" i="18"/>
  <c r="A755" i="18"/>
  <c r="A707" i="18"/>
  <c r="A643" i="18"/>
  <c r="A583" i="18"/>
  <c r="A533" i="18"/>
  <c r="A359" i="18"/>
  <c r="A743" i="18"/>
  <c r="A703" i="18"/>
  <c r="A663" i="18"/>
  <c r="A418" i="18"/>
  <c r="A738" i="18"/>
  <c r="B157" i="21" s="1"/>
  <c r="A718" i="18"/>
  <c r="A676" i="18"/>
  <c r="A650" i="18"/>
  <c r="A626" i="18"/>
  <c r="A535" i="18"/>
  <c r="A400" i="18"/>
  <c r="A269" i="18"/>
  <c r="A526" i="18"/>
  <c r="A309" i="18"/>
  <c r="A485" i="18"/>
  <c r="A433" i="18"/>
  <c r="A364" i="18"/>
  <c r="A406" i="18"/>
  <c r="A242" i="18"/>
  <c r="A170" i="18"/>
  <c r="A67" i="18"/>
  <c r="A119" i="18"/>
  <c r="A28" i="18"/>
  <c r="A135" i="18"/>
  <c r="A871" i="18"/>
  <c r="A758" i="18"/>
  <c r="A633" i="18"/>
  <c r="A381" i="18"/>
  <c r="A966" i="18"/>
  <c r="B199" i="21" s="1"/>
  <c r="A906" i="18"/>
  <c r="B192" i="21" s="1"/>
  <c r="A816" i="18"/>
  <c r="B174" i="21" s="1"/>
  <c r="A733" i="18"/>
  <c r="B156" i="21" s="1"/>
  <c r="A597" i="18"/>
  <c r="A333" i="18"/>
  <c r="A851" i="18"/>
  <c r="A786" i="18"/>
  <c r="A705" i="18"/>
  <c r="B151" i="21" s="1"/>
  <c r="A562" i="18"/>
  <c r="A432" i="18"/>
  <c r="A798" i="18"/>
  <c r="A557" i="18"/>
  <c r="A954" i="18"/>
  <c r="B196" i="21" s="1"/>
  <c r="A900" i="18"/>
  <c r="A969" i="18"/>
  <c r="A955" i="18"/>
  <c r="A907" i="18"/>
  <c r="A836" i="18"/>
  <c r="A788" i="18"/>
  <c r="A629" i="18"/>
  <c r="A515" i="18"/>
  <c r="A322" i="18"/>
  <c r="A872" i="18"/>
  <c r="B187" i="21" s="1"/>
  <c r="A856" i="18"/>
  <c r="A839" i="18"/>
  <c r="A821" i="18"/>
  <c r="B176" i="21" s="1"/>
  <c r="A803" i="18"/>
  <c r="A791" i="18"/>
  <c r="A769" i="18"/>
  <c r="A739" i="18"/>
  <c r="A699" i="18"/>
  <c r="A627" i="18"/>
  <c r="A572" i="18"/>
  <c r="A522" i="18"/>
  <c r="A313" i="18"/>
  <c r="A735" i="18"/>
  <c r="A695" i="18"/>
  <c r="A603" i="18"/>
  <c r="A304" i="18"/>
  <c r="A736" i="18"/>
  <c r="A704" i="18"/>
  <c r="A670" i="18"/>
  <c r="A648" i="18"/>
  <c r="A610" i="18"/>
  <c r="A490" i="18"/>
  <c r="A389" i="18"/>
  <c r="A584" i="18"/>
  <c r="B124" i="21" s="1"/>
  <c r="A399" i="18"/>
  <c r="A300" i="18"/>
  <c r="A471" i="18"/>
  <c r="A427" i="18"/>
  <c r="A329" i="18"/>
  <c r="A355" i="18"/>
  <c r="A243" i="18"/>
  <c r="B50" i="21" s="1"/>
  <c r="A150" i="18"/>
  <c r="A29" i="18"/>
  <c r="A106" i="18"/>
  <c r="A940" i="18"/>
  <c r="A891" i="18"/>
  <c r="A926" i="18"/>
  <c r="A620" i="18"/>
  <c r="A6" i="18"/>
  <c r="A60" i="18"/>
  <c r="A147" i="18"/>
  <c r="A51" i="18"/>
  <c r="A136" i="18"/>
  <c r="A201" i="18"/>
  <c r="A171" i="18"/>
  <c r="B35" i="21" s="1"/>
  <c r="A387" i="18"/>
  <c r="A299" i="18"/>
  <c r="A404" i="18"/>
  <c r="A443" i="18"/>
  <c r="B91" i="21" s="1"/>
  <c r="A475" i="18"/>
  <c r="A224" i="18"/>
  <c r="A362" i="18"/>
  <c r="A529" i="18"/>
  <c r="A587" i="18"/>
  <c r="A336" i="18"/>
  <c r="A434" i="18"/>
  <c r="A545" i="18"/>
  <c r="A612" i="18"/>
  <c r="A638" i="18"/>
  <c r="A660" i="18"/>
  <c r="A678" i="18"/>
  <c r="A706" i="18"/>
  <c r="A730" i="18"/>
  <c r="A748" i="18"/>
  <c r="A498" i="18"/>
  <c r="A623" i="18"/>
  <c r="B131" i="21" s="1"/>
  <c r="A687" i="18"/>
  <c r="A719" i="18"/>
  <c r="A240" i="18"/>
  <c r="A327" i="18"/>
  <c r="A517" i="18"/>
  <c r="B105" i="21" s="1"/>
  <c r="A556" i="18"/>
  <c r="A588" i="18"/>
  <c r="A635" i="18"/>
  <c r="A683" i="18"/>
  <c r="A723" i="18"/>
  <c r="A759" i="18"/>
  <c r="A771" i="18"/>
  <c r="A787" i="18"/>
  <c r="A797" i="18"/>
  <c r="A815" i="18"/>
  <c r="A825" i="18"/>
  <c r="A837" i="18"/>
  <c r="A845" i="18"/>
  <c r="A860" i="18"/>
  <c r="A874" i="18"/>
  <c r="B188" i="21" s="1"/>
  <c r="A289" i="18"/>
  <c r="A492" i="18"/>
  <c r="B100" i="21" s="1"/>
  <c r="A581" i="18"/>
  <c r="A645" i="18"/>
  <c r="A780" i="18"/>
  <c r="A820" i="18"/>
  <c r="A861" i="18"/>
  <c r="A913" i="18"/>
  <c r="B193" i="21" s="1"/>
  <c r="A953" i="18"/>
  <c r="A965" i="18"/>
  <c r="A975" i="18"/>
  <c r="A908" i="18"/>
  <c r="A950" i="18"/>
  <c r="A968" i="18"/>
  <c r="B200" i="21" s="1"/>
  <c r="A611" i="18"/>
  <c r="B129" i="21" s="1"/>
  <c r="A830" i="18"/>
  <c r="A349" i="18"/>
  <c r="A507" i="18"/>
  <c r="A602" i="18"/>
  <c r="A721" i="18"/>
  <c r="A770" i="18"/>
  <c r="A826" i="18"/>
  <c r="A875" i="18"/>
  <c r="A397" i="18"/>
  <c r="B82" i="21" s="1"/>
  <c r="A586" i="18"/>
  <c r="A669" i="18"/>
  <c r="A760" i="18"/>
  <c r="A832" i="18"/>
  <c r="A902" i="18"/>
  <c r="A948" i="18"/>
  <c r="A974" i="18"/>
  <c r="A440" i="18"/>
  <c r="A589" i="18"/>
  <c r="B125" i="21" s="1"/>
  <c r="A920" i="18"/>
  <c r="A942" i="18"/>
  <c r="A888" i="18"/>
  <c r="B203" i="21" s="1"/>
  <c r="A923" i="18"/>
  <c r="A847" i="18"/>
  <c r="A262" i="18"/>
  <c r="A4" i="18"/>
  <c r="A822" i="18"/>
  <c r="A665" i="18"/>
  <c r="A488" i="18"/>
  <c r="A2086" i="18"/>
  <c r="A929" i="18"/>
  <c r="A857" i="18"/>
  <c r="B185" i="21" s="1"/>
  <c r="A784" i="18"/>
  <c r="B167" i="21" s="1"/>
  <c r="A653" i="18"/>
  <c r="A531" i="18"/>
  <c r="A883" i="18"/>
  <c r="A818" i="18"/>
  <c r="A753" i="18"/>
  <c r="A625" i="18"/>
  <c r="B132" i="21" s="1"/>
  <c r="A496" i="18"/>
  <c r="A265" i="18"/>
  <c r="A745" i="18"/>
  <c r="A960" i="18"/>
  <c r="A931" i="18"/>
  <c r="A865" i="18"/>
  <c r="A963" i="18"/>
  <c r="A930" i="18"/>
  <c r="B194" i="21" s="1"/>
  <c r="A869" i="18"/>
  <c r="A812" i="18"/>
  <c r="A677" i="18"/>
  <c r="A600" i="18"/>
  <c r="B127" i="21" s="1"/>
  <c r="A476" i="18"/>
  <c r="A882" i="18"/>
  <c r="B190" i="21" s="1"/>
  <c r="A864" i="18"/>
  <c r="A843" i="18"/>
  <c r="B181" i="21" s="1"/>
  <c r="A829" i="18"/>
  <c r="A817" i="18"/>
  <c r="A795" i="18"/>
  <c r="A783" i="18"/>
  <c r="A761" i="18"/>
  <c r="B163" i="21" s="1"/>
  <c r="A715" i="18"/>
  <c r="A651" i="18"/>
  <c r="A605" i="18"/>
  <c r="B128" i="21" s="1"/>
  <c r="A551" i="18"/>
  <c r="B115" i="21" s="1"/>
  <c r="A423" i="18"/>
  <c r="A264" i="18"/>
  <c r="B53" i="21" s="1"/>
  <c r="A711" i="18"/>
  <c r="A671" i="18"/>
  <c r="A548" i="18"/>
  <c r="A744" i="18"/>
  <c r="B159" i="21" s="1"/>
  <c r="A720" i="18"/>
  <c r="A692" i="18"/>
  <c r="A658" i="18"/>
  <c r="A628" i="18"/>
  <c r="A585" i="18"/>
  <c r="A430" i="18"/>
  <c r="A285" i="18"/>
  <c r="A555" i="18"/>
  <c r="A351" i="18"/>
  <c r="A487" i="18"/>
  <c r="B98" i="21" s="1"/>
  <c r="A453" i="18"/>
  <c r="A401" i="18"/>
  <c r="A196" i="18"/>
  <c r="A294" i="18"/>
  <c r="A183" i="18"/>
  <c r="A87" i="18"/>
  <c r="A13" i="18"/>
  <c r="B6" i="21" s="1"/>
  <c r="A38" i="18"/>
  <c r="A918" i="18"/>
  <c r="A939" i="18"/>
  <c r="A935" i="18"/>
  <c r="A889" i="18"/>
  <c r="A892" i="18"/>
  <c r="A925" i="18"/>
  <c r="A621" i="18"/>
  <c r="A307" i="18"/>
  <c r="A251" i="18"/>
  <c r="A114" i="18"/>
  <c r="A14" i="18"/>
  <c r="A26" i="18"/>
  <c r="A36" i="18"/>
  <c r="A48" i="18"/>
  <c r="A74" i="18"/>
  <c r="A99" i="18"/>
  <c r="A117" i="18"/>
  <c r="A145" i="18"/>
  <c r="A11" i="18"/>
  <c r="A19" i="18"/>
  <c r="A27" i="18"/>
  <c r="B9" i="21" s="1"/>
  <c r="A39" i="18"/>
  <c r="A63" i="18"/>
  <c r="A79" i="18"/>
  <c r="A102" i="18"/>
  <c r="A132" i="18"/>
  <c r="A146" i="18"/>
  <c r="A168" i="18"/>
  <c r="A165" i="18"/>
  <c r="A191" i="18"/>
  <c r="A221" i="18"/>
  <c r="A235" i="18"/>
  <c r="A218" i="18"/>
  <c r="A230" i="18"/>
  <c r="A290" i="18"/>
  <c r="A319" i="18"/>
  <c r="A350" i="18"/>
  <c r="B72" i="21" s="1"/>
  <c r="A379" i="18"/>
  <c r="A398" i="18"/>
  <c r="A422" i="18"/>
  <c r="A263" i="18"/>
  <c r="A295" i="18"/>
  <c r="A324" i="18"/>
  <c r="A353" i="18"/>
  <c r="A396" i="18"/>
  <c r="A417" i="18"/>
  <c r="A431" i="18"/>
  <c r="B88" i="21" s="1"/>
  <c r="A449" i="18"/>
  <c r="A467" i="18"/>
  <c r="A481" i="18"/>
  <c r="A491" i="18"/>
  <c r="A284" i="18"/>
  <c r="A335" i="18"/>
  <c r="B68" i="21" s="1"/>
  <c r="A383" i="18"/>
  <c r="A518" i="18"/>
  <c r="A552" i="18"/>
  <c r="A579" i="18"/>
  <c r="A204" i="18"/>
  <c r="A301" i="18"/>
  <c r="B61" i="21" s="1"/>
  <c r="A352" i="18"/>
  <c r="A416" i="18"/>
  <c r="A474" i="18"/>
  <c r="A516" i="18"/>
  <c r="A582" i="18"/>
  <c r="B123" i="21" s="1"/>
  <c r="A606" i="18"/>
  <c r="A624" i="18"/>
  <c r="A634" i="18"/>
  <c r="B133" i="21" s="1"/>
  <c r="A646" i="18"/>
  <c r="A656" i="18"/>
  <c r="A664" i="18"/>
  <c r="A674" i="18"/>
  <c r="B143" i="21" s="1"/>
  <c r="A690" i="18"/>
  <c r="A702" i="18"/>
  <c r="A716" i="18"/>
  <c r="A724" i="18"/>
  <c r="A734" i="18"/>
  <c r="A742" i="18"/>
  <c r="A208" i="18"/>
  <c r="A354" i="18"/>
  <c r="B73" i="21" s="1"/>
  <c r="A543" i="18"/>
  <c r="A596" i="18"/>
  <c r="A655" i="18"/>
  <c r="A922" i="18"/>
  <c r="A941" i="18"/>
  <c r="A938" i="18"/>
  <c r="A895" i="18"/>
  <c r="A894" i="18"/>
  <c r="A887" i="18"/>
  <c r="A928" i="18"/>
  <c r="A924" i="18"/>
  <c r="B137" i="21" s="1"/>
  <c r="A618" i="18"/>
  <c r="A617" i="18"/>
  <c r="B130" i="21" s="1"/>
  <c r="A537" i="18"/>
  <c r="A254" i="18"/>
  <c r="A259" i="18"/>
  <c r="A98" i="18"/>
  <c r="A8" i="18"/>
  <c r="A20" i="18"/>
  <c r="A30" i="18"/>
  <c r="A42" i="18"/>
  <c r="A66" i="18"/>
  <c r="A84" i="18"/>
  <c r="A108" i="18"/>
  <c r="A125" i="18"/>
  <c r="A157" i="18"/>
  <c r="A15" i="18"/>
  <c r="A23" i="18"/>
  <c r="A31" i="18"/>
  <c r="A55" i="18"/>
  <c r="A71" i="18"/>
  <c r="A89" i="18"/>
  <c r="A118" i="18"/>
  <c r="B25" i="21" s="1"/>
  <c r="A140" i="18"/>
  <c r="A152" i="18"/>
  <c r="A172" i="18"/>
  <c r="A185" i="18"/>
  <c r="A213" i="18"/>
  <c r="A229" i="18"/>
  <c r="B46" i="21" s="1"/>
  <c r="A256" i="18"/>
  <c r="A260" i="18"/>
  <c r="A200" i="18"/>
  <c r="A298" i="18"/>
  <c r="A334" i="18"/>
  <c r="A358" i="18"/>
  <c r="A390" i="18"/>
  <c r="A411" i="18"/>
  <c r="A228" i="18"/>
  <c r="A279" i="18"/>
  <c r="B56" i="21" s="1"/>
  <c r="A303" i="18"/>
  <c r="B62" i="21" s="1"/>
  <c r="A332" i="18"/>
  <c r="A372" i="18"/>
  <c r="A919" i="18"/>
  <c r="B205" i="21" s="1"/>
  <c r="A921" i="18"/>
  <c r="A943" i="18"/>
  <c r="A936" i="18"/>
  <c r="B204" i="21" s="1"/>
  <c r="A937" i="18"/>
  <c r="A890" i="18"/>
  <c r="A893" i="18"/>
  <c r="A927" i="18"/>
  <c r="A619" i="18"/>
  <c r="A616" i="18"/>
  <c r="A253" i="18"/>
  <c r="A134" i="18"/>
  <c r="A105" i="18"/>
  <c r="A12" i="18"/>
  <c r="A24" i="18"/>
  <c r="A32" i="18"/>
  <c r="B10" i="21" s="1"/>
  <c r="A44" i="18"/>
  <c r="A68" i="18"/>
  <c r="A92" i="18"/>
  <c r="A112" i="18"/>
  <c r="A131" i="18"/>
  <c r="A9" i="18"/>
  <c r="A17" i="18"/>
  <c r="A25" i="18"/>
  <c r="A33" i="18"/>
  <c r="A57" i="18"/>
  <c r="A77" i="18"/>
  <c r="A95" i="18"/>
  <c r="A128" i="18"/>
  <c r="A142" i="18"/>
  <c r="A160" i="18"/>
  <c r="A178" i="18"/>
  <c r="A187" i="18"/>
  <c r="A215" i="18"/>
  <c r="A233" i="18"/>
  <c r="A163" i="18"/>
  <c r="A214" i="18"/>
  <c r="B42" i="21" s="1"/>
  <c r="A278" i="18"/>
  <c r="A302" i="18"/>
  <c r="A347" i="18"/>
  <c r="A363" i="18"/>
  <c r="B77" i="21" s="1"/>
  <c r="A395" i="18"/>
  <c r="A419" i="18"/>
  <c r="B86" i="21" s="1"/>
  <c r="A244" i="18"/>
  <c r="A283" i="18"/>
  <c r="A312" i="18"/>
  <c r="A348" i="18"/>
  <c r="B71" i="21" s="1"/>
  <c r="A388" i="18"/>
  <c r="A409" i="18"/>
  <c r="A429" i="18"/>
  <c r="A447" i="18"/>
  <c r="A457" i="18"/>
  <c r="A479" i="18"/>
  <c r="A489" i="18"/>
  <c r="A276" i="18"/>
  <c r="A317" i="18"/>
  <c r="A367" i="18"/>
  <c r="A505" i="18"/>
  <c r="A539" i="18"/>
  <c r="A576" i="18"/>
  <c r="A595" i="18"/>
  <c r="B126" i="21" s="1"/>
  <c r="A293" i="18"/>
  <c r="A341" i="18"/>
  <c r="A405" i="18"/>
  <c r="A442" i="18"/>
  <c r="A508" i="18"/>
  <c r="A550" i="18"/>
  <c r="A601" i="18"/>
  <c r="A622" i="18"/>
  <c r="A630" i="18"/>
  <c r="A644" i="18"/>
  <c r="B134" i="21" s="1"/>
  <c r="A654" i="18"/>
  <c r="B136" i="21" s="1"/>
  <c r="A662" i="18"/>
  <c r="A672" i="18"/>
  <c r="B142" i="21" s="1"/>
  <c r="A680" i="18"/>
  <c r="A698" i="18"/>
  <c r="B149" i="21" s="1"/>
  <c r="A714" i="18"/>
  <c r="A722" i="18"/>
  <c r="B154" i="21" s="1"/>
  <c r="A732" i="18"/>
  <c r="A740" i="18"/>
  <c r="A750" i="18"/>
  <c r="A343" i="18"/>
  <c r="A514" i="18"/>
  <c r="A591" i="18"/>
  <c r="A631" i="18"/>
  <c r="CU942" i="18"/>
  <c r="E942" i="18" s="1"/>
  <c r="EV942" i="18"/>
  <c r="CU940" i="18"/>
  <c r="E940" i="18" s="1"/>
  <c r="EV940" i="18"/>
  <c r="EV943" i="18"/>
  <c r="CU943" i="18"/>
  <c r="E943" i="18" s="1"/>
  <c r="CU892" i="18"/>
  <c r="E892" i="18" s="1"/>
  <c r="EV892" i="18"/>
  <c r="EV895" i="18"/>
  <c r="CU895" i="18"/>
  <c r="E895" i="18" s="1"/>
  <c r="CU890" i="18"/>
  <c r="E890" i="18" s="1"/>
  <c r="EV890" i="18"/>
  <c r="CU894" i="18"/>
  <c r="E894" i="18" s="1"/>
  <c r="EV894" i="18"/>
  <c r="EV928" i="18"/>
  <c r="CU928" i="18"/>
  <c r="E928" i="18" s="1"/>
  <c r="EV621" i="18"/>
  <c r="CU621" i="18"/>
  <c r="E621" i="18" s="1"/>
  <c r="U834" i="18"/>
  <c r="U729" i="18"/>
  <c r="EV729" i="18" s="1"/>
  <c r="U713" i="18"/>
  <c r="EV713" i="18" s="1"/>
  <c r="U701" i="18"/>
  <c r="EV701" i="18" s="1"/>
  <c r="EV590" i="18"/>
  <c r="CU590" i="18"/>
  <c r="E590" i="18" s="1"/>
  <c r="EV131" i="18"/>
  <c r="CU131" i="18"/>
  <c r="E131" i="18" s="1"/>
  <c r="P86" i="18"/>
  <c r="P446" i="18"/>
  <c r="P530" i="18"/>
  <c r="P127" i="18"/>
  <c r="U127" i="18" s="1"/>
  <c r="P220" i="18"/>
  <c r="U220" i="18" s="1"/>
  <c r="U2035" i="18" s="1"/>
  <c r="P176" i="18"/>
  <c r="U176" i="18" s="1"/>
  <c r="P207" i="18"/>
  <c r="U207" i="18" s="1"/>
  <c r="P393" i="18"/>
  <c r="U393" i="18" s="1"/>
  <c r="P426" i="18"/>
  <c r="U426" i="18" s="1"/>
  <c r="EV426" i="18" s="1"/>
  <c r="P462" i="18"/>
  <c r="U462" i="18" s="1"/>
  <c r="CU429" i="18"/>
  <c r="E429" i="18" s="1"/>
  <c r="P429" i="18"/>
  <c r="CU670" i="18"/>
  <c r="E670" i="18" s="1"/>
  <c r="P670" i="18"/>
  <c r="P525" i="18"/>
  <c r="U525" i="18" s="1"/>
  <c r="P369" i="18"/>
  <c r="U369" i="18" s="1"/>
  <c r="U2071" i="18" s="1"/>
  <c r="P101" i="18"/>
  <c r="U101" i="18" s="1"/>
  <c r="P685" i="18"/>
  <c r="U685" i="18" s="1"/>
  <c r="P684" i="18"/>
  <c r="U684" i="18" s="1"/>
  <c r="P878" i="18"/>
  <c r="U878" i="18" s="1"/>
  <c r="P917" i="18"/>
  <c r="U917" i="18" s="1"/>
  <c r="EV917" i="18" s="1"/>
  <c r="P642" i="18"/>
  <c r="U642" i="18" s="1"/>
  <c r="P98" i="18"/>
  <c r="U98" i="18" s="1"/>
  <c r="P538" i="18"/>
  <c r="U538" i="18" s="1"/>
  <c r="P70" i="18"/>
  <c r="U70" i="18" s="1"/>
  <c r="P97" i="18"/>
  <c r="P54" i="18"/>
  <c r="U54" i="18" s="1"/>
  <c r="P159" i="18"/>
  <c r="U159" i="18" s="1"/>
  <c r="P81" i="18"/>
  <c r="U81" i="18" s="1"/>
  <c r="P223" i="18"/>
  <c r="U223" i="18" s="1"/>
  <c r="P59" i="18"/>
  <c r="U59" i="18" s="1"/>
  <c r="P226" i="18"/>
  <c r="U226" i="18" s="1"/>
  <c r="P239" i="18"/>
  <c r="U239" i="18" s="1"/>
  <c r="P377" i="18"/>
  <c r="P414" i="18"/>
  <c r="U414" i="18" s="1"/>
  <c r="P452" i="18"/>
  <c r="U452" i="18" s="1"/>
  <c r="CU456" i="18"/>
  <c r="E456" i="18" s="1"/>
  <c r="P456" i="18"/>
  <c r="P512" i="18"/>
  <c r="U512" i="18" s="1"/>
  <c r="P547" i="18"/>
  <c r="U547" i="18" s="1"/>
  <c r="P570" i="18"/>
  <c r="U570" i="18" s="1"/>
  <c r="P667" i="18"/>
  <c r="U667" i="18" s="1"/>
  <c r="P752" i="18"/>
  <c r="U752" i="18" s="1"/>
  <c r="CU522" i="18"/>
  <c r="E522" i="18" s="1"/>
  <c r="P522" i="18"/>
  <c r="P73" i="18"/>
  <c r="U73" i="18" s="1"/>
  <c r="P765" i="18"/>
  <c r="U765" i="18" s="1"/>
  <c r="EV765" i="18" s="1"/>
  <c r="P470" i="18"/>
  <c r="U470" i="18" s="1"/>
  <c r="P115" i="18"/>
  <c r="P814" i="18"/>
  <c r="U814" i="18" s="1"/>
  <c r="P951" i="18"/>
  <c r="EV951" i="18" s="1"/>
  <c r="CU626" i="18"/>
  <c r="E626" i="18" s="1"/>
  <c r="P626" i="18"/>
  <c r="P640" i="18"/>
  <c r="P76" i="18"/>
  <c r="P408" i="18"/>
  <c r="P311" i="18"/>
  <c r="U311" i="18" s="1"/>
  <c r="EV311" i="18" s="1"/>
  <c r="P366" i="18"/>
  <c r="P561" i="18"/>
  <c r="EV561" i="18" s="1"/>
  <c r="P156" i="18"/>
  <c r="U156" i="18" s="1"/>
  <c r="P195" i="18"/>
  <c r="U195" i="18" s="1"/>
  <c r="P180" i="18"/>
  <c r="U180" i="18" s="1"/>
  <c r="P212" i="18"/>
  <c r="U212" i="18" s="1"/>
  <c r="P238" i="18"/>
  <c r="U238" i="18" s="1"/>
  <c r="P275" i="18"/>
  <c r="U275" i="18" s="1"/>
  <c r="P398" i="18"/>
  <c r="U398" i="18" s="1"/>
  <c r="EV398" i="18" s="1"/>
  <c r="P386" i="18"/>
  <c r="P47" i="18"/>
  <c r="U47" i="18" s="1"/>
  <c r="EV47" i="18" s="1"/>
  <c r="P615" i="18"/>
  <c r="U615" i="18" s="1"/>
  <c r="P754" i="18"/>
  <c r="U754" i="18" s="1"/>
  <c r="P850" i="18"/>
  <c r="U850" i="18" s="1"/>
  <c r="P439" i="18"/>
  <c r="U439" i="18" s="1"/>
  <c r="EV439" i="18" s="1"/>
  <c r="P371" i="18"/>
  <c r="U371" i="18" s="1"/>
  <c r="P469" i="18"/>
  <c r="U469" i="18" s="1"/>
  <c r="EV469" i="18" s="1"/>
  <c r="P686" i="18"/>
  <c r="U686" i="18" s="1"/>
  <c r="P808" i="18"/>
  <c r="U808" i="18" s="1"/>
  <c r="P952" i="18"/>
  <c r="P959" i="18"/>
  <c r="U959" i="18" s="1"/>
  <c r="EV959" i="18" s="1"/>
  <c r="P124" i="18"/>
  <c r="U124" i="18" s="1"/>
  <c r="P609" i="18"/>
  <c r="U609" i="18" s="1"/>
  <c r="P259" i="18"/>
  <c r="U259" i="18" s="1"/>
  <c r="CU28" i="18"/>
  <c r="E28" i="18" s="1"/>
  <c r="P28" i="18"/>
  <c r="P146" i="18"/>
  <c r="P217" i="18"/>
  <c r="P410" i="18"/>
  <c r="U410" i="18" s="1"/>
  <c r="EV410" i="18" s="1"/>
  <c r="P483" i="18"/>
  <c r="U483" i="18" s="1"/>
  <c r="EV483" i="18" s="1"/>
  <c r="P528" i="18"/>
  <c r="U528" i="18" s="1"/>
  <c r="P554" i="18"/>
  <c r="U554" i="18" s="1"/>
  <c r="P566" i="18"/>
  <c r="EV566" i="18" s="1"/>
  <c r="P139" i="18"/>
  <c r="P155" i="18"/>
  <c r="U155" i="18" s="1"/>
  <c r="P91" i="18"/>
  <c r="U91" i="18" s="1"/>
  <c r="P167" i="18"/>
  <c r="P203" i="18"/>
  <c r="P190" i="18"/>
  <c r="U190" i="18" s="1"/>
  <c r="P177" i="18"/>
  <c r="U177" i="18" s="1"/>
  <c r="P199" i="18"/>
  <c r="U199" i="18" s="1"/>
  <c r="P274" i="18"/>
  <c r="U274" i="18" s="1"/>
  <c r="EV274" i="18" s="1"/>
  <c r="P308" i="18"/>
  <c r="U308" i="18" s="1"/>
  <c r="P831" i="18"/>
  <c r="U831" i="18" s="1"/>
  <c r="EV831" i="18" s="1"/>
  <c r="P495" i="18"/>
  <c r="P694" i="18"/>
  <c r="U694" i="18" s="1"/>
  <c r="P710" i="18"/>
  <c r="U710" i="18" s="1"/>
  <c r="P421" i="18"/>
  <c r="P382" i="18"/>
  <c r="U382" i="18" s="1"/>
  <c r="P593" i="18"/>
  <c r="P774" i="18"/>
  <c r="U774" i="18" s="1"/>
  <c r="P849" i="18"/>
  <c r="U849" i="18" s="1"/>
  <c r="P370" i="18"/>
  <c r="U370" i="18" s="1"/>
  <c r="U2066" i="18" s="1"/>
  <c r="P111" i="18"/>
  <c r="U111" i="18" s="1"/>
  <c r="CU683" i="18"/>
  <c r="E683" i="18" s="1"/>
  <c r="P683" i="18"/>
  <c r="P779" i="18"/>
  <c r="U779" i="18" s="1"/>
  <c r="EV779" i="18" s="1"/>
  <c r="P886" i="18"/>
  <c r="U886" i="18" s="1"/>
  <c r="CU902" i="18"/>
  <c r="E902" i="18" s="1"/>
  <c r="P902" i="18"/>
  <c r="P977" i="18"/>
  <c r="U977" i="18" s="1"/>
  <c r="P911" i="18"/>
  <c r="U911" i="18" s="1"/>
  <c r="CU911" i="18" s="1"/>
  <c r="E911" i="18" s="1"/>
  <c r="P105" i="18"/>
  <c r="U105" i="18" s="1"/>
  <c r="P254" i="18"/>
  <c r="U254" i="18" s="1"/>
  <c r="P537" i="18"/>
  <c r="U537" i="18" s="1"/>
  <c r="EV536" i="18"/>
  <c r="CU135" i="18"/>
  <c r="E135" i="18" s="1"/>
  <c r="EV135" i="18"/>
  <c r="U116" i="18"/>
  <c r="EV116" i="18" s="1"/>
  <c r="B275" i="18"/>
  <c r="B615" i="18"/>
  <c r="B47" i="18"/>
  <c r="A101" i="18"/>
  <c r="B684" i="18"/>
  <c r="C710" i="18"/>
  <c r="U708" i="18" s="1"/>
  <c r="EV708" i="18" s="1"/>
  <c r="C814" i="18"/>
  <c r="U813" i="18" s="1"/>
  <c r="EV813" i="18" s="1"/>
  <c r="C917" i="18"/>
  <c r="C393" i="18"/>
  <c r="A426" i="18"/>
  <c r="B774" i="18"/>
  <c r="C469" i="18"/>
  <c r="A124" i="18"/>
  <c r="B609" i="18"/>
  <c r="C642" i="18"/>
  <c r="A177" i="18"/>
  <c r="C59" i="18"/>
  <c r="U53" i="18" s="1"/>
  <c r="EV53" i="18" s="1"/>
  <c r="B226" i="18"/>
  <c r="B377" i="18"/>
  <c r="C570" i="18"/>
  <c r="B525" i="18"/>
  <c r="B370" i="18"/>
  <c r="B111" i="18"/>
  <c r="C779" i="18"/>
  <c r="B886" i="18"/>
  <c r="B426" i="18"/>
  <c r="C626" i="18"/>
  <c r="B626" i="18"/>
  <c r="U934" i="18"/>
  <c r="EV934" i="18" s="1"/>
  <c r="U947" i="18"/>
  <c r="EV947" i="18" s="1"/>
  <c r="EV903" i="18"/>
  <c r="EV904" i="18"/>
  <c r="U899" i="18"/>
  <c r="EV899" i="18" s="1"/>
  <c r="U778" i="18"/>
  <c r="EV778" i="18" s="1"/>
  <c r="U689" i="18"/>
  <c r="EV689" i="18" s="1"/>
  <c r="EV94" i="18"/>
  <c r="CU720" i="18"/>
  <c r="E720" i="18" s="1"/>
  <c r="U800" i="18"/>
  <c r="EV800" i="18" s="1"/>
  <c r="U777" i="18"/>
  <c r="EV777" i="18" s="1"/>
  <c r="U805" i="18"/>
  <c r="EV805" i="18" s="1"/>
  <c r="U811" i="18"/>
  <c r="EV811" i="18" s="1"/>
  <c r="U790" i="18"/>
  <c r="EV790" i="18" s="1"/>
  <c r="U768" i="18"/>
  <c r="EV768" i="18" s="1"/>
  <c r="U757" i="18"/>
  <c r="EV757" i="18" s="1"/>
  <c r="M181" i="21"/>
  <c r="M178" i="21"/>
  <c r="M157" i="21"/>
  <c r="U747" i="18"/>
  <c r="EV747" i="18" s="1"/>
  <c r="U863" i="18"/>
  <c r="EV863" i="18" s="1"/>
  <c r="U853" i="18"/>
  <c r="EV853" i="18" s="1"/>
  <c r="U868" i="18"/>
  <c r="EV868" i="18" s="1"/>
  <c r="U571" i="18"/>
  <c r="EV571" i="18" s="1"/>
  <c r="U544" i="18"/>
  <c r="EV544" i="18" s="1"/>
  <c r="EV542" i="18"/>
  <c r="EV534" i="18"/>
  <c r="U502" i="18"/>
  <c r="EV502" i="18" s="1"/>
  <c r="U503" i="18"/>
  <c r="EV503" i="18" s="1"/>
  <c r="EV62" i="18"/>
  <c r="U725" i="18"/>
  <c r="EV725" i="18" s="1"/>
  <c r="U741" i="18"/>
  <c r="EV741" i="18" s="1"/>
  <c r="U824" i="18"/>
  <c r="EV824" i="18" s="1"/>
  <c r="U339" i="18"/>
  <c r="EV339" i="18" s="1"/>
  <c r="U340" i="18"/>
  <c r="EV340" i="18" s="1"/>
  <c r="EV65" i="18"/>
  <c r="A192" i="16"/>
  <c r="A191" i="16"/>
  <c r="DT459" i="18" s="1"/>
  <c r="A190" i="16"/>
  <c r="K189" i="16"/>
  <c r="A189" i="16"/>
  <c r="K188" i="16"/>
  <c r="G188" i="16"/>
  <c r="A188" i="16"/>
  <c r="A187" i="16"/>
  <c r="DT374" i="18" s="1"/>
  <c r="K186" i="16"/>
  <c r="A186" i="16"/>
  <c r="A185" i="16"/>
  <c r="G184" i="16"/>
  <c r="A184" i="16"/>
  <c r="K183" i="16"/>
  <c r="L183" i="16" s="1"/>
  <c r="M183" i="16" s="1"/>
  <c r="A183" i="16"/>
  <c r="K182" i="16"/>
  <c r="A182" i="16"/>
  <c r="DT446" i="18" s="1"/>
  <c r="G181" i="16"/>
  <c r="H181" i="16" s="1"/>
  <c r="A181" i="16"/>
  <c r="G180" i="16"/>
  <c r="A180" i="16"/>
  <c r="G179" i="16"/>
  <c r="A179" i="16"/>
  <c r="A178" i="16"/>
  <c r="G177" i="16"/>
  <c r="A177" i="16"/>
  <c r="K176" i="16"/>
  <c r="A176" i="16"/>
  <c r="K175" i="16"/>
  <c r="L175" i="16" s="1"/>
  <c r="A175" i="16"/>
  <c r="A174" i="16"/>
  <c r="K173" i="16"/>
  <c r="A173" i="16"/>
  <c r="K172" i="16"/>
  <c r="A172" i="16"/>
  <c r="K171" i="16"/>
  <c r="L171" i="16" s="1"/>
  <c r="A171" i="16"/>
  <c r="A170" i="16"/>
  <c r="A169" i="16"/>
  <c r="A168" i="16"/>
  <c r="A167" i="16"/>
  <c r="G166" i="16"/>
  <c r="A166" i="16"/>
  <c r="A165" i="16"/>
  <c r="DT392" i="18" s="1"/>
  <c r="A164" i="16"/>
  <c r="A163" i="16"/>
  <c r="A162" i="16"/>
  <c r="A161" i="16"/>
  <c r="A160" i="16"/>
  <c r="DT385" i="18" s="1"/>
  <c r="G159" i="16"/>
  <c r="A159" i="16"/>
  <c r="G158" i="16"/>
  <c r="A158" i="16"/>
  <c r="G157" i="16"/>
  <c r="H157" i="16" s="1"/>
  <c r="A157" i="16"/>
  <c r="K156" i="16"/>
  <c r="A156" i="16"/>
  <c r="A155" i="16"/>
  <c r="DT311" i="18" s="1"/>
  <c r="G154" i="16"/>
  <c r="A154" i="16"/>
  <c r="A153" i="16"/>
  <c r="A152" i="16"/>
  <c r="A151" i="16"/>
  <c r="A150" i="16"/>
  <c r="A149" i="16"/>
  <c r="A148" i="16"/>
  <c r="DT366" i="18" s="1"/>
  <c r="A147" i="16"/>
  <c r="DT357" i="18" s="1"/>
  <c r="G146" i="16"/>
  <c r="A146" i="16"/>
  <c r="DT304" i="18" s="1"/>
  <c r="G145" i="16"/>
  <c r="A145" i="16"/>
  <c r="G144" i="16"/>
  <c r="A144" i="16"/>
  <c r="G143" i="16"/>
  <c r="A143" i="16"/>
  <c r="A142" i="16"/>
  <c r="G141" i="16"/>
  <c r="A141" i="16"/>
  <c r="G140" i="16"/>
  <c r="A140" i="16"/>
  <c r="A139" i="16"/>
  <c r="A138" i="16"/>
  <c r="A137" i="16"/>
  <c r="K136" i="16"/>
  <c r="G136" i="16"/>
  <c r="A136" i="16"/>
  <c r="K135" i="16"/>
  <c r="G135" i="16"/>
  <c r="H135" i="16" s="1"/>
  <c r="A135" i="16"/>
  <c r="A134" i="16"/>
  <c r="K133" i="16"/>
  <c r="A133" i="16"/>
  <c r="K132" i="16"/>
  <c r="G132" i="16"/>
  <c r="A132" i="16"/>
  <c r="A131" i="16"/>
  <c r="DT273" i="18" s="1"/>
  <c r="K130" i="16"/>
  <c r="A130" i="16"/>
  <c r="G129" i="16"/>
  <c r="A129" i="16"/>
  <c r="DT287" i="18" s="1"/>
  <c r="K128" i="16"/>
  <c r="G128" i="16"/>
  <c r="A128" i="16"/>
  <c r="K127" i="16"/>
  <c r="G127" i="16"/>
  <c r="H127" i="16" s="1"/>
  <c r="A127" i="16"/>
  <c r="DT267" i="18" s="1"/>
  <c r="K126" i="16"/>
  <c r="A126" i="16"/>
  <c r="A125" i="16"/>
  <c r="DT258" i="18" s="1"/>
  <c r="A124" i="16"/>
  <c r="A123" i="16"/>
  <c r="G122" i="16"/>
  <c r="H122" i="16" s="1"/>
  <c r="A122" i="16"/>
  <c r="G121" i="16"/>
  <c r="A121" i="16"/>
  <c r="DT282" i="18" s="1"/>
  <c r="G120" i="16"/>
  <c r="A120" i="16"/>
  <c r="G119" i="16"/>
  <c r="A119" i="16"/>
  <c r="A118" i="16"/>
  <c r="A117" i="16"/>
  <c r="DT246" i="18" s="1"/>
  <c r="A116" i="16"/>
  <c r="A115" i="16"/>
  <c r="DT237" i="18" s="1"/>
  <c r="A114" i="16"/>
  <c r="G113" i="16"/>
  <c r="H113" i="16" s="1"/>
  <c r="A113" i="16"/>
  <c r="A112" i="16"/>
  <c r="A111" i="16"/>
  <c r="DT232" i="18" s="1"/>
  <c r="A110" i="16"/>
  <c r="G109" i="16"/>
  <c r="A109" i="16"/>
  <c r="A108" i="16"/>
  <c r="K107" i="16"/>
  <c r="L107" i="16" s="1"/>
  <c r="M107" i="16" s="1"/>
  <c r="G107" i="16"/>
  <c r="A107" i="16"/>
  <c r="K106" i="16"/>
  <c r="L106" i="16" s="1"/>
  <c r="G106" i="16"/>
  <c r="A106" i="16"/>
  <c r="A105" i="16"/>
  <c r="A104" i="16"/>
  <c r="K103" i="16"/>
  <c r="L103" i="16" s="1"/>
  <c r="G103" i="16"/>
  <c r="A103" i="16"/>
  <c r="G102" i="16"/>
  <c r="A102" i="16"/>
  <c r="A101" i="16"/>
  <c r="K100" i="16"/>
  <c r="A100" i="16"/>
  <c r="K99" i="16"/>
  <c r="G99" i="16"/>
  <c r="A99" i="16"/>
  <c r="G98" i="16"/>
  <c r="A98" i="16"/>
  <c r="K97" i="16"/>
  <c r="A97" i="16"/>
  <c r="G96" i="16"/>
  <c r="A96" i="16"/>
  <c r="K95" i="16"/>
  <c r="A95" i="16"/>
  <c r="K94" i="16"/>
  <c r="G94" i="16"/>
  <c r="A94" i="16"/>
  <c r="A93" i="16"/>
  <c r="K92" i="16"/>
  <c r="G92" i="16"/>
  <c r="H92" i="16" s="1"/>
  <c r="A92" i="16"/>
  <c r="A91" i="16"/>
  <c r="DT154" i="18" s="1"/>
  <c r="A90" i="16"/>
  <c r="G89" i="16"/>
  <c r="A89" i="16"/>
  <c r="A88" i="16"/>
  <c r="A87" i="16"/>
  <c r="DT149" i="18" s="1"/>
  <c r="A86" i="16"/>
  <c r="G85" i="16"/>
  <c r="A85" i="16"/>
  <c r="A84" i="16"/>
  <c r="K83" i="16"/>
  <c r="G83" i="16"/>
  <c r="A83" i="16"/>
  <c r="K82" i="16"/>
  <c r="G82" i="16"/>
  <c r="A82" i="16"/>
  <c r="A81" i="16"/>
  <c r="K80" i="16"/>
  <c r="L80" i="16" s="1"/>
  <c r="G80" i="16"/>
  <c r="A80" i="16"/>
  <c r="K79" i="16"/>
  <c r="G79" i="16"/>
  <c r="A79" i="16"/>
  <c r="DT144" i="18" s="1"/>
  <c r="G78" i="16"/>
  <c r="A78" i="16"/>
  <c r="G77" i="16"/>
  <c r="A77" i="16"/>
  <c r="G76" i="16"/>
  <c r="A76" i="16"/>
  <c r="G75" i="16"/>
  <c r="H75" i="16" s="1"/>
  <c r="A75" i="16"/>
  <c r="DT138" i="18" s="1"/>
  <c r="K74" i="16"/>
  <c r="L74" i="16" s="1"/>
  <c r="A74" i="16"/>
  <c r="K73" i="16"/>
  <c r="A73" i="16"/>
  <c r="G72" i="16"/>
  <c r="A72" i="16"/>
  <c r="A71" i="16"/>
  <c r="DT130" i="18" s="1"/>
  <c r="K70" i="16"/>
  <c r="G70" i="16"/>
  <c r="A70" i="16"/>
  <c r="K69" i="16"/>
  <c r="G69" i="16"/>
  <c r="H69" i="16" s="1"/>
  <c r="A69" i="16"/>
  <c r="G68" i="16"/>
  <c r="A68" i="16"/>
  <c r="DT223" i="18" s="1"/>
  <c r="A67" i="16"/>
  <c r="K66" i="16"/>
  <c r="G66" i="16"/>
  <c r="A66" i="16"/>
  <c r="G65" i="16"/>
  <c r="A65" i="16"/>
  <c r="DT121" i="18" s="1"/>
  <c r="K64" i="16"/>
  <c r="A64" i="16"/>
  <c r="DT217" i="18" s="1"/>
  <c r="G63" i="16"/>
  <c r="A63" i="16"/>
  <c r="K62" i="16"/>
  <c r="G62" i="16"/>
  <c r="H62" i="16" s="1"/>
  <c r="A62" i="16"/>
  <c r="DT198" i="18" s="1"/>
  <c r="G61" i="16"/>
  <c r="A61" i="16"/>
  <c r="A60" i="16"/>
  <c r="K59" i="16"/>
  <c r="G59" i="16"/>
  <c r="A59" i="16"/>
  <c r="DT97" i="18" s="1"/>
  <c r="K58" i="16"/>
  <c r="G58" i="16"/>
  <c r="A58" i="16"/>
  <c r="G57" i="16"/>
  <c r="H57" i="16" s="1"/>
  <c r="A57" i="16"/>
  <c r="G56" i="16"/>
  <c r="A56" i="16"/>
  <c r="DT174" i="18" s="1"/>
  <c r="A55" i="16"/>
  <c r="DT86" i="18" s="1"/>
  <c r="A54" i="16"/>
  <c r="DT206" i="18" s="1"/>
  <c r="A53" i="16"/>
  <c r="A52" i="16"/>
  <c r="DT59" i="18" s="1"/>
  <c r="K51" i="16"/>
  <c r="G51" i="16"/>
  <c r="H51" i="16" s="1"/>
  <c r="A51" i="16"/>
  <c r="K50" i="16"/>
  <c r="G50" i="16"/>
  <c r="A50" i="16"/>
  <c r="A49" i="16"/>
  <c r="A48" i="16"/>
  <c r="DT43" i="18" s="1"/>
  <c r="K47" i="16"/>
  <c r="G47" i="16"/>
  <c r="H47" i="16" s="1"/>
  <c r="A47" i="16"/>
  <c r="K46" i="16"/>
  <c r="G46" i="16"/>
  <c r="A46" i="16"/>
  <c r="G45" i="16"/>
  <c r="A45" i="16"/>
  <c r="G44" i="16"/>
  <c r="H44" i="16" s="1"/>
  <c r="A44" i="16"/>
  <c r="K43" i="16"/>
  <c r="G43" i="16"/>
  <c r="H43" i="16" s="1"/>
  <c r="A43" i="16"/>
  <c r="A42" i="16"/>
  <c r="A41" i="16"/>
  <c r="K40" i="16"/>
  <c r="G40" i="16"/>
  <c r="H40" i="16" s="1"/>
  <c r="A40" i="16"/>
  <c r="K39" i="16"/>
  <c r="G39" i="16"/>
  <c r="H39" i="16" s="1"/>
  <c r="A39" i="16"/>
  <c r="G38" i="16"/>
  <c r="A38" i="16"/>
  <c r="K37" i="16"/>
  <c r="L37" i="16" s="1"/>
  <c r="G37" i="16"/>
  <c r="A37" i="16"/>
  <c r="G36" i="16"/>
  <c r="H36" i="16" s="1"/>
  <c r="A36" i="16"/>
  <c r="G35" i="16"/>
  <c r="A35" i="16"/>
  <c r="A34" i="16"/>
  <c r="A33" i="16"/>
  <c r="K32" i="16"/>
  <c r="L32" i="16" s="1"/>
  <c r="G32" i="16"/>
  <c r="A32" i="16"/>
  <c r="K31" i="16"/>
  <c r="G31" i="16"/>
  <c r="A31" i="16"/>
  <c r="A30" i="16"/>
  <c r="A29" i="16"/>
  <c r="A28" i="16"/>
  <c r="K27" i="16"/>
  <c r="L27" i="16" s="1"/>
  <c r="G27" i="16"/>
  <c r="A27" i="16"/>
  <c r="A26" i="16"/>
  <c r="K25" i="16"/>
  <c r="A25" i="16"/>
  <c r="K24" i="16"/>
  <c r="G24" i="16"/>
  <c r="A24" i="16"/>
  <c r="K23" i="16"/>
  <c r="G23" i="16"/>
  <c r="A23" i="16"/>
  <c r="K22" i="16"/>
  <c r="G22" i="16"/>
  <c r="A22" i="16"/>
  <c r="K21" i="16"/>
  <c r="A21" i="16"/>
  <c r="K20" i="16"/>
  <c r="G20" i="16"/>
  <c r="H20" i="16" s="1"/>
  <c r="A20" i="16"/>
  <c r="G19" i="16"/>
  <c r="A19" i="16"/>
  <c r="G18" i="16"/>
  <c r="H18" i="16" s="1"/>
  <c r="A18" i="16"/>
  <c r="G17" i="16"/>
  <c r="A17" i="16"/>
  <c r="G16" i="16"/>
  <c r="H16" i="16" s="1"/>
  <c r="A16" i="16"/>
  <c r="G15" i="16"/>
  <c r="A15" i="16"/>
  <c r="G14" i="16"/>
  <c r="A14" i="16"/>
  <c r="G13" i="16"/>
  <c r="A13" i="16"/>
  <c r="G12" i="16"/>
  <c r="A12" i="16"/>
  <c r="G11" i="16"/>
  <c r="A11" i="16"/>
  <c r="G10" i="16"/>
  <c r="A10" i="16"/>
  <c r="G9" i="16"/>
  <c r="A9" i="16"/>
  <c r="A8" i="16"/>
  <c r="G7" i="16"/>
  <c r="A7" i="16"/>
  <c r="G6" i="16"/>
  <c r="H6" i="16" s="1"/>
  <c r="A6" i="16"/>
  <c r="A5" i="16"/>
  <c r="G4" i="16"/>
  <c r="A4" i="16"/>
  <c r="A3" i="16"/>
  <c r="A2" i="16"/>
  <c r="A1" i="16"/>
  <c r="DX61" i="18"/>
  <c r="DZ45" i="18"/>
  <c r="DX45" i="18"/>
  <c r="DV61" i="18"/>
  <c r="DY61" i="18"/>
  <c r="DY45" i="18"/>
  <c r="DW45" i="18"/>
  <c r="DZ61" i="18"/>
  <c r="DW61" i="18"/>
  <c r="DV45" i="18"/>
  <c r="DW59" i="18"/>
  <c r="DZ43" i="18"/>
  <c r="DV43" i="18"/>
  <c r="DW43" i="18"/>
  <c r="DY43" i="18"/>
  <c r="DZ59" i="18"/>
  <c r="DX43" i="18"/>
  <c r="DX59" i="18"/>
  <c r="U530" i="18" l="1"/>
  <c r="EV530" i="18" s="1"/>
  <c r="EV2066" i="18"/>
  <c r="CU2066" i="18"/>
  <c r="E2066" i="18" s="1"/>
  <c r="CU2035" i="18"/>
  <c r="E2035" i="18" s="1"/>
  <c r="EV2035" i="18"/>
  <c r="EV2071" i="18"/>
  <c r="CU2071" i="18"/>
  <c r="E2071" i="18" s="1"/>
  <c r="DT104" i="18"/>
  <c r="DT110" i="18"/>
  <c r="DT338" i="18"/>
  <c r="DT292" i="18"/>
  <c r="DT297" i="18"/>
  <c r="DT345" i="18"/>
  <c r="DT473" i="18"/>
  <c r="DT451" i="18"/>
  <c r="DT184" i="18"/>
  <c r="DT189" i="18"/>
  <c r="DT351" i="18"/>
  <c r="DT361" i="18"/>
  <c r="DT316" i="18"/>
  <c r="DT321" i="18"/>
  <c r="DT420" i="18"/>
  <c r="DT425" i="18"/>
  <c r="DT398" i="18"/>
  <c r="DT331" i="18"/>
  <c r="DT403" i="18"/>
  <c r="DT408" i="18"/>
  <c r="DT326" i="18"/>
  <c r="DT436" i="18"/>
  <c r="DT432" i="18"/>
  <c r="DT413" i="18"/>
  <c r="EV925" i="18"/>
  <c r="CU925" i="18"/>
  <c r="E925" i="18" s="1"/>
  <c r="U392" i="18"/>
  <c r="EV392" i="18" s="1"/>
  <c r="U593" i="18"/>
  <c r="EV593" i="18" s="1"/>
  <c r="EV554" i="18"/>
  <c r="EV528" i="18"/>
  <c r="U408" i="18"/>
  <c r="EV408" i="18" s="1"/>
  <c r="CU398" i="18"/>
  <c r="E398" i="18" s="1"/>
  <c r="EV239" i="18"/>
  <c r="EV238" i="18"/>
  <c r="U203" i="18"/>
  <c r="EV203" i="18" s="1"/>
  <c r="U146" i="18"/>
  <c r="EV146" i="18" s="1"/>
  <c r="U139" i="18"/>
  <c r="EV139" i="18" s="1"/>
  <c r="U115" i="18"/>
  <c r="EV115" i="18" s="1"/>
  <c r="EV111" i="18"/>
  <c r="EV254" i="18"/>
  <c r="EV91" i="18"/>
  <c r="U86" i="18"/>
  <c r="EV86" i="18" s="1"/>
  <c r="EV81" i="18"/>
  <c r="U97" i="18"/>
  <c r="EV97" i="18" s="1"/>
  <c r="U76" i="18"/>
  <c r="EV76" i="18" s="1"/>
  <c r="EV70" i="18"/>
  <c r="BF207" i="18"/>
  <c r="EV414" i="18"/>
  <c r="CU414" i="18"/>
  <c r="E414" i="18" s="1"/>
  <c r="EV207" i="18"/>
  <c r="CU207" i="18"/>
  <c r="E207" i="18" s="1"/>
  <c r="EV177" i="18"/>
  <c r="CU177" i="18"/>
  <c r="E177" i="18" s="1"/>
  <c r="EV609" i="18"/>
  <c r="CU609" i="18"/>
  <c r="E609" i="18" s="1"/>
  <c r="EV54" i="18"/>
  <c r="CU54" i="18"/>
  <c r="E54" i="18" s="1"/>
  <c r="EV684" i="18"/>
  <c r="CU684" i="18"/>
  <c r="E684" i="18" s="1"/>
  <c r="CU439" i="18"/>
  <c r="E439" i="18" s="1"/>
  <c r="CU917" i="18"/>
  <c r="E917" i="18" s="1"/>
  <c r="EV180" i="18"/>
  <c r="CU180" i="18"/>
  <c r="E180" i="18" s="1"/>
  <c r="EV547" i="18"/>
  <c r="CU547" i="18"/>
  <c r="E547" i="18" s="1"/>
  <c r="EV101" i="18"/>
  <c r="CU101" i="18"/>
  <c r="E101" i="18" s="1"/>
  <c r="EV849" i="18"/>
  <c r="CU849" i="18"/>
  <c r="E849" i="18" s="1"/>
  <c r="EV694" i="18"/>
  <c r="CU694" i="18"/>
  <c r="E694" i="18" s="1"/>
  <c r="EV808" i="18"/>
  <c r="CU808" i="18"/>
  <c r="E808" i="18" s="1"/>
  <c r="EV754" i="18"/>
  <c r="CU754" i="18"/>
  <c r="E754" i="18" s="1"/>
  <c r="EV156" i="18"/>
  <c r="CU156" i="18"/>
  <c r="E156" i="18" s="1"/>
  <c r="EV667" i="18"/>
  <c r="CU667" i="18"/>
  <c r="E667" i="18" s="1"/>
  <c r="EV59" i="18"/>
  <c r="CU59" i="18"/>
  <c r="E59" i="18" s="1"/>
  <c r="EV525" i="18"/>
  <c r="CU525" i="18"/>
  <c r="E525" i="18" s="1"/>
  <c r="EV220" i="18"/>
  <c r="CU220" i="18"/>
  <c r="E220" i="18" s="1"/>
  <c r="CU426" i="18"/>
  <c r="E426" i="18" s="1"/>
  <c r="CU469" i="18"/>
  <c r="E469" i="18" s="1"/>
  <c r="EV911" i="18"/>
  <c r="EV195" i="18"/>
  <c r="CU195" i="18"/>
  <c r="E195" i="18" s="1"/>
  <c r="EV127" i="18"/>
  <c r="CU127" i="18"/>
  <c r="E127" i="18" s="1"/>
  <c r="EV886" i="18"/>
  <c r="CU886" i="18"/>
  <c r="E886" i="18" s="1"/>
  <c r="EV710" i="18"/>
  <c r="CU710" i="18"/>
  <c r="E710" i="18" s="1"/>
  <c r="EV190" i="18"/>
  <c r="CU190" i="18"/>
  <c r="E190" i="18" s="1"/>
  <c r="EV124" i="18"/>
  <c r="CU124" i="18"/>
  <c r="E124" i="18" s="1"/>
  <c r="EV850" i="18"/>
  <c r="CU850" i="18"/>
  <c r="E850" i="18" s="1"/>
  <c r="EV212" i="18"/>
  <c r="CU212" i="18"/>
  <c r="E212" i="18" s="1"/>
  <c r="EV752" i="18"/>
  <c r="CU752" i="18"/>
  <c r="E752" i="18" s="1"/>
  <c r="EV685" i="18"/>
  <c r="CU685" i="18"/>
  <c r="E685" i="18" s="1"/>
  <c r="EV176" i="18"/>
  <c r="CU176" i="18"/>
  <c r="E176" i="18" s="1"/>
  <c r="EV952" i="18"/>
  <c r="CU952" i="18"/>
  <c r="E952" i="18" s="1"/>
  <c r="EV615" i="18"/>
  <c r="CU615" i="18"/>
  <c r="E615" i="18" s="1"/>
  <c r="EV814" i="18"/>
  <c r="CU814" i="18"/>
  <c r="E814" i="18" s="1"/>
  <c r="EV570" i="18"/>
  <c r="CU570" i="18"/>
  <c r="E570" i="18" s="1"/>
  <c r="EV199" i="18"/>
  <c r="CU199" i="18"/>
  <c r="E199" i="18" s="1"/>
  <c r="CU259" i="18"/>
  <c r="E259" i="18" s="1"/>
  <c r="EV259" i="18"/>
  <c r="EV371" i="18"/>
  <c r="CU371" i="18"/>
  <c r="E371" i="18" s="1"/>
  <c r="EV275" i="18"/>
  <c r="CU275" i="18"/>
  <c r="E275" i="18" s="1"/>
  <c r="EV73" i="18"/>
  <c r="CU73" i="18"/>
  <c r="E73" i="18" s="1"/>
  <c r="EV452" i="18"/>
  <c r="CU452" i="18"/>
  <c r="E452" i="18" s="1"/>
  <c r="EV159" i="18"/>
  <c r="CU159" i="18"/>
  <c r="E159" i="18" s="1"/>
  <c r="EV878" i="18"/>
  <c r="CU878" i="18"/>
  <c r="E878" i="18" s="1"/>
  <c r="EV393" i="18"/>
  <c r="CU393" i="18"/>
  <c r="E393" i="18" s="1"/>
  <c r="EV537" i="18"/>
  <c r="CU537" i="18"/>
  <c r="E537" i="18" s="1"/>
  <c r="EV370" i="18"/>
  <c r="CU370" i="18"/>
  <c r="E370" i="18" s="1"/>
  <c r="EV226" i="18"/>
  <c r="CU226" i="18"/>
  <c r="E226" i="18" s="1"/>
  <c r="EV369" i="18"/>
  <c r="CU369" i="18"/>
  <c r="E369" i="18" s="1"/>
  <c r="EV977" i="18"/>
  <c r="CU977" i="18"/>
  <c r="E977" i="18" s="1"/>
  <c r="EV382" i="18"/>
  <c r="CU382" i="18"/>
  <c r="E382" i="18" s="1"/>
  <c r="EV105" i="18"/>
  <c r="CU105" i="18"/>
  <c r="E105" i="18" s="1"/>
  <c r="EV774" i="18"/>
  <c r="CU774" i="18"/>
  <c r="E774" i="18" s="1"/>
  <c r="EV308" i="18"/>
  <c r="CU308" i="18"/>
  <c r="E308" i="18" s="1"/>
  <c r="EV155" i="18"/>
  <c r="CU155" i="18"/>
  <c r="E155" i="18" s="1"/>
  <c r="EV686" i="18"/>
  <c r="CU686" i="18"/>
  <c r="E686" i="18" s="1"/>
  <c r="EV470" i="18"/>
  <c r="CU470" i="18"/>
  <c r="E470" i="18" s="1"/>
  <c r="EV512" i="18"/>
  <c r="CU512" i="18"/>
  <c r="E512" i="18" s="1"/>
  <c r="EV642" i="18"/>
  <c r="CU642" i="18"/>
  <c r="E642" i="18" s="1"/>
  <c r="EV462" i="18"/>
  <c r="CU462" i="18"/>
  <c r="E462" i="18" s="1"/>
  <c r="CU238" i="18"/>
  <c r="E238" i="18" s="1"/>
  <c r="CU951" i="18"/>
  <c r="E951" i="18" s="1"/>
  <c r="CU47" i="18"/>
  <c r="E47" i="18" s="1"/>
  <c r="CU111" i="18"/>
  <c r="E111" i="18" s="1"/>
  <c r="CU765" i="18"/>
  <c r="E765" i="18" s="1"/>
  <c r="CU254" i="18"/>
  <c r="E254" i="18" s="1"/>
  <c r="CU239" i="18"/>
  <c r="E239" i="18" s="1"/>
  <c r="CU831" i="18"/>
  <c r="E831" i="18" s="1"/>
  <c r="CU959" i="18"/>
  <c r="E959" i="18" s="1"/>
  <c r="CU779" i="18"/>
  <c r="E779" i="18" s="1"/>
  <c r="CU536" i="18"/>
  <c r="E536" i="18" s="1"/>
  <c r="EV538" i="18"/>
  <c r="CU538" i="18"/>
  <c r="E538" i="18" s="1"/>
  <c r="CU98" i="18"/>
  <c r="E98" i="18" s="1"/>
  <c r="EV98" i="18"/>
  <c r="CU116" i="18"/>
  <c r="E116" i="18" s="1"/>
  <c r="C684" i="18"/>
  <c r="C275" i="18"/>
  <c r="B814" i="18"/>
  <c r="C609" i="18"/>
  <c r="B469" i="18"/>
  <c r="C47" i="18"/>
  <c r="C525" i="18"/>
  <c r="A684" i="18"/>
  <c r="C377" i="18"/>
  <c r="C111" i="18"/>
  <c r="A609" i="18"/>
  <c r="B177" i="18"/>
  <c r="B570" i="18"/>
  <c r="B779" i="18"/>
  <c r="C426" i="18"/>
  <c r="U425" i="18" s="1"/>
  <c r="EV425" i="18" s="1"/>
  <c r="C226" i="18"/>
  <c r="U225" i="18" s="1"/>
  <c r="EV225" i="18" s="1"/>
  <c r="B101" i="18"/>
  <c r="A59" i="18"/>
  <c r="C177" i="18"/>
  <c r="A275" i="18"/>
  <c r="C370" i="18"/>
  <c r="A469" i="18"/>
  <c r="A814" i="18"/>
  <c r="A47" i="18"/>
  <c r="A710" i="18"/>
  <c r="A615" i="18"/>
  <c r="A779" i="18"/>
  <c r="A570" i="18"/>
  <c r="A226" i="18"/>
  <c r="A370" i="18"/>
  <c r="C886" i="18"/>
  <c r="C641" i="18"/>
  <c r="B392" i="18"/>
  <c r="CU708" i="18"/>
  <c r="E708" i="18" s="1"/>
  <c r="W705" i="18"/>
  <c r="CU339" i="18"/>
  <c r="E339" i="18" s="1"/>
  <c r="C339" i="18"/>
  <c r="CU62" i="18"/>
  <c r="E62" i="18" s="1"/>
  <c r="B62" i="18"/>
  <c r="CU853" i="18"/>
  <c r="E853" i="18" s="1"/>
  <c r="C853" i="18"/>
  <c r="CU757" i="18"/>
  <c r="E757" i="18" s="1"/>
  <c r="A757" i="18"/>
  <c r="CU805" i="18"/>
  <c r="E805" i="18" s="1"/>
  <c r="C805" i="18"/>
  <c r="CU689" i="18"/>
  <c r="E689" i="18" s="1"/>
  <c r="A689" i="18"/>
  <c r="CU904" i="18"/>
  <c r="E904" i="18" s="1"/>
  <c r="C904" i="18"/>
  <c r="CU863" i="18"/>
  <c r="E863" i="18" s="1"/>
  <c r="A863" i="18"/>
  <c r="CU768" i="18"/>
  <c r="E768" i="18" s="1"/>
  <c r="B768" i="18"/>
  <c r="CU777" i="18"/>
  <c r="E777" i="18" s="1"/>
  <c r="B777" i="18"/>
  <c r="CU903" i="18"/>
  <c r="E903" i="18" s="1"/>
  <c r="C903" i="18"/>
  <c r="CU713" i="18"/>
  <c r="E713" i="18" s="1"/>
  <c r="A713" i="18"/>
  <c r="B124" i="18"/>
  <c r="A642" i="18"/>
  <c r="CU725" i="18"/>
  <c r="E725" i="18" s="1"/>
  <c r="A725" i="18"/>
  <c r="CU502" i="18"/>
  <c r="E502" i="18" s="1"/>
  <c r="C502" i="18"/>
  <c r="CU542" i="18"/>
  <c r="E542" i="18" s="1"/>
  <c r="C542" i="18"/>
  <c r="CU790" i="18"/>
  <c r="E790" i="18" s="1"/>
  <c r="U789" i="18"/>
  <c r="EV789" i="18" s="1"/>
  <c r="A521" i="18"/>
  <c r="CU947" i="18"/>
  <c r="E947" i="18" s="1"/>
  <c r="C947" i="18"/>
  <c r="EV946" i="18" s="1"/>
  <c r="CU934" i="18"/>
  <c r="E934" i="18" s="1"/>
  <c r="C934" i="18"/>
  <c r="A886" i="18"/>
  <c r="C124" i="18"/>
  <c r="B642" i="18"/>
  <c r="A525" i="18"/>
  <c r="C774" i="18"/>
  <c r="B393" i="18"/>
  <c r="B917" i="18"/>
  <c r="A377" i="18"/>
  <c r="B710" i="18"/>
  <c r="U58" i="18"/>
  <c r="C615" i="18"/>
  <c r="U614" i="18" s="1"/>
  <c r="EV614" i="18" s="1"/>
  <c r="CU701" i="18"/>
  <c r="E701" i="18" s="1"/>
  <c r="C701" i="18"/>
  <c r="B378" i="18"/>
  <c r="CU534" i="18"/>
  <c r="E534" i="18" s="1"/>
  <c r="C534" i="18"/>
  <c r="CU729" i="18"/>
  <c r="E729" i="18" s="1"/>
  <c r="U728" i="18"/>
  <c r="EV728" i="18" s="1"/>
  <c r="CU778" i="18"/>
  <c r="E778" i="18" s="1"/>
  <c r="C778" i="18"/>
  <c r="CU741" i="18"/>
  <c r="E741" i="18" s="1"/>
  <c r="B741" i="18"/>
  <c r="CU503" i="18"/>
  <c r="E503" i="18" s="1"/>
  <c r="C503" i="18"/>
  <c r="CU571" i="18"/>
  <c r="E571" i="18" s="1"/>
  <c r="C571" i="18"/>
  <c r="CU94" i="18"/>
  <c r="E94" i="18" s="1"/>
  <c r="C94" i="18"/>
  <c r="CU813" i="18"/>
  <c r="E813" i="18" s="1"/>
  <c r="B813" i="18"/>
  <c r="C101" i="18"/>
  <c r="U100" i="18" s="1"/>
  <c r="EV100" i="18" s="1"/>
  <c r="B59" i="18"/>
  <c r="A111" i="18"/>
  <c r="A774" i="18"/>
  <c r="A917" i="18"/>
  <c r="CU340" i="18"/>
  <c r="E340" i="18" s="1"/>
  <c r="B340" i="18"/>
  <c r="CU824" i="18"/>
  <c r="E824" i="18" s="1"/>
  <c r="A824" i="18"/>
  <c r="CU544" i="18"/>
  <c r="E544" i="18" s="1"/>
  <c r="W540" i="18"/>
  <c r="CU747" i="18"/>
  <c r="E747" i="18" s="1"/>
  <c r="A747" i="18"/>
  <c r="CU811" i="18"/>
  <c r="E811" i="18" s="1"/>
  <c r="C811" i="18"/>
  <c r="CU800" i="18"/>
  <c r="E800" i="18" s="1"/>
  <c r="A800" i="18"/>
  <c r="CU899" i="18"/>
  <c r="E899" i="18" s="1"/>
  <c r="A899" i="18"/>
  <c r="A393" i="18"/>
  <c r="CU274" i="18"/>
  <c r="E274" i="18" s="1"/>
  <c r="C139" i="18"/>
  <c r="U144" i="18" s="1"/>
  <c r="B139" i="18"/>
  <c r="A139" i="18"/>
  <c r="C159" i="18"/>
  <c r="B159" i="18"/>
  <c r="A159" i="18"/>
  <c r="C220" i="18"/>
  <c r="U219" i="18" s="1"/>
  <c r="EV219" i="18" s="1"/>
  <c r="B220" i="18"/>
  <c r="A220" i="18"/>
  <c r="C190" i="18"/>
  <c r="B190" i="18"/>
  <c r="A190" i="18"/>
  <c r="C239" i="18"/>
  <c r="B239" i="18"/>
  <c r="A239" i="18"/>
  <c r="C308" i="18"/>
  <c r="U306" i="18" s="1"/>
  <c r="B308" i="18"/>
  <c r="A308" i="18"/>
  <c r="U80" i="18"/>
  <c r="EV80" i="18" s="1"/>
  <c r="C81" i="18"/>
  <c r="B81" i="18"/>
  <c r="A81" i="18"/>
  <c r="U693" i="18"/>
  <c r="EV693" i="18" s="1"/>
  <c r="C694" i="18"/>
  <c r="B694" i="18"/>
  <c r="A694" i="18"/>
  <c r="C414" i="18"/>
  <c r="B414" i="18"/>
  <c r="A414" i="18"/>
  <c r="C371" i="18"/>
  <c r="U88" i="18" s="1"/>
  <c r="B371" i="18"/>
  <c r="A371" i="18"/>
  <c r="C686" i="18"/>
  <c r="B686" i="18"/>
  <c r="A686" i="18"/>
  <c r="W751" i="18"/>
  <c r="C754" i="18"/>
  <c r="B754" i="18"/>
  <c r="A754" i="18"/>
  <c r="C878" i="18"/>
  <c r="U877" i="18" s="1"/>
  <c r="EV877" i="18" s="1"/>
  <c r="B878" i="18"/>
  <c r="A878" i="18"/>
  <c r="C977" i="18"/>
  <c r="U976" i="18" s="1"/>
  <c r="EV976" i="18" s="1"/>
  <c r="B977" i="18"/>
  <c r="A977" i="18"/>
  <c r="C439" i="18"/>
  <c r="U438" i="18" s="1"/>
  <c r="EV438" i="18" s="1"/>
  <c r="B439" i="18"/>
  <c r="A439" i="18"/>
  <c r="C156" i="18"/>
  <c r="B156" i="18"/>
  <c r="A156" i="18"/>
  <c r="U90" i="18"/>
  <c r="EV90" i="18" s="1"/>
  <c r="C91" i="18"/>
  <c r="B91" i="18"/>
  <c r="A91" i="18"/>
  <c r="C203" i="18"/>
  <c r="B203" i="18"/>
  <c r="A203" i="18"/>
  <c r="C199" i="18"/>
  <c r="U198" i="18" s="1"/>
  <c r="EV198" i="18" s="1"/>
  <c r="B199" i="18"/>
  <c r="A199" i="18"/>
  <c r="U494" i="18"/>
  <c r="EV494" i="18" s="1"/>
  <c r="C495" i="18"/>
  <c r="B495" i="18"/>
  <c r="A495" i="18"/>
  <c r="C382" i="18"/>
  <c r="U380" i="18" s="1"/>
  <c r="EV380" i="18" s="1"/>
  <c r="B382" i="18"/>
  <c r="A382" i="18"/>
  <c r="C62" i="18"/>
  <c r="A62" i="18"/>
  <c r="C512" i="18"/>
  <c r="B512" i="18"/>
  <c r="A512" i="18"/>
  <c r="U756" i="18"/>
  <c r="EV756" i="18" s="1"/>
  <c r="B757" i="18"/>
  <c r="U804" i="18"/>
  <c r="EV804" i="18" s="1"/>
  <c r="C369" i="18"/>
  <c r="B369" i="18"/>
  <c r="A369" i="18"/>
  <c r="C685" i="18"/>
  <c r="B685" i="18"/>
  <c r="A685" i="18"/>
  <c r="C765" i="18"/>
  <c r="U764" i="18" s="1"/>
  <c r="B765" i="18"/>
  <c r="A765" i="18"/>
  <c r="U964" i="18"/>
  <c r="EV964" i="18" s="1"/>
  <c r="U916" i="18"/>
  <c r="EV916" i="18" s="1"/>
  <c r="C176" i="18"/>
  <c r="U175" i="18" s="1"/>
  <c r="EV175" i="18" s="1"/>
  <c r="B176" i="18"/>
  <c r="A176" i="18"/>
  <c r="C195" i="18"/>
  <c r="B195" i="18"/>
  <c r="A195" i="18"/>
  <c r="C255" i="18"/>
  <c r="U252" i="18" s="1"/>
  <c r="B255" i="18"/>
  <c r="A255" i="18"/>
  <c r="C421" i="18"/>
  <c r="U420" i="18" s="1"/>
  <c r="EV420" i="18" s="1"/>
  <c r="B421" i="18"/>
  <c r="A421" i="18"/>
  <c r="C452" i="18"/>
  <c r="U451" i="18" s="1"/>
  <c r="EV451" i="18" s="1"/>
  <c r="B452" i="18"/>
  <c r="A452" i="18"/>
  <c r="C547" i="18"/>
  <c r="U546" i="18"/>
  <c r="EV546" i="18" s="1"/>
  <c r="B547" i="18"/>
  <c r="A547" i="18"/>
  <c r="C593" i="18"/>
  <c r="U592" i="18" s="1"/>
  <c r="B593" i="18"/>
  <c r="A593" i="18"/>
  <c r="C849" i="18"/>
  <c r="B849" i="18"/>
  <c r="A849" i="18"/>
  <c r="C470" i="18"/>
  <c r="U468" i="18" s="1"/>
  <c r="EV468" i="18" s="1"/>
  <c r="B470" i="18"/>
  <c r="A470" i="18"/>
  <c r="C116" i="18"/>
  <c r="B116" i="18"/>
  <c r="A116" i="18"/>
  <c r="C689" i="18"/>
  <c r="U688" i="18"/>
  <c r="EV688" i="18" s="1"/>
  <c r="B689" i="18"/>
  <c r="C951" i="18"/>
  <c r="EV949" i="18" s="1"/>
  <c r="B951" i="18"/>
  <c r="A951" i="18"/>
  <c r="C911" i="18"/>
  <c r="B911" i="18"/>
  <c r="A911" i="18"/>
  <c r="C640" i="18"/>
  <c r="B640" i="18"/>
  <c r="A640" i="18"/>
  <c r="C207" i="18"/>
  <c r="B207" i="18"/>
  <c r="A207" i="18"/>
  <c r="B641" i="18"/>
  <c r="A641" i="18"/>
  <c r="C155" i="18"/>
  <c r="B155" i="18"/>
  <c r="A155" i="18"/>
  <c r="C127" i="18"/>
  <c r="U126" i="18" s="1"/>
  <c r="B127" i="18"/>
  <c r="A127" i="18"/>
  <c r="C180" i="18"/>
  <c r="B180" i="18"/>
  <c r="A180" i="18"/>
  <c r="C212" i="18"/>
  <c r="B212" i="18"/>
  <c r="A212" i="18"/>
  <c r="C238" i="18"/>
  <c r="U232" i="18" s="1"/>
  <c r="B238" i="18"/>
  <c r="A238" i="18"/>
  <c r="C831" i="18"/>
  <c r="W828" i="18"/>
  <c r="B831" i="18"/>
  <c r="A831" i="18"/>
  <c r="A701" i="18"/>
  <c r="C708" i="18"/>
  <c r="B708" i="18"/>
  <c r="A708" i="18"/>
  <c r="C386" i="18"/>
  <c r="U385" i="18" s="1"/>
  <c r="EV385" i="18" s="1"/>
  <c r="B386" i="18"/>
  <c r="A386" i="18"/>
  <c r="C462" i="18"/>
  <c r="B462" i="18"/>
  <c r="A462" i="18"/>
  <c r="W532" i="18"/>
  <c r="C536" i="18"/>
  <c r="B536" i="18"/>
  <c r="A536" i="18"/>
  <c r="C667" i="18"/>
  <c r="U666" i="18"/>
  <c r="EV666" i="18" s="1"/>
  <c r="B667" i="18"/>
  <c r="A667" i="18"/>
  <c r="A777" i="18"/>
  <c r="C850" i="18"/>
  <c r="B850" i="18"/>
  <c r="A850" i="18"/>
  <c r="C73" i="18"/>
  <c r="B73" i="18"/>
  <c r="A73" i="18"/>
  <c r="C115" i="18"/>
  <c r="B115" i="18"/>
  <c r="A115" i="18"/>
  <c r="A94" i="18"/>
  <c r="C752" i="18"/>
  <c r="U751" i="18"/>
  <c r="EV751" i="18" s="1"/>
  <c r="B752" i="18"/>
  <c r="A752" i="18"/>
  <c r="C808" i="18"/>
  <c r="B808" i="18"/>
  <c r="A808" i="18"/>
  <c r="C952" i="18"/>
  <c r="B952" i="18"/>
  <c r="A952" i="18"/>
  <c r="C959" i="18"/>
  <c r="B959" i="18"/>
  <c r="A959" i="18"/>
  <c r="CU868" i="18"/>
  <c r="E868" i="18" s="1"/>
  <c r="EV834" i="18"/>
  <c r="BB61" i="18"/>
  <c r="AY59" i="18"/>
  <c r="AZ61" i="18"/>
  <c r="BA59" i="18"/>
  <c r="AY61" i="18"/>
  <c r="BC61" i="18"/>
  <c r="BA61" i="18"/>
  <c r="G52" i="16"/>
  <c r="AY45" i="18"/>
  <c r="BC43" i="18"/>
  <c r="AY43" i="18"/>
  <c r="BA45" i="18"/>
  <c r="AZ45" i="18"/>
  <c r="BA43" i="18"/>
  <c r="BC45" i="18"/>
  <c r="BB45" i="18"/>
  <c r="G49" i="16"/>
  <c r="H49" i="16" s="1"/>
  <c r="K48" i="16"/>
  <c r="H10" i="16"/>
  <c r="I10" i="16" s="1"/>
  <c r="L128" i="16"/>
  <c r="M128" i="16" s="1"/>
  <c r="L58" i="16"/>
  <c r="M58" i="16" s="1"/>
  <c r="H132" i="16"/>
  <c r="I132" i="16" s="1"/>
  <c r="H89" i="16"/>
  <c r="I89" i="16" s="1"/>
  <c r="H96" i="16"/>
  <c r="I96" i="16" s="1"/>
  <c r="M106" i="16"/>
  <c r="G147" i="16"/>
  <c r="H4" i="16"/>
  <c r="I4" i="16" s="1"/>
  <c r="L31" i="16"/>
  <c r="M31" i="16" s="1"/>
  <c r="H85" i="16"/>
  <c r="I85" i="16" s="1"/>
  <c r="H141" i="16"/>
  <c r="I141" i="16" s="1"/>
  <c r="G142" i="16"/>
  <c r="K42" i="16"/>
  <c r="G54" i="16"/>
  <c r="H77" i="16"/>
  <c r="I77" i="16" s="1"/>
  <c r="K163" i="16"/>
  <c r="L163" i="16" s="1"/>
  <c r="H12" i="16"/>
  <c r="I12" i="16" s="1"/>
  <c r="H46" i="16"/>
  <c r="I46" i="16" s="1"/>
  <c r="L156" i="16"/>
  <c r="M156" i="16" s="1"/>
  <c r="G8" i="16"/>
  <c r="H8" i="16" s="1"/>
  <c r="H22" i="16"/>
  <c r="I22" i="16" s="1"/>
  <c r="L130" i="16"/>
  <c r="M130" i="16" s="1"/>
  <c r="G21" i="16"/>
  <c r="H21" i="16" s="1"/>
  <c r="H24" i="16"/>
  <c r="I24" i="16" s="1"/>
  <c r="L25" i="16"/>
  <c r="M25" i="16" s="1"/>
  <c r="K53" i="16"/>
  <c r="L64" i="16"/>
  <c r="M64" i="16" s="1"/>
  <c r="H72" i="16"/>
  <c r="I72" i="16" s="1"/>
  <c r="G73" i="16"/>
  <c r="H73" i="16" s="1"/>
  <c r="H79" i="16"/>
  <c r="I79" i="16" s="1"/>
  <c r="G81" i="16"/>
  <c r="H81" i="16" s="1"/>
  <c r="I81" i="16" s="1"/>
  <c r="H102" i="16"/>
  <c r="I102" i="16" s="1"/>
  <c r="H120" i="16"/>
  <c r="I120" i="16" s="1"/>
  <c r="G126" i="16"/>
  <c r="H126" i="16" s="1"/>
  <c r="I126" i="16" s="1"/>
  <c r="G130" i="16"/>
  <c r="H130" i="16" s="1"/>
  <c r="I130" i="16" s="1"/>
  <c r="H145" i="16"/>
  <c r="I145" i="16" s="1"/>
  <c r="G151" i="16"/>
  <c r="H151" i="16" s="1"/>
  <c r="I151" i="16" s="1"/>
  <c r="K164" i="16"/>
  <c r="L164" i="16" s="1"/>
  <c r="M164" i="16" s="1"/>
  <c r="H166" i="16"/>
  <c r="I166" i="16" s="1"/>
  <c r="L173" i="16"/>
  <c r="M173" i="16" s="1"/>
  <c r="K174" i="16"/>
  <c r="H177" i="16"/>
  <c r="I177" i="16" s="1"/>
  <c r="K178" i="16"/>
  <c r="L178" i="16" s="1"/>
  <c r="M178" i="16" s="1"/>
  <c r="K185" i="16"/>
  <c r="L185" i="16" s="1"/>
  <c r="M185" i="16" s="1"/>
  <c r="I20" i="16"/>
  <c r="H23" i="16"/>
  <c r="I23" i="16" s="1"/>
  <c r="I40" i="16"/>
  <c r="H14" i="16"/>
  <c r="I14" i="16" s="1"/>
  <c r="G41" i="16"/>
  <c r="H50" i="16"/>
  <c r="I50" i="16" s="1"/>
  <c r="G55" i="16"/>
  <c r="H55" i="16" s="1"/>
  <c r="L66" i="16"/>
  <c r="M66" i="16" s="1"/>
  <c r="L79" i="16"/>
  <c r="M79" i="16" s="1"/>
  <c r="M80" i="16"/>
  <c r="L82" i="16"/>
  <c r="M82" i="16" s="1"/>
  <c r="L92" i="16"/>
  <c r="M92" i="16" s="1"/>
  <c r="H94" i="16"/>
  <c r="I94" i="16" s="1"/>
  <c r="L136" i="16"/>
  <c r="M136" i="16" s="1"/>
  <c r="H159" i="16"/>
  <c r="I159" i="16" s="1"/>
  <c r="L182" i="16"/>
  <c r="M182" i="16" s="1"/>
  <c r="I39" i="16"/>
  <c r="I47" i="16"/>
  <c r="K55" i="16"/>
  <c r="L100" i="16"/>
  <c r="M100" i="16" s="1"/>
  <c r="L135" i="16"/>
  <c r="M135" i="16" s="1"/>
  <c r="G3" i="16"/>
  <c r="H3" i="16" s="1"/>
  <c r="G5" i="16"/>
  <c r="H5" i="16" s="1"/>
  <c r="H11" i="16"/>
  <c r="I11" i="16" s="1"/>
  <c r="H13" i="16"/>
  <c r="I13" i="16" s="1"/>
  <c r="H31" i="16"/>
  <c r="I31" i="16" s="1"/>
  <c r="H65" i="16"/>
  <c r="I65" i="16" s="1"/>
  <c r="H80" i="16"/>
  <c r="I80" i="16" s="1"/>
  <c r="G91" i="16"/>
  <c r="H91" i="16" s="1"/>
  <c r="H98" i="16"/>
  <c r="I98" i="16" s="1"/>
  <c r="L99" i="16"/>
  <c r="M99" i="16" s="1"/>
  <c r="G116" i="16"/>
  <c r="H7" i="16"/>
  <c r="I7" i="16" s="1"/>
  <c r="H9" i="16"/>
  <c r="I9" i="16" s="1"/>
  <c r="I16" i="16"/>
  <c r="L21" i="16"/>
  <c r="M21" i="16" s="1"/>
  <c r="L23" i="16"/>
  <c r="M23" i="16" s="1"/>
  <c r="H27" i="16"/>
  <c r="I27" i="16" s="1"/>
  <c r="H32" i="16"/>
  <c r="I32" i="16" s="1"/>
  <c r="H37" i="16"/>
  <c r="I37" i="16" s="1"/>
  <c r="L40" i="16"/>
  <c r="M40" i="16" s="1"/>
  <c r="L47" i="16"/>
  <c r="M47" i="16" s="1"/>
  <c r="H66" i="16"/>
  <c r="I66" i="16" s="1"/>
  <c r="L70" i="16"/>
  <c r="M70" i="16" s="1"/>
  <c r="K77" i="16"/>
  <c r="L77" i="16" s="1"/>
  <c r="K88" i="16"/>
  <c r="L88" i="16" s="1"/>
  <c r="G95" i="16"/>
  <c r="L97" i="16"/>
  <c r="M97" i="16" s="1"/>
  <c r="K101" i="16"/>
  <c r="L101" i="16" s="1"/>
  <c r="H121" i="16"/>
  <c r="I121" i="16" s="1"/>
  <c r="I6" i="16"/>
  <c r="H19" i="16"/>
  <c r="I19" i="16" s="1"/>
  <c r="M27" i="16"/>
  <c r="M32" i="16"/>
  <c r="H35" i="16"/>
  <c r="I35" i="16" s="1"/>
  <c r="I36" i="16"/>
  <c r="M37" i="16"/>
  <c r="H38" i="16"/>
  <c r="I38" i="16" s="1"/>
  <c r="I43" i="16"/>
  <c r="H45" i="16"/>
  <c r="I45" i="16" s="1"/>
  <c r="L50" i="16"/>
  <c r="M50" i="16" s="1"/>
  <c r="I51" i="16"/>
  <c r="H58" i="16"/>
  <c r="I58" i="16" s="1"/>
  <c r="H61" i="16"/>
  <c r="I61" i="16" s="1"/>
  <c r="I62" i="16"/>
  <c r="H70" i="16"/>
  <c r="I70" i="16" s="1"/>
  <c r="M103" i="16"/>
  <c r="H15" i="16"/>
  <c r="I15" i="16" s="1"/>
  <c r="H17" i="16"/>
  <c r="I17" i="16" s="1"/>
  <c r="I18" i="16"/>
  <c r="L20" i="16"/>
  <c r="M20" i="16" s="1"/>
  <c r="L22" i="16"/>
  <c r="M22" i="16" s="1"/>
  <c r="L24" i="16"/>
  <c r="M24" i="16" s="1"/>
  <c r="L39" i="16"/>
  <c r="M39" i="16" s="1"/>
  <c r="L43" i="16"/>
  <c r="M43" i="16" s="1"/>
  <c r="I44" i="16"/>
  <c r="L46" i="16"/>
  <c r="M46" i="16" s="1"/>
  <c r="L51" i="16"/>
  <c r="M51" i="16" s="1"/>
  <c r="H56" i="16"/>
  <c r="I56" i="16" s="1"/>
  <c r="I57" i="16"/>
  <c r="H59" i="16"/>
  <c r="I59" i="16" s="1"/>
  <c r="L59" i="16"/>
  <c r="M59" i="16" s="1"/>
  <c r="L62" i="16"/>
  <c r="M62" i="16" s="1"/>
  <c r="H68" i="16"/>
  <c r="I68" i="16" s="1"/>
  <c r="L69" i="16"/>
  <c r="M69" i="16" s="1"/>
  <c r="L73" i="16"/>
  <c r="M73" i="16" s="1"/>
  <c r="M74" i="16"/>
  <c r="H82" i="16"/>
  <c r="I82" i="16" s="1"/>
  <c r="H83" i="16"/>
  <c r="I83" i="16" s="1"/>
  <c r="K90" i="16"/>
  <c r="L90" i="16" s="1"/>
  <c r="H106" i="16"/>
  <c r="I106" i="16" s="1"/>
  <c r="L127" i="16"/>
  <c r="M127" i="16" s="1"/>
  <c r="G133" i="16"/>
  <c r="H133" i="16" s="1"/>
  <c r="H146" i="16"/>
  <c r="I146" i="16" s="1"/>
  <c r="K161" i="16"/>
  <c r="L161" i="16" s="1"/>
  <c r="K168" i="16"/>
  <c r="L168" i="16" s="1"/>
  <c r="L188" i="16"/>
  <c r="M188" i="16" s="1"/>
  <c r="H63" i="16"/>
  <c r="I63" i="16" s="1"/>
  <c r="H76" i="16"/>
  <c r="I76" i="16" s="1"/>
  <c r="H78" i="16"/>
  <c r="I78" i="16" s="1"/>
  <c r="L83" i="16"/>
  <c r="M83" i="16" s="1"/>
  <c r="K85" i="16"/>
  <c r="G88" i="16"/>
  <c r="L95" i="16"/>
  <c r="M95" i="16" s="1"/>
  <c r="H103" i="16"/>
  <c r="I103" i="16" s="1"/>
  <c r="H107" i="16"/>
  <c r="I107" i="16" s="1"/>
  <c r="G110" i="16"/>
  <c r="H110" i="16" s="1"/>
  <c r="G112" i="16"/>
  <c r="H112" i="16" s="1"/>
  <c r="G123" i="16"/>
  <c r="H123" i="16" s="1"/>
  <c r="G125" i="16"/>
  <c r="L126" i="16"/>
  <c r="M126" i="16" s="1"/>
  <c r="H128" i="16"/>
  <c r="I128" i="16" s="1"/>
  <c r="L133" i="16"/>
  <c r="M133" i="16" s="1"/>
  <c r="I143" i="16"/>
  <c r="H143" i="16"/>
  <c r="G149" i="16"/>
  <c r="H149" i="16" s="1"/>
  <c r="H154" i="16"/>
  <c r="I154" i="16" s="1"/>
  <c r="G169" i="16"/>
  <c r="H169" i="16" s="1"/>
  <c r="M175" i="16"/>
  <c r="H179" i="16"/>
  <c r="I179" i="16" s="1"/>
  <c r="I181" i="16"/>
  <c r="H184" i="16"/>
  <c r="I184" i="16" s="1"/>
  <c r="L189" i="16"/>
  <c r="M189" i="16" s="1"/>
  <c r="H136" i="16"/>
  <c r="I136" i="16" s="1"/>
  <c r="G152" i="16"/>
  <c r="H152" i="16" s="1"/>
  <c r="K162" i="16"/>
  <c r="L162" i="16" s="1"/>
  <c r="K167" i="16"/>
  <c r="L167" i="16" s="1"/>
  <c r="K181" i="16"/>
  <c r="I69" i="16"/>
  <c r="I75" i="16"/>
  <c r="K89" i="16"/>
  <c r="G100" i="16"/>
  <c r="H100" i="16" s="1"/>
  <c r="G111" i="16"/>
  <c r="G117" i="16"/>
  <c r="H117" i="16" s="1"/>
  <c r="G124" i="16"/>
  <c r="H124" i="16" s="1"/>
  <c r="H129" i="16"/>
  <c r="I129" i="16" s="1"/>
  <c r="G138" i="16"/>
  <c r="G148" i="16"/>
  <c r="H148" i="16" s="1"/>
  <c r="G150" i="16"/>
  <c r="H150" i="16" s="1"/>
  <c r="I157" i="16"/>
  <c r="G170" i="16"/>
  <c r="H170" i="16" s="1"/>
  <c r="H188" i="16"/>
  <c r="I188" i="16" s="1"/>
  <c r="H109" i="16"/>
  <c r="I109" i="16" s="1"/>
  <c r="K109" i="16"/>
  <c r="L109" i="16" s="1"/>
  <c r="I122" i="16"/>
  <c r="I127" i="16"/>
  <c r="K129" i="16"/>
  <c r="I135" i="16"/>
  <c r="H140" i="16"/>
  <c r="I140" i="16" s="1"/>
  <c r="H158" i="16"/>
  <c r="I158" i="16" s="1"/>
  <c r="L172" i="16"/>
  <c r="M172" i="16" s="1"/>
  <c r="K184" i="16"/>
  <c r="L184" i="16" s="1"/>
  <c r="L186" i="16"/>
  <c r="M186" i="16" s="1"/>
  <c r="I92" i="16"/>
  <c r="L94" i="16"/>
  <c r="M94" i="16" s="1"/>
  <c r="H99" i="16"/>
  <c r="I99" i="16" s="1"/>
  <c r="I113" i="16"/>
  <c r="H119" i="16"/>
  <c r="I119" i="16" s="1"/>
  <c r="L132" i="16"/>
  <c r="M132" i="16" s="1"/>
  <c r="H144" i="16"/>
  <c r="I144" i="16" s="1"/>
  <c r="M171" i="16"/>
  <c r="L176" i="16"/>
  <c r="M176" i="16" s="1"/>
  <c r="H180" i="16"/>
  <c r="I180" i="16" s="1"/>
  <c r="K90" i="18"/>
  <c r="M532" i="18"/>
  <c r="EE61" i="18"/>
  <c r="EC43" i="18"/>
  <c r="M705" i="18"/>
  <c r="EB43" i="18"/>
  <c r="EE45" i="18"/>
  <c r="K546" i="18"/>
  <c r="K756" i="18"/>
  <c r="K494" i="18"/>
  <c r="DY59" i="18"/>
  <c r="DV59" i="18"/>
  <c r="ED59" i="18"/>
  <c r="K666" i="18"/>
  <c r="EH59" i="18"/>
  <c r="K688" i="18"/>
  <c r="K728" i="18"/>
  <c r="EE43" i="18"/>
  <c r="K693" i="18"/>
  <c r="K804" i="18"/>
  <c r="ED43" i="18"/>
  <c r="EH43" i="18"/>
  <c r="M751" i="18"/>
  <c r="EG59" i="18"/>
  <c r="EA43" i="18"/>
  <c r="EE59" i="18"/>
  <c r="M540" i="18"/>
  <c r="EA59" i="18"/>
  <c r="K789" i="18"/>
  <c r="K58" i="18"/>
  <c r="K80" i="18"/>
  <c r="M828" i="18"/>
  <c r="K751" i="18"/>
  <c r="EF59" i="18"/>
  <c r="AG2068" i="18" l="1"/>
  <c r="BB43" i="18"/>
  <c r="AZ43" i="18"/>
  <c r="BC59" i="18"/>
  <c r="U885" i="18"/>
  <c r="U971" i="18"/>
  <c r="EV971" i="18" s="1"/>
  <c r="U524" i="18"/>
  <c r="EV524" i="18" s="1"/>
  <c r="U61" i="18"/>
  <c r="U45" i="18" s="1"/>
  <c r="U933" i="18"/>
  <c r="EV933" i="18" s="1"/>
  <c r="U113" i="18"/>
  <c r="AH363" i="18"/>
  <c r="AP363" i="18"/>
  <c r="CU764" i="18"/>
  <c r="E764" i="18" s="1"/>
  <c r="U428" i="18"/>
  <c r="EV428" i="18" s="1"/>
  <c r="U189" i="18"/>
  <c r="EV189" i="18" s="1"/>
  <c r="U501" i="18"/>
  <c r="CU501" i="18" s="1"/>
  <c r="E501" i="18" s="1"/>
  <c r="U773" i="18"/>
  <c r="EV773" i="18" s="1"/>
  <c r="CU392" i="18"/>
  <c r="E392" i="18" s="1"/>
  <c r="U376" i="18"/>
  <c r="EV376" i="18" s="1"/>
  <c r="CU593" i="18"/>
  <c r="E593" i="18" s="1"/>
  <c r="U202" i="18"/>
  <c r="EV202" i="18" s="1"/>
  <c r="U123" i="18"/>
  <c r="EV123" i="18" s="1"/>
  <c r="U206" i="18"/>
  <c r="EV206" i="18" s="1"/>
  <c r="CU203" i="18"/>
  <c r="E203" i="18" s="1"/>
  <c r="CU139" i="18"/>
  <c r="E139" i="18" s="1"/>
  <c r="CU115" i="18"/>
  <c r="E115" i="18" s="1"/>
  <c r="U957" i="18"/>
  <c r="U955" i="18"/>
  <c r="U962" i="18"/>
  <c r="U72" i="18"/>
  <c r="EV72" i="18" s="1"/>
  <c r="EV910" i="18"/>
  <c r="U907" i="18"/>
  <c r="U909" i="18"/>
  <c r="U914" i="18"/>
  <c r="CU91" i="18"/>
  <c r="E91" i="18" s="1"/>
  <c r="CU81" i="18"/>
  <c r="E81" i="18" s="1"/>
  <c r="U848" i="18"/>
  <c r="EV848" i="18" s="1"/>
  <c r="EV252" i="18"/>
  <c r="L58" i="18"/>
  <c r="M14" i="21" s="1"/>
  <c r="EV58" i="18"/>
  <c r="U712" i="18"/>
  <c r="C747" i="18"/>
  <c r="A571" i="18"/>
  <c r="B790" i="18"/>
  <c r="C768" i="18"/>
  <c r="U767" i="18"/>
  <c r="EV767" i="18" s="1"/>
  <c r="B811" i="18"/>
  <c r="A502" i="18"/>
  <c r="U532" i="18"/>
  <c r="EV532" i="18" s="1"/>
  <c r="A947" i="18"/>
  <c r="B502" i="18"/>
  <c r="B899" i="18"/>
  <c r="C544" i="18"/>
  <c r="A903" i="18"/>
  <c r="A376" i="18"/>
  <c r="B376" i="18"/>
  <c r="C378" i="18"/>
  <c r="U377" i="18" s="1"/>
  <c r="C741" i="18"/>
  <c r="A778" i="18"/>
  <c r="B521" i="18"/>
  <c r="B747" i="18"/>
  <c r="B725" i="18"/>
  <c r="B934" i="18"/>
  <c r="A853" i="18"/>
  <c r="C725" i="18"/>
  <c r="C777" i="18"/>
  <c r="U776" i="18" s="1"/>
  <c r="EV776" i="18" s="1"/>
  <c r="B713" i="18"/>
  <c r="C824" i="18"/>
  <c r="C863" i="18"/>
  <c r="C800" i="18"/>
  <c r="U540" i="18"/>
  <c r="EV540" i="18" s="1"/>
  <c r="B824" i="18"/>
  <c r="B863" i="18"/>
  <c r="B800" i="18"/>
  <c r="A542" i="18"/>
  <c r="C392" i="18"/>
  <c r="CU395" i="18" s="1"/>
  <c r="E395" i="18" s="1"/>
  <c r="A904" i="18"/>
  <c r="C521" i="18"/>
  <c r="A790" i="18"/>
  <c r="U746" i="18"/>
  <c r="C713" i="18"/>
  <c r="W722" i="18"/>
  <c r="U823" i="18"/>
  <c r="EV823" i="18" s="1"/>
  <c r="A934" i="18"/>
  <c r="C757" i="18"/>
  <c r="U862" i="18"/>
  <c r="C813" i="18"/>
  <c r="B903" i="18"/>
  <c r="U799" i="18"/>
  <c r="EV799" i="18" s="1"/>
  <c r="A729" i="18"/>
  <c r="B542" i="18"/>
  <c r="C899" i="18"/>
  <c r="U898" i="18" s="1"/>
  <c r="A544" i="18"/>
  <c r="C340" i="18"/>
  <c r="U338" i="18" s="1"/>
  <c r="EV338" i="18" s="1"/>
  <c r="A811" i="18"/>
  <c r="C376" i="18"/>
  <c r="B94" i="18"/>
  <c r="B701" i="18"/>
  <c r="B778" i="18"/>
  <c r="A534" i="18"/>
  <c r="A503" i="18"/>
  <c r="U700" i="18"/>
  <c r="B534" i="18"/>
  <c r="B503" i="18"/>
  <c r="BK58" i="18"/>
  <c r="AI361" i="18"/>
  <c r="AK361" i="18" s="1"/>
  <c r="W361" i="18" s="1"/>
  <c r="W362" i="18" s="1"/>
  <c r="AI357" i="18"/>
  <c r="AK357" i="18" s="1"/>
  <c r="W357" i="18" s="1"/>
  <c r="W358" i="18" s="1"/>
  <c r="L14" i="21"/>
  <c r="C501" i="18"/>
  <c r="U500" i="18" s="1"/>
  <c r="BM728" i="18"/>
  <c r="C728" i="18"/>
  <c r="D155" i="21" s="1"/>
  <c r="E155" i="21"/>
  <c r="B728" i="18"/>
  <c r="C155" i="21" s="1"/>
  <c r="A728" i="18"/>
  <c r="B155" i="21" s="1"/>
  <c r="CU946" i="18"/>
  <c r="E946" i="18" s="1"/>
  <c r="A946" i="18"/>
  <c r="BM789" i="18"/>
  <c r="C789" i="18"/>
  <c r="D168" i="21" s="1"/>
  <c r="E168" i="21"/>
  <c r="B789" i="18"/>
  <c r="C168" i="21" s="1"/>
  <c r="A789" i="18"/>
  <c r="B168" i="21" s="1"/>
  <c r="CU834" i="18"/>
  <c r="E834" i="18" s="1"/>
  <c r="A834" i="18"/>
  <c r="CU971" i="18"/>
  <c r="E971" i="18" s="1"/>
  <c r="W968" i="18"/>
  <c r="BM751" i="18"/>
  <c r="E161" i="21"/>
  <c r="C751" i="18"/>
  <c r="D161" i="21" s="1"/>
  <c r="B751" i="18"/>
  <c r="C161" i="21" s="1"/>
  <c r="A751" i="18"/>
  <c r="B161" i="21" s="1"/>
  <c r="CU385" i="18"/>
  <c r="E385" i="18" s="1"/>
  <c r="U384" i="18"/>
  <c r="EV384" i="18" s="1"/>
  <c r="W781" i="18"/>
  <c r="N781" i="18" s="1"/>
  <c r="CU175" i="18"/>
  <c r="E175" i="18" s="1"/>
  <c r="C175" i="18"/>
  <c r="U174" i="18" s="1"/>
  <c r="EV174" i="18" s="1"/>
  <c r="CU933" i="18"/>
  <c r="E933" i="18" s="1"/>
  <c r="C933" i="18"/>
  <c r="BM804" i="18"/>
  <c r="C804" i="18"/>
  <c r="D172" i="21" s="1"/>
  <c r="E172" i="21"/>
  <c r="B804" i="18"/>
  <c r="C172" i="21" s="1"/>
  <c r="A804" i="18"/>
  <c r="B172" i="21" s="1"/>
  <c r="BM756" i="18"/>
  <c r="E162" i="21"/>
  <c r="C756" i="18"/>
  <c r="D162" i="21" s="1"/>
  <c r="B756" i="18"/>
  <c r="C162" i="21" s="1"/>
  <c r="A756" i="18"/>
  <c r="B162" i="21" s="1"/>
  <c r="CU438" i="18"/>
  <c r="E438" i="18" s="1"/>
  <c r="C438" i="18"/>
  <c r="U437" i="18" s="1"/>
  <c r="EV437" i="18" s="1"/>
  <c r="C693" i="18"/>
  <c r="D146" i="21" s="1"/>
  <c r="BM693" i="18"/>
  <c r="E146" i="21"/>
  <c r="B693" i="18"/>
  <c r="C146" i="21" s="1"/>
  <c r="A693" i="18"/>
  <c r="B146" i="21" s="1"/>
  <c r="BM80" i="18"/>
  <c r="E19" i="21"/>
  <c r="C80" i="18"/>
  <c r="D19" i="21" s="1"/>
  <c r="B80" i="18"/>
  <c r="C19" i="21" s="1"/>
  <c r="A80" i="18"/>
  <c r="B19" i="21" s="1"/>
  <c r="CU614" i="18"/>
  <c r="E614" i="18" s="1"/>
  <c r="B904" i="18"/>
  <c r="A339" i="18"/>
  <c r="A805" i="18"/>
  <c r="BM494" i="18"/>
  <c r="E101" i="21"/>
  <c r="C494" i="18"/>
  <c r="D101" i="21" s="1"/>
  <c r="B494" i="18"/>
  <c r="C101" i="21" s="1"/>
  <c r="A494" i="18"/>
  <c r="B101" i="21" s="1"/>
  <c r="CU877" i="18"/>
  <c r="E877" i="18" s="1"/>
  <c r="A877" i="18"/>
  <c r="B729" i="18"/>
  <c r="B853" i="18"/>
  <c r="B571" i="18"/>
  <c r="U391" i="18"/>
  <c r="C790" i="18"/>
  <c r="C666" i="18"/>
  <c r="D140" i="21" s="1"/>
  <c r="BM666" i="18"/>
  <c r="E140" i="21"/>
  <c r="B666" i="18"/>
  <c r="C140" i="21" s="1"/>
  <c r="A666" i="18"/>
  <c r="B140" i="21" s="1"/>
  <c r="CU949" i="18"/>
  <c r="E949" i="18" s="1"/>
  <c r="A949" i="18"/>
  <c r="A768" i="18"/>
  <c r="A378" i="18"/>
  <c r="B339" i="18"/>
  <c r="CU916" i="18"/>
  <c r="E916" i="18" s="1"/>
  <c r="B916" i="18"/>
  <c r="B947" i="18"/>
  <c r="A764" i="18"/>
  <c r="B805" i="18"/>
  <c r="B544" i="18"/>
  <c r="B61" i="18"/>
  <c r="A741" i="18"/>
  <c r="A340" i="18"/>
  <c r="BM90" i="18"/>
  <c r="E21" i="21"/>
  <c r="C90" i="18"/>
  <c r="D21" i="21" s="1"/>
  <c r="B90" i="18"/>
  <c r="C21" i="21" s="1"/>
  <c r="A90" i="18"/>
  <c r="B21" i="21" s="1"/>
  <c r="A813" i="18"/>
  <c r="U810" i="18"/>
  <c r="C729" i="18"/>
  <c r="U852" i="18"/>
  <c r="A392" i="18"/>
  <c r="W738" i="18"/>
  <c r="N738" i="18" s="1"/>
  <c r="W810" i="18"/>
  <c r="N810" i="18" s="1"/>
  <c r="CU910" i="18"/>
  <c r="E910" i="18" s="1"/>
  <c r="B910" i="18"/>
  <c r="BM688" i="18"/>
  <c r="E145" i="21"/>
  <c r="C688" i="18"/>
  <c r="D145" i="21" s="1"/>
  <c r="B688" i="18"/>
  <c r="C145" i="21" s="1"/>
  <c r="A688" i="18"/>
  <c r="B145" i="21" s="1"/>
  <c r="BM546" i="18"/>
  <c r="C546" i="18"/>
  <c r="D111" i="21" s="1"/>
  <c r="E111" i="21"/>
  <c r="B546" i="18"/>
  <c r="C111" i="21" s="1"/>
  <c r="A546" i="18"/>
  <c r="B111" i="21" s="1"/>
  <c r="CU964" i="18"/>
  <c r="E964" i="18" s="1"/>
  <c r="W961" i="18"/>
  <c r="CU976" i="18"/>
  <c r="E976" i="18" s="1"/>
  <c r="W973" i="18"/>
  <c r="EV958" i="18"/>
  <c r="L168" i="21"/>
  <c r="BK789" i="18"/>
  <c r="BL532" i="18"/>
  <c r="N109" i="21"/>
  <c r="N151" i="21"/>
  <c r="BL705" i="18"/>
  <c r="N178" i="21"/>
  <c r="BL828" i="18"/>
  <c r="BK546" i="18"/>
  <c r="L111" i="21"/>
  <c r="N161" i="21"/>
  <c r="BL751" i="18"/>
  <c r="L161" i="21"/>
  <c r="BK751" i="18"/>
  <c r="BK494" i="18"/>
  <c r="L101" i="21"/>
  <c r="BK728" i="18"/>
  <c r="L155" i="21"/>
  <c r="BK693" i="18"/>
  <c r="L146" i="21"/>
  <c r="BK80" i="18"/>
  <c r="AS268" i="18"/>
  <c r="AT268" i="18" s="1"/>
  <c r="L19" i="21"/>
  <c r="L140" i="21"/>
  <c r="BK666" i="18"/>
  <c r="BK90" i="18"/>
  <c r="L21" i="21"/>
  <c r="L145" i="21"/>
  <c r="BK688" i="18"/>
  <c r="BL540" i="18"/>
  <c r="N110" i="21"/>
  <c r="BK804" i="18"/>
  <c r="L172" i="21"/>
  <c r="L162" i="21"/>
  <c r="BK756" i="18"/>
  <c r="U211" i="18"/>
  <c r="EV211" i="18" s="1"/>
  <c r="B438" i="18"/>
  <c r="L789" i="18"/>
  <c r="M168" i="21" s="1"/>
  <c r="N532" i="18"/>
  <c r="N705" i="18"/>
  <c r="N828" i="18"/>
  <c r="U241" i="18"/>
  <c r="EV241" i="18" s="1"/>
  <c r="EV232" i="18"/>
  <c r="L546" i="18"/>
  <c r="M111" i="21" s="1"/>
  <c r="N751" i="18"/>
  <c r="L751" i="18"/>
  <c r="M161" i="21" s="1"/>
  <c r="C868" i="18"/>
  <c r="U867" i="18"/>
  <c r="EV867" i="18" s="1"/>
  <c r="B868" i="18"/>
  <c r="A868" i="18"/>
  <c r="U194" i="18"/>
  <c r="EV194" i="18" s="1"/>
  <c r="L494" i="18"/>
  <c r="M101" i="21" s="1"/>
  <c r="L728" i="18"/>
  <c r="M155" i="21" s="1"/>
  <c r="C54" i="18"/>
  <c r="B54" i="18"/>
  <c r="A54" i="18"/>
  <c r="L693" i="18"/>
  <c r="M146" i="21" s="1"/>
  <c r="L80" i="18"/>
  <c r="C274" i="18"/>
  <c r="B274" i="18"/>
  <c r="A274" i="18"/>
  <c r="U166" i="18"/>
  <c r="EV166" i="18" s="1"/>
  <c r="C167" i="18"/>
  <c r="U167" i="18" s="1"/>
  <c r="B167" i="18"/>
  <c r="A167" i="18"/>
  <c r="L666" i="18"/>
  <c r="M140" i="21" s="1"/>
  <c r="L90" i="18"/>
  <c r="M21" i="21" s="1"/>
  <c r="A910" i="18"/>
  <c r="L688" i="18"/>
  <c r="M145" i="21" s="1"/>
  <c r="N540" i="18"/>
  <c r="EV592" i="18"/>
  <c r="L804" i="18"/>
  <c r="M172" i="21" s="1"/>
  <c r="L756" i="18"/>
  <c r="M162" i="21" s="1"/>
  <c r="U122" i="18"/>
  <c r="EV122" i="18" s="1"/>
  <c r="EV144" i="18"/>
  <c r="H52" i="16"/>
  <c r="CU53" i="18"/>
  <c r="E53" i="18" s="1"/>
  <c r="EV43" i="18"/>
  <c r="L48" i="16"/>
  <c r="I49" i="16"/>
  <c r="H147" i="16"/>
  <c r="I147" i="16" s="1"/>
  <c r="H54" i="16"/>
  <c r="M163" i="16"/>
  <c r="L42" i="16"/>
  <c r="I8" i="16"/>
  <c r="H142" i="16"/>
  <c r="L53" i="16"/>
  <c r="I21" i="16"/>
  <c r="I73" i="16"/>
  <c r="I55" i="16"/>
  <c r="H41" i="16"/>
  <c r="L174" i="16"/>
  <c r="M174" i="16" s="1"/>
  <c r="L55" i="16"/>
  <c r="M162" i="16"/>
  <c r="I149" i="16"/>
  <c r="M184" i="16"/>
  <c r="I117" i="16"/>
  <c r="I100" i="16"/>
  <c r="M167" i="16"/>
  <c r="I152" i="16"/>
  <c r="H125" i="16"/>
  <c r="I125" i="16" s="1"/>
  <c r="L85" i="16"/>
  <c r="M85" i="16" s="1"/>
  <c r="M161" i="16"/>
  <c r="M90" i="16"/>
  <c r="H116" i="16"/>
  <c r="I116" i="16" s="1"/>
  <c r="I91" i="16"/>
  <c r="I5" i="16"/>
  <c r="I170" i="16"/>
  <c r="I148" i="16"/>
  <c r="L89" i="16"/>
  <c r="M89" i="16" s="1"/>
  <c r="L181" i="16"/>
  <c r="M181" i="16" s="1"/>
  <c r="I169" i="16"/>
  <c r="L129" i="16"/>
  <c r="M129" i="16" s="1"/>
  <c r="I112" i="16"/>
  <c r="M88" i="16"/>
  <c r="M109" i="16"/>
  <c r="I150" i="16"/>
  <c r="H138" i="16"/>
  <c r="I138" i="16" s="1"/>
  <c r="I124" i="16"/>
  <c r="H111" i="16"/>
  <c r="I111" i="16" s="1"/>
  <c r="I123" i="16"/>
  <c r="I110" i="16"/>
  <c r="H88" i="16"/>
  <c r="I88" i="16" s="1"/>
  <c r="M168" i="16"/>
  <c r="I133" i="16"/>
  <c r="M101" i="16"/>
  <c r="H95" i="16"/>
  <c r="I95" i="16" s="1"/>
  <c r="M77" i="16"/>
  <c r="I3" i="16"/>
  <c r="K810" i="18"/>
  <c r="M968" i="18"/>
  <c r="EF43" i="18"/>
  <c r="M961" i="18"/>
  <c r="K384" i="18"/>
  <c r="M973" i="18"/>
  <c r="K700" i="18"/>
  <c r="K532" i="18"/>
  <c r="K540" i="18"/>
  <c r="EF61" i="18"/>
  <c r="EB59" i="18"/>
  <c r="K712" i="18"/>
  <c r="M722" i="18"/>
  <c r="K799" i="18"/>
  <c r="K852" i="18"/>
  <c r="K746" i="18"/>
  <c r="K823" i="18"/>
  <c r="M810" i="18"/>
  <c r="EF45" i="18"/>
  <c r="K391" i="18"/>
  <c r="K166" i="18"/>
  <c r="M738" i="18"/>
  <c r="K862" i="18"/>
  <c r="K767" i="18"/>
  <c r="EV61" i="18" l="1"/>
  <c r="M19" i="21"/>
  <c r="EV501" i="18"/>
  <c r="CU773" i="18"/>
  <c r="E773" i="18" s="1"/>
  <c r="CU376" i="18"/>
  <c r="E376" i="18" s="1"/>
  <c r="U375" i="18"/>
  <c r="EV375" i="18" s="1"/>
  <c r="U386" i="18"/>
  <c r="EV764" i="18"/>
  <c r="EV377" i="18"/>
  <c r="CU377" i="18"/>
  <c r="E377" i="18" s="1"/>
  <c r="U520" i="18"/>
  <c r="EV520" i="18" s="1"/>
  <c r="CU167" i="18"/>
  <c r="E167" i="18" s="1"/>
  <c r="EV167" i="18"/>
  <c r="EV907" i="18"/>
  <c r="CU907" i="18"/>
  <c r="E907" i="18" s="1"/>
  <c r="EV962" i="18"/>
  <c r="CU962" i="18"/>
  <c r="E962" i="18" s="1"/>
  <c r="EV500" i="18"/>
  <c r="EV955" i="18"/>
  <c r="CU955" i="18"/>
  <c r="E955" i="18" s="1"/>
  <c r="EV914" i="18"/>
  <c r="CU914" i="18"/>
  <c r="E914" i="18" s="1"/>
  <c r="L540" i="18"/>
  <c r="M110" i="21" s="1"/>
  <c r="L799" i="18"/>
  <c r="M170" i="21" s="1"/>
  <c r="CU61" i="18"/>
  <c r="E61" i="18" s="1"/>
  <c r="L767" i="18"/>
  <c r="M164" i="21" s="1"/>
  <c r="L391" i="18"/>
  <c r="M81" i="21" s="1"/>
  <c r="EV391" i="18"/>
  <c r="L852" i="18"/>
  <c r="M184" i="21" s="1"/>
  <c r="EV852" i="18"/>
  <c r="CU901" i="18"/>
  <c r="E901" i="18" s="1"/>
  <c r="EV901" i="18"/>
  <c r="L700" i="18"/>
  <c r="M150" i="21" s="1"/>
  <c r="EV700" i="18"/>
  <c r="CU898" i="18"/>
  <c r="E898" i="18" s="1"/>
  <c r="EV898" i="18"/>
  <c r="L746" i="18"/>
  <c r="M160" i="21" s="1"/>
  <c r="EV746" i="18"/>
  <c r="L862" i="18"/>
  <c r="M183" i="21" s="1"/>
  <c r="EV862" i="18"/>
  <c r="L810" i="18"/>
  <c r="M173" i="21" s="1"/>
  <c r="EV810" i="18"/>
  <c r="CU885" i="18"/>
  <c r="E885" i="18" s="1"/>
  <c r="EV885" i="18"/>
  <c r="L712" i="18"/>
  <c r="M152" i="21" s="1"/>
  <c r="EV712" i="18"/>
  <c r="C885" i="18"/>
  <c r="B946" i="18"/>
  <c r="L152" i="21"/>
  <c r="BK712" i="18"/>
  <c r="W930" i="18"/>
  <c r="N930" i="18" s="1"/>
  <c r="A933" i="18"/>
  <c r="B834" i="18"/>
  <c r="B949" i="18"/>
  <c r="W913" i="18"/>
  <c r="N913" i="18" s="1"/>
  <c r="U346" i="18"/>
  <c r="EV346" i="18" s="1"/>
  <c r="B933" i="18"/>
  <c r="B764" i="18"/>
  <c r="A438" i="18"/>
  <c r="EV268" i="18"/>
  <c r="W897" i="18"/>
  <c r="N897" i="18" s="1"/>
  <c r="C946" i="18"/>
  <c r="C910" i="18"/>
  <c r="U945" i="18"/>
  <c r="C898" i="18"/>
  <c r="C385" i="18"/>
  <c r="C61" i="18"/>
  <c r="C964" i="18"/>
  <c r="L109" i="21"/>
  <c r="BK532" i="18"/>
  <c r="BK767" i="18"/>
  <c r="L164" i="21"/>
  <c r="A782" i="18"/>
  <c r="A885" i="18"/>
  <c r="L532" i="18"/>
  <c r="M109" i="21" s="1"/>
  <c r="B976" i="18"/>
  <c r="C782" i="18"/>
  <c r="C375" i="18"/>
  <c r="A375" i="18"/>
  <c r="C976" i="18"/>
  <c r="A976" i="18"/>
  <c r="A971" i="18"/>
  <c r="A964" i="18"/>
  <c r="A501" i="18"/>
  <c r="BK540" i="18"/>
  <c r="L110" i="21"/>
  <c r="BK862" i="18"/>
  <c r="L183" i="21"/>
  <c r="N154" i="21"/>
  <c r="BL722" i="18"/>
  <c r="BK799" i="18"/>
  <c r="L170" i="21"/>
  <c r="BK823" i="18"/>
  <c r="L177" i="21"/>
  <c r="L160" i="21"/>
  <c r="BK746" i="18"/>
  <c r="A175" i="18"/>
  <c r="W945" i="18"/>
  <c r="N945" i="18" s="1"/>
  <c r="B375" i="18"/>
  <c r="U342" i="18"/>
  <c r="EV342" i="18" s="1"/>
  <c r="B175" i="18"/>
  <c r="U781" i="18"/>
  <c r="EV781" i="18" s="1"/>
  <c r="C764" i="18"/>
  <c r="A61" i="18"/>
  <c r="W882" i="18"/>
  <c r="N882" i="18" s="1"/>
  <c r="B964" i="18"/>
  <c r="N722" i="18"/>
  <c r="C949" i="18"/>
  <c r="B782" i="18"/>
  <c r="W761" i="18"/>
  <c r="W58" i="18"/>
  <c r="N58" i="18" s="1"/>
  <c r="B885" i="18"/>
  <c r="L823" i="18"/>
  <c r="M177" i="21" s="1"/>
  <c r="L150" i="21"/>
  <c r="BK700" i="18"/>
  <c r="C834" i="18"/>
  <c r="B877" i="18"/>
  <c r="C901" i="18"/>
  <c r="U833" i="18"/>
  <c r="BL738" i="18"/>
  <c r="N157" i="21"/>
  <c r="BK852" i="18"/>
  <c r="L184" i="21"/>
  <c r="N173" i="21"/>
  <c r="BL810" i="18"/>
  <c r="BK810" i="18"/>
  <c r="L173" i="21"/>
  <c r="L81" i="21"/>
  <c r="BK391" i="18"/>
  <c r="CU500" i="18"/>
  <c r="E500" i="18" s="1"/>
  <c r="U499" i="18"/>
  <c r="EV499" i="18" s="1"/>
  <c r="BM384" i="18"/>
  <c r="E80" i="21"/>
  <c r="C384" i="18"/>
  <c r="D80" i="21" s="1"/>
  <c r="B384" i="18"/>
  <c r="C80" i="21" s="1"/>
  <c r="A384" i="18"/>
  <c r="B80" i="21" s="1"/>
  <c r="CU123" i="18"/>
  <c r="E123" i="18" s="1"/>
  <c r="CU122" i="18"/>
  <c r="E122" i="18" s="1"/>
  <c r="C122" i="18"/>
  <c r="A385" i="18"/>
  <c r="CU848" i="18"/>
  <c r="E848" i="18" s="1"/>
  <c r="C848" i="18"/>
  <c r="U846" i="18" s="1"/>
  <c r="BM867" i="18"/>
  <c r="E182" i="21"/>
  <c r="C867" i="18"/>
  <c r="D182" i="21" s="1"/>
  <c r="B867" i="18"/>
  <c r="C182" i="21" s="1"/>
  <c r="A867" i="18"/>
  <c r="B182" i="21" s="1"/>
  <c r="B971" i="18"/>
  <c r="C877" i="18"/>
  <c r="CU437" i="18"/>
  <c r="E437" i="18" s="1"/>
  <c r="A437" i="18"/>
  <c r="C916" i="18"/>
  <c r="B501" i="18"/>
  <c r="CU43" i="18"/>
  <c r="E43" i="18" s="1"/>
  <c r="B43" i="18"/>
  <c r="CU958" i="18"/>
  <c r="E958" i="18" s="1"/>
  <c r="CU206" i="18"/>
  <c r="E206" i="18" s="1"/>
  <c r="B206" i="18"/>
  <c r="C971" i="18"/>
  <c r="U876" i="18"/>
  <c r="EV876" i="18" s="1"/>
  <c r="A916" i="18"/>
  <c r="A773" i="18"/>
  <c r="U772" i="18"/>
  <c r="EV772" i="18" s="1"/>
  <c r="C773" i="18"/>
  <c r="B773" i="18"/>
  <c r="BM58" i="18"/>
  <c r="E14" i="21"/>
  <c r="C58" i="18"/>
  <c r="D14" i="21" s="1"/>
  <c r="B58" i="18"/>
  <c r="C14" i="21" s="1"/>
  <c r="A58" i="18"/>
  <c r="B14" i="21" s="1"/>
  <c r="B639" i="18"/>
  <c r="B385" i="18"/>
  <c r="BM166" i="18"/>
  <c r="E33" i="21"/>
  <c r="C166" i="18"/>
  <c r="D33" i="21" s="1"/>
  <c r="B166" i="18"/>
  <c r="C33" i="21" s="1"/>
  <c r="A166" i="18"/>
  <c r="B33" i="21" s="1"/>
  <c r="CU592" i="18"/>
  <c r="E592" i="18" s="1"/>
  <c r="A592" i="18"/>
  <c r="CU194" i="18"/>
  <c r="E194" i="18" s="1"/>
  <c r="B194" i="18"/>
  <c r="CU211" i="18"/>
  <c r="E211" i="18" s="1"/>
  <c r="C211" i="18"/>
  <c r="CU776" i="18"/>
  <c r="E776" i="18" s="1"/>
  <c r="A776" i="18"/>
  <c r="C614" i="18"/>
  <c r="U608" i="18" s="1"/>
  <c r="EV608" i="18" s="1"/>
  <c r="W611" i="18"/>
  <c r="B614" i="18"/>
  <c r="A614" i="18"/>
  <c r="N200" i="21"/>
  <c r="BL968" i="18"/>
  <c r="BK384" i="18"/>
  <c r="L80" i="21"/>
  <c r="BL961" i="18"/>
  <c r="N197" i="21"/>
  <c r="L33" i="21"/>
  <c r="BK166" i="18"/>
  <c r="N201" i="21"/>
  <c r="BL973" i="18"/>
  <c r="N968" i="18"/>
  <c r="L384" i="18"/>
  <c r="M80" i="21" s="1"/>
  <c r="C53" i="18"/>
  <c r="B53" i="18"/>
  <c r="A53" i="18"/>
  <c r="L867" i="18"/>
  <c r="M182" i="21" s="1"/>
  <c r="N961" i="18"/>
  <c r="L166" i="18"/>
  <c r="M33" i="21" s="1"/>
  <c r="U277" i="18"/>
  <c r="EV277" i="18" s="1"/>
  <c r="U273" i="18"/>
  <c r="EV273" i="18" s="1"/>
  <c r="N973" i="18"/>
  <c r="U169" i="18"/>
  <c r="EV169" i="18" s="1"/>
  <c r="U154" i="18"/>
  <c r="EV154" i="18" s="1"/>
  <c r="I52" i="16"/>
  <c r="M48" i="16"/>
  <c r="I54" i="16"/>
  <c r="M42" i="16"/>
  <c r="I41" i="16"/>
  <c r="I142" i="16"/>
  <c r="M55" i="16"/>
  <c r="M53" i="16"/>
  <c r="O199" i="15"/>
  <c r="Q199" i="15"/>
  <c r="P199" i="15"/>
  <c r="L199" i="15"/>
  <c r="I199" i="15"/>
  <c r="O198" i="15"/>
  <c r="O197" i="15"/>
  <c r="Q197" i="15"/>
  <c r="P197" i="15"/>
  <c r="L197" i="15"/>
  <c r="O196" i="15"/>
  <c r="Q196" i="15"/>
  <c r="P196" i="15"/>
  <c r="O195" i="15"/>
  <c r="Q195" i="15"/>
  <c r="P195" i="15"/>
  <c r="O194" i="15"/>
  <c r="Q194" i="15"/>
  <c r="P194" i="15"/>
  <c r="O193" i="15"/>
  <c r="Q193" i="15"/>
  <c r="P193" i="15"/>
  <c r="O192" i="15"/>
  <c r="Q192" i="15"/>
  <c r="P192" i="15"/>
  <c r="O191" i="15"/>
  <c r="Q191" i="15"/>
  <c r="P191" i="15"/>
  <c r="O190" i="15"/>
  <c r="Q190" i="15"/>
  <c r="P190" i="15"/>
  <c r="L190" i="15"/>
  <c r="O189" i="15"/>
  <c r="Q189" i="15"/>
  <c r="P189" i="15"/>
  <c r="I189" i="15"/>
  <c r="O188" i="15"/>
  <c r="Q188" i="15"/>
  <c r="P188" i="15"/>
  <c r="O187" i="15"/>
  <c r="Q187" i="15"/>
  <c r="P187" i="15"/>
  <c r="L187" i="15"/>
  <c r="O186" i="15"/>
  <c r="Q186" i="15"/>
  <c r="P186" i="15"/>
  <c r="O185" i="15"/>
  <c r="Q185" i="15"/>
  <c r="P185" i="15"/>
  <c r="O184" i="15"/>
  <c r="Q184" i="15"/>
  <c r="P184" i="15"/>
  <c r="O183" i="15"/>
  <c r="Q183" i="15"/>
  <c r="P183" i="15"/>
  <c r="I183" i="15"/>
  <c r="O182" i="15"/>
  <c r="Q182" i="15"/>
  <c r="P182" i="15"/>
  <c r="O181" i="15"/>
  <c r="Q181" i="15"/>
  <c r="P181" i="15"/>
  <c r="O180" i="15"/>
  <c r="Q180" i="15"/>
  <c r="P180" i="15"/>
  <c r="L180" i="15"/>
  <c r="O179" i="15"/>
  <c r="Q179" i="15"/>
  <c r="P179" i="15"/>
  <c r="L179" i="15"/>
  <c r="O178" i="15"/>
  <c r="Q178" i="15"/>
  <c r="P178" i="15"/>
  <c r="O177" i="15"/>
  <c r="Q177" i="15"/>
  <c r="P177" i="15"/>
  <c r="L177" i="15"/>
  <c r="O176" i="15"/>
  <c r="Q176" i="15"/>
  <c r="P176" i="15"/>
  <c r="I176" i="15"/>
  <c r="O175" i="15"/>
  <c r="Q175" i="15"/>
  <c r="P175" i="15"/>
  <c r="O174" i="15"/>
  <c r="Q174" i="15"/>
  <c r="P174" i="15"/>
  <c r="I174" i="15"/>
  <c r="O173" i="15"/>
  <c r="Q173" i="15"/>
  <c r="P173" i="15"/>
  <c r="O172" i="15"/>
  <c r="Q172" i="15"/>
  <c r="P172" i="15"/>
  <c r="I172" i="15"/>
  <c r="O171" i="15"/>
  <c r="Q171" i="15"/>
  <c r="P171" i="15"/>
  <c r="O170" i="15"/>
  <c r="Q170" i="15"/>
  <c r="P170" i="15"/>
  <c r="L170" i="15"/>
  <c r="O169" i="15"/>
  <c r="Q169" i="15"/>
  <c r="P169" i="15"/>
  <c r="L169" i="15"/>
  <c r="O168" i="15"/>
  <c r="Q168" i="15"/>
  <c r="P168" i="15"/>
  <c r="O167" i="15"/>
  <c r="Q167" i="15"/>
  <c r="P167" i="15"/>
  <c r="I167" i="15"/>
  <c r="J167" i="15" s="1"/>
  <c r="O166" i="15"/>
  <c r="Q166" i="15"/>
  <c r="P166" i="15"/>
  <c r="L166" i="15"/>
  <c r="O165" i="15"/>
  <c r="Q165" i="15"/>
  <c r="P165" i="15"/>
  <c r="I165" i="15"/>
  <c r="O164" i="15"/>
  <c r="Q164" i="15"/>
  <c r="P164" i="15"/>
  <c r="L164" i="15"/>
  <c r="O163" i="15"/>
  <c r="Q163" i="15"/>
  <c r="P163" i="15"/>
  <c r="O162" i="15"/>
  <c r="Q162" i="15"/>
  <c r="P162" i="15"/>
  <c r="L162" i="15"/>
  <c r="O161" i="15"/>
  <c r="Q161" i="15"/>
  <c r="P161" i="15"/>
  <c r="O160" i="15"/>
  <c r="Q160" i="15"/>
  <c r="P160" i="15"/>
  <c r="L160" i="15"/>
  <c r="O159" i="15"/>
  <c r="Q159" i="15"/>
  <c r="P159" i="15"/>
  <c r="L159" i="15"/>
  <c r="O158" i="15"/>
  <c r="Q158" i="15"/>
  <c r="P158" i="15"/>
  <c r="L158" i="15"/>
  <c r="O157" i="15"/>
  <c r="Q157" i="15"/>
  <c r="P157" i="15"/>
  <c r="L157" i="15"/>
  <c r="O156" i="15"/>
  <c r="Q156" i="15"/>
  <c r="P156" i="15"/>
  <c r="L156" i="15"/>
  <c r="O155" i="15"/>
  <c r="Q155" i="15"/>
  <c r="P155" i="15"/>
  <c r="L155" i="15"/>
  <c r="O154" i="15"/>
  <c r="Q154" i="15"/>
  <c r="P154" i="15"/>
  <c r="L154" i="15"/>
  <c r="O153" i="15"/>
  <c r="Q153" i="15"/>
  <c r="P153" i="15"/>
  <c r="L153" i="15"/>
  <c r="M153" i="15" s="1"/>
  <c r="O152" i="15"/>
  <c r="Q152" i="15"/>
  <c r="P152" i="15"/>
  <c r="O151" i="15"/>
  <c r="Q151" i="15"/>
  <c r="P151" i="15"/>
  <c r="O150" i="15"/>
  <c r="Q150" i="15"/>
  <c r="P150" i="15"/>
  <c r="O149" i="15"/>
  <c r="Q149" i="15"/>
  <c r="P149" i="15"/>
  <c r="O148" i="15"/>
  <c r="Q148" i="15"/>
  <c r="P148" i="15"/>
  <c r="O147" i="15"/>
  <c r="Q147" i="15"/>
  <c r="P147" i="15"/>
  <c r="O146" i="15"/>
  <c r="Q146" i="15"/>
  <c r="P146" i="15"/>
  <c r="O145" i="15"/>
  <c r="Q145" i="15"/>
  <c r="P145" i="15"/>
  <c r="O144" i="15"/>
  <c r="Q144" i="15"/>
  <c r="P144" i="15"/>
  <c r="L144" i="15"/>
  <c r="O143" i="15"/>
  <c r="Q143" i="15"/>
  <c r="P143" i="15"/>
  <c r="L143" i="15"/>
  <c r="O142" i="15"/>
  <c r="Q142" i="15"/>
  <c r="P142" i="15"/>
  <c r="L142" i="15"/>
  <c r="O141" i="15"/>
  <c r="Q141" i="15"/>
  <c r="P141" i="15"/>
  <c r="L141" i="15"/>
  <c r="O140" i="15"/>
  <c r="Q140" i="15"/>
  <c r="P140" i="15"/>
  <c r="L140" i="15"/>
  <c r="O139" i="15"/>
  <c r="Q139" i="15"/>
  <c r="P139" i="15"/>
  <c r="L139" i="15"/>
  <c r="O138" i="15"/>
  <c r="O137" i="15"/>
  <c r="Q137" i="15"/>
  <c r="P137" i="15"/>
  <c r="L137" i="15"/>
  <c r="O136" i="15"/>
  <c r="Q136" i="15"/>
  <c r="P136" i="15"/>
  <c r="O135" i="15"/>
  <c r="Q135" i="15"/>
  <c r="P135" i="15"/>
  <c r="O134" i="15"/>
  <c r="Q134" i="15"/>
  <c r="P134" i="15"/>
  <c r="I134" i="15"/>
  <c r="O133" i="15"/>
  <c r="Q133" i="15"/>
  <c r="P133" i="15"/>
  <c r="O132" i="15"/>
  <c r="Q132" i="15"/>
  <c r="P132" i="15"/>
  <c r="O131" i="15"/>
  <c r="Q131" i="15"/>
  <c r="P131" i="15"/>
  <c r="L131" i="15"/>
  <c r="I131" i="15"/>
  <c r="O130" i="15"/>
  <c r="Q130" i="15"/>
  <c r="P130" i="15"/>
  <c r="O129" i="15"/>
  <c r="Q129" i="15"/>
  <c r="P129" i="15"/>
  <c r="O128" i="15"/>
  <c r="Q128" i="15"/>
  <c r="P128" i="15"/>
  <c r="O127" i="15"/>
  <c r="Q127" i="15"/>
  <c r="P127" i="15"/>
  <c r="O126" i="15"/>
  <c r="Q126" i="15"/>
  <c r="P126" i="15"/>
  <c r="O125" i="15"/>
  <c r="Q125" i="15"/>
  <c r="P125" i="15"/>
  <c r="L125" i="15"/>
  <c r="I125" i="15"/>
  <c r="O124" i="15"/>
  <c r="Q124" i="15"/>
  <c r="P124" i="15"/>
  <c r="L124" i="15"/>
  <c r="O123" i="15"/>
  <c r="Q123" i="15"/>
  <c r="P123" i="15"/>
  <c r="O122" i="15"/>
  <c r="Q122" i="15"/>
  <c r="P122" i="15"/>
  <c r="L122" i="15"/>
  <c r="O121" i="15"/>
  <c r="Q121" i="15"/>
  <c r="P121" i="15"/>
  <c r="L121" i="15"/>
  <c r="I121" i="15"/>
  <c r="O120" i="15"/>
  <c r="Q120" i="15"/>
  <c r="P120" i="15"/>
  <c r="L120" i="15"/>
  <c r="O119" i="15"/>
  <c r="Q119" i="15"/>
  <c r="P119" i="15"/>
  <c r="O118" i="15"/>
  <c r="Q118" i="15"/>
  <c r="P118" i="15"/>
  <c r="L118" i="15"/>
  <c r="M118" i="15" s="1"/>
  <c r="N118" i="15" s="1"/>
  <c r="O117" i="15"/>
  <c r="Q117" i="15"/>
  <c r="P117" i="15"/>
  <c r="L117" i="15"/>
  <c r="I117" i="15"/>
  <c r="O116" i="15"/>
  <c r="Q116" i="15"/>
  <c r="P116" i="15"/>
  <c r="L116" i="15"/>
  <c r="O115" i="15"/>
  <c r="Q115" i="15"/>
  <c r="P115" i="15"/>
  <c r="L115" i="15"/>
  <c r="O114" i="15"/>
  <c r="Q114" i="15"/>
  <c r="P114" i="15"/>
  <c r="L114" i="15"/>
  <c r="O113" i="15"/>
  <c r="Q113" i="15"/>
  <c r="P113" i="15"/>
  <c r="I113" i="15"/>
  <c r="O112" i="15"/>
  <c r="Q112" i="15"/>
  <c r="P112" i="15"/>
  <c r="L112" i="15"/>
  <c r="O111" i="15"/>
  <c r="Q111" i="15"/>
  <c r="P111" i="15"/>
  <c r="L111" i="15"/>
  <c r="O110" i="15"/>
  <c r="Q110" i="15"/>
  <c r="P110" i="15"/>
  <c r="L110" i="15"/>
  <c r="O109" i="15"/>
  <c r="Q109" i="15"/>
  <c r="P109" i="15"/>
  <c r="L109" i="15"/>
  <c r="I109" i="15"/>
  <c r="O108" i="15"/>
  <c r="L108" i="15"/>
  <c r="I108" i="15"/>
  <c r="O107" i="15"/>
  <c r="O106" i="15"/>
  <c r="O105" i="15"/>
  <c r="O104" i="15"/>
  <c r="Q104" i="15"/>
  <c r="P104" i="15"/>
  <c r="L104" i="15"/>
  <c r="O103" i="15"/>
  <c r="O102" i="15"/>
  <c r="L102" i="15"/>
  <c r="I102" i="15"/>
  <c r="O101" i="15"/>
  <c r="Q101" i="15"/>
  <c r="P101" i="15"/>
  <c r="L101" i="15"/>
  <c r="O100" i="15"/>
  <c r="O99" i="15"/>
  <c r="O98" i="15"/>
  <c r="O97" i="15"/>
  <c r="Q97" i="15"/>
  <c r="P97" i="15"/>
  <c r="L97" i="15"/>
  <c r="I97" i="15"/>
  <c r="O96" i="15"/>
  <c r="Q96" i="15"/>
  <c r="P96" i="15"/>
  <c r="L96" i="15"/>
  <c r="O95" i="15"/>
  <c r="O94" i="15"/>
  <c r="O93" i="15"/>
  <c r="L93" i="15"/>
  <c r="O92" i="15"/>
  <c r="O91" i="15"/>
  <c r="O90" i="15"/>
  <c r="Q90" i="15"/>
  <c r="P90" i="15"/>
  <c r="L90" i="15"/>
  <c r="O89" i="15"/>
  <c r="Q89" i="15"/>
  <c r="P89" i="15"/>
  <c r="L89" i="15"/>
  <c r="I89" i="15"/>
  <c r="O88" i="15"/>
  <c r="I88" i="15"/>
  <c r="O87" i="15"/>
  <c r="L87" i="15"/>
  <c r="O86" i="15"/>
  <c r="Q86" i="15"/>
  <c r="P86" i="15"/>
  <c r="I86" i="15"/>
  <c r="O85" i="15"/>
  <c r="I85" i="15"/>
  <c r="O84" i="15"/>
  <c r="L84" i="15"/>
  <c r="O83" i="15"/>
  <c r="Q83" i="15"/>
  <c r="P83" i="15"/>
  <c r="I83" i="15"/>
  <c r="O82" i="15"/>
  <c r="O81" i="15"/>
  <c r="O80" i="15"/>
  <c r="O79" i="15"/>
  <c r="O78" i="15"/>
  <c r="O77" i="15"/>
  <c r="O76" i="15"/>
  <c r="O75" i="15"/>
  <c r="Q75" i="15"/>
  <c r="P75" i="15"/>
  <c r="L75" i="15"/>
  <c r="O74" i="15"/>
  <c r="Q74" i="15"/>
  <c r="P74" i="15"/>
  <c r="I74" i="15"/>
  <c r="O73" i="15"/>
  <c r="O72" i="15"/>
  <c r="O71" i="15"/>
  <c r="Q71" i="15"/>
  <c r="P71" i="15"/>
  <c r="I71" i="15"/>
  <c r="O70" i="15"/>
  <c r="O69" i="15"/>
  <c r="O68" i="15"/>
  <c r="O67" i="15"/>
  <c r="Q67" i="15"/>
  <c r="P67" i="15"/>
  <c r="L67" i="15"/>
  <c r="O66" i="15"/>
  <c r="O65" i="15"/>
  <c r="O64" i="15"/>
  <c r="Q64" i="15"/>
  <c r="P64" i="15"/>
  <c r="O63" i="15"/>
  <c r="Q63" i="15"/>
  <c r="P63" i="15"/>
  <c r="O62" i="15"/>
  <c r="O61" i="15"/>
  <c r="O60" i="15"/>
  <c r="Q60" i="15"/>
  <c r="P60" i="15"/>
  <c r="O59" i="15"/>
  <c r="O58" i="15"/>
  <c r="O57" i="15"/>
  <c r="O56" i="15"/>
  <c r="Q56" i="15"/>
  <c r="P56" i="15"/>
  <c r="L56" i="15"/>
  <c r="O55" i="15"/>
  <c r="O54" i="15"/>
  <c r="O53" i="15"/>
  <c r="Q53" i="15"/>
  <c r="P53" i="15"/>
  <c r="O52" i="15"/>
  <c r="Q52" i="15"/>
  <c r="P52" i="15"/>
  <c r="O51" i="15"/>
  <c r="O50" i="15"/>
  <c r="O49" i="15"/>
  <c r="Q49" i="15"/>
  <c r="P49" i="15"/>
  <c r="O48" i="15"/>
  <c r="Q48" i="15"/>
  <c r="P48" i="15"/>
  <c r="O47" i="15"/>
  <c r="O46" i="15"/>
  <c r="O45" i="15"/>
  <c r="Q45" i="15"/>
  <c r="P45" i="15"/>
  <c r="O44" i="15"/>
  <c r="Q44" i="15"/>
  <c r="P44" i="15"/>
  <c r="O43" i="15"/>
  <c r="O42" i="15"/>
  <c r="O41" i="15"/>
  <c r="Q41" i="15"/>
  <c r="P41" i="15"/>
  <c r="O40" i="15"/>
  <c r="O39" i="15"/>
  <c r="O38" i="15"/>
  <c r="Q38" i="15"/>
  <c r="P38" i="15"/>
  <c r="I38" i="15"/>
  <c r="O37" i="15"/>
  <c r="O36" i="15"/>
  <c r="O35" i="15"/>
  <c r="Q35" i="15"/>
  <c r="L35" i="15"/>
  <c r="O34" i="15"/>
  <c r="O33" i="15"/>
  <c r="Q33" i="15"/>
  <c r="I33" i="15"/>
  <c r="J33" i="15" s="1"/>
  <c r="K33" i="15" s="1"/>
  <c r="O32" i="15"/>
  <c r="O31" i="15"/>
  <c r="Q31" i="15"/>
  <c r="P31" i="15"/>
  <c r="O30" i="15"/>
  <c r="O29" i="15"/>
  <c r="O28" i="15"/>
  <c r="O27" i="15"/>
  <c r="O26" i="15"/>
  <c r="O25" i="15"/>
  <c r="O24" i="15"/>
  <c r="O23" i="15"/>
  <c r="O22" i="15"/>
  <c r="O21" i="15"/>
  <c r="O20" i="15"/>
  <c r="O19" i="15"/>
  <c r="Q19" i="15"/>
  <c r="P19" i="15"/>
  <c r="O18" i="15"/>
  <c r="O17" i="15"/>
  <c r="O16" i="15"/>
  <c r="O15" i="15"/>
  <c r="Q15" i="15"/>
  <c r="P15" i="15"/>
  <c r="O14" i="15"/>
  <c r="Q14" i="15"/>
  <c r="P14" i="15"/>
  <c r="O13" i="15"/>
  <c r="Q13" i="15"/>
  <c r="P13" i="15"/>
  <c r="O12" i="15"/>
  <c r="Q12" i="15"/>
  <c r="P12" i="15"/>
  <c r="O11" i="15"/>
  <c r="Q11" i="15"/>
  <c r="P11" i="15"/>
  <c r="O10" i="15"/>
  <c r="Q10" i="15"/>
  <c r="P10" i="15"/>
  <c r="O9" i="15"/>
  <c r="Q9" i="15"/>
  <c r="P9" i="15"/>
  <c r="O8" i="15"/>
  <c r="Q8" i="15"/>
  <c r="P8" i="15"/>
  <c r="O7" i="15"/>
  <c r="Q7" i="15"/>
  <c r="P7" i="15"/>
  <c r="O6" i="15"/>
  <c r="Q6" i="15"/>
  <c r="P6" i="15"/>
  <c r="O5" i="15"/>
  <c r="Q5" i="15"/>
  <c r="P5" i="15"/>
  <c r="O4" i="15"/>
  <c r="Q4" i="15"/>
  <c r="P4" i="15"/>
  <c r="O3" i="15"/>
  <c r="CZ936" i="18"/>
  <c r="DC936" i="18"/>
  <c r="M761" i="18"/>
  <c r="DM37" i="18"/>
  <c r="DD838" i="18"/>
  <c r="DM634" i="18"/>
  <c r="DD767" i="18"/>
  <c r="DA810" i="18"/>
  <c r="DC882" i="18"/>
  <c r="CZ816" i="18"/>
  <c r="DD882" i="18"/>
  <c r="DB876" i="18"/>
  <c r="CZ954" i="18"/>
  <c r="DB924" i="18"/>
  <c r="CZ810" i="18"/>
  <c r="DC973" i="18"/>
  <c r="DC924" i="18"/>
  <c r="K867" i="18"/>
  <c r="DM573" i="18"/>
  <c r="DB772" i="18"/>
  <c r="DA804" i="18"/>
  <c r="DD431" i="18"/>
  <c r="DC431" i="18"/>
  <c r="CZ897" i="18"/>
  <c r="CZ789" i="18"/>
  <c r="DB761" i="18"/>
  <c r="CZ746" i="18"/>
  <c r="DA794" i="18"/>
  <c r="DM22" i="18"/>
  <c r="CZ431" i="18"/>
  <c r="CZ617" i="18"/>
  <c r="DC804" i="18"/>
  <c r="M930" i="18"/>
  <c r="CZ717" i="18"/>
  <c r="DC810" i="18"/>
  <c r="DM666" i="18"/>
  <c r="DM751" i="18"/>
  <c r="DD746" i="18"/>
  <c r="CZ973" i="18"/>
  <c r="DA838" i="18"/>
  <c r="CZ756" i="18"/>
  <c r="DM838" i="18"/>
  <c r="DC876" i="18"/>
  <c r="DB733" i="18"/>
  <c r="DM954" i="18"/>
  <c r="DM784" i="18"/>
  <c r="DD954" i="18"/>
  <c r="DC751" i="18"/>
  <c r="DA882" i="18"/>
  <c r="CZ784" i="18"/>
  <c r="DD968" i="18"/>
  <c r="DC838" i="18"/>
  <c r="DB906" i="18"/>
  <c r="DM584" i="18"/>
  <c r="DM804" i="18"/>
  <c r="DC435" i="18"/>
  <c r="DB431" i="18"/>
  <c r="DA913" i="18"/>
  <c r="DM532" i="18"/>
  <c r="DM981" i="18"/>
  <c r="DB945" i="18"/>
  <c r="DA888" i="18"/>
  <c r="DC761" i="18"/>
  <c r="DM781" i="18"/>
  <c r="CZ961" i="18"/>
  <c r="DM936" i="18"/>
  <c r="DA746" i="18"/>
  <c r="DM772" i="18"/>
  <c r="CZ888" i="18"/>
  <c r="DM13" i="18"/>
  <c r="DD973" i="18"/>
  <c r="DB919" i="18"/>
  <c r="DA876" i="18"/>
  <c r="DD435" i="18"/>
  <c r="DM611" i="18"/>
  <c r="DM973" i="18"/>
  <c r="DB961" i="18"/>
  <c r="DM767" i="18"/>
  <c r="CZ968" i="18"/>
  <c r="DD733" i="18"/>
  <c r="DM431" i="18"/>
  <c r="DM546" i="18"/>
  <c r="DM644" i="18"/>
  <c r="DA784" i="18"/>
  <c r="DB838" i="18"/>
  <c r="DD794" i="18"/>
  <c r="DA781" i="18"/>
  <c r="DB794" i="18"/>
  <c r="DB804" i="18"/>
  <c r="DB781" i="18"/>
  <c r="DM589" i="18"/>
  <c r="DA961" i="18"/>
  <c r="DM761" i="18"/>
  <c r="M611" i="18"/>
  <c r="DD799" i="18"/>
  <c r="DB810" i="18"/>
  <c r="DA772" i="18"/>
  <c r="DA906" i="18"/>
  <c r="DC961" i="18"/>
  <c r="K772" i="18"/>
  <c r="DC945" i="18"/>
  <c r="DM654" i="18"/>
  <c r="DD888" i="18"/>
  <c r="DA973" i="18"/>
  <c r="DM888" i="18"/>
  <c r="DM34" i="18"/>
  <c r="DM540" i="18"/>
  <c r="CZ876" i="18"/>
  <c r="DM961" i="18"/>
  <c r="DM625" i="18"/>
  <c r="DD784" i="18"/>
  <c r="DC756" i="18"/>
  <c r="DB751" i="18"/>
  <c r="DM876" i="18"/>
  <c r="DM756" i="18"/>
  <c r="DM968" i="18"/>
  <c r="DD772" i="18"/>
  <c r="DC799" i="18"/>
  <c r="DC906" i="18"/>
  <c r="DB717" i="18"/>
  <c r="DD789" i="18"/>
  <c r="M58" i="18"/>
  <c r="DB973" i="18"/>
  <c r="DD924" i="18"/>
  <c r="DM397" i="18"/>
  <c r="DC897" i="18"/>
  <c r="DD717" i="18"/>
  <c r="DM10" i="18"/>
  <c r="DB936" i="18"/>
  <c r="DB756" i="18"/>
  <c r="DC919" i="18"/>
  <c r="DD919" i="18"/>
  <c r="CZ751" i="18"/>
  <c r="DM595" i="18"/>
  <c r="DC816" i="18"/>
  <c r="DM789" i="18"/>
  <c r="DA936" i="18"/>
  <c r="DD876" i="18"/>
  <c r="CZ945" i="18"/>
  <c r="DM913" i="18"/>
  <c r="DA751" i="18"/>
  <c r="DC746" i="18"/>
  <c r="DM16" i="18"/>
  <c r="DD756" i="18"/>
  <c r="DB789" i="18"/>
  <c r="DD930" i="18"/>
  <c r="DA761" i="18"/>
  <c r="DD804" i="18"/>
  <c r="CZ913" i="18"/>
  <c r="DA816" i="18"/>
  <c r="DD936" i="18"/>
  <c r="CZ804" i="18"/>
  <c r="DC772" i="18"/>
  <c r="DM924" i="18"/>
  <c r="DM945" i="18"/>
  <c r="DA945" i="18"/>
  <c r="CZ882" i="18"/>
  <c r="DA733" i="18"/>
  <c r="DA924" i="18"/>
  <c r="CZ733" i="18"/>
  <c r="DM477" i="18"/>
  <c r="DM458" i="18"/>
  <c r="DD810" i="18"/>
  <c r="CZ767" i="18"/>
  <c r="DD913" i="18"/>
  <c r="DC784" i="18"/>
  <c r="DC717" i="18"/>
  <c r="DA919" i="18"/>
  <c r="DD961" i="18"/>
  <c r="DD617" i="18"/>
  <c r="DM617" i="18"/>
  <c r="DA756" i="18"/>
  <c r="DM563" i="18"/>
  <c r="K781" i="18"/>
  <c r="DM810" i="18"/>
  <c r="DM733" i="18"/>
  <c r="DB799" i="18"/>
  <c r="DA617" i="18"/>
  <c r="CZ838" i="18"/>
  <c r="DM794" i="18"/>
  <c r="CZ761" i="18"/>
  <c r="CZ794" i="18"/>
  <c r="DC789" i="18"/>
  <c r="DM717" i="18"/>
  <c r="K833" i="18"/>
  <c r="DD816" i="18"/>
  <c r="DB882" i="18"/>
  <c r="DB617" i="18"/>
  <c r="DD945" i="18"/>
  <c r="CZ772" i="18"/>
  <c r="DM906" i="18"/>
  <c r="DM930" i="18"/>
  <c r="DM2039" i="18"/>
  <c r="DM2061" i="18"/>
  <c r="DM2020" i="18"/>
  <c r="DM2048" i="18"/>
  <c r="DM2029" i="18"/>
  <c r="DM2010" i="18"/>
  <c r="DM2077" i="18"/>
  <c r="CZ930" i="18"/>
  <c r="K945" i="18"/>
  <c r="DB913" i="18"/>
  <c r="DD781" i="18"/>
  <c r="DC781" i="18"/>
  <c r="DM605" i="18"/>
  <c r="DM435" i="18"/>
  <c r="DM919" i="18"/>
  <c r="DC888" i="18"/>
  <c r="DB435" i="18"/>
  <c r="DA767" i="18"/>
  <c r="K876" i="18"/>
  <c r="DA930" i="18"/>
  <c r="DM649" i="18"/>
  <c r="DM897" i="18"/>
  <c r="DA789" i="18"/>
  <c r="DM7" i="18"/>
  <c r="DM661" i="18"/>
  <c r="DC930" i="18"/>
  <c r="DC913" i="18"/>
  <c r="CZ799" i="18"/>
  <c r="DD761" i="18"/>
  <c r="DB767" i="18"/>
  <c r="DM746" i="18"/>
  <c r="DC733" i="18"/>
  <c r="DC968" i="18"/>
  <c r="DD897" i="18"/>
  <c r="DA968" i="18"/>
  <c r="DB897" i="18"/>
  <c r="DA799" i="18"/>
  <c r="DB816" i="18"/>
  <c r="DC767" i="18"/>
  <c r="CZ919" i="18"/>
  <c r="DM799" i="18"/>
  <c r="DB968" i="18"/>
  <c r="DM600" i="18"/>
  <c r="DB888" i="18"/>
  <c r="M913" i="18"/>
  <c r="DB930" i="18"/>
  <c r="DB746" i="18"/>
  <c r="DB954" i="18"/>
  <c r="CZ924" i="18"/>
  <c r="DM816" i="18"/>
  <c r="CZ906" i="18"/>
  <c r="CZ435" i="18"/>
  <c r="DA897" i="18"/>
  <c r="DC794" i="18"/>
  <c r="DM882" i="18"/>
  <c r="DD751" i="18"/>
  <c r="DA717" i="18"/>
  <c r="DC617" i="18"/>
  <c r="DD906" i="18"/>
  <c r="DM553" i="18"/>
  <c r="DA954" i="18"/>
  <c r="DC954" i="18"/>
  <c r="BA617" i="18" l="1"/>
  <c r="AY919" i="18"/>
  <c r="AY936" i="18"/>
  <c r="AY888" i="18"/>
  <c r="AY924" i="18"/>
  <c r="BC919" i="18"/>
  <c r="BC936" i="18"/>
  <c r="BC888" i="18"/>
  <c r="BC924" i="18"/>
  <c r="BA919" i="18"/>
  <c r="BA936" i="18"/>
  <c r="BA888" i="18"/>
  <c r="BA924" i="18"/>
  <c r="BC617" i="18"/>
  <c r="AY617" i="18"/>
  <c r="BK867" i="18"/>
  <c r="L182" i="21"/>
  <c r="CU375" i="18"/>
  <c r="E375" i="18" s="1"/>
  <c r="EV386" i="18"/>
  <c r="CU386" i="18"/>
  <c r="E386" i="18" s="1"/>
  <c r="U210" i="18"/>
  <c r="EV210" i="18" s="1"/>
  <c r="U374" i="18"/>
  <c r="EV374" i="18" s="1"/>
  <c r="U421" i="18"/>
  <c r="EV846" i="18"/>
  <c r="L945" i="18"/>
  <c r="M195" i="21" s="1"/>
  <c r="EV945" i="18"/>
  <c r="L833" i="18"/>
  <c r="M179" i="21" s="1"/>
  <c r="EV833" i="18"/>
  <c r="C268" i="18"/>
  <c r="EV267" i="18" s="1"/>
  <c r="CU268" i="18"/>
  <c r="E268" i="18" s="1"/>
  <c r="BL930" i="18"/>
  <c r="N194" i="21"/>
  <c r="BM712" i="18"/>
  <c r="E152" i="21"/>
  <c r="B712" i="18"/>
  <c r="C152" i="21" s="1"/>
  <c r="C712" i="18"/>
  <c r="D152" i="21" s="1"/>
  <c r="A712" i="18"/>
  <c r="B152" i="21" s="1"/>
  <c r="N193" i="21"/>
  <c r="BL913" i="18"/>
  <c r="C437" i="18"/>
  <c r="U436" i="18" s="1"/>
  <c r="EV436" i="18" s="1"/>
  <c r="U897" i="18"/>
  <c r="EV897" i="18" s="1"/>
  <c r="A122" i="18"/>
  <c r="A211" i="18"/>
  <c r="A268" i="18"/>
  <c r="B268" i="18"/>
  <c r="BK945" i="18"/>
  <c r="L195" i="21"/>
  <c r="A848" i="18"/>
  <c r="C500" i="18"/>
  <c r="U513" i="18" s="1"/>
  <c r="A898" i="18"/>
  <c r="B898" i="18"/>
  <c r="A901" i="18"/>
  <c r="B901" i="18"/>
  <c r="BM767" i="18"/>
  <c r="B767" i="18"/>
  <c r="C164" i="21" s="1"/>
  <c r="E164" i="21"/>
  <c r="C767" i="18"/>
  <c r="D164" i="21" s="1"/>
  <c r="A767" i="18"/>
  <c r="B164" i="21" s="1"/>
  <c r="B532" i="18"/>
  <c r="C109" i="21" s="1"/>
  <c r="BM532" i="18"/>
  <c r="C532" i="18"/>
  <c r="D109" i="21" s="1"/>
  <c r="A532" i="18"/>
  <c r="B109" i="21" s="1"/>
  <c r="E109" i="21"/>
  <c r="B437" i="18"/>
  <c r="U205" i="18"/>
  <c r="C639" i="18"/>
  <c r="B122" i="18"/>
  <c r="A500" i="18"/>
  <c r="B848" i="18"/>
  <c r="B540" i="18"/>
  <c r="C110" i="21" s="1"/>
  <c r="BM540" i="18"/>
  <c r="A540" i="18"/>
  <c r="B110" i="21" s="1"/>
  <c r="C540" i="18"/>
  <c r="D110" i="21" s="1"/>
  <c r="E110" i="21"/>
  <c r="B500" i="18"/>
  <c r="C776" i="18"/>
  <c r="BL761" i="18"/>
  <c r="N163" i="21"/>
  <c r="BL945" i="18"/>
  <c r="N195" i="21"/>
  <c r="N14" i="21"/>
  <c r="BL58" i="18"/>
  <c r="BL882" i="18"/>
  <c r="N190" i="21"/>
  <c r="L166" i="21"/>
  <c r="BK781" i="18"/>
  <c r="BM746" i="18"/>
  <c r="A746" i="18"/>
  <c r="B160" i="21" s="1"/>
  <c r="E160" i="21"/>
  <c r="B746" i="18"/>
  <c r="C160" i="21" s="1"/>
  <c r="C746" i="18"/>
  <c r="D160" i="21" s="1"/>
  <c r="C206" i="18"/>
  <c r="A206" i="18"/>
  <c r="N761" i="18"/>
  <c r="BM823" i="18"/>
  <c r="A823" i="18"/>
  <c r="B177" i="21" s="1"/>
  <c r="C823" i="18"/>
  <c r="D177" i="21" s="1"/>
  <c r="E177" i="21"/>
  <c r="B823" i="18"/>
  <c r="C177" i="21" s="1"/>
  <c r="BM799" i="18"/>
  <c r="A799" i="18"/>
  <c r="B170" i="21" s="1"/>
  <c r="C799" i="18"/>
  <c r="D170" i="21" s="1"/>
  <c r="B799" i="18"/>
  <c r="C170" i="21" s="1"/>
  <c r="E170" i="21"/>
  <c r="C862" i="18"/>
  <c r="D183" i="21" s="1"/>
  <c r="E183" i="21"/>
  <c r="B862" i="18"/>
  <c r="C183" i="21" s="1"/>
  <c r="BM862" i="18"/>
  <c r="A862" i="18"/>
  <c r="B183" i="21" s="1"/>
  <c r="BL897" i="18"/>
  <c r="N191" i="21"/>
  <c r="L179" i="21"/>
  <c r="BK833" i="18"/>
  <c r="C43" i="18"/>
  <c r="B592" i="18"/>
  <c r="C194" i="18"/>
  <c r="U193" i="18" s="1"/>
  <c r="E150" i="21"/>
  <c r="B700" i="18"/>
  <c r="C150" i="21" s="1"/>
  <c r="C700" i="18"/>
  <c r="D150" i="21" s="1"/>
  <c r="BM700" i="18"/>
  <c r="A700" i="18"/>
  <c r="B150" i="21" s="1"/>
  <c r="L165" i="21"/>
  <c r="BK772" i="18"/>
  <c r="L189" i="21"/>
  <c r="BK876" i="18"/>
  <c r="BL611" i="18"/>
  <c r="N129" i="21"/>
  <c r="C210" i="18"/>
  <c r="U209" i="18" s="1"/>
  <c r="EV209" i="18" s="1"/>
  <c r="CU273" i="18"/>
  <c r="E273" i="18" s="1"/>
  <c r="A273" i="18"/>
  <c r="CU608" i="18"/>
  <c r="E608" i="18" s="1"/>
  <c r="CU277" i="18"/>
  <c r="E277" i="18" s="1"/>
  <c r="B277" i="18"/>
  <c r="W589" i="18"/>
  <c r="N589" i="18" s="1"/>
  <c r="C592" i="18"/>
  <c r="B211" i="18"/>
  <c r="A194" i="18"/>
  <c r="W772" i="18"/>
  <c r="BM810" i="18"/>
  <c r="C810" i="18"/>
  <c r="E173" i="21"/>
  <c r="B810" i="18"/>
  <c r="C173" i="21" s="1"/>
  <c r="A810" i="18"/>
  <c r="B173" i="21" s="1"/>
  <c r="B776" i="18"/>
  <c r="L772" i="18"/>
  <c r="M165" i="21" s="1"/>
  <c r="B958" i="18"/>
  <c r="C852" i="18"/>
  <c r="E184" i="21"/>
  <c r="BM852" i="18"/>
  <c r="B852" i="18"/>
  <c r="C184" i="21" s="1"/>
  <c r="A852" i="18"/>
  <c r="B184" i="21" s="1"/>
  <c r="AF37" i="18"/>
  <c r="L499" i="18"/>
  <c r="M102" i="21" s="1"/>
  <c r="C391" i="18"/>
  <c r="D81" i="21" s="1"/>
  <c r="E81" i="21"/>
  <c r="BM391" i="18"/>
  <c r="B391" i="18"/>
  <c r="C81" i="21" s="1"/>
  <c r="A391" i="18"/>
  <c r="B81" i="21" s="1"/>
  <c r="A958" i="18"/>
  <c r="C958" i="18"/>
  <c r="L876" i="18"/>
  <c r="M189" i="21" s="1"/>
  <c r="A639" i="18"/>
  <c r="A43" i="18"/>
  <c r="U40" i="18"/>
  <c r="CU846" i="18"/>
  <c r="E846" i="18" s="1"/>
  <c r="W843" i="18"/>
  <c r="N611" i="18"/>
  <c r="C123" i="18"/>
  <c r="U130" i="18" s="1"/>
  <c r="A123" i="18"/>
  <c r="B123" i="18"/>
  <c r="BC838" i="18"/>
  <c r="BC761" i="18"/>
  <c r="BC717" i="18"/>
  <c r="BC733" i="18"/>
  <c r="AY761" i="18"/>
  <c r="AY838" i="18"/>
  <c r="AY717" i="18"/>
  <c r="AY733" i="18"/>
  <c r="BA838" i="18"/>
  <c r="BA733" i="18"/>
  <c r="BA717" i="18"/>
  <c r="BA761" i="18"/>
  <c r="BC431" i="18"/>
  <c r="BA431" i="18"/>
  <c r="BC435" i="18"/>
  <c r="BA435" i="18"/>
  <c r="BA973" i="18"/>
  <c r="BA968" i="18"/>
  <c r="BA961" i="18"/>
  <c r="BA945" i="18"/>
  <c r="BA954" i="18"/>
  <c r="BA930" i="18"/>
  <c r="BA913" i="18"/>
  <c r="BA906" i="18"/>
  <c r="BA897" i="18"/>
  <c r="BA882" i="18"/>
  <c r="BA876" i="18"/>
  <c r="BA804" i="18"/>
  <c r="BA799" i="18"/>
  <c r="BA810" i="18"/>
  <c r="BA816" i="18"/>
  <c r="BA794" i="18"/>
  <c r="BA772" i="18"/>
  <c r="BC784" i="18"/>
  <c r="AY781" i="18"/>
  <c r="AY784" i="18"/>
  <c r="BA781" i="18"/>
  <c r="BC973" i="18"/>
  <c r="BC968" i="18"/>
  <c r="BC954" i="18"/>
  <c r="BC945" i="18"/>
  <c r="BC961" i="18"/>
  <c r="BC930" i="18"/>
  <c r="BC913" i="18"/>
  <c r="BC906" i="18"/>
  <c r="BC897" i="18"/>
  <c r="BC882" i="18"/>
  <c r="BC876" i="18"/>
  <c r="BC816" i="18"/>
  <c r="BC804" i="18"/>
  <c r="BC799" i="18"/>
  <c r="BC810" i="18"/>
  <c r="BC794" i="18"/>
  <c r="BC772" i="18"/>
  <c r="AY973" i="18"/>
  <c r="AY968" i="18"/>
  <c r="AY945" i="18"/>
  <c r="AY961" i="18"/>
  <c r="AY954" i="18"/>
  <c r="AY930" i="18"/>
  <c r="AY913" i="18"/>
  <c r="AY906" i="18"/>
  <c r="AY897" i="18"/>
  <c r="AY882" i="18"/>
  <c r="AY876" i="18"/>
  <c r="AY816" i="18"/>
  <c r="AY810" i="18"/>
  <c r="AY804" i="18"/>
  <c r="AY799" i="18"/>
  <c r="AY794" i="18"/>
  <c r="AY772" i="18"/>
  <c r="BC789" i="18"/>
  <c r="BC767" i="18"/>
  <c r="BC756" i="18"/>
  <c r="BC751" i="18"/>
  <c r="BC746" i="18"/>
  <c r="AY789" i="18"/>
  <c r="AY767" i="18"/>
  <c r="AY756" i="18"/>
  <c r="AY751" i="18"/>
  <c r="AY746" i="18"/>
  <c r="BA789" i="18"/>
  <c r="BA767" i="18"/>
  <c r="BA756" i="18"/>
  <c r="BA751" i="18"/>
  <c r="BA746" i="18"/>
  <c r="S67" i="15"/>
  <c r="S74" i="15"/>
  <c r="S75" i="15"/>
  <c r="S86" i="15"/>
  <c r="S104" i="15"/>
  <c r="S187" i="15"/>
  <c r="S190" i="15"/>
  <c r="S191" i="15"/>
  <c r="S193" i="15"/>
  <c r="S195" i="15"/>
  <c r="S197" i="15"/>
  <c r="S198" i="15"/>
  <c r="S199" i="15"/>
  <c r="S137" i="15"/>
  <c r="S139" i="15"/>
  <c r="S140" i="15"/>
  <c r="S141" i="15"/>
  <c r="S142" i="15"/>
  <c r="S143" i="15"/>
  <c r="S18" i="15"/>
  <c r="S131" i="15"/>
  <c r="S60" i="15"/>
  <c r="S63" i="15"/>
  <c r="S71" i="15"/>
  <c r="S134" i="15"/>
  <c r="S83" i="15"/>
  <c r="S89" i="15"/>
  <c r="S90" i="15"/>
  <c r="S96" i="15"/>
  <c r="S97" i="15"/>
  <c r="S144" i="15"/>
  <c r="S153" i="15"/>
  <c r="S158" i="15"/>
  <c r="S159" i="15"/>
  <c r="S160" i="15"/>
  <c r="S161" i="15"/>
  <c r="S162" i="15"/>
  <c r="S186" i="15"/>
  <c r="S31" i="15"/>
  <c r="S56" i="15"/>
  <c r="S101" i="15"/>
  <c r="S109" i="15"/>
  <c r="S110" i="15"/>
  <c r="S111" i="15"/>
  <c r="S112" i="15"/>
  <c r="S113" i="15"/>
  <c r="S114" i="15"/>
  <c r="S115" i="15"/>
  <c r="S116" i="15"/>
  <c r="S117" i="15"/>
  <c r="S118" i="15"/>
  <c r="S119" i="15"/>
  <c r="S120" i="15"/>
  <c r="S121" i="15"/>
  <c r="S122" i="15"/>
  <c r="S123" i="15"/>
  <c r="S124" i="15"/>
  <c r="S125" i="15"/>
  <c r="S176" i="15"/>
  <c r="S155" i="15"/>
  <c r="S78" i="15"/>
  <c r="S80" i="15"/>
  <c r="S107" i="15"/>
  <c r="S27" i="15"/>
  <c r="S28" i="15"/>
  <c r="S30" i="15"/>
  <c r="S55" i="15"/>
  <c r="S58" i="15"/>
  <c r="S61" i="15"/>
  <c r="I105" i="15"/>
  <c r="S66" i="15"/>
  <c r="S103" i="15"/>
  <c r="S183" i="15"/>
  <c r="S32" i="15"/>
  <c r="P33" i="15"/>
  <c r="S33" i="15"/>
  <c r="S21" i="15"/>
  <c r="S23" i="15"/>
  <c r="S51" i="15"/>
  <c r="P3" i="15"/>
  <c r="S16" i="15"/>
  <c r="S36" i="15"/>
  <c r="S54" i="15"/>
  <c r="S57" i="15"/>
  <c r="S59" i="15"/>
  <c r="S62" i="15"/>
  <c r="S84" i="15"/>
  <c r="S87" i="15"/>
  <c r="S3" i="15"/>
  <c r="Q3" i="15"/>
  <c r="S38" i="15"/>
  <c r="S41" i="15"/>
  <c r="S44" i="15"/>
  <c r="S45" i="15"/>
  <c r="S46" i="15"/>
  <c r="S48" i="15"/>
  <c r="S49" i="15"/>
  <c r="S50" i="15"/>
  <c r="S52" i="15"/>
  <c r="S53" i="15"/>
  <c r="S156" i="15"/>
  <c r="S17" i="15"/>
  <c r="S47" i="15"/>
  <c r="S154" i="15"/>
  <c r="S163" i="15"/>
  <c r="S164" i="15"/>
  <c r="S165" i="15"/>
  <c r="S182" i="15"/>
  <c r="S20" i="15"/>
  <c r="S22" i="15"/>
  <c r="S24" i="15"/>
  <c r="P35" i="15"/>
  <c r="S35" i="15"/>
  <c r="S73" i="15"/>
  <c r="S79" i="15"/>
  <c r="S106" i="15"/>
  <c r="S108" i="15"/>
  <c r="S130" i="15"/>
  <c r="S157" i="15"/>
  <c r="S192" i="15"/>
  <c r="S194" i="15"/>
  <c r="S196" i="15"/>
  <c r="L36" i="15"/>
  <c r="M36" i="15" s="1"/>
  <c r="P42" i="15"/>
  <c r="P65" i="15"/>
  <c r="Q92" i="15"/>
  <c r="M190" i="15"/>
  <c r="N190" i="15" s="1"/>
  <c r="M96" i="15"/>
  <c r="N96" i="15" s="1"/>
  <c r="M166" i="15"/>
  <c r="N166" i="15" s="1"/>
  <c r="K167" i="15"/>
  <c r="Q24" i="15"/>
  <c r="P73" i="15"/>
  <c r="Q106" i="15"/>
  <c r="Q103" i="15"/>
  <c r="P16" i="15"/>
  <c r="Q21" i="15"/>
  <c r="P23" i="15"/>
  <c r="P27" i="15"/>
  <c r="P30" i="15"/>
  <c r="P37" i="15"/>
  <c r="Q84" i="15"/>
  <c r="P106" i="15"/>
  <c r="Q108" i="15"/>
  <c r="P18" i="15"/>
  <c r="P21" i="15"/>
  <c r="Q32" i="15"/>
  <c r="Q36" i="15"/>
  <c r="Q39" i="15"/>
  <c r="P40" i="15"/>
  <c r="Q42" i="15"/>
  <c r="P46" i="15"/>
  <c r="P47" i="15"/>
  <c r="P50" i="15"/>
  <c r="P54" i="15"/>
  <c r="Q58" i="15"/>
  <c r="P59" i="15"/>
  <c r="P61" i="15"/>
  <c r="Q65" i="15"/>
  <c r="Q69" i="15"/>
  <c r="P72" i="15"/>
  <c r="Q73" i="15"/>
  <c r="P77" i="15"/>
  <c r="Q80" i="15"/>
  <c r="Q81" i="15"/>
  <c r="P82" i="15"/>
  <c r="P85" i="15"/>
  <c r="P93" i="15"/>
  <c r="P95" i="15"/>
  <c r="P98" i="15"/>
  <c r="Q99" i="15"/>
  <c r="P105" i="15"/>
  <c r="P108" i="15"/>
  <c r="P138" i="15"/>
  <c r="M177" i="15"/>
  <c r="N177" i="15" s="1"/>
  <c r="P25" i="15"/>
  <c r="P22" i="15"/>
  <c r="P24" i="15"/>
  <c r="P26" i="15"/>
  <c r="P29" i="15"/>
  <c r="Q46" i="15"/>
  <c r="P66" i="15"/>
  <c r="P94" i="15"/>
  <c r="P17" i="15"/>
  <c r="Q18" i="15"/>
  <c r="P20" i="15"/>
  <c r="P39" i="15"/>
  <c r="Q40" i="15"/>
  <c r="P43" i="15"/>
  <c r="Q50" i="15"/>
  <c r="Q54" i="15"/>
  <c r="Q57" i="15"/>
  <c r="Q61" i="15"/>
  <c r="P68" i="15"/>
  <c r="P70" i="15"/>
  <c r="Q77" i="15"/>
  <c r="Q79" i="15"/>
  <c r="P81" i="15"/>
  <c r="Q82" i="15"/>
  <c r="P84" i="15"/>
  <c r="Q91" i="15"/>
  <c r="Q93" i="15"/>
  <c r="Q95" i="15"/>
  <c r="P100" i="15"/>
  <c r="P102" i="15"/>
  <c r="Q105" i="15"/>
  <c r="P107" i="15"/>
  <c r="M137" i="15"/>
  <c r="N137" i="15" s="1"/>
  <c r="M164" i="15"/>
  <c r="N164" i="15" s="1"/>
  <c r="M170" i="15"/>
  <c r="N170" i="15" s="1"/>
  <c r="P198" i="15"/>
  <c r="Q17" i="15"/>
  <c r="Q20" i="15"/>
  <c r="P28" i="15"/>
  <c r="P34" i="15"/>
  <c r="P51" i="15"/>
  <c r="P55" i="15"/>
  <c r="Q59" i="15"/>
  <c r="P62" i="15"/>
  <c r="Q68" i="15"/>
  <c r="Q70" i="15"/>
  <c r="P76" i="15"/>
  <c r="P78" i="15"/>
  <c r="Q85" i="15"/>
  <c r="P87" i="15"/>
  <c r="P88" i="15"/>
  <c r="Q100" i="15"/>
  <c r="Q102" i="15"/>
  <c r="Q107" i="15"/>
  <c r="M110" i="15"/>
  <c r="N110" i="15" s="1"/>
  <c r="Q198" i="15"/>
  <c r="Q16" i="15"/>
  <c r="Q22" i="15"/>
  <c r="Q23" i="15"/>
  <c r="Q25" i="15"/>
  <c r="Q26" i="15"/>
  <c r="Q27" i="15"/>
  <c r="Q28" i="15"/>
  <c r="Q29" i="15"/>
  <c r="Q30" i="15"/>
  <c r="P32" i="15"/>
  <c r="Q34" i="15"/>
  <c r="P36" i="15"/>
  <c r="Q37" i="15"/>
  <c r="Q43" i="15"/>
  <c r="Q47" i="15"/>
  <c r="Q51" i="15"/>
  <c r="Q55" i="15"/>
  <c r="P57" i="15"/>
  <c r="P58" i="15"/>
  <c r="Q62" i="15"/>
  <c r="Q66" i="15"/>
  <c r="P69" i="15"/>
  <c r="Q72" i="15"/>
  <c r="Q76" i="15"/>
  <c r="Q78" i="15"/>
  <c r="P79" i="15"/>
  <c r="P80" i="15"/>
  <c r="Q87" i="15"/>
  <c r="Q88" i="15"/>
  <c r="P91" i="15"/>
  <c r="P92" i="15"/>
  <c r="Q94" i="15"/>
  <c r="Q98" i="15"/>
  <c r="P99" i="15"/>
  <c r="P103" i="15"/>
  <c r="M111" i="15"/>
  <c r="N111" i="15" s="1"/>
  <c r="M115" i="15"/>
  <c r="N115" i="15" s="1"/>
  <c r="Q138" i="15"/>
  <c r="M67" i="15"/>
  <c r="N67" i="15" s="1"/>
  <c r="M84" i="15"/>
  <c r="N84" i="15" s="1"/>
  <c r="L119" i="15"/>
  <c r="M119" i="15" s="1"/>
  <c r="M143" i="15"/>
  <c r="N143" i="15" s="1"/>
  <c r="L53" i="15"/>
  <c r="M53" i="15" s="1"/>
  <c r="L123" i="15"/>
  <c r="M123" i="15" s="1"/>
  <c r="N123" i="15" s="1"/>
  <c r="M56" i="15"/>
  <c r="N56" i="15" s="1"/>
  <c r="M114" i="15"/>
  <c r="N114" i="15" s="1"/>
  <c r="M122" i="15"/>
  <c r="N122" i="15" s="1"/>
  <c r="M159" i="15"/>
  <c r="N159" i="15" s="1"/>
  <c r="L161" i="15"/>
  <c r="M161" i="15" s="1"/>
  <c r="N161" i="15" s="1"/>
  <c r="L163" i="15"/>
  <c r="M163" i="15" s="1"/>
  <c r="N163" i="15" s="1"/>
  <c r="M169" i="15"/>
  <c r="N169" i="15" s="1"/>
  <c r="M180" i="15"/>
  <c r="N180" i="15" s="1"/>
  <c r="J38" i="15"/>
  <c r="K38" i="15" s="1"/>
  <c r="I35" i="15"/>
  <c r="J35" i="15" s="1"/>
  <c r="J85" i="15"/>
  <c r="K85" i="15" s="1"/>
  <c r="J86" i="15"/>
  <c r="K86" i="15" s="1"/>
  <c r="I90" i="15"/>
  <c r="J90" i="15" s="1"/>
  <c r="J97" i="15"/>
  <c r="K97" i="15" s="1"/>
  <c r="I101" i="15"/>
  <c r="J101" i="15" s="1"/>
  <c r="M104" i="15"/>
  <c r="N104" i="15" s="1"/>
  <c r="L105" i="15"/>
  <c r="I111" i="15"/>
  <c r="J111" i="15" s="1"/>
  <c r="I112" i="15"/>
  <c r="I122" i="15"/>
  <c r="J122" i="15" s="1"/>
  <c r="J134" i="15"/>
  <c r="K134" i="15" s="1"/>
  <c r="I158" i="15"/>
  <c r="J158" i="15" s="1"/>
  <c r="L165" i="15"/>
  <c r="M165" i="15" s="1"/>
  <c r="I173" i="15"/>
  <c r="L38" i="15"/>
  <c r="I67" i="15"/>
  <c r="J67" i="15" s="1"/>
  <c r="M75" i="15"/>
  <c r="N75" i="15" s="1"/>
  <c r="J83" i="15"/>
  <c r="K83" i="15" s="1"/>
  <c r="L85" i="15"/>
  <c r="L86" i="15"/>
  <c r="M86" i="15" s="1"/>
  <c r="I87" i="15"/>
  <c r="J87" i="15" s="1"/>
  <c r="J89" i="15"/>
  <c r="K89" i="15" s="1"/>
  <c r="M97" i="15"/>
  <c r="N97" i="15" s="1"/>
  <c r="J102" i="15"/>
  <c r="K102" i="15" s="1"/>
  <c r="J108" i="15"/>
  <c r="K108" i="15" s="1"/>
  <c r="M109" i="15"/>
  <c r="N109" i="15" s="1"/>
  <c r="I118" i="15"/>
  <c r="J118" i="15" s="1"/>
  <c r="I123" i="15"/>
  <c r="J123" i="15" s="1"/>
  <c r="I124" i="15"/>
  <c r="J124" i="15" s="1"/>
  <c r="M125" i="15"/>
  <c r="N125" i="15" s="1"/>
  <c r="M140" i="15"/>
  <c r="N140" i="15" s="1"/>
  <c r="I175" i="15"/>
  <c r="J175" i="15" s="1"/>
  <c r="L16" i="15"/>
  <c r="L17" i="15"/>
  <c r="L18" i="15"/>
  <c r="I53" i="15"/>
  <c r="J53" i="15" s="1"/>
  <c r="I56" i="15"/>
  <c r="J71" i="15"/>
  <c r="K71" i="15" s="1"/>
  <c r="J74" i="15"/>
  <c r="K74" i="15" s="1"/>
  <c r="L83" i="15"/>
  <c r="M83" i="15" s="1"/>
  <c r="I84" i="15"/>
  <c r="I93" i="15"/>
  <c r="I96" i="15"/>
  <c r="J96" i="15" s="1"/>
  <c r="M102" i="15"/>
  <c r="N102" i="15" s="1"/>
  <c r="M108" i="15"/>
  <c r="N108" i="15" s="1"/>
  <c r="I114" i="15"/>
  <c r="I119" i="15"/>
  <c r="J119" i="15" s="1"/>
  <c r="I120" i="15"/>
  <c r="J120" i="15" s="1"/>
  <c r="M121" i="15"/>
  <c r="N121" i="15" s="1"/>
  <c r="J131" i="15"/>
  <c r="K131" i="15" s="1"/>
  <c r="I143" i="15"/>
  <c r="I144" i="15"/>
  <c r="J144" i="15" s="1"/>
  <c r="M157" i="15"/>
  <c r="N157" i="15" s="1"/>
  <c r="L33" i="15"/>
  <c r="M33" i="15" s="1"/>
  <c r="M35" i="15"/>
  <c r="N35" i="15" s="1"/>
  <c r="L71" i="15"/>
  <c r="M71" i="15" s="1"/>
  <c r="L74" i="15"/>
  <c r="M74" i="15" s="1"/>
  <c r="I75" i="15"/>
  <c r="M87" i="15"/>
  <c r="N87" i="15" s="1"/>
  <c r="L88" i="15"/>
  <c r="M88" i="15" s="1"/>
  <c r="M93" i="15"/>
  <c r="N93" i="15" s="1"/>
  <c r="I104" i="15"/>
  <c r="J104" i="15" s="1"/>
  <c r="I110" i="15"/>
  <c r="L113" i="15"/>
  <c r="M113" i="15" s="1"/>
  <c r="I115" i="15"/>
  <c r="I116" i="15"/>
  <c r="J116" i="15" s="1"/>
  <c r="M117" i="15"/>
  <c r="N117" i="15" s="1"/>
  <c r="M131" i="15"/>
  <c r="N131" i="15" s="1"/>
  <c r="M139" i="15"/>
  <c r="N139" i="15" s="1"/>
  <c r="I141" i="15"/>
  <c r="J141" i="15" s="1"/>
  <c r="M155" i="15"/>
  <c r="N155" i="15" s="1"/>
  <c r="I185" i="15"/>
  <c r="I186" i="15"/>
  <c r="J186" i="15" s="1"/>
  <c r="J88" i="15"/>
  <c r="K88" i="15" s="1"/>
  <c r="J109" i="15"/>
  <c r="K109" i="15" s="1"/>
  <c r="M116" i="15"/>
  <c r="N116" i="15" s="1"/>
  <c r="J117" i="15"/>
  <c r="K117" i="15" s="1"/>
  <c r="M124" i="15"/>
  <c r="N124" i="15" s="1"/>
  <c r="J125" i="15"/>
  <c r="K125" i="15" s="1"/>
  <c r="M141" i="15"/>
  <c r="N141" i="15" s="1"/>
  <c r="I159" i="15"/>
  <c r="I160" i="15"/>
  <c r="J160" i="15" s="1"/>
  <c r="I178" i="15"/>
  <c r="J178" i="15" s="1"/>
  <c r="M89" i="15"/>
  <c r="N89" i="15" s="1"/>
  <c r="M90" i="15"/>
  <c r="N90" i="15" s="1"/>
  <c r="M101" i="15"/>
  <c r="N101" i="15" s="1"/>
  <c r="M112" i="15"/>
  <c r="N112" i="15" s="1"/>
  <c r="J113" i="15"/>
  <c r="K113" i="15" s="1"/>
  <c r="M120" i="15"/>
  <c r="N120" i="15" s="1"/>
  <c r="J121" i="15"/>
  <c r="K121" i="15" s="1"/>
  <c r="L134" i="15"/>
  <c r="M134" i="15" s="1"/>
  <c r="I137" i="15"/>
  <c r="I142" i="15"/>
  <c r="J142" i="15" s="1"/>
  <c r="M154" i="15"/>
  <c r="N154" i="15" s="1"/>
  <c r="M156" i="15"/>
  <c r="N156" i="15" s="1"/>
  <c r="M162" i="15"/>
  <c r="N162" i="15" s="1"/>
  <c r="J165" i="15"/>
  <c r="K165" i="15" s="1"/>
  <c r="M142" i="15"/>
  <c r="N142" i="15" s="1"/>
  <c r="I153" i="15"/>
  <c r="M158" i="15"/>
  <c r="N158" i="15" s="1"/>
  <c r="I161" i="15"/>
  <c r="I162" i="15"/>
  <c r="J162" i="15" s="1"/>
  <c r="I171" i="15"/>
  <c r="J174" i="15"/>
  <c r="K174" i="15" s="1"/>
  <c r="I139" i="15"/>
  <c r="I140" i="15"/>
  <c r="J140" i="15" s="1"/>
  <c r="M144" i="15"/>
  <c r="N144" i="15" s="1"/>
  <c r="N153" i="15"/>
  <c r="M160" i="15"/>
  <c r="N160" i="15" s="1"/>
  <c r="I163" i="15"/>
  <c r="J163" i="15" s="1"/>
  <c r="I164" i="15"/>
  <c r="I168" i="15"/>
  <c r="J168" i="15" s="1"/>
  <c r="I197" i="15"/>
  <c r="J197" i="15" s="1"/>
  <c r="M197" i="15"/>
  <c r="N197" i="15" s="1"/>
  <c r="M199" i="15"/>
  <c r="N199" i="15" s="1"/>
  <c r="I182" i="15"/>
  <c r="J182" i="15" s="1"/>
  <c r="M187" i="15"/>
  <c r="N187" i="15" s="1"/>
  <c r="I190" i="15"/>
  <c r="J190" i="15" s="1"/>
  <c r="J172" i="15"/>
  <c r="K172" i="15" s="1"/>
  <c r="J176" i="15"/>
  <c r="K176" i="15" s="1"/>
  <c r="M179" i="15"/>
  <c r="N179" i="15" s="1"/>
  <c r="J183" i="15"/>
  <c r="K183" i="15" s="1"/>
  <c r="J189" i="15"/>
  <c r="K189" i="15" s="1"/>
  <c r="J199" i="15"/>
  <c r="K199" i="15" s="1"/>
  <c r="DO435" i="18"/>
  <c r="DO919" i="18"/>
  <c r="DN838" i="18"/>
  <c r="DN2048" i="18"/>
  <c r="DN2039" i="18"/>
  <c r="DN2010" i="18"/>
  <c r="DN2020" i="18"/>
  <c r="DN2029" i="18"/>
  <c r="DN2061" i="18"/>
  <c r="DN2077" i="18"/>
  <c r="M843" i="18"/>
  <c r="DN981" i="18"/>
  <c r="DN761" i="18"/>
  <c r="DO733" i="18"/>
  <c r="DN733" i="18"/>
  <c r="K205" i="18"/>
  <c r="M589" i="18"/>
  <c r="DO431" i="18"/>
  <c r="DN936" i="18"/>
  <c r="DO936" i="18"/>
  <c r="DN435" i="18"/>
  <c r="DO2061" i="18"/>
  <c r="DO2039" i="18"/>
  <c r="DO2020" i="18"/>
  <c r="DO2010" i="18"/>
  <c r="DO2029" i="18"/>
  <c r="DO2048" i="18"/>
  <c r="DO2077" i="18"/>
  <c r="DN924" i="18"/>
  <c r="M772" i="18"/>
  <c r="DO981" i="18"/>
  <c r="DN717" i="18"/>
  <c r="DN617" i="18"/>
  <c r="K897" i="18"/>
  <c r="DN431" i="18"/>
  <c r="DO888" i="18"/>
  <c r="DO761" i="18"/>
  <c r="DO838" i="18"/>
  <c r="DO924" i="18"/>
  <c r="DO617" i="18"/>
  <c r="K40" i="18"/>
  <c r="DN888" i="18"/>
  <c r="DN919" i="18"/>
  <c r="DO717" i="18"/>
  <c r="BB981" i="18" l="1"/>
  <c r="BB2077" i="18"/>
  <c r="BB2048" i="18"/>
  <c r="BB2029" i="18"/>
  <c r="BB2010" i="18"/>
  <c r="BB2020" i="18"/>
  <c r="BB2039" i="18"/>
  <c r="BB2061" i="18"/>
  <c r="AZ981" i="18"/>
  <c r="AZ2077" i="18"/>
  <c r="AZ2061" i="18"/>
  <c r="AZ2029" i="18"/>
  <c r="AZ2020" i="18"/>
  <c r="AZ2010" i="18"/>
  <c r="AZ2039" i="18"/>
  <c r="AZ2048" i="18"/>
  <c r="BB919" i="18"/>
  <c r="BB888" i="18"/>
  <c r="BB936" i="18"/>
  <c r="BB924" i="18"/>
  <c r="AZ617" i="18"/>
  <c r="BB617" i="18"/>
  <c r="AZ919" i="18"/>
  <c r="AZ888" i="18"/>
  <c r="AZ936" i="18"/>
  <c r="AZ924" i="18"/>
  <c r="U870" i="18"/>
  <c r="EV870" i="18" s="1"/>
  <c r="CU210" i="18"/>
  <c r="E210" i="18" s="1"/>
  <c r="EV421" i="18"/>
  <c r="CU421" i="18"/>
  <c r="E421" i="18" s="1"/>
  <c r="D173" i="21"/>
  <c r="EV847" i="18"/>
  <c r="CU847" i="18"/>
  <c r="E847" i="18" s="1"/>
  <c r="EV130" i="18"/>
  <c r="L40" i="18"/>
  <c r="M13" i="21" s="1"/>
  <c r="EV40" i="18"/>
  <c r="L205" i="18"/>
  <c r="M40" i="21" s="1"/>
  <c r="EV205" i="18"/>
  <c r="B513" i="18"/>
  <c r="EV513" i="18"/>
  <c r="CU193" i="18"/>
  <c r="E193" i="18" s="1"/>
  <c r="EV193" i="18"/>
  <c r="U441" i="18"/>
  <c r="EV441" i="18" s="1"/>
  <c r="BK897" i="18"/>
  <c r="L191" i="21"/>
  <c r="L897" i="18"/>
  <c r="M191" i="21" s="1"/>
  <c r="U121" i="18"/>
  <c r="EV121" i="18" s="1"/>
  <c r="CU513" i="18"/>
  <c r="E513" i="18" s="1"/>
  <c r="C945" i="18"/>
  <c r="D195" i="21" s="1"/>
  <c r="A945" i="18"/>
  <c r="B195" i="21" s="1"/>
  <c r="BM945" i="18"/>
  <c r="E195" i="21"/>
  <c r="B945" i="18"/>
  <c r="C195" i="21" s="1"/>
  <c r="A210" i="18"/>
  <c r="BK205" i="18"/>
  <c r="L40" i="21"/>
  <c r="B897" i="18"/>
  <c r="BM897" i="18"/>
  <c r="A897" i="18"/>
  <c r="B191" i="21" s="1"/>
  <c r="C897" i="18"/>
  <c r="E191" i="21"/>
  <c r="U272" i="18"/>
  <c r="EV272" i="18" s="1"/>
  <c r="B273" i="18"/>
  <c r="W272" i="18"/>
  <c r="C277" i="18"/>
  <c r="A277" i="18"/>
  <c r="C273" i="18"/>
  <c r="A846" i="18"/>
  <c r="E166" i="21"/>
  <c r="BM781" i="18"/>
  <c r="A781" i="18"/>
  <c r="B166" i="21" s="1"/>
  <c r="B781" i="18"/>
  <c r="C166" i="21" s="1"/>
  <c r="C781" i="18"/>
  <c r="D166" i="21" s="1"/>
  <c r="B210" i="18"/>
  <c r="BM833" i="18"/>
  <c r="A833" i="18"/>
  <c r="B179" i="21" s="1"/>
  <c r="E179" i="21"/>
  <c r="C833" i="18"/>
  <c r="D179" i="21" s="1"/>
  <c r="B833" i="18"/>
  <c r="C179" i="21" s="1"/>
  <c r="N165" i="21"/>
  <c r="BL772" i="18"/>
  <c r="L13" i="21"/>
  <c r="BK40" i="18"/>
  <c r="BL589" i="18"/>
  <c r="N125" i="21"/>
  <c r="BM876" i="18"/>
  <c r="C876" i="18"/>
  <c r="D189" i="21" s="1"/>
  <c r="E189" i="21"/>
  <c r="B876" i="18"/>
  <c r="C189" i="21" s="1"/>
  <c r="A876" i="18"/>
  <c r="B189" i="21" s="1"/>
  <c r="D184" i="21"/>
  <c r="C513" i="18"/>
  <c r="C846" i="18"/>
  <c r="BM772" i="18"/>
  <c r="C772" i="18"/>
  <c r="E165" i="21"/>
  <c r="B772" i="18"/>
  <c r="C165" i="21" s="1"/>
  <c r="A772" i="18"/>
  <c r="B165" i="21" s="1"/>
  <c r="CU209" i="18"/>
  <c r="E209" i="18" s="1"/>
  <c r="C209" i="18"/>
  <c r="N772" i="18"/>
  <c r="CU436" i="18"/>
  <c r="E436" i="18" s="1"/>
  <c r="U435" i="18"/>
  <c r="EV435" i="18" s="1"/>
  <c r="A513" i="18"/>
  <c r="B846" i="18"/>
  <c r="A608" i="18"/>
  <c r="B608" i="18"/>
  <c r="C608" i="18"/>
  <c r="W605" i="18"/>
  <c r="C441" i="18"/>
  <c r="BM499" i="18"/>
  <c r="C499" i="18"/>
  <c r="D102" i="21" s="1"/>
  <c r="E102" i="21"/>
  <c r="B499" i="18"/>
  <c r="C102" i="21" s="1"/>
  <c r="A499" i="18"/>
  <c r="B102" i="21" s="1"/>
  <c r="N181" i="21"/>
  <c r="BL843" i="18"/>
  <c r="A209" i="18"/>
  <c r="N843" i="18"/>
  <c r="BB761" i="18"/>
  <c r="BB838" i="18"/>
  <c r="BB717" i="18"/>
  <c r="BB733" i="18"/>
  <c r="AZ733" i="18"/>
  <c r="AZ717" i="18"/>
  <c r="AZ838" i="18"/>
  <c r="AZ761" i="18"/>
  <c r="BB435" i="18"/>
  <c r="AZ431" i="18"/>
  <c r="BB431" i="18"/>
  <c r="AZ435" i="18"/>
  <c r="CU225" i="18"/>
  <c r="E225" i="18" s="1"/>
  <c r="J105" i="15"/>
  <c r="M105" i="15"/>
  <c r="N105" i="15" s="1"/>
  <c r="CU86" i="18"/>
  <c r="E86" i="18" s="1"/>
  <c r="CU219" i="18"/>
  <c r="E219" i="18" s="1"/>
  <c r="CU154" i="18"/>
  <c r="E154" i="18" s="1"/>
  <c r="CU146" i="18"/>
  <c r="E146" i="18" s="1"/>
  <c r="CU144" i="18"/>
  <c r="E144" i="18" s="1"/>
  <c r="CU97" i="18"/>
  <c r="E97" i="18" s="1"/>
  <c r="CU100" i="18"/>
  <c r="E100" i="18" s="1"/>
  <c r="CU72" i="18"/>
  <c r="E72" i="18" s="1"/>
  <c r="CU76" i="18"/>
  <c r="E76" i="18" s="1"/>
  <c r="CU65" i="18"/>
  <c r="E65" i="18" s="1"/>
  <c r="CU70" i="18"/>
  <c r="E70" i="18" s="1"/>
  <c r="N36" i="15"/>
  <c r="M18" i="15"/>
  <c r="N18" i="15" s="1"/>
  <c r="M17" i="15"/>
  <c r="N17" i="15" s="1"/>
  <c r="N53" i="15"/>
  <c r="L194" i="15"/>
  <c r="M194" i="15" s="1"/>
  <c r="L196" i="15"/>
  <c r="I191" i="15"/>
  <c r="I196" i="15"/>
  <c r="J196" i="15" s="1"/>
  <c r="I195" i="15"/>
  <c r="J195" i="15" s="1"/>
  <c r="I198" i="15"/>
  <c r="I192" i="15"/>
  <c r="J192" i="15" s="1"/>
  <c r="I193" i="15"/>
  <c r="J193" i="15" s="1"/>
  <c r="L195" i="15"/>
  <c r="M195" i="15" s="1"/>
  <c r="L192" i="15"/>
  <c r="M192" i="15" s="1"/>
  <c r="L191" i="15"/>
  <c r="I194" i="15"/>
  <c r="J194" i="15" s="1"/>
  <c r="L198" i="15"/>
  <c r="M198" i="15" s="1"/>
  <c r="L193" i="15"/>
  <c r="M193" i="15" s="1"/>
  <c r="N119" i="15"/>
  <c r="J173" i="15"/>
  <c r="K173" i="15" s="1"/>
  <c r="K182" i="15"/>
  <c r="J164" i="15"/>
  <c r="K164" i="15" s="1"/>
  <c r="K140" i="15"/>
  <c r="K162" i="15"/>
  <c r="J153" i="15"/>
  <c r="K153" i="15" s="1"/>
  <c r="J137" i="15"/>
  <c r="K137" i="15" s="1"/>
  <c r="K160" i="15"/>
  <c r="J185" i="15"/>
  <c r="K185" i="15" s="1"/>
  <c r="K141" i="15"/>
  <c r="K116" i="15"/>
  <c r="K104" i="15"/>
  <c r="N88" i="15"/>
  <c r="J75" i="15"/>
  <c r="K75" i="15" s="1"/>
  <c r="N33" i="15"/>
  <c r="J143" i="15"/>
  <c r="K143" i="15" s="1"/>
  <c r="K96" i="15"/>
  <c r="N83" i="15"/>
  <c r="K53" i="15"/>
  <c r="K123" i="15"/>
  <c r="M85" i="15"/>
  <c r="N85" i="15" s="1"/>
  <c r="K67" i="15"/>
  <c r="J112" i="15"/>
  <c r="K112" i="15" s="1"/>
  <c r="K101" i="15"/>
  <c r="K90" i="15"/>
  <c r="M16" i="15"/>
  <c r="K190" i="15"/>
  <c r="K124" i="15"/>
  <c r="K158" i="15"/>
  <c r="J139" i="15"/>
  <c r="K139" i="15" s="1"/>
  <c r="J171" i="15"/>
  <c r="K171" i="15" s="1"/>
  <c r="J161" i="15"/>
  <c r="K161" i="15" s="1"/>
  <c r="J159" i="15"/>
  <c r="K159" i="15" s="1"/>
  <c r="J115" i="15"/>
  <c r="K115" i="15" s="1"/>
  <c r="J110" i="15"/>
  <c r="K110" i="15" s="1"/>
  <c r="N71" i="15"/>
  <c r="K119" i="15"/>
  <c r="J114" i="15"/>
  <c r="K114" i="15" s="1"/>
  <c r="J93" i="15"/>
  <c r="K93" i="15" s="1"/>
  <c r="J84" i="15"/>
  <c r="K84" i="15" s="1"/>
  <c r="J56" i="15"/>
  <c r="K56" i="15" s="1"/>
  <c r="K118" i="15"/>
  <c r="K87" i="15"/>
  <c r="K122" i="15"/>
  <c r="K35" i="15"/>
  <c r="M38" i="15"/>
  <c r="N38" i="15" s="1"/>
  <c r="K197" i="15"/>
  <c r="K168" i="15"/>
  <c r="K163" i="15"/>
  <c r="K142" i="15"/>
  <c r="N134" i="15"/>
  <c r="K178" i="15"/>
  <c r="K186" i="15"/>
  <c r="N113" i="15"/>
  <c r="N74" i="15"/>
  <c r="K144" i="15"/>
  <c r="K120" i="15"/>
  <c r="K175" i="15"/>
  <c r="N86" i="15"/>
  <c r="N165" i="15"/>
  <c r="K111" i="15"/>
  <c r="M272" i="18"/>
  <c r="K272" i="18"/>
  <c r="M605" i="18"/>
  <c r="K435" i="18"/>
  <c r="D165" i="21" l="1"/>
  <c r="U782" i="18"/>
  <c r="C191" i="21"/>
  <c r="C48" i="27"/>
  <c r="CU441" i="18"/>
  <c r="E441" i="18" s="1"/>
  <c r="CU130" i="18"/>
  <c r="E130" i="18" s="1"/>
  <c r="CU121" i="18"/>
  <c r="E121" i="18" s="1"/>
  <c r="B436" i="18"/>
  <c r="BL272" i="18"/>
  <c r="N55" i="21"/>
  <c r="L55" i="21"/>
  <c r="BK272" i="18"/>
  <c r="A441" i="18"/>
  <c r="D191" i="21"/>
  <c r="EV909" i="18"/>
  <c r="C205" i="18"/>
  <c r="D40" i="21" s="1"/>
  <c r="B205" i="18"/>
  <c r="C40" i="21" s="1"/>
  <c r="E40" i="21"/>
  <c r="BM205" i="18"/>
  <c r="A205" i="18"/>
  <c r="B40" i="21" s="1"/>
  <c r="N272" i="18"/>
  <c r="C436" i="18"/>
  <c r="L272" i="18"/>
  <c r="M55" i="21" s="1"/>
  <c r="W435" i="18"/>
  <c r="N435" i="18" s="1"/>
  <c r="B441" i="18"/>
  <c r="A436" i="18"/>
  <c r="B209" i="18"/>
  <c r="W205" i="18"/>
  <c r="N205" i="18" s="1"/>
  <c r="C193" i="18"/>
  <c r="B193" i="18"/>
  <c r="A193" i="18"/>
  <c r="BL605" i="18"/>
  <c r="N128" i="21"/>
  <c r="BM40" i="18"/>
  <c r="E13" i="21"/>
  <c r="C40" i="18"/>
  <c r="B40" i="18"/>
  <c r="C13" i="21" s="1"/>
  <c r="A40" i="18"/>
  <c r="B13" i="21" s="1"/>
  <c r="N605" i="18"/>
  <c r="CU870" i="18"/>
  <c r="E870" i="18" s="1"/>
  <c r="BM435" i="18"/>
  <c r="E89" i="21"/>
  <c r="C435" i="18"/>
  <c r="D89" i="21" s="1"/>
  <c r="B435" i="18"/>
  <c r="C89" i="21" s="1"/>
  <c r="A435" i="18"/>
  <c r="B89" i="21" s="1"/>
  <c r="BK435" i="18"/>
  <c r="L89" i="21"/>
  <c r="C121" i="18"/>
  <c r="U120" i="18"/>
  <c r="EV120" i="18" s="1"/>
  <c r="B121" i="18"/>
  <c r="A121" i="18"/>
  <c r="U69" i="18"/>
  <c r="EV69" i="18" s="1"/>
  <c r="C70" i="18"/>
  <c r="B70" i="18"/>
  <c r="A70" i="18"/>
  <c r="W69" i="18"/>
  <c r="C72" i="18"/>
  <c r="B72" i="18"/>
  <c r="A72" i="18"/>
  <c r="C126" i="18"/>
  <c r="U141" i="18" s="1"/>
  <c r="EV141" i="18" s="1"/>
  <c r="W120" i="18"/>
  <c r="B126" i="18"/>
  <c r="A126" i="18"/>
  <c r="U143" i="18"/>
  <c r="EV143" i="18" s="1"/>
  <c r="C144" i="18"/>
  <c r="B144" i="18"/>
  <c r="A144" i="18"/>
  <c r="U85" i="18"/>
  <c r="EV85" i="18" s="1"/>
  <c r="C86" i="18"/>
  <c r="EV88" i="18" s="1"/>
  <c r="B86" i="18"/>
  <c r="A86" i="18"/>
  <c r="U75" i="18"/>
  <c r="EV75" i="18" s="1"/>
  <c r="C76" i="18"/>
  <c r="B76" i="18"/>
  <c r="A76" i="18"/>
  <c r="W216" i="18"/>
  <c r="N216" i="18" s="1"/>
  <c r="C219" i="18"/>
  <c r="B219" i="18"/>
  <c r="A219" i="18"/>
  <c r="C65" i="18"/>
  <c r="U64" i="18"/>
  <c r="EV64" i="18" s="1"/>
  <c r="B65" i="18"/>
  <c r="A65" i="18"/>
  <c r="W96" i="18"/>
  <c r="C100" i="18"/>
  <c r="B100" i="18"/>
  <c r="A100" i="18"/>
  <c r="C130" i="18"/>
  <c r="U129" i="18"/>
  <c r="EV129" i="18" s="1"/>
  <c r="B130" i="18"/>
  <c r="A130" i="18"/>
  <c r="C225" i="18"/>
  <c r="W222" i="18"/>
  <c r="B225" i="18"/>
  <c r="A225" i="18"/>
  <c r="L435" i="18"/>
  <c r="M89" i="21" s="1"/>
  <c r="U96" i="18"/>
  <c r="EV96" i="18" s="1"/>
  <c r="C97" i="18"/>
  <c r="B97" i="18"/>
  <c r="A97" i="18"/>
  <c r="U153" i="18"/>
  <c r="EV153" i="18" s="1"/>
  <c r="C154" i="18"/>
  <c r="U162" i="18" s="1"/>
  <c r="EV162" i="18" s="1"/>
  <c r="B154" i="18"/>
  <c r="A154" i="18"/>
  <c r="U216" i="18"/>
  <c r="EV216" i="18" s="1"/>
  <c r="C217" i="18"/>
  <c r="EV223" i="18" s="1"/>
  <c r="B217" i="18"/>
  <c r="A217" i="18"/>
  <c r="K105" i="15"/>
  <c r="N16" i="15"/>
  <c r="J191" i="15"/>
  <c r="K191" i="15" s="1"/>
  <c r="N192" i="15"/>
  <c r="K195" i="15"/>
  <c r="K196" i="15"/>
  <c r="K193" i="15"/>
  <c r="K194" i="15"/>
  <c r="N195" i="15"/>
  <c r="K192" i="15"/>
  <c r="J198" i="15"/>
  <c r="K198" i="15" s="1"/>
  <c r="N198" i="15"/>
  <c r="N194" i="15"/>
  <c r="M191" i="15"/>
  <c r="N191" i="15" s="1"/>
  <c r="N193" i="15"/>
  <c r="M196" i="15"/>
  <c r="N196" i="15" s="1"/>
  <c r="K96" i="18"/>
  <c r="K120" i="18"/>
  <c r="K69" i="18"/>
  <c r="K75" i="18"/>
  <c r="M205" i="18"/>
  <c r="K64" i="18"/>
  <c r="M96" i="18"/>
  <c r="K143" i="18"/>
  <c r="K85" i="18"/>
  <c r="K129" i="18"/>
  <c r="M120" i="18"/>
  <c r="M222" i="18"/>
  <c r="M69" i="18"/>
  <c r="EV782" i="18" l="1"/>
  <c r="CU782" i="18"/>
  <c r="E782" i="18" s="1"/>
  <c r="AL2068" i="18"/>
  <c r="AH2050" i="18"/>
  <c r="AE2050" i="18"/>
  <c r="AI2068" i="18"/>
  <c r="AT363" i="18"/>
  <c r="AJ363" i="18"/>
  <c r="U495" i="18"/>
  <c r="U446" i="18"/>
  <c r="EV446" i="18" s="1"/>
  <c r="EV258" i="18"/>
  <c r="U262" i="18"/>
  <c r="U78" i="18"/>
  <c r="EV78" i="18" s="1"/>
  <c r="CU957" i="18"/>
  <c r="E957" i="18" s="1"/>
  <c r="EV957" i="18"/>
  <c r="B272" i="18"/>
  <c r="C55" i="21" s="1"/>
  <c r="E55" i="21"/>
  <c r="A272" i="18"/>
  <c r="B55" i="21" s="1"/>
  <c r="BM272" i="18"/>
  <c r="C272" i="18"/>
  <c r="D55" i="21" s="1"/>
  <c r="CU909" i="18"/>
  <c r="E909" i="18" s="1"/>
  <c r="N40" i="21"/>
  <c r="BL205" i="18"/>
  <c r="L216" i="18"/>
  <c r="M43" i="21" s="1"/>
  <c r="CU141" i="18"/>
  <c r="E141" i="18" s="1"/>
  <c r="C141" i="18"/>
  <c r="BM69" i="18"/>
  <c r="E17" i="21"/>
  <c r="C69" i="18"/>
  <c r="B69" i="18"/>
  <c r="C17" i="21" s="1"/>
  <c r="A69" i="18"/>
  <c r="B17" i="21" s="1"/>
  <c r="C870" i="18"/>
  <c r="U855" i="18" s="1"/>
  <c r="W867" i="18"/>
  <c r="B870" i="18"/>
  <c r="A870" i="18"/>
  <c r="D13" i="21"/>
  <c r="U46" i="18"/>
  <c r="EV46" i="18" s="1"/>
  <c r="CU223" i="18"/>
  <c r="E223" i="18" s="1"/>
  <c r="C223" i="18"/>
  <c r="BM153" i="18"/>
  <c r="E31" i="21"/>
  <c r="C153" i="18"/>
  <c r="D31" i="21" s="1"/>
  <c r="B153" i="18"/>
  <c r="C31" i="21" s="1"/>
  <c r="A153" i="18"/>
  <c r="B31" i="21" s="1"/>
  <c r="C96" i="18"/>
  <c r="U110" i="18" s="1"/>
  <c r="BM96" i="18"/>
  <c r="E22" i="21"/>
  <c r="B96" i="18"/>
  <c r="C22" i="21" s="1"/>
  <c r="A96" i="18"/>
  <c r="B22" i="21" s="1"/>
  <c r="BM85" i="18"/>
  <c r="E20" i="21"/>
  <c r="C85" i="18"/>
  <c r="D20" i="21" s="1"/>
  <c r="B85" i="18"/>
  <c r="C20" i="21" s="1"/>
  <c r="A85" i="18"/>
  <c r="B20" i="21" s="1"/>
  <c r="BM143" i="18"/>
  <c r="E29" i="21"/>
  <c r="C143" i="18"/>
  <c r="D29" i="21" s="1"/>
  <c r="B143" i="18"/>
  <c r="C29" i="21" s="1"/>
  <c r="A143" i="18"/>
  <c r="B29" i="21" s="1"/>
  <c r="CU162" i="18"/>
  <c r="E162" i="18" s="1"/>
  <c r="B162" i="18"/>
  <c r="CU88" i="18"/>
  <c r="E88" i="18" s="1"/>
  <c r="A88" i="18"/>
  <c r="BM120" i="18"/>
  <c r="C120" i="18"/>
  <c r="AG2050" i="18" s="1"/>
  <c r="E26" i="21"/>
  <c r="B120" i="18"/>
  <c r="C26" i="21" s="1"/>
  <c r="A120" i="18"/>
  <c r="B26" i="21" s="1"/>
  <c r="C129" i="18"/>
  <c r="BM129" i="18"/>
  <c r="E27" i="21"/>
  <c r="B129" i="18"/>
  <c r="C27" i="21" s="1"/>
  <c r="A129" i="18"/>
  <c r="B27" i="21" s="1"/>
  <c r="B78" i="18"/>
  <c r="BM64" i="18"/>
  <c r="E16" i="21"/>
  <c r="C64" i="18"/>
  <c r="B64" i="18"/>
  <c r="C16" i="21" s="1"/>
  <c r="A64" i="18"/>
  <c r="B16" i="21" s="1"/>
  <c r="BM75" i="18"/>
  <c r="E18" i="21"/>
  <c r="C75" i="18"/>
  <c r="AN2068" i="18" s="1"/>
  <c r="B75" i="18"/>
  <c r="C18" i="21" s="1"/>
  <c r="A75" i="18"/>
  <c r="B18" i="21" s="1"/>
  <c r="BL69" i="18"/>
  <c r="N17" i="21"/>
  <c r="BK69" i="18"/>
  <c r="L17" i="21"/>
  <c r="BL222" i="18"/>
  <c r="N44" i="21"/>
  <c r="BK129" i="18"/>
  <c r="L27" i="21"/>
  <c r="L18" i="21"/>
  <c r="BK75" i="18"/>
  <c r="BL96" i="18"/>
  <c r="N22" i="21"/>
  <c r="L20" i="21"/>
  <c r="BK85" i="18"/>
  <c r="L29" i="21"/>
  <c r="BK143" i="18"/>
  <c r="AF192" i="18"/>
  <c r="AD192" i="18" s="1"/>
  <c r="L16" i="21"/>
  <c r="AD186" i="18"/>
  <c r="AF186" i="18" s="1"/>
  <c r="BK64" i="18"/>
  <c r="AE104" i="18"/>
  <c r="BK96" i="18"/>
  <c r="L22" i="21"/>
  <c r="BL120" i="18"/>
  <c r="N26" i="21"/>
  <c r="L26" i="21"/>
  <c r="BK120" i="18"/>
  <c r="N69" i="18"/>
  <c r="L69" i="18"/>
  <c r="M17" i="21" s="1"/>
  <c r="N222" i="18"/>
  <c r="L129" i="18"/>
  <c r="M27" i="21" s="1"/>
  <c r="L75" i="18"/>
  <c r="M18" i="21" s="1"/>
  <c r="N96" i="18"/>
  <c r="U237" i="18"/>
  <c r="EV237" i="18" s="1"/>
  <c r="U52" i="18"/>
  <c r="EV52" i="18" s="1"/>
  <c r="L85" i="18"/>
  <c r="M20" i="21" s="1"/>
  <c r="L143" i="18"/>
  <c r="M29" i="21" s="1"/>
  <c r="L64" i="18"/>
  <c r="M16" i="21" s="1"/>
  <c r="L153" i="18"/>
  <c r="M31" i="21" s="1"/>
  <c r="C169" i="18"/>
  <c r="U158" i="18" s="1"/>
  <c r="EV158" i="18" s="1"/>
  <c r="W166" i="18"/>
  <c r="B169" i="18"/>
  <c r="A169" i="18"/>
  <c r="L96" i="18"/>
  <c r="M22" i="21" s="1"/>
  <c r="N120" i="18"/>
  <c r="L120" i="18"/>
  <c r="M26" i="21" s="1"/>
  <c r="CU267" i="18"/>
  <c r="E267" i="18" s="1"/>
  <c r="CU174" i="18"/>
  <c r="E174" i="18" s="1"/>
  <c r="CU241" i="18"/>
  <c r="E241" i="18" s="1"/>
  <c r="CU232" i="18"/>
  <c r="E232" i="18" s="1"/>
  <c r="CU198" i="18"/>
  <c r="E198" i="18" s="1"/>
  <c r="CU202" i="18"/>
  <c r="E202" i="18" s="1"/>
  <c r="CU189" i="18"/>
  <c r="E189" i="18" s="1"/>
  <c r="K153" i="18"/>
  <c r="M435" i="18"/>
  <c r="M166" i="18"/>
  <c r="M867" i="18"/>
  <c r="N89" i="21" l="1"/>
  <c r="BL435" i="18"/>
  <c r="L31" i="21"/>
  <c r="BK153" i="18"/>
  <c r="D17" i="21"/>
  <c r="AJ2050" i="18"/>
  <c r="AK2050" i="18"/>
  <c r="W2050" i="18" s="1"/>
  <c r="AR363" i="18"/>
  <c r="EV495" i="18"/>
  <c r="CU495" i="18"/>
  <c r="E495" i="18" s="1"/>
  <c r="CU78" i="18"/>
  <c r="E78" i="18" s="1"/>
  <c r="D18" i="21"/>
  <c r="EV217" i="18"/>
  <c r="CU217" i="18"/>
  <c r="E217" i="18" s="1"/>
  <c r="CU262" i="18"/>
  <c r="E262" i="18" s="1"/>
  <c r="EV262" i="18"/>
  <c r="C957" i="18"/>
  <c r="W954" i="18"/>
  <c r="B957" i="18"/>
  <c r="C49" i="27" s="1"/>
  <c r="A957" i="18"/>
  <c r="W75" i="18"/>
  <c r="N75" i="18" s="1"/>
  <c r="C78" i="18"/>
  <c r="A78" i="18"/>
  <c r="A141" i="18"/>
  <c r="A223" i="18"/>
  <c r="W85" i="18"/>
  <c r="A909" i="18"/>
  <c r="C909" i="18"/>
  <c r="B909" i="18"/>
  <c r="W906" i="18"/>
  <c r="A162" i="18"/>
  <c r="B141" i="18"/>
  <c r="C162" i="18"/>
  <c r="W137" i="18"/>
  <c r="N137" i="18" s="1"/>
  <c r="BL867" i="18"/>
  <c r="N182" i="21"/>
  <c r="B88" i="18"/>
  <c r="CU237" i="18"/>
  <c r="E237" i="18" s="1"/>
  <c r="C88" i="18"/>
  <c r="U222" i="18"/>
  <c r="EV222" i="18" s="1"/>
  <c r="CU52" i="18"/>
  <c r="E52" i="18" s="1"/>
  <c r="U49" i="18"/>
  <c r="EV49" i="18" s="1"/>
  <c r="U161" i="18"/>
  <c r="E43" i="21"/>
  <c r="BM216" i="18"/>
  <c r="C216" i="18"/>
  <c r="D43" i="21" s="1"/>
  <c r="B216" i="18"/>
  <c r="C43" i="21" s="1"/>
  <c r="A216" i="18"/>
  <c r="B43" i="21" s="1"/>
  <c r="D16" i="21"/>
  <c r="U56" i="18"/>
  <c r="EV56" i="18" s="1"/>
  <c r="B223" i="18"/>
  <c r="D27" i="21"/>
  <c r="U93" i="18"/>
  <c r="EV93" i="18" s="1"/>
  <c r="CU158" i="18"/>
  <c r="E158" i="18" s="1"/>
  <c r="B158" i="18"/>
  <c r="D26" i="21"/>
  <c r="U138" i="18"/>
  <c r="EV138" i="18" s="1"/>
  <c r="D22" i="21"/>
  <c r="EV110" i="18"/>
  <c r="CU46" i="18"/>
  <c r="E46" i="18" s="1"/>
  <c r="N867" i="18"/>
  <c r="BL166" i="18"/>
  <c r="N33" i="21"/>
  <c r="U188" i="18"/>
  <c r="EV188" i="18" s="1"/>
  <c r="C189" i="18"/>
  <c r="B189" i="18"/>
  <c r="A189" i="18"/>
  <c r="C237" i="18"/>
  <c r="U236" i="18"/>
  <c r="EV236" i="18" s="1"/>
  <c r="B237" i="18"/>
  <c r="A237" i="18"/>
  <c r="W236" i="18"/>
  <c r="N236" i="18" s="1"/>
  <c r="C241" i="18"/>
  <c r="B241" i="18"/>
  <c r="A241" i="18"/>
  <c r="N166" i="18"/>
  <c r="AE107" i="18"/>
  <c r="AF107" i="18" s="1"/>
  <c r="AF104" i="18"/>
  <c r="U104" i="18" s="1"/>
  <c r="U197" i="18"/>
  <c r="EV197" i="18" s="1"/>
  <c r="C198" i="18"/>
  <c r="B198" i="18"/>
  <c r="A198" i="18"/>
  <c r="C174" i="18"/>
  <c r="U179" i="18" s="1"/>
  <c r="U173" i="18"/>
  <c r="EV173" i="18" s="1"/>
  <c r="B174" i="18"/>
  <c r="A174" i="18"/>
  <c r="C267" i="18"/>
  <c r="U266" i="18"/>
  <c r="EV266" i="18" s="1"/>
  <c r="B267" i="18"/>
  <c r="A267" i="18"/>
  <c r="C232" i="18"/>
  <c r="U231" i="18"/>
  <c r="EV231" i="18" s="1"/>
  <c r="B232" i="18"/>
  <c r="A232" i="18"/>
  <c r="C52" i="18"/>
  <c r="A52" i="18"/>
  <c r="C202" i="18"/>
  <c r="W197" i="18"/>
  <c r="N197" i="18" s="1"/>
  <c r="B202" i="18"/>
  <c r="A202" i="18"/>
  <c r="CU352" i="18"/>
  <c r="E352" i="18" s="1"/>
  <c r="CU351" i="18"/>
  <c r="E351" i="18" s="1"/>
  <c r="CU333" i="18"/>
  <c r="E333" i="18" s="1"/>
  <c r="CU331" i="18"/>
  <c r="E331" i="18" s="1"/>
  <c r="CU299" i="18"/>
  <c r="E299" i="18" s="1"/>
  <c r="F62" i="21"/>
  <c r="CU362" i="18"/>
  <c r="E362" i="18" s="1"/>
  <c r="CU358" i="18"/>
  <c r="E358" i="18" s="1"/>
  <c r="CU258" i="18"/>
  <c r="E258" i="18" s="1"/>
  <c r="CU252" i="18"/>
  <c r="E252" i="18" s="1"/>
  <c r="CU338" i="18"/>
  <c r="E338" i="18" s="1"/>
  <c r="CU313" i="18"/>
  <c r="E313" i="18" s="1"/>
  <c r="CU346" i="18"/>
  <c r="E346" i="18" s="1"/>
  <c r="CU326" i="18"/>
  <c r="E326" i="18" s="1"/>
  <c r="CU316" i="18"/>
  <c r="E316" i="18" s="1"/>
  <c r="CU321" i="18"/>
  <c r="E321" i="18" s="1"/>
  <c r="CU311" i="18"/>
  <c r="E311" i="18" s="1"/>
  <c r="CU342" i="18"/>
  <c r="E342" i="18" s="1"/>
  <c r="M75" i="18"/>
  <c r="M954" i="18"/>
  <c r="M137" i="18"/>
  <c r="K161" i="18"/>
  <c r="K173" i="18"/>
  <c r="G2048" i="18"/>
  <c r="K222" i="18"/>
  <c r="M85" i="18"/>
  <c r="K266" i="18"/>
  <c r="K188" i="18"/>
  <c r="K49" i="18"/>
  <c r="M906" i="18"/>
  <c r="U2050" i="18" l="1"/>
  <c r="EV2050" i="18" s="1"/>
  <c r="AH2068" i="18"/>
  <c r="AD2012" i="18"/>
  <c r="BK2048" i="18"/>
  <c r="AF368" i="18"/>
  <c r="AQ363" i="18"/>
  <c r="U234" i="18"/>
  <c r="EV234" i="18" s="1"/>
  <c r="U307" i="18"/>
  <c r="CU307" i="18" s="1"/>
  <c r="E307" i="18" s="1"/>
  <c r="U366" i="18"/>
  <c r="EV366" i="18" s="1"/>
  <c r="L161" i="18"/>
  <c r="M32" i="21" s="1"/>
  <c r="EV161" i="18"/>
  <c r="N196" i="21"/>
  <c r="BL954" i="18"/>
  <c r="N954" i="18"/>
  <c r="AF448" i="18"/>
  <c r="BL75" i="18"/>
  <c r="N18" i="21"/>
  <c r="C158" i="18"/>
  <c r="U164" i="18" s="1"/>
  <c r="EV164" i="18" s="1"/>
  <c r="BL906" i="18"/>
  <c r="N192" i="21"/>
  <c r="BL85" i="18"/>
  <c r="N20" i="21"/>
  <c r="N906" i="18"/>
  <c r="N85" i="18"/>
  <c r="B52" i="18"/>
  <c r="AI37" i="18"/>
  <c r="U37" i="18" s="1"/>
  <c r="N28" i="21"/>
  <c r="BL137" i="18"/>
  <c r="BK222" i="18"/>
  <c r="L44" i="21"/>
  <c r="L32" i="21"/>
  <c r="BK161" i="18"/>
  <c r="L222" i="18"/>
  <c r="M44" i="21" s="1"/>
  <c r="A234" i="18"/>
  <c r="W153" i="18"/>
  <c r="N153" i="18" s="1"/>
  <c r="L197" i="18"/>
  <c r="M39" i="21" s="1"/>
  <c r="BM266" i="18"/>
  <c r="C266" i="18"/>
  <c r="D54" i="21" s="1"/>
  <c r="E54" i="21"/>
  <c r="B266" i="18"/>
  <c r="C54" i="21" s="1"/>
  <c r="A266" i="18"/>
  <c r="B54" i="21" s="1"/>
  <c r="E38" i="21"/>
  <c r="BM188" i="18"/>
  <c r="C188" i="18"/>
  <c r="U182" i="18" s="1"/>
  <c r="EV182" i="18" s="1"/>
  <c r="B188" i="18"/>
  <c r="C38" i="21" s="1"/>
  <c r="A188" i="18"/>
  <c r="B38" i="21" s="1"/>
  <c r="A158" i="18"/>
  <c r="CU93" i="18"/>
  <c r="E93" i="18" s="1"/>
  <c r="CU56" i="18"/>
  <c r="E56" i="18" s="1"/>
  <c r="L231" i="18"/>
  <c r="M47" i="21" s="1"/>
  <c r="BM173" i="18"/>
  <c r="E36" i="21"/>
  <c r="C173" i="18"/>
  <c r="D36" i="21" s="1"/>
  <c r="B173" i="18"/>
  <c r="C36" i="21" s="1"/>
  <c r="A173" i="18"/>
  <c r="B36" i="21" s="1"/>
  <c r="C49" i="18"/>
  <c r="D15" i="21" s="1"/>
  <c r="BM49" i="18"/>
  <c r="E15" i="21"/>
  <c r="B49" i="18"/>
  <c r="C15" i="21" s="1"/>
  <c r="A49" i="18"/>
  <c r="B15" i="21" s="1"/>
  <c r="CU138" i="18"/>
  <c r="E138" i="18" s="1"/>
  <c r="L236" i="18"/>
  <c r="M48" i="21" s="1"/>
  <c r="A46" i="18"/>
  <c r="C46" i="18"/>
  <c r="EV45" i="18" s="1"/>
  <c r="B46" i="18"/>
  <c r="L15" i="21"/>
  <c r="BK49" i="18"/>
  <c r="L54" i="21"/>
  <c r="BK266" i="18"/>
  <c r="BK173" i="18"/>
  <c r="L36" i="21"/>
  <c r="L38" i="21"/>
  <c r="BK188" i="18"/>
  <c r="U310" i="18"/>
  <c r="EV310" i="18" s="1"/>
  <c r="C311" i="18"/>
  <c r="U304" i="18" s="1"/>
  <c r="B311" i="18"/>
  <c r="A311" i="18"/>
  <c r="U320" i="18"/>
  <c r="EV320" i="18" s="1"/>
  <c r="C321" i="18"/>
  <c r="B321" i="18"/>
  <c r="A321" i="18"/>
  <c r="C258" i="18"/>
  <c r="U257" i="18"/>
  <c r="EV257" i="18" s="1"/>
  <c r="B258" i="18"/>
  <c r="A258" i="18"/>
  <c r="EV179" i="18"/>
  <c r="W337" i="18"/>
  <c r="N337" i="18" s="1"/>
  <c r="C342" i="18"/>
  <c r="B342" i="18"/>
  <c r="A342" i="18"/>
  <c r="C316" i="18"/>
  <c r="U315" i="18"/>
  <c r="EV315" i="18" s="1"/>
  <c r="B316" i="18"/>
  <c r="A316" i="18"/>
  <c r="C338" i="18"/>
  <c r="U337" i="18"/>
  <c r="EV337" i="18" s="1"/>
  <c r="B338" i="18"/>
  <c r="A338" i="18"/>
  <c r="L49" i="18"/>
  <c r="M15" i="21" s="1"/>
  <c r="W104" i="18"/>
  <c r="W107" i="18" s="1"/>
  <c r="EV104" i="18"/>
  <c r="U325" i="18"/>
  <c r="EV325" i="18" s="1"/>
  <c r="C326" i="18"/>
  <c r="B326" i="18"/>
  <c r="A326" i="18"/>
  <c r="W344" i="18"/>
  <c r="N344" i="18" s="1"/>
  <c r="C346" i="18"/>
  <c r="B346" i="18"/>
  <c r="A346" i="18"/>
  <c r="W245" i="18"/>
  <c r="N245" i="18" s="1"/>
  <c r="C252" i="18"/>
  <c r="B252" i="18"/>
  <c r="A252" i="18"/>
  <c r="C331" i="18"/>
  <c r="U330" i="18"/>
  <c r="EV330" i="18" s="1"/>
  <c r="B331" i="18"/>
  <c r="A331" i="18"/>
  <c r="L266" i="18"/>
  <c r="M54" i="21" s="1"/>
  <c r="L173" i="18"/>
  <c r="M36" i="21" s="1"/>
  <c r="L188" i="18"/>
  <c r="M38" i="21" s="1"/>
  <c r="EJ249" i="18"/>
  <c r="EK249" i="18"/>
  <c r="G14" i="8"/>
  <c r="M103" i="18"/>
  <c r="M153" i="18"/>
  <c r="K37" i="18"/>
  <c r="CU2050" i="18" l="1"/>
  <c r="E2050" i="18" s="1"/>
  <c r="AH2012" i="18"/>
  <c r="W2012" i="18" s="1"/>
  <c r="CU234" i="18"/>
  <c r="E234" i="18" s="1"/>
  <c r="AJ448" i="18"/>
  <c r="EV307" i="18"/>
  <c r="EV304" i="18"/>
  <c r="CU304" i="18"/>
  <c r="E304" i="18" s="1"/>
  <c r="P249" i="18"/>
  <c r="U249" i="18" s="1"/>
  <c r="EV249" i="18" s="1"/>
  <c r="EV261" i="18"/>
  <c r="L37" i="18"/>
  <c r="M12" i="21" s="1"/>
  <c r="EV37" i="18"/>
  <c r="CU164" i="18"/>
  <c r="E164" i="18" s="1"/>
  <c r="C234" i="18"/>
  <c r="B164" i="18"/>
  <c r="A164" i="18"/>
  <c r="C164" i="18"/>
  <c r="W161" i="18"/>
  <c r="N161" i="18" s="1"/>
  <c r="C56" i="18"/>
  <c r="AH460" i="18"/>
  <c r="L12" i="21"/>
  <c r="AH511" i="18"/>
  <c r="AK511" i="18" s="1"/>
  <c r="AJ510" i="18" s="1"/>
  <c r="AL510" i="18" s="1"/>
  <c r="BK37" i="18"/>
  <c r="B234" i="18"/>
  <c r="W231" i="18"/>
  <c r="N231" i="18" s="1"/>
  <c r="BL153" i="18"/>
  <c r="N31" i="21"/>
  <c r="CU179" i="18"/>
  <c r="E179" i="18" s="1"/>
  <c r="W173" i="18"/>
  <c r="L257" i="18"/>
  <c r="M52" i="21" s="1"/>
  <c r="B138" i="18"/>
  <c r="U137" i="18"/>
  <c r="EV137" i="18" s="1"/>
  <c r="A138" i="18"/>
  <c r="C138" i="18"/>
  <c r="CU169" i="18" s="1"/>
  <c r="E169" i="18" s="1"/>
  <c r="D38" i="21"/>
  <c r="U184" i="18"/>
  <c r="EV184" i="18" s="1"/>
  <c r="BM161" i="18"/>
  <c r="E32" i="21"/>
  <c r="C161" i="18"/>
  <c r="D32" i="21" s="1"/>
  <c r="B161" i="18"/>
  <c r="C32" i="21" s="1"/>
  <c r="A161" i="18"/>
  <c r="B32" i="21" s="1"/>
  <c r="BM222" i="18"/>
  <c r="E44" i="21"/>
  <c r="C222" i="18"/>
  <c r="D44" i="21" s="1"/>
  <c r="B222" i="18"/>
  <c r="C44" i="21" s="1"/>
  <c r="A222" i="18"/>
  <c r="B44" i="21" s="1"/>
  <c r="CU104" i="18"/>
  <c r="E104" i="18" s="1"/>
  <c r="B104" i="18"/>
  <c r="B261" i="18"/>
  <c r="L320" i="18"/>
  <c r="M65" i="21" s="1"/>
  <c r="L310" i="18"/>
  <c r="M63" i="21" s="1"/>
  <c r="C236" i="18"/>
  <c r="D48" i="21" s="1"/>
  <c r="E48" i="21"/>
  <c r="BM236" i="18"/>
  <c r="B236" i="18"/>
  <c r="C48" i="21" s="1"/>
  <c r="A236" i="18"/>
  <c r="B48" i="21" s="1"/>
  <c r="B56" i="18"/>
  <c r="A56" i="18"/>
  <c r="AJ37" i="18"/>
  <c r="W49" i="18"/>
  <c r="BM197" i="18"/>
  <c r="E39" i="21"/>
  <c r="C197" i="18"/>
  <c r="D39" i="21" s="1"/>
  <c r="B197" i="18"/>
  <c r="C39" i="21" s="1"/>
  <c r="A197" i="18"/>
  <c r="B39" i="21" s="1"/>
  <c r="L330" i="18"/>
  <c r="M67" i="21" s="1"/>
  <c r="L325" i="18"/>
  <c r="M66" i="21" s="1"/>
  <c r="L337" i="18"/>
  <c r="M69" i="21" s="1"/>
  <c r="L315" i="18"/>
  <c r="M64" i="21" s="1"/>
  <c r="CU182" i="18"/>
  <c r="E182" i="18" s="1"/>
  <c r="A182" i="18"/>
  <c r="CU45" i="18"/>
  <c r="E45" i="18" s="1"/>
  <c r="BM231" i="18"/>
  <c r="E47" i="21"/>
  <c r="C231" i="18"/>
  <c r="D47" i="21" s="1"/>
  <c r="B231" i="18"/>
  <c r="C47" i="21" s="1"/>
  <c r="A231" i="18"/>
  <c r="B47" i="21" s="1"/>
  <c r="W90" i="18"/>
  <c r="B93" i="18"/>
  <c r="C93" i="18"/>
  <c r="A93" i="18"/>
  <c r="BL103" i="18"/>
  <c r="B179" i="18"/>
  <c r="L61" i="21"/>
  <c r="N61" i="21"/>
  <c r="Q81" i="8"/>
  <c r="Q93" i="8"/>
  <c r="H87" i="8"/>
  <c r="H91" i="8" s="1"/>
  <c r="V91" i="8" s="1"/>
  <c r="E87" i="8"/>
  <c r="AA93" i="8"/>
  <c r="Z93" i="8"/>
  <c r="Y93" i="8"/>
  <c r="X93" i="8"/>
  <c r="W93" i="8"/>
  <c r="V93" i="8"/>
  <c r="U93" i="8"/>
  <c r="T93" i="8"/>
  <c r="AA92" i="8"/>
  <c r="Z92" i="8"/>
  <c r="Y92" i="8"/>
  <c r="X92" i="8"/>
  <c r="W92" i="8"/>
  <c r="V92" i="8"/>
  <c r="U92" i="8"/>
  <c r="T92" i="8"/>
  <c r="Q92" i="8"/>
  <c r="AA91" i="8"/>
  <c r="Q91" i="8"/>
  <c r="AA90" i="8"/>
  <c r="Z90" i="8"/>
  <c r="V90" i="8"/>
  <c r="U90" i="8"/>
  <c r="T90" i="8"/>
  <c r="S90" i="8"/>
  <c r="Q90" i="8"/>
  <c r="K90" i="8"/>
  <c r="K91" i="8" s="1"/>
  <c r="Y88" i="8"/>
  <c r="X88" i="8"/>
  <c r="W88" i="8"/>
  <c r="V88" i="8"/>
  <c r="U88" i="8"/>
  <c r="T88" i="8"/>
  <c r="Q88" i="8"/>
  <c r="U83" i="8"/>
  <c r="D76" i="8"/>
  <c r="D88" i="8"/>
  <c r="H75" i="8"/>
  <c r="H79" i="8" s="1"/>
  <c r="V79" i="8" s="1"/>
  <c r="E75" i="8"/>
  <c r="E79" i="8" s="1"/>
  <c r="S79" i="8" s="1"/>
  <c r="U71" i="8"/>
  <c r="AA81" i="8"/>
  <c r="Z81" i="8"/>
  <c r="Y81" i="8"/>
  <c r="X81" i="8"/>
  <c r="W81" i="8"/>
  <c r="V81" i="8"/>
  <c r="U81" i="8"/>
  <c r="T81" i="8"/>
  <c r="AA80" i="8"/>
  <c r="Z80" i="8"/>
  <c r="Y80" i="8"/>
  <c r="X80" i="8"/>
  <c r="W80" i="8"/>
  <c r="V80" i="8"/>
  <c r="U80" i="8"/>
  <c r="T80" i="8"/>
  <c r="Q80" i="8"/>
  <c r="AA79" i="8"/>
  <c r="Q79" i="8"/>
  <c r="AA78" i="8"/>
  <c r="Z78" i="8"/>
  <c r="V78" i="8"/>
  <c r="U78" i="8"/>
  <c r="T78" i="8"/>
  <c r="S78" i="8"/>
  <c r="Q78" i="8"/>
  <c r="Y76" i="8"/>
  <c r="X76" i="8"/>
  <c r="W76" i="8"/>
  <c r="V76" i="8"/>
  <c r="U76" i="8"/>
  <c r="T76" i="8"/>
  <c r="Q76" i="8"/>
  <c r="G65" i="8"/>
  <c r="F65" i="8"/>
  <c r="G2010" i="18"/>
  <c r="M161" i="18"/>
  <c r="M90" i="18"/>
  <c r="M49" i="18"/>
  <c r="K137" i="18"/>
  <c r="M173" i="18"/>
  <c r="BK2010" i="18" l="1"/>
  <c r="U2012" i="18"/>
  <c r="U83" i="18"/>
  <c r="EV83" i="18" s="1"/>
  <c r="CU261" i="18"/>
  <c r="E261" i="18" s="1"/>
  <c r="U103" i="18"/>
  <c r="C179" i="18"/>
  <c r="BF203" i="18" s="1"/>
  <c r="A104" i="18"/>
  <c r="AH133" i="18"/>
  <c r="N32" i="21"/>
  <c r="BL161" i="18"/>
  <c r="A261" i="18"/>
  <c r="W257" i="18"/>
  <c r="N257" i="18" s="1"/>
  <c r="B182" i="18"/>
  <c r="W510" i="18"/>
  <c r="C261" i="18"/>
  <c r="C104" i="18"/>
  <c r="A179" i="18"/>
  <c r="C182" i="18"/>
  <c r="C37" i="18"/>
  <c r="U682" i="18" s="1"/>
  <c r="B37" i="18"/>
  <c r="C12" i="21" s="1"/>
  <c r="BM37" i="18"/>
  <c r="A37" i="18"/>
  <c r="B12" i="21" s="1"/>
  <c r="E12" i="21"/>
  <c r="BL90" i="18"/>
  <c r="N21" i="21"/>
  <c r="BK137" i="18"/>
  <c r="L28" i="21"/>
  <c r="N15" i="21"/>
  <c r="BL49" i="18"/>
  <c r="E64" i="21"/>
  <c r="C315" i="18"/>
  <c r="D64" i="21" s="1"/>
  <c r="BM315" i="18"/>
  <c r="B315" i="18"/>
  <c r="C64" i="21" s="1"/>
  <c r="A315" i="18"/>
  <c r="B64" i="21" s="1"/>
  <c r="BM325" i="18"/>
  <c r="E66" i="21"/>
  <c r="C325" i="18"/>
  <c r="D66" i="21" s="1"/>
  <c r="B325" i="18"/>
  <c r="C66" i="21" s="1"/>
  <c r="A325" i="18"/>
  <c r="B66" i="21" s="1"/>
  <c r="C310" i="18"/>
  <c r="D63" i="21" s="1"/>
  <c r="BM310" i="18"/>
  <c r="E63" i="21"/>
  <c r="B310" i="18"/>
  <c r="C63" i="21" s="1"/>
  <c r="A310" i="18"/>
  <c r="B63" i="21" s="1"/>
  <c r="E52" i="21"/>
  <c r="BM257" i="18"/>
  <c r="C257" i="18"/>
  <c r="D52" i="21" s="1"/>
  <c r="B257" i="18"/>
  <c r="C52" i="21" s="1"/>
  <c r="A257" i="18"/>
  <c r="B52" i="21" s="1"/>
  <c r="N90" i="18"/>
  <c r="E69" i="21"/>
  <c r="BM337" i="18"/>
  <c r="C337" i="18"/>
  <c r="D69" i="21" s="1"/>
  <c r="B337" i="18"/>
  <c r="C69" i="21" s="1"/>
  <c r="A337" i="18"/>
  <c r="B69" i="21" s="1"/>
  <c r="BM330" i="18"/>
  <c r="C330" i="18"/>
  <c r="D67" i="21" s="1"/>
  <c r="E67" i="21"/>
  <c r="B330" i="18"/>
  <c r="C67" i="21" s="1"/>
  <c r="A330" i="18"/>
  <c r="B67" i="21" s="1"/>
  <c r="E65" i="21"/>
  <c r="C320" i="18"/>
  <c r="D65" i="21" s="1"/>
  <c r="BM320" i="18"/>
  <c r="B320" i="18"/>
  <c r="C65" i="21" s="1"/>
  <c r="A320" i="18"/>
  <c r="B65" i="21" s="1"/>
  <c r="CU184" i="18"/>
  <c r="E184" i="18" s="1"/>
  <c r="L137" i="18"/>
  <c r="M28" i="21" s="1"/>
  <c r="B45" i="18"/>
  <c r="C45" i="18"/>
  <c r="A45" i="18"/>
  <c r="AG37" i="18"/>
  <c r="W37" i="18" s="1"/>
  <c r="W40" i="18"/>
  <c r="N49" i="18"/>
  <c r="N36" i="21"/>
  <c r="BL173" i="18"/>
  <c r="N173" i="18"/>
  <c r="CU249" i="18"/>
  <c r="E249" i="18" s="1"/>
  <c r="K92" i="8"/>
  <c r="Y91" i="8"/>
  <c r="Y90" i="8"/>
  <c r="K103" i="18"/>
  <c r="M37" i="18"/>
  <c r="M40" i="18"/>
  <c r="EV2012" i="18" l="1"/>
  <c r="CU2012" i="18"/>
  <c r="E2012" i="18" s="1"/>
  <c r="CU83" i="18"/>
  <c r="E83" i="18" s="1"/>
  <c r="BL37" i="18"/>
  <c r="N12" i="21"/>
  <c r="EV126" i="18"/>
  <c r="CU126" i="18"/>
  <c r="E126" i="18" s="1"/>
  <c r="N37" i="18"/>
  <c r="EV253" i="18"/>
  <c r="CU253" i="18"/>
  <c r="E253" i="18" s="1"/>
  <c r="L103" i="18"/>
  <c r="EV103" i="18"/>
  <c r="BK103" i="18"/>
  <c r="AL247" i="18"/>
  <c r="AR247" i="18" s="1"/>
  <c r="D12" i="21"/>
  <c r="EV682" i="18"/>
  <c r="N13" i="21"/>
  <c r="BL40" i="18"/>
  <c r="W80" i="18"/>
  <c r="A83" i="18"/>
  <c r="B83" i="18"/>
  <c r="C83" i="18"/>
  <c r="C184" i="18"/>
  <c r="B184" i="18"/>
  <c r="U181" i="18"/>
  <c r="EV181" i="18" s="1"/>
  <c r="A184" i="18"/>
  <c r="N40" i="18"/>
  <c r="BM137" i="18"/>
  <c r="E28" i="21"/>
  <c r="C137" i="18"/>
  <c r="B137" i="18"/>
  <c r="C28" i="21" s="1"/>
  <c r="A137" i="18"/>
  <c r="B28" i="21" s="1"/>
  <c r="C249" i="18"/>
  <c r="U297" i="18" s="1"/>
  <c r="B249" i="18"/>
  <c r="A249" i="18"/>
  <c r="CU374" i="18"/>
  <c r="E374" i="18" s="1"/>
  <c r="CU446" i="18"/>
  <c r="E446" i="18" s="1"/>
  <c r="CU451" i="18"/>
  <c r="E451" i="18" s="1"/>
  <c r="CU294" i="18"/>
  <c r="E294" i="18" s="1"/>
  <c r="CU289" i="18"/>
  <c r="E289" i="18" s="1"/>
  <c r="CU410" i="18"/>
  <c r="E410" i="18" s="1"/>
  <c r="CU405" i="18"/>
  <c r="E405" i="18" s="1"/>
  <c r="CU428" i="18"/>
  <c r="E428" i="18" s="1"/>
  <c r="CU408" i="18"/>
  <c r="E408" i="18" s="1"/>
  <c r="CU485" i="18"/>
  <c r="E485" i="18" s="1"/>
  <c r="CU420" i="18"/>
  <c r="E420" i="18" s="1"/>
  <c r="CU488" i="18"/>
  <c r="E488" i="18" s="1"/>
  <c r="CU323" i="18"/>
  <c r="E323" i="18" s="1"/>
  <c r="CU380" i="18"/>
  <c r="E380" i="18" s="1"/>
  <c r="CU403" i="18"/>
  <c r="E403" i="18" s="1"/>
  <c r="CU417" i="18"/>
  <c r="E417" i="18" s="1"/>
  <c r="CU366" i="18"/>
  <c r="E366" i="18" s="1"/>
  <c r="CU483" i="18"/>
  <c r="E483" i="18" s="1"/>
  <c r="CU328" i="18"/>
  <c r="E328" i="18" s="1"/>
  <c r="CU422" i="18"/>
  <c r="E422" i="18" s="1"/>
  <c r="CU425" i="18"/>
  <c r="E425" i="18" s="1"/>
  <c r="CU318" i="18"/>
  <c r="E318" i="18" s="1"/>
  <c r="CU284" i="18"/>
  <c r="E284" i="18" s="1"/>
  <c r="CU490" i="18"/>
  <c r="E490" i="18" s="1"/>
  <c r="AA67" i="8"/>
  <c r="Z67" i="8"/>
  <c r="Y67" i="8"/>
  <c r="X67" i="8"/>
  <c r="W67" i="8"/>
  <c r="Q67" i="8"/>
  <c r="AA66" i="8"/>
  <c r="Z66" i="8"/>
  <c r="Y66" i="8"/>
  <c r="X66" i="8"/>
  <c r="W66" i="8"/>
  <c r="Q66" i="8"/>
  <c r="AA65" i="8"/>
  <c r="Z65" i="8"/>
  <c r="Y65" i="8"/>
  <c r="X65" i="8"/>
  <c r="W65" i="8"/>
  <c r="S65" i="8"/>
  <c r="Q65" i="8"/>
  <c r="V65" i="8"/>
  <c r="U65" i="8"/>
  <c r="T65" i="8"/>
  <c r="AA64" i="8"/>
  <c r="Z64" i="8"/>
  <c r="Y64" i="8"/>
  <c r="X64" i="8"/>
  <c r="W64" i="8"/>
  <c r="Q64" i="8"/>
  <c r="U60" i="8"/>
  <c r="B45" i="8"/>
  <c r="B29" i="8"/>
  <c r="G110" i="8"/>
  <c r="G108" i="8"/>
  <c r="M80" i="18"/>
  <c r="K181" i="18"/>
  <c r="AP247" i="18" l="1"/>
  <c r="C103" i="18"/>
  <c r="B103" i="18"/>
  <c r="A103" i="18"/>
  <c r="BM103" i="18"/>
  <c r="CU682" i="18"/>
  <c r="E682" i="18" s="1"/>
  <c r="BK181" i="18"/>
  <c r="L37" i="21"/>
  <c r="BL80" i="18"/>
  <c r="N19" i="21"/>
  <c r="L181" i="18"/>
  <c r="M37" i="21" s="1"/>
  <c r="D28" i="21"/>
  <c r="U149" i="18"/>
  <c r="EV149" i="18" s="1"/>
  <c r="U151" i="18"/>
  <c r="EV151" i="18" s="1"/>
  <c r="N80" i="18"/>
  <c r="W373" i="18"/>
  <c r="N373" i="18" s="1"/>
  <c r="C380" i="18"/>
  <c r="B380" i="18"/>
  <c r="A380" i="18"/>
  <c r="C446" i="18"/>
  <c r="U445" i="18"/>
  <c r="EV445" i="18" s="1"/>
  <c r="B446" i="18"/>
  <c r="A446" i="18"/>
  <c r="C408" i="18"/>
  <c r="U407" i="18"/>
  <c r="EV407" i="18" s="1"/>
  <c r="B408" i="18"/>
  <c r="A408" i="18"/>
  <c r="U365" i="18"/>
  <c r="EV365" i="18" s="1"/>
  <c r="C366" i="18"/>
  <c r="B366" i="18"/>
  <c r="A366" i="18"/>
  <c r="U450" i="18"/>
  <c r="EV450" i="18" s="1"/>
  <c r="C451" i="18"/>
  <c r="B451" i="18"/>
  <c r="A451" i="18"/>
  <c r="W407" i="18"/>
  <c r="N407" i="18" s="1"/>
  <c r="C410" i="18"/>
  <c r="B410" i="18"/>
  <c r="A410" i="18"/>
  <c r="U373" i="18"/>
  <c r="EV373" i="18" s="1"/>
  <c r="C374" i="18"/>
  <c r="B374" i="18"/>
  <c r="A374" i="18"/>
  <c r="U424" i="18"/>
  <c r="EV424" i="18" s="1"/>
  <c r="C425" i="18"/>
  <c r="B425" i="18"/>
  <c r="A425" i="18"/>
  <c r="C483" i="18"/>
  <c r="U482" i="18"/>
  <c r="EV482" i="18" s="1"/>
  <c r="B483" i="18"/>
  <c r="A483" i="18"/>
  <c r="U402" i="18"/>
  <c r="EV402" i="18" s="1"/>
  <c r="C403" i="18"/>
  <c r="B403" i="18"/>
  <c r="A403" i="18"/>
  <c r="C428" i="18"/>
  <c r="W424" i="18"/>
  <c r="N424" i="18" s="1"/>
  <c r="B428" i="18"/>
  <c r="A428" i="18"/>
  <c r="EV297" i="18"/>
  <c r="U345" i="18"/>
  <c r="EV345" i="18" s="1"/>
  <c r="CU524" i="18"/>
  <c r="E524" i="18" s="1"/>
  <c r="CU561" i="18"/>
  <c r="E561" i="18" s="1"/>
  <c r="CU520" i="18"/>
  <c r="E520" i="18" s="1"/>
  <c r="CU554" i="18"/>
  <c r="E554" i="18" s="1"/>
  <c r="CU580" i="18"/>
  <c r="E580" i="18" s="1"/>
  <c r="CU528" i="18"/>
  <c r="E528" i="18" s="1"/>
  <c r="CU556" i="18"/>
  <c r="E556" i="18" s="1"/>
  <c r="CU530" i="18"/>
  <c r="E530" i="18" s="1"/>
  <c r="CU566" i="18"/>
  <c r="E566" i="18" s="1"/>
  <c r="N116" i="21"/>
  <c r="BL553" i="18"/>
  <c r="N119" i="21"/>
  <c r="BL568" i="18"/>
  <c r="AA37" i="8"/>
  <c r="Q38" i="8"/>
  <c r="W38" i="8"/>
  <c r="X38" i="8"/>
  <c r="Y38" i="8"/>
  <c r="Z38" i="8"/>
  <c r="G50" i="8"/>
  <c r="F50" i="8"/>
  <c r="T50" i="8" s="1"/>
  <c r="AA58" i="8"/>
  <c r="Z58" i="8"/>
  <c r="Y58" i="8"/>
  <c r="X58" i="8"/>
  <c r="W58" i="8"/>
  <c r="V58" i="8"/>
  <c r="U58" i="8"/>
  <c r="T58" i="8"/>
  <c r="Q58" i="8"/>
  <c r="AA57" i="8"/>
  <c r="Z57" i="8"/>
  <c r="Y57" i="8"/>
  <c r="X57" i="8"/>
  <c r="W57" i="8"/>
  <c r="V57" i="8"/>
  <c r="U57" i="8"/>
  <c r="T57" i="8"/>
  <c r="Q57" i="8"/>
  <c r="Q56" i="8"/>
  <c r="AA55" i="8"/>
  <c r="Z55" i="8"/>
  <c r="V55" i="8"/>
  <c r="U55" i="8"/>
  <c r="T55" i="8"/>
  <c r="S55" i="8"/>
  <c r="Q55" i="8"/>
  <c r="Y53" i="8"/>
  <c r="X53" i="8"/>
  <c r="W53" i="8"/>
  <c r="V53" i="8"/>
  <c r="U53" i="8"/>
  <c r="T53" i="8"/>
  <c r="Q53" i="8"/>
  <c r="AA52" i="8"/>
  <c r="Z52" i="8"/>
  <c r="Y52" i="8"/>
  <c r="X52" i="8"/>
  <c r="W52" i="8"/>
  <c r="Q52" i="8"/>
  <c r="AA51" i="8"/>
  <c r="Z51" i="8"/>
  <c r="Y51" i="8"/>
  <c r="X51" i="8"/>
  <c r="W51" i="8"/>
  <c r="Q51" i="8"/>
  <c r="AA50" i="8"/>
  <c r="Z50" i="8"/>
  <c r="Y50" i="8"/>
  <c r="X50" i="8"/>
  <c r="W50" i="8"/>
  <c r="S50" i="8"/>
  <c r="Q50" i="8"/>
  <c r="AA49" i="8"/>
  <c r="Z49" i="8"/>
  <c r="Y49" i="8"/>
  <c r="X49" i="8"/>
  <c r="W49" i="8"/>
  <c r="Q49" i="8"/>
  <c r="U45" i="8"/>
  <c r="W44" i="8"/>
  <c r="Q41" i="8"/>
  <c r="T41" i="8"/>
  <c r="U41" i="8"/>
  <c r="V41" i="8"/>
  <c r="W41" i="8"/>
  <c r="X41" i="8"/>
  <c r="Y41" i="8"/>
  <c r="Z41" i="8"/>
  <c r="AA41" i="8"/>
  <c r="Q42" i="8"/>
  <c r="T42" i="8"/>
  <c r="U42" i="8"/>
  <c r="V42" i="8"/>
  <c r="W42" i="8"/>
  <c r="X42" i="8"/>
  <c r="Y42" i="8"/>
  <c r="Z42" i="8"/>
  <c r="AA42" i="8"/>
  <c r="W149" i="8"/>
  <c r="U29" i="8"/>
  <c r="Q36" i="8"/>
  <c r="W36" i="8"/>
  <c r="X36" i="8"/>
  <c r="Y36" i="8"/>
  <c r="Z36" i="8"/>
  <c r="AA36" i="8"/>
  <c r="Q37" i="8"/>
  <c r="W37" i="8"/>
  <c r="X37" i="8"/>
  <c r="Y37" i="8"/>
  <c r="K365" i="18"/>
  <c r="AE2068" i="18" l="1"/>
  <c r="EV587" i="18"/>
  <c r="AN363" i="18"/>
  <c r="U378" i="18"/>
  <c r="U415" i="18"/>
  <c r="EV415" i="18" s="1"/>
  <c r="U466" i="18"/>
  <c r="EV466" i="18" s="1"/>
  <c r="W681" i="18"/>
  <c r="N681" i="18" s="1"/>
  <c r="C682" i="18"/>
  <c r="U681" i="18"/>
  <c r="EV681" i="18" s="1"/>
  <c r="A682" i="18"/>
  <c r="B682" i="18"/>
  <c r="B415" i="18"/>
  <c r="CU297" i="18"/>
  <c r="E297" i="18" s="1"/>
  <c r="U296" i="18"/>
  <c r="EV296" i="18" s="1"/>
  <c r="L402" i="18"/>
  <c r="M83" i="21" s="1"/>
  <c r="L424" i="18"/>
  <c r="M87" i="21" s="1"/>
  <c r="L373" i="18"/>
  <c r="M79" i="21" s="1"/>
  <c r="BM181" i="18"/>
  <c r="E37" i="21"/>
  <c r="C181" i="18"/>
  <c r="D37" i="21" s="1"/>
  <c r="B181" i="18"/>
  <c r="C37" i="21" s="1"/>
  <c r="A181" i="18"/>
  <c r="B37" i="21" s="1"/>
  <c r="CU345" i="18"/>
  <c r="E345" i="18" s="1"/>
  <c r="A345" i="18"/>
  <c r="L482" i="18"/>
  <c r="M97" i="21" s="1"/>
  <c r="L450" i="18"/>
  <c r="M93" i="21" s="1"/>
  <c r="BM365" i="18"/>
  <c r="E78" i="21"/>
  <c r="C365" i="18"/>
  <c r="D78" i="21" s="1"/>
  <c r="B365" i="18"/>
  <c r="C78" i="21" s="1"/>
  <c r="A365" i="18"/>
  <c r="B78" i="21" s="1"/>
  <c r="CU149" i="18"/>
  <c r="E149" i="18" s="1"/>
  <c r="L407" i="18"/>
  <c r="M84" i="21" s="1"/>
  <c r="L445" i="18"/>
  <c r="M92" i="21" s="1"/>
  <c r="CU151" i="18"/>
  <c r="E151" i="18" s="1"/>
  <c r="L78" i="21"/>
  <c r="BK365" i="18"/>
  <c r="L365" i="18"/>
  <c r="M78" i="21" s="1"/>
  <c r="U519" i="18"/>
  <c r="EV519" i="18" s="1"/>
  <c r="C520" i="18"/>
  <c r="B520" i="18"/>
  <c r="A520" i="18"/>
  <c r="C530" i="18"/>
  <c r="W527" i="18"/>
  <c r="N527" i="18" s="1"/>
  <c r="B530" i="18"/>
  <c r="A530" i="18"/>
  <c r="C528" i="18"/>
  <c r="U521" i="18" s="1"/>
  <c r="U527" i="18"/>
  <c r="EV527" i="18" s="1"/>
  <c r="B528" i="18"/>
  <c r="A528" i="18"/>
  <c r="C561" i="18"/>
  <c r="W558" i="18"/>
  <c r="N558" i="18" s="1"/>
  <c r="B561" i="18"/>
  <c r="A561" i="18"/>
  <c r="C566" i="18"/>
  <c r="W563" i="18"/>
  <c r="N563" i="18" s="1"/>
  <c r="B566" i="18"/>
  <c r="A566" i="18"/>
  <c r="U553" i="18"/>
  <c r="EV553" i="18" s="1"/>
  <c r="C554" i="18"/>
  <c r="B554" i="18"/>
  <c r="A554" i="18"/>
  <c r="C415" i="18"/>
  <c r="U413" i="18" s="1"/>
  <c r="EV413" i="18" s="1"/>
  <c r="C524" i="18"/>
  <c r="U807" i="18" s="1"/>
  <c r="W519" i="18"/>
  <c r="N519" i="18" s="1"/>
  <c r="B524" i="18"/>
  <c r="A524" i="18"/>
  <c r="BL681" i="18"/>
  <c r="U50" i="8"/>
  <c r="K681" i="18"/>
  <c r="M584" i="18"/>
  <c r="K553" i="18"/>
  <c r="BL584" i="18" l="1"/>
  <c r="N124" i="21"/>
  <c r="CU415" i="18"/>
  <c r="E415" i="18" s="1"/>
  <c r="EV521" i="18"/>
  <c r="CU521" i="18"/>
  <c r="E521" i="18" s="1"/>
  <c r="U802" i="18"/>
  <c r="EV802" i="18" s="1"/>
  <c r="EV378" i="18"/>
  <c r="CU378" i="18"/>
  <c r="E378" i="18" s="1"/>
  <c r="CU587" i="18"/>
  <c r="E587" i="18" s="1"/>
  <c r="C297" i="18"/>
  <c r="BK681" i="18"/>
  <c r="L144" i="21"/>
  <c r="A415" i="18"/>
  <c r="A297" i="18"/>
  <c r="B297" i="18"/>
  <c r="B345" i="18"/>
  <c r="A149" i="18"/>
  <c r="C149" i="18"/>
  <c r="U148" i="18"/>
  <c r="EV148" i="18" s="1"/>
  <c r="B149" i="18"/>
  <c r="CU413" i="18"/>
  <c r="E413" i="18" s="1"/>
  <c r="U412" i="18"/>
  <c r="EV412" i="18" s="1"/>
  <c r="E116" i="21"/>
  <c r="BM553" i="18"/>
  <c r="C553" i="18"/>
  <c r="D116" i="21" s="1"/>
  <c r="B553" i="18"/>
  <c r="C116" i="21" s="1"/>
  <c r="A553" i="18"/>
  <c r="B116" i="21" s="1"/>
  <c r="L519" i="18"/>
  <c r="M107" i="21" s="1"/>
  <c r="C345" i="18"/>
  <c r="BM407" i="18"/>
  <c r="E84" i="21"/>
  <c r="C407" i="18"/>
  <c r="D84" i="21" s="1"/>
  <c r="B407" i="18"/>
  <c r="C84" i="21" s="1"/>
  <c r="A407" i="18"/>
  <c r="B84" i="21" s="1"/>
  <c r="BM424" i="18"/>
  <c r="E87" i="21"/>
  <c r="C424" i="18"/>
  <c r="D87" i="21" s="1"/>
  <c r="B424" i="18"/>
  <c r="C87" i="21" s="1"/>
  <c r="A424" i="18"/>
  <c r="B87" i="21" s="1"/>
  <c r="CU466" i="18"/>
  <c r="E466" i="18" s="1"/>
  <c r="C466" i="18"/>
  <c r="U344" i="18"/>
  <c r="EV344" i="18" s="1"/>
  <c r="B151" i="18"/>
  <c r="W148" i="18"/>
  <c r="N148" i="18" s="1"/>
  <c r="A151" i="18"/>
  <c r="C151" i="18"/>
  <c r="E97" i="21"/>
  <c r="C482" i="18"/>
  <c r="D97" i="21" s="1"/>
  <c r="BM482" i="18"/>
  <c r="B482" i="18"/>
  <c r="C97" i="21" s="1"/>
  <c r="A482" i="18"/>
  <c r="B97" i="21" s="1"/>
  <c r="L527" i="18"/>
  <c r="M108" i="21" s="1"/>
  <c r="L296" i="18"/>
  <c r="M60" i="21" s="1"/>
  <c r="C450" i="18"/>
  <c r="D93" i="21" s="1"/>
  <c r="BM450" i="18"/>
  <c r="E93" i="21"/>
  <c r="B450" i="18"/>
  <c r="C93" i="21" s="1"/>
  <c r="A450" i="18"/>
  <c r="B93" i="21" s="1"/>
  <c r="E92" i="21"/>
  <c r="C445" i="18"/>
  <c r="D92" i="21" s="1"/>
  <c r="BM445" i="18"/>
  <c r="B445" i="18"/>
  <c r="C92" i="21" s="1"/>
  <c r="A445" i="18"/>
  <c r="B92" i="21" s="1"/>
  <c r="E79" i="21"/>
  <c r="C373" i="18"/>
  <c r="BM373" i="18"/>
  <c r="B373" i="18"/>
  <c r="C79" i="21" s="1"/>
  <c r="A373" i="18"/>
  <c r="B79" i="21" s="1"/>
  <c r="E83" i="21"/>
  <c r="C402" i="18"/>
  <c r="D83" i="21" s="1"/>
  <c r="BM402" i="18"/>
  <c r="B402" i="18"/>
  <c r="C83" i="21" s="1"/>
  <c r="A402" i="18"/>
  <c r="B83" i="21" s="1"/>
  <c r="EV807" i="18"/>
  <c r="CU585" i="18"/>
  <c r="E585" i="18" s="1"/>
  <c r="EV564" i="18"/>
  <c r="U578" i="18"/>
  <c r="EV578" i="18" s="1"/>
  <c r="EV559" i="18"/>
  <c r="B413" i="18"/>
  <c r="L553" i="18"/>
  <c r="M116" i="21" s="1"/>
  <c r="U569" i="18"/>
  <c r="EV569" i="18" s="1"/>
  <c r="U575" i="18"/>
  <c r="EV575" i="18" s="1"/>
  <c r="BF580" i="18"/>
  <c r="Q40" i="8"/>
  <c r="Q34" i="8"/>
  <c r="Q35" i="8"/>
  <c r="Q39" i="8"/>
  <c r="Q33" i="8"/>
  <c r="S34" i="8"/>
  <c r="W34" i="8"/>
  <c r="X34" i="8"/>
  <c r="Y34" i="8"/>
  <c r="Z34" i="8"/>
  <c r="AA34" i="8"/>
  <c r="W35" i="8"/>
  <c r="X35" i="8"/>
  <c r="Y35" i="8"/>
  <c r="Z35" i="8"/>
  <c r="AA35" i="8"/>
  <c r="S39" i="8"/>
  <c r="T39" i="8"/>
  <c r="U39" i="8"/>
  <c r="V39" i="8"/>
  <c r="Z39" i="8"/>
  <c r="AA39" i="8"/>
  <c r="W33" i="8"/>
  <c r="X33" i="8"/>
  <c r="Y33" i="8"/>
  <c r="Z33" i="8"/>
  <c r="AA33" i="8"/>
  <c r="K148" i="18"/>
  <c r="CU2079" i="18" l="1"/>
  <c r="E2079" i="18" s="1"/>
  <c r="EV2079" i="18"/>
  <c r="C681" i="18"/>
  <c r="BM681" i="18"/>
  <c r="A681" i="18"/>
  <c r="B144" i="21" s="1"/>
  <c r="E144" i="21"/>
  <c r="B681" i="18"/>
  <c r="C144" i="21" s="1"/>
  <c r="A466" i="18"/>
  <c r="B466" i="18"/>
  <c r="A413" i="18"/>
  <c r="C413" i="18"/>
  <c r="BK148" i="18"/>
  <c r="L30" i="21"/>
  <c r="CU569" i="18"/>
  <c r="E569" i="18" s="1"/>
  <c r="B569" i="18"/>
  <c r="CU559" i="18"/>
  <c r="E559" i="18" s="1"/>
  <c r="U558" i="18"/>
  <c r="EV558" i="18" s="1"/>
  <c r="BM519" i="18"/>
  <c r="C519" i="18"/>
  <c r="D107" i="21" s="1"/>
  <c r="E107" i="21"/>
  <c r="B519" i="18"/>
  <c r="C107" i="21" s="1"/>
  <c r="A519" i="18"/>
  <c r="B107" i="21" s="1"/>
  <c r="L412" i="18"/>
  <c r="M85" i="21" s="1"/>
  <c r="CU578" i="18"/>
  <c r="E578" i="18" s="1"/>
  <c r="B578" i="18"/>
  <c r="CU807" i="18"/>
  <c r="E807" i="18" s="1"/>
  <c r="W804" i="18"/>
  <c r="D79" i="21"/>
  <c r="U497" i="18"/>
  <c r="EV497" i="18" s="1"/>
  <c r="U270" i="18"/>
  <c r="EV270" i="18" s="1"/>
  <c r="BM296" i="18"/>
  <c r="E60" i="21"/>
  <c r="C296" i="18"/>
  <c r="D60" i="21" s="1"/>
  <c r="B296" i="18"/>
  <c r="C60" i="21" s="1"/>
  <c r="A296" i="18"/>
  <c r="B60" i="21" s="1"/>
  <c r="CU802" i="18"/>
  <c r="E802" i="18" s="1"/>
  <c r="C802" i="18"/>
  <c r="CU564" i="18"/>
  <c r="E564" i="18" s="1"/>
  <c r="C564" i="18"/>
  <c r="L344" i="18"/>
  <c r="M70" i="21" s="1"/>
  <c r="L148" i="18"/>
  <c r="M30" i="21" s="1"/>
  <c r="CU575" i="18"/>
  <c r="E575" i="18" s="1"/>
  <c r="B575" i="18"/>
  <c r="C527" i="18"/>
  <c r="D108" i="21" s="1"/>
  <c r="E108" i="21"/>
  <c r="BM527" i="18"/>
  <c r="B527" i="18"/>
  <c r="C108" i="21" s="1"/>
  <c r="A527" i="18"/>
  <c r="B108" i="21" s="1"/>
  <c r="C578" i="18"/>
  <c r="A578" i="18"/>
  <c r="W799" i="18"/>
  <c r="B802" i="18"/>
  <c r="Q7" i="4"/>
  <c r="Q6" i="4"/>
  <c r="G5" i="8"/>
  <c r="G34" i="8"/>
  <c r="U34" i="8" s="1"/>
  <c r="F34" i="8"/>
  <c r="T34" i="8" s="1"/>
  <c r="C569" i="18" l="1"/>
  <c r="A569" i="18"/>
  <c r="U568" i="18"/>
  <c r="C575" i="18"/>
  <c r="U574" i="18" s="1"/>
  <c r="EV574" i="18" s="1"/>
  <c r="B559" i="18"/>
  <c r="C559" i="18"/>
  <c r="U691" i="18"/>
  <c r="EV691" i="18" s="1"/>
  <c r="U675" i="18"/>
  <c r="EV675" i="18" s="1"/>
  <c r="D144" i="21"/>
  <c r="A559" i="18"/>
  <c r="A575" i="18"/>
  <c r="A802" i="18"/>
  <c r="C807" i="18"/>
  <c r="A564" i="18"/>
  <c r="U577" i="18"/>
  <c r="A807" i="18"/>
  <c r="B807" i="18"/>
  <c r="U563" i="18"/>
  <c r="B564" i="18"/>
  <c r="C412" i="18"/>
  <c r="D85" i="21" s="1"/>
  <c r="E85" i="21"/>
  <c r="BM412" i="18"/>
  <c r="B412" i="18"/>
  <c r="C85" i="21" s="1"/>
  <c r="A412" i="18"/>
  <c r="B85" i="21" s="1"/>
  <c r="BM148" i="18"/>
  <c r="E30" i="21"/>
  <c r="C148" i="18"/>
  <c r="D30" i="21" s="1"/>
  <c r="B148" i="18"/>
  <c r="C30" i="21" s="1"/>
  <c r="A148" i="18"/>
  <c r="B30" i="21" s="1"/>
  <c r="CU270" i="18"/>
  <c r="E270" i="18" s="1"/>
  <c r="L558" i="18"/>
  <c r="M117" i="21" s="1"/>
  <c r="BM344" i="18"/>
  <c r="E70" i="21"/>
  <c r="C344" i="18"/>
  <c r="D70" i="21" s="1"/>
  <c r="B344" i="18"/>
  <c r="C70" i="21" s="1"/>
  <c r="A344" i="18"/>
  <c r="B70" i="21" s="1"/>
  <c r="CU497" i="18"/>
  <c r="E497" i="18" s="1"/>
  <c r="N799" i="18"/>
  <c r="N804" i="18"/>
  <c r="X7" i="8"/>
  <c r="R9" i="8"/>
  <c r="R12" i="8"/>
  <c r="R11" i="8"/>
  <c r="R13" i="8"/>
  <c r="R8" i="8"/>
  <c r="L577" i="18" l="1"/>
  <c r="M121" i="21" s="1"/>
  <c r="EV577" i="18"/>
  <c r="L563" i="18"/>
  <c r="M118" i="21" s="1"/>
  <c r="EV563" i="18"/>
  <c r="L568" i="18"/>
  <c r="M119" i="21" s="1"/>
  <c r="EV568" i="18"/>
  <c r="CU574" i="18"/>
  <c r="E574" i="18" s="1"/>
  <c r="U573" i="18"/>
  <c r="EV573" i="18" s="1"/>
  <c r="BM563" i="18"/>
  <c r="E121" i="21"/>
  <c r="CU675" i="18"/>
  <c r="E675" i="18" s="1"/>
  <c r="CU691" i="18"/>
  <c r="E691" i="18" s="1"/>
  <c r="B574" i="18"/>
  <c r="A574" i="18"/>
  <c r="C563" i="18"/>
  <c r="D118" i="21" s="1"/>
  <c r="C497" i="18"/>
  <c r="W494" i="18"/>
  <c r="B497" i="18"/>
  <c r="A497" i="18"/>
  <c r="C270" i="18"/>
  <c r="W266" i="18"/>
  <c r="B270" i="18"/>
  <c r="A270" i="18"/>
  <c r="BM558" i="18"/>
  <c r="C558" i="18"/>
  <c r="D117" i="21" s="1"/>
  <c r="E117" i="21"/>
  <c r="B558" i="18"/>
  <c r="C117" i="21" s="1"/>
  <c r="A558" i="18"/>
  <c r="B117" i="21" s="1"/>
  <c r="E119" i="21"/>
  <c r="C568" i="18"/>
  <c r="D119" i="21" s="1"/>
  <c r="BM568" i="18"/>
  <c r="B568" i="18"/>
  <c r="C119" i="21" s="1"/>
  <c r="A568" i="18"/>
  <c r="B119" i="21" s="1"/>
  <c r="B577" i="18"/>
  <c r="C121" i="21" s="1"/>
  <c r="C5" i="4"/>
  <c r="L573" i="18" l="1"/>
  <c r="M120" i="21" s="1"/>
  <c r="B563" i="18"/>
  <c r="C118" i="21" s="1"/>
  <c r="E118" i="21"/>
  <c r="A563" i="18"/>
  <c r="B118" i="21" s="1"/>
  <c r="C577" i="18"/>
  <c r="D121" i="21" s="1"/>
  <c r="C574" i="18"/>
  <c r="BM577" i="18"/>
  <c r="A577" i="18"/>
  <c r="B121" i="21" s="1"/>
  <c r="W688" i="18"/>
  <c r="N688" i="18" s="1"/>
  <c r="A691" i="18"/>
  <c r="C691" i="18"/>
  <c r="B691" i="18"/>
  <c r="A675" i="18"/>
  <c r="C675" i="18"/>
  <c r="B675" i="18"/>
  <c r="N266" i="18"/>
  <c r="N494" i="18"/>
  <c r="CU14" i="18"/>
  <c r="E14" i="18" s="1"/>
  <c r="CU475" i="18"/>
  <c r="E475" i="18" s="1"/>
  <c r="CU110" i="18"/>
  <c r="E110" i="18" s="1"/>
  <c r="CU480" i="18"/>
  <c r="E480" i="18" s="1"/>
  <c r="C45" i="4"/>
  <c r="C18" i="4" s="1"/>
  <c r="Y24" i="4"/>
  <c r="W24" i="4"/>
  <c r="G39" i="4"/>
  <c r="J39" i="4"/>
  <c r="G40" i="4"/>
  <c r="T40" i="4" s="1"/>
  <c r="I40" i="4"/>
  <c r="K40" i="4"/>
  <c r="X40" i="4" s="1"/>
  <c r="L40" i="4"/>
  <c r="Y40" i="4" s="1"/>
  <c r="C41" i="4"/>
  <c r="C42" i="4"/>
  <c r="C43" i="4"/>
  <c r="C44" i="4"/>
  <c r="B573" i="18" l="1"/>
  <c r="C120" i="21" s="1"/>
  <c r="C573" i="18"/>
  <c r="D120" i="21" s="1"/>
  <c r="A573" i="18"/>
  <c r="B120" i="21" s="1"/>
  <c r="E120" i="21"/>
  <c r="BM573" i="18"/>
  <c r="C110" i="18"/>
  <c r="U109" i="18"/>
  <c r="EV109" i="18" s="1"/>
  <c r="B110" i="18"/>
  <c r="A110" i="18"/>
  <c r="C113" i="18"/>
  <c r="U255" i="18" s="1"/>
  <c r="W109" i="18"/>
  <c r="B113" i="18"/>
  <c r="A113" i="18"/>
  <c r="V40" i="4"/>
  <c r="W39" i="4"/>
  <c r="T39" i="4"/>
  <c r="CU255" i="18" l="1"/>
  <c r="E255" i="18" s="1"/>
  <c r="EV255" i="18"/>
  <c r="BM109" i="18"/>
  <c r="E23" i="21"/>
  <c r="C109" i="18"/>
  <c r="B109" i="18"/>
  <c r="C23" i="21" s="1"/>
  <c r="A109" i="18"/>
  <c r="B23" i="21" s="1"/>
  <c r="N109" i="18"/>
  <c r="L109" i="18"/>
  <c r="M23" i="21" s="1"/>
  <c r="CU3" i="18"/>
  <c r="D3" i="18" s="1"/>
  <c r="E2" i="21" s="1"/>
  <c r="C2" i="4"/>
  <c r="H34" i="8"/>
  <c r="V34" i="8" s="1"/>
  <c r="C35" i="4"/>
  <c r="P23" i="4"/>
  <c r="D22" i="4"/>
  <c r="D23" i="4"/>
  <c r="G23" i="4"/>
  <c r="G6" i="4" s="1"/>
  <c r="J23" i="4"/>
  <c r="J6" i="4" s="1"/>
  <c r="M23" i="4"/>
  <c r="G24" i="4"/>
  <c r="I24" i="4"/>
  <c r="M24" i="4"/>
  <c r="M7" i="4" s="1"/>
  <c r="O24" i="4"/>
  <c r="O7" i="4" s="1"/>
  <c r="B25" i="4"/>
  <c r="C25" i="4"/>
  <c r="C27" i="4"/>
  <c r="C29" i="4"/>
  <c r="C31" i="4"/>
  <c r="C33" i="4"/>
  <c r="C16" i="4" s="1"/>
  <c r="D23" i="21" l="1"/>
  <c r="H50" i="8"/>
  <c r="V50" i="8" s="1"/>
  <c r="S4" i="8"/>
  <c r="C8" i="4"/>
  <c r="T24" i="4"/>
  <c r="G7" i="4"/>
  <c r="M6" i="4"/>
  <c r="C10" i="4"/>
  <c r="B8" i="4"/>
  <c r="D6" i="4"/>
  <c r="C12" i="4"/>
  <c r="V24" i="4"/>
  <c r="I7" i="4"/>
  <c r="D5" i="4"/>
  <c r="C14" i="4"/>
  <c r="P6" i="4"/>
  <c r="T23" i="4"/>
  <c r="W23" i="4"/>
  <c r="N34" i="4"/>
  <c r="O32" i="4"/>
  <c r="O34" i="4"/>
  <c r="N32" i="4"/>
  <c r="EV113" i="18" l="1"/>
  <c r="CU113" i="18"/>
  <c r="E113" i="18" s="1"/>
  <c r="B250" i="18"/>
  <c r="C107" i="8"/>
  <c r="E107" i="8" s="1"/>
  <c r="C250" i="18" l="1"/>
  <c r="A250" i="18"/>
  <c r="E25" i="8"/>
  <c r="T25" i="8" s="1"/>
  <c r="AA56" i="8" l="1"/>
  <c r="AA40" i="8" l="1"/>
  <c r="E91" i="8" l="1"/>
  <c r="S91" i="8" l="1"/>
  <c r="H45" i="4" l="1"/>
  <c r="U45" i="4" l="1"/>
  <c r="K45" i="4" l="1"/>
  <c r="X45" i="4" s="1"/>
  <c r="Q14" i="4" l="1"/>
  <c r="K78" i="8" s="1"/>
  <c r="K79" i="8" l="1"/>
  <c r="Y78" i="8"/>
  <c r="EV306" i="18" l="1"/>
  <c r="C247" i="18"/>
  <c r="A306" i="18"/>
  <c r="C287" i="18"/>
  <c r="Y79" i="8"/>
  <c r="K80" i="8"/>
  <c r="CU306" i="18" l="1"/>
  <c r="E306" i="18" s="1"/>
  <c r="A247" i="18"/>
  <c r="B247" i="18"/>
  <c r="B287" i="18"/>
  <c r="U286" i="18"/>
  <c r="EV286" i="18" s="1"/>
  <c r="A287" i="18"/>
  <c r="C306" i="18"/>
  <c r="W303" i="18"/>
  <c r="N303" i="18" s="1"/>
  <c r="B306" i="18"/>
  <c r="Q10" i="4"/>
  <c r="L286" i="18" l="1"/>
  <c r="M58" i="21" s="1"/>
  <c r="K39" i="8"/>
  <c r="B286" i="18" l="1"/>
  <c r="C58" i="21" s="1"/>
  <c r="C286" i="18"/>
  <c r="A286" i="18"/>
  <c r="B58" i="21" s="1"/>
  <c r="E58" i="21"/>
  <c r="BM286" i="18"/>
  <c r="B292" i="18"/>
  <c r="A292" i="18"/>
  <c r="U291" i="18"/>
  <c r="EV291" i="18" s="1"/>
  <c r="C292" i="18"/>
  <c r="U281" i="18"/>
  <c r="EV281" i="18" s="1"/>
  <c r="C282" i="18"/>
  <c r="A282" i="18"/>
  <c r="B282" i="18"/>
  <c r="B246" i="18"/>
  <c r="A246" i="18"/>
  <c r="U245" i="18"/>
  <c r="EV245" i="18" s="1"/>
  <c r="C246" i="18"/>
  <c r="K40" i="8"/>
  <c r="Y39" i="8"/>
  <c r="U598" i="18" l="1"/>
  <c r="EV598" i="18" s="1"/>
  <c r="D58" i="21"/>
  <c r="L245" i="18"/>
  <c r="M51" i="21" s="1"/>
  <c r="L281" i="18"/>
  <c r="M57" i="21" s="1"/>
  <c r="L291" i="18"/>
  <c r="M59" i="21" s="1"/>
  <c r="Y40" i="8"/>
  <c r="CU598" i="18" l="1"/>
  <c r="E598" i="18" s="1"/>
  <c r="BM291" i="18"/>
  <c r="E59" i="21"/>
  <c r="C291" i="18"/>
  <c r="D59" i="21" s="1"/>
  <c r="B291" i="18"/>
  <c r="C59" i="21" s="1"/>
  <c r="A291" i="18"/>
  <c r="B59" i="21" s="1"/>
  <c r="BM245" i="18"/>
  <c r="C245" i="18"/>
  <c r="D51" i="21" s="1"/>
  <c r="E51" i="21"/>
  <c r="B245" i="18"/>
  <c r="C51" i="21" s="1"/>
  <c r="A245" i="18"/>
  <c r="B51" i="21" s="1"/>
  <c r="E57" i="21"/>
  <c r="C281" i="18"/>
  <c r="D57" i="21" s="1"/>
  <c r="BM281" i="18"/>
  <c r="B281" i="18"/>
  <c r="C57" i="21" s="1"/>
  <c r="A281" i="18"/>
  <c r="B57" i="21" s="1"/>
  <c r="L43" i="4"/>
  <c r="Y43" i="4" s="1"/>
  <c r="C598" i="18" l="1"/>
  <c r="B598" i="18"/>
  <c r="A598" i="18"/>
  <c r="W595" i="18"/>
  <c r="L44" i="4"/>
  <c r="Y44" i="4" s="1"/>
  <c r="N595" i="18" l="1"/>
  <c r="O28" i="4"/>
  <c r="O26" i="4"/>
  <c r="DA573" i="18"/>
  <c r="DD540" i="18"/>
  <c r="DO688" i="18"/>
  <c r="DA266" i="18"/>
  <c r="DA857" i="18"/>
  <c r="CZ661" i="18"/>
  <c r="DA674" i="18"/>
  <c r="DA712" i="18"/>
  <c r="DO961" i="18"/>
  <c r="DN303" i="18"/>
  <c r="DO772" i="18"/>
  <c r="DC867" i="18"/>
  <c r="DD600" i="18"/>
  <c r="CZ862" i="18"/>
  <c r="DN897" i="18"/>
  <c r="DA611" i="18"/>
  <c r="DN625" i="18"/>
  <c r="DM843" i="18"/>
  <c r="CZ688" i="18"/>
  <c r="DM705" i="18"/>
  <c r="DB712" i="18"/>
  <c r="DD674" i="18"/>
  <c r="CZ303" i="18"/>
  <c r="DA738" i="18"/>
  <c r="CZ540" i="18"/>
  <c r="DB509" i="18"/>
  <c r="DN722" i="18"/>
  <c r="DN654" i="18"/>
  <c r="DD499" i="18"/>
  <c r="DC494" i="18"/>
  <c r="DN930" i="18"/>
  <c r="DN611" i="18"/>
  <c r="DC600" i="18"/>
  <c r="DO789" i="18"/>
  <c r="DO266" i="18"/>
  <c r="DO968" i="18"/>
  <c r="DN532" i="18"/>
  <c r="DC705" i="18"/>
  <c r="DN605" i="18"/>
  <c r="M509" i="18"/>
  <c r="CZ857" i="18"/>
  <c r="DM681" i="18"/>
  <c r="M397" i="18"/>
  <c r="DD103" i="18"/>
  <c r="DO862" i="18"/>
  <c r="DD272" i="18"/>
  <c r="DN852" i="18"/>
  <c r="DM499" i="18"/>
  <c r="CZ350" i="18"/>
  <c r="DO712" i="18"/>
  <c r="DN738" i="18"/>
  <c r="DO833" i="18"/>
  <c r="CZ738" i="18"/>
  <c r="DM272" i="18"/>
  <c r="DB245" i="18"/>
  <c r="DA681" i="18"/>
  <c r="DO852" i="18"/>
  <c r="DM103" i="18"/>
  <c r="DD532" i="18"/>
  <c r="DO810" i="18"/>
  <c r="K109" i="18"/>
  <c r="DO767" i="18"/>
  <c r="DN843" i="18"/>
  <c r="DB681" i="18"/>
  <c r="DO784" i="18"/>
  <c r="DN876" i="18"/>
  <c r="DO611" i="18"/>
  <c r="DA705" i="18"/>
  <c r="DB857" i="18"/>
  <c r="CZ589" i="18"/>
  <c r="DN509" i="18"/>
  <c r="DC272" i="18"/>
  <c r="DN644" i="18"/>
  <c r="DN681" i="18"/>
  <c r="CZ728" i="18"/>
  <c r="DD296" i="18"/>
  <c r="DM823" i="18"/>
  <c r="CZ330" i="18"/>
  <c r="CZ611" i="18"/>
  <c r="DO540" i="18"/>
  <c r="DO589" i="18"/>
  <c r="DC823" i="18"/>
  <c r="DO296" i="18"/>
  <c r="DA722" i="18"/>
  <c r="DN862" i="18"/>
  <c r="DB303" i="18"/>
  <c r="DD823" i="18"/>
  <c r="DN674" i="18"/>
  <c r="DO649" i="18"/>
  <c r="DC509" i="18"/>
  <c r="DD862" i="18"/>
  <c r="DD303" i="18"/>
  <c r="DO584" i="18"/>
  <c r="DD37" i="18"/>
  <c r="DC649" i="18"/>
  <c r="DO945" i="18"/>
  <c r="CZ296" i="18"/>
  <c r="CZ712" i="18"/>
  <c r="DC397" i="18"/>
  <c r="DA330" i="18"/>
  <c r="DO644" i="18"/>
  <c r="CZ649" i="18"/>
  <c r="DO954" i="18"/>
  <c r="DC181" i="18"/>
  <c r="DB666" i="18"/>
  <c r="DO494" i="18"/>
  <c r="CZ705" i="18"/>
  <c r="DM245" i="18"/>
  <c r="DA823" i="18"/>
  <c r="DM862" i="18"/>
  <c r="DC540" i="18"/>
  <c r="DM693" i="18"/>
  <c r="DM833" i="18"/>
  <c r="DD666" i="18"/>
  <c r="DD649" i="18"/>
  <c r="DN573" i="18"/>
  <c r="DB862" i="18"/>
  <c r="DO756" i="18"/>
  <c r="DC857" i="18"/>
  <c r="DN804" i="18"/>
  <c r="DM350" i="18"/>
  <c r="DC674" i="18"/>
  <c r="DD605" i="18"/>
  <c r="DN816" i="18"/>
  <c r="EC59" i="18"/>
  <c r="DC499" i="18"/>
  <c r="DB330" i="18"/>
  <c r="DA595" i="18"/>
  <c r="DM58" i="18"/>
  <c r="M109" i="18"/>
  <c r="DO600" i="18"/>
  <c r="DD705" i="18"/>
  <c r="DO973" i="18"/>
  <c r="DB296" i="18"/>
  <c r="DA296" i="18"/>
  <c r="DC532" i="18"/>
  <c r="DN961" i="18"/>
  <c r="DC330" i="18"/>
  <c r="DN973" i="18"/>
  <c r="DN784" i="18"/>
  <c r="DC595" i="18"/>
  <c r="DN799" i="18"/>
  <c r="DC852" i="18"/>
  <c r="DO625" i="18"/>
  <c r="DN756" i="18"/>
  <c r="DO751" i="18"/>
  <c r="M266" i="18"/>
  <c r="DN968" i="18"/>
  <c r="DA245" i="18"/>
  <c r="DA584" i="18"/>
  <c r="DA693" i="18"/>
  <c r="CZ173" i="18"/>
  <c r="DM722" i="18"/>
  <c r="DD458" i="18"/>
  <c r="DB705" i="18"/>
  <c r="DB595" i="18"/>
  <c r="DD712" i="18"/>
  <c r="DM828" i="18"/>
  <c r="DC245" i="18"/>
  <c r="DO272" i="18"/>
  <c r="DD693" i="18"/>
  <c r="DO458" i="18"/>
  <c r="DB738" i="18"/>
  <c r="DA272" i="18"/>
  <c r="DN705" i="18"/>
  <c r="DD245" i="18"/>
  <c r="DN810" i="18"/>
  <c r="M804" i="18"/>
  <c r="DO674" i="18"/>
  <c r="CZ509" i="18"/>
  <c r="DA654" i="18"/>
  <c r="DB397" i="18"/>
  <c r="DN173" i="18"/>
  <c r="DN540" i="18"/>
  <c r="DB589" i="18"/>
  <c r="CZ546" i="18"/>
  <c r="DN688" i="18"/>
  <c r="DC738" i="18"/>
  <c r="DN913" i="18"/>
  <c r="DN906" i="18"/>
  <c r="CZ693" i="18"/>
  <c r="DA852" i="18"/>
  <c r="DO781" i="18"/>
  <c r="DO700" i="18"/>
  <c r="DD397" i="18"/>
  <c r="DN794" i="18"/>
  <c r="DO867" i="18"/>
  <c r="DN728" i="18"/>
  <c r="DD546" i="18"/>
  <c r="DN857" i="18"/>
  <c r="DD867" i="18"/>
  <c r="DD181" i="18"/>
  <c r="DC37" i="18"/>
  <c r="DM728" i="18"/>
  <c r="DA661" i="18"/>
  <c r="DC296" i="18"/>
  <c r="CZ600" i="18"/>
  <c r="DB584" i="18"/>
  <c r="DA634" i="18"/>
  <c r="DO303" i="18"/>
  <c r="DC103" i="18"/>
  <c r="DD654" i="18"/>
  <c r="DM509" i="18"/>
  <c r="DN712" i="18"/>
  <c r="DA649" i="18"/>
  <c r="DC862" i="18"/>
  <c r="DN634" i="18"/>
  <c r="DB611" i="18"/>
  <c r="DN584" i="18"/>
  <c r="DD509" i="18"/>
  <c r="DB600" i="18"/>
  <c r="DO882" i="18"/>
  <c r="DN499" i="18"/>
  <c r="DN767" i="18"/>
  <c r="DD852" i="18"/>
  <c r="DN882" i="18"/>
  <c r="DM700" i="18"/>
  <c r="DD843" i="18"/>
  <c r="DM296" i="18"/>
  <c r="DD728" i="18"/>
  <c r="DB605" i="18"/>
  <c r="DO857" i="18"/>
  <c r="DC458" i="18"/>
  <c r="CZ494" i="18"/>
  <c r="DB661" i="18"/>
  <c r="DB573" i="18"/>
  <c r="DO532" i="18"/>
  <c r="DN700" i="18"/>
  <c r="DM266" i="18"/>
  <c r="DA862" i="18"/>
  <c r="DA828" i="18"/>
  <c r="DM181" i="18"/>
  <c r="DN789" i="18"/>
  <c r="CZ532" i="18"/>
  <c r="DD644" i="18"/>
  <c r="DC654" i="18"/>
  <c r="CZ674" i="18"/>
  <c r="DC644" i="18"/>
  <c r="DN828" i="18"/>
  <c r="CZ843" i="18"/>
  <c r="DC350" i="18"/>
  <c r="DN867" i="18"/>
  <c r="DB350" i="18"/>
  <c r="DN746" i="18"/>
  <c r="DD738" i="18"/>
  <c r="DN546" i="18"/>
  <c r="DN266" i="18"/>
  <c r="DB700" i="18"/>
  <c r="DO634" i="18"/>
  <c r="DB266" i="18"/>
  <c r="CZ700" i="18"/>
  <c r="DO738" i="18"/>
  <c r="DN772" i="18"/>
  <c r="CZ397" i="18"/>
  <c r="DC58" i="18"/>
  <c r="DC828" i="18"/>
  <c r="M494" i="18"/>
  <c r="DM738" i="18"/>
  <c r="DO930" i="18"/>
  <c r="DO705" i="18"/>
  <c r="DO499" i="18"/>
  <c r="DA833" i="18"/>
  <c r="CZ644" i="18"/>
  <c r="DA728" i="18"/>
  <c r="DA666" i="18"/>
  <c r="DO181" i="18"/>
  <c r="M799" i="18"/>
  <c r="CZ458" i="18"/>
  <c r="CZ828" i="18"/>
  <c r="DO397" i="18"/>
  <c r="DB833" i="18"/>
  <c r="DO661" i="18"/>
  <c r="DN397" i="18"/>
  <c r="DD266" i="18"/>
  <c r="DO350" i="18"/>
  <c r="DB654" i="18"/>
  <c r="DD722" i="18"/>
  <c r="CZ181" i="18"/>
  <c r="DC605" i="18"/>
  <c r="DC303" i="18"/>
  <c r="DB674" i="18"/>
  <c r="DC611" i="18"/>
  <c r="DC573" i="18"/>
  <c r="DO666" i="18"/>
  <c r="DD350" i="18"/>
  <c r="DM303" i="18"/>
  <c r="CZ666" i="18"/>
  <c r="K573" i="18"/>
  <c r="DO906" i="18"/>
  <c r="DC589" i="18"/>
  <c r="DO799" i="18"/>
  <c r="DC693" i="18"/>
  <c r="CZ833" i="18"/>
  <c r="DM494" i="18"/>
  <c r="DO173" i="18"/>
  <c r="DD688" i="18"/>
  <c r="DB693" i="18"/>
  <c r="DM867" i="18"/>
  <c r="DA605" i="18"/>
  <c r="DA589" i="18"/>
  <c r="DN693" i="18"/>
  <c r="CZ573" i="18"/>
  <c r="DB828" i="18"/>
  <c r="DA600" i="18"/>
  <c r="DN181" i="18"/>
  <c r="DD661" i="18"/>
  <c r="DB688" i="18"/>
  <c r="DO509" i="18"/>
  <c r="DC584" i="18"/>
  <c r="DN350" i="18"/>
  <c r="DC688" i="18"/>
  <c r="DM688" i="18"/>
  <c r="CZ58" i="18"/>
  <c r="DO746" i="18"/>
  <c r="DO728" i="18"/>
  <c r="DO330" i="18"/>
  <c r="DA625" i="18"/>
  <c r="EG61" i="18"/>
  <c r="DN666" i="18"/>
  <c r="DA867" i="18"/>
  <c r="DC546" i="18"/>
  <c r="DM330" i="18"/>
  <c r="DO103" i="18"/>
  <c r="DB722" i="18"/>
  <c r="DB852" i="18"/>
  <c r="DN296" i="18"/>
  <c r="CZ634" i="18"/>
  <c r="DC843" i="18"/>
  <c r="DC833" i="18"/>
  <c r="DB867" i="18"/>
  <c r="DN833" i="18"/>
  <c r="DD595" i="18"/>
  <c r="DO654" i="18"/>
  <c r="DO605" i="18"/>
  <c r="DD58" i="18"/>
  <c r="DO546" i="18"/>
  <c r="DM852" i="18"/>
  <c r="DO595" i="18"/>
  <c r="CZ37" i="18"/>
  <c r="CZ584" i="18"/>
  <c r="DO693" i="18"/>
  <c r="DN245" i="18"/>
  <c r="DN751" i="18"/>
  <c r="DO913" i="18"/>
  <c r="CZ103" i="18"/>
  <c r="DB823" i="18"/>
  <c r="DB843" i="18"/>
  <c r="DC625" i="18"/>
  <c r="DM857" i="18"/>
  <c r="DN458" i="18"/>
  <c r="DN649" i="18"/>
  <c r="DC700" i="18"/>
  <c r="CZ823" i="18"/>
  <c r="DB634" i="18"/>
  <c r="DO794" i="18"/>
  <c r="DB272" i="18"/>
  <c r="DD573" i="18"/>
  <c r="DD494" i="18"/>
  <c r="DC712" i="18"/>
  <c r="CZ499" i="18"/>
  <c r="DO828" i="18"/>
  <c r="DD634" i="18"/>
  <c r="DD611" i="18"/>
  <c r="DN781" i="18"/>
  <c r="DA688" i="18"/>
  <c r="DN600" i="18"/>
  <c r="DC666" i="18"/>
  <c r="DC634" i="18"/>
  <c r="DO804" i="18"/>
  <c r="DA644" i="18"/>
  <c r="DB644" i="18"/>
  <c r="CZ867" i="18"/>
  <c r="DO37" i="18"/>
  <c r="CZ654" i="18"/>
  <c r="DA350" i="18"/>
  <c r="DD857" i="18"/>
  <c r="DO897" i="18"/>
  <c r="DM712" i="18"/>
  <c r="DO722" i="18"/>
  <c r="DC661" i="18"/>
  <c r="CZ722" i="18"/>
  <c r="DC728" i="18"/>
  <c r="DM173" i="18"/>
  <c r="DN589" i="18"/>
  <c r="DN595" i="18"/>
  <c r="DB649" i="18"/>
  <c r="DD625" i="18"/>
  <c r="DN37" i="18"/>
  <c r="DN661" i="18"/>
  <c r="DO681" i="18"/>
  <c r="CZ595" i="18"/>
  <c r="DC681" i="18"/>
  <c r="DD828" i="18"/>
  <c r="DC722" i="18"/>
  <c r="CZ625" i="18"/>
  <c r="DD700" i="18"/>
  <c r="CZ852" i="18"/>
  <c r="DD833" i="18"/>
  <c r="DO843" i="18"/>
  <c r="DD330" i="18"/>
  <c r="DN954" i="18"/>
  <c r="DN330" i="18"/>
  <c r="DO876" i="18"/>
  <c r="DA843" i="18"/>
  <c r="DM674" i="18"/>
  <c r="DD173" i="18"/>
  <c r="DC266" i="18"/>
  <c r="DO816" i="18"/>
  <c r="DN823" i="18"/>
  <c r="DD681" i="18"/>
  <c r="DN494" i="18"/>
  <c r="DC173" i="18"/>
  <c r="DA700" i="18"/>
  <c r="DB728" i="18"/>
  <c r="DD584" i="18"/>
  <c r="DO245" i="18"/>
  <c r="DN945" i="18"/>
  <c r="DO573" i="18"/>
  <c r="DO823" i="18"/>
  <c r="DB625" i="18"/>
  <c r="DN103" i="18"/>
  <c r="CZ605" i="18"/>
  <c r="DD589" i="18"/>
  <c r="DN272" i="18"/>
  <c r="AZ611" i="18" l="1"/>
  <c r="AY705" i="18"/>
  <c r="AY693" i="18"/>
  <c r="AZ649" i="18"/>
  <c r="AZ784" i="18"/>
  <c r="BC58" i="18"/>
  <c r="BA589" i="18"/>
  <c r="BB973" i="18"/>
  <c r="BB781" i="18"/>
  <c r="BB722" i="18"/>
  <c r="BA605" i="18"/>
  <c r="BA661" i="18"/>
  <c r="BA654" i="18"/>
  <c r="BB649" i="18"/>
  <c r="BB589" i="18"/>
  <c r="AZ828" i="18"/>
  <c r="BA852" i="18"/>
  <c r="BC738" i="18"/>
  <c r="BC458" i="18"/>
  <c r="BC644" i="18"/>
  <c r="AZ876" i="18"/>
  <c r="AZ509" i="18"/>
  <c r="BC532" i="18"/>
  <c r="AY649" i="18"/>
  <c r="AZ397" i="18"/>
  <c r="BB968" i="18"/>
  <c r="AZ584" i="18"/>
  <c r="AY867" i="18"/>
  <c r="AY722" i="18"/>
  <c r="BB930" i="18"/>
  <c r="BC499" i="18"/>
  <c r="AZ494" i="18"/>
  <c r="AZ303" i="18"/>
  <c r="BB681" i="18"/>
  <c r="BA611" i="18"/>
  <c r="BA867" i="18"/>
  <c r="BB784" i="18"/>
  <c r="BB799" i="18"/>
  <c r="BC595" i="18"/>
  <c r="AY573" i="18"/>
  <c r="BC828" i="18"/>
  <c r="BB173" i="18"/>
  <c r="AZ666" i="18"/>
  <c r="BL494" i="18"/>
  <c r="N101" i="21"/>
  <c r="AN368" i="18"/>
  <c r="BB756" i="18"/>
  <c r="AZ605" i="18"/>
  <c r="BA681" i="18"/>
  <c r="AY728" i="18"/>
  <c r="AZ968" i="18"/>
  <c r="BB897" i="18"/>
  <c r="BB625" i="18"/>
  <c r="BA600" i="18"/>
  <c r="AY674" i="18"/>
  <c r="AZ882" i="18"/>
  <c r="BA397" i="18"/>
  <c r="AF250" i="18"/>
  <c r="AH250" i="18" s="1"/>
  <c r="AH246" i="18" s="1"/>
  <c r="L23" i="21"/>
  <c r="BK109" i="18"/>
  <c r="AY584" i="18"/>
  <c r="BB833" i="18"/>
  <c r="AZ458" i="18"/>
  <c r="BC625" i="18"/>
  <c r="BC649" i="18"/>
  <c r="BA738" i="18"/>
  <c r="AY654" i="18"/>
  <c r="BB867" i="18"/>
  <c r="BB532" i="18"/>
  <c r="BA644" i="18"/>
  <c r="AZ532" i="18"/>
  <c r="BB397" i="18"/>
  <c r="BC693" i="18"/>
  <c r="BC661" i="18"/>
  <c r="BB605" i="18"/>
  <c r="BC37" i="18"/>
  <c r="BC573" i="18"/>
  <c r="AY843" i="18"/>
  <c r="BC103" i="18"/>
  <c r="AY738" i="18"/>
  <c r="BB789" i="18"/>
  <c r="AZ751" i="18"/>
  <c r="BC700" i="18"/>
  <c r="AZ867" i="18"/>
  <c r="BB857" i="18"/>
  <c r="AZ654" i="18"/>
  <c r="BB458" i="18"/>
  <c r="BB852" i="18"/>
  <c r="BB494" i="18"/>
  <c r="BB600" i="18"/>
  <c r="BB103" i="18"/>
  <c r="AZ954" i="18"/>
  <c r="BA649" i="18"/>
  <c r="AY605" i="18"/>
  <c r="AZ810" i="18"/>
  <c r="BB509" i="18"/>
  <c r="AZ634" i="18"/>
  <c r="BC674" i="18"/>
  <c r="BC589" i="18"/>
  <c r="BA303" i="18"/>
  <c r="BB499" i="18"/>
  <c r="BB751" i="18"/>
  <c r="AZ862" i="18"/>
  <c r="AZ700" i="18"/>
  <c r="AZ173" i="18"/>
  <c r="BC728" i="18"/>
  <c r="BA584" i="18"/>
  <c r="AY666" i="18"/>
  <c r="BB661" i="18"/>
  <c r="BC688" i="18"/>
  <c r="AZ852" i="18"/>
  <c r="BB59" i="18"/>
  <c r="AZ59" i="18"/>
  <c r="BB584" i="18"/>
  <c r="AZ688" i="18"/>
  <c r="AY688" i="18"/>
  <c r="AZ674" i="18"/>
  <c r="BB688" i="18"/>
  <c r="AZ681" i="18"/>
  <c r="BB611" i="18"/>
  <c r="BB906" i="18"/>
  <c r="BA833" i="18"/>
  <c r="AZ930" i="18"/>
  <c r="AZ728" i="18"/>
  <c r="BC712" i="18"/>
  <c r="BB700" i="18"/>
  <c r="BC634" i="18"/>
  <c r="AZ794" i="18"/>
  <c r="BC823" i="18"/>
  <c r="BC705" i="18"/>
  <c r="AY852" i="18"/>
  <c r="AZ945" i="18"/>
  <c r="AZ540" i="18"/>
  <c r="BB728" i="18"/>
  <c r="AY823" i="18"/>
  <c r="AZ913" i="18"/>
  <c r="AZ843" i="18"/>
  <c r="AZ823" i="18"/>
  <c r="BC540" i="18"/>
  <c r="BA705" i="18"/>
  <c r="BB595" i="18"/>
  <c r="BB767" i="18"/>
  <c r="BB674" i="18"/>
  <c r="BC833" i="18"/>
  <c r="AZ816" i="18"/>
  <c r="AY700" i="18"/>
  <c r="BK573" i="18"/>
  <c r="L120" i="21"/>
  <c r="BB945" i="18"/>
  <c r="BB843" i="18"/>
  <c r="AZ37" i="18"/>
  <c r="BC862" i="18"/>
  <c r="BC857" i="18"/>
  <c r="AO368" i="18"/>
  <c r="BL266" i="18"/>
  <c r="N54" i="21"/>
  <c r="BA843" i="18"/>
  <c r="BB828" i="18"/>
  <c r="BC397" i="18"/>
  <c r="BB540" i="18"/>
  <c r="AZ906" i="18"/>
  <c r="AZ589" i="18"/>
  <c r="AY644" i="18"/>
  <c r="BB705" i="18"/>
  <c r="AZ600" i="18"/>
  <c r="BB804" i="18"/>
  <c r="BB634" i="18"/>
  <c r="BA634" i="18"/>
  <c r="AZ804" i="18"/>
  <c r="AY661" i="18"/>
  <c r="AZ499" i="18"/>
  <c r="AZ799" i="18"/>
  <c r="AY862" i="18"/>
  <c r="AZ973" i="18"/>
  <c r="BB37" i="18"/>
  <c r="BB862" i="18"/>
  <c r="AY857" i="18"/>
  <c r="AZ573" i="18"/>
  <c r="BB913" i="18"/>
  <c r="BA823" i="18"/>
  <c r="AZ705" i="18"/>
  <c r="BC173" i="18"/>
  <c r="BB961" i="18"/>
  <c r="N103" i="21"/>
  <c r="BL509" i="18"/>
  <c r="BA666" i="18"/>
  <c r="AZ961" i="18"/>
  <c r="BA573" i="18"/>
  <c r="BC843" i="18"/>
  <c r="BB794" i="18"/>
  <c r="AZ897" i="18"/>
  <c r="AY681" i="18"/>
  <c r="BA688" i="18"/>
  <c r="BC600" i="18"/>
  <c r="BA828" i="18"/>
  <c r="AZ789" i="18"/>
  <c r="BC722" i="18"/>
  <c r="BA712" i="18"/>
  <c r="BC654" i="18"/>
  <c r="N23" i="21"/>
  <c r="BL109" i="18"/>
  <c r="AZ693" i="18"/>
  <c r="BA625" i="18"/>
  <c r="BA674" i="18"/>
  <c r="AZ781" i="18"/>
  <c r="AY589" i="18"/>
  <c r="AY712" i="18"/>
  <c r="AZ595" i="18"/>
  <c r="BB546" i="18"/>
  <c r="AZ712" i="18"/>
  <c r="BB738" i="18"/>
  <c r="AY625" i="18"/>
  <c r="AZ181" i="18"/>
  <c r="BB712" i="18"/>
  <c r="BA509" i="18"/>
  <c r="BC181" i="18"/>
  <c r="BB303" i="18"/>
  <c r="BB882" i="18"/>
  <c r="BC611" i="18"/>
  <c r="AZ833" i="18"/>
  <c r="AY634" i="18"/>
  <c r="AZ625" i="18"/>
  <c r="BA728" i="18"/>
  <c r="BC867" i="18"/>
  <c r="BB644" i="18"/>
  <c r="BB876" i="18"/>
  <c r="AZ722" i="18"/>
  <c r="BC584" i="18"/>
  <c r="BC303" i="18"/>
  <c r="BL397" i="18"/>
  <c r="N82" i="21"/>
  <c r="BB573" i="18"/>
  <c r="AY611" i="18"/>
  <c r="BB816" i="18"/>
  <c r="BB772" i="18"/>
  <c r="BB810" i="18"/>
  <c r="AZ756" i="18"/>
  <c r="BC852" i="18"/>
  <c r="BB693" i="18"/>
  <c r="AY600" i="18"/>
  <c r="BC494" i="18"/>
  <c r="AY595" i="18"/>
  <c r="AY833" i="18"/>
  <c r="BB181" i="18"/>
  <c r="N172" i="21"/>
  <c r="BL804" i="18"/>
  <c r="AY828" i="18"/>
  <c r="BA595" i="18"/>
  <c r="AZ546" i="18"/>
  <c r="BA693" i="18"/>
  <c r="N170" i="21"/>
  <c r="BL799" i="18"/>
  <c r="AZ772" i="18"/>
  <c r="BA722" i="18"/>
  <c r="BC509" i="18"/>
  <c r="AZ746" i="18"/>
  <c r="BB666" i="18"/>
  <c r="BA700" i="18"/>
  <c r="BC666" i="18"/>
  <c r="AZ857" i="18"/>
  <c r="BB654" i="18"/>
  <c r="BB746" i="18"/>
  <c r="BA857" i="18"/>
  <c r="BC605" i="18"/>
  <c r="AZ644" i="18"/>
  <c r="AZ661" i="18"/>
  <c r="BB823" i="18"/>
  <c r="BA862" i="18"/>
  <c r="AZ738" i="18"/>
  <c r="AZ767" i="18"/>
  <c r="AZ103" i="18"/>
  <c r="BC546" i="18"/>
  <c r="BB954" i="18"/>
  <c r="U250" i="18"/>
  <c r="EV250" i="18" s="1"/>
  <c r="I43" i="4"/>
  <c r="V43" i="4" s="1"/>
  <c r="D33" i="4"/>
  <c r="M33" i="4"/>
  <c r="M16" i="4" s="1"/>
  <c r="W250" i="18" l="1"/>
  <c r="CU250" i="18"/>
  <c r="E250" i="18" s="1"/>
  <c r="D16" i="4"/>
  <c r="M31" i="4"/>
  <c r="M14" i="4" l="1"/>
  <c r="H64" i="8" s="1"/>
  <c r="H66" i="8" l="1"/>
  <c r="V64" i="8"/>
  <c r="V66" i="8" l="1"/>
  <c r="H67" i="8"/>
  <c r="V67" i="8" s="1"/>
  <c r="J29" i="4"/>
  <c r="D31" i="4"/>
  <c r="D14" i="4" l="1"/>
  <c r="W29" i="4"/>
  <c r="D27" i="4"/>
  <c r="D10" i="4" l="1"/>
  <c r="E64" i="8"/>
  <c r="K44" i="4"/>
  <c r="D29" i="4"/>
  <c r="DO96" i="18"/>
  <c r="DO7" i="18"/>
  <c r="DF563" i="18"/>
  <c r="DJ563" i="18"/>
  <c r="DO40" i="18"/>
  <c r="CZ477" i="18"/>
  <c r="DK13" i="18"/>
  <c r="DA407" i="18"/>
  <c r="M563" i="18"/>
  <c r="DO402" i="18"/>
  <c r="DA310" i="18"/>
  <c r="DA236" i="18"/>
  <c r="DM281" i="18"/>
  <c r="DO320" i="18"/>
  <c r="DJ16" i="18"/>
  <c r="DB577" i="18"/>
  <c r="DM85" i="18"/>
  <c r="DN424" i="18"/>
  <c r="DA13" i="18"/>
  <c r="DK7" i="18"/>
  <c r="DH553" i="18"/>
  <c r="DB236" i="18"/>
  <c r="DC291" i="18"/>
  <c r="DE563" i="18"/>
  <c r="DM472" i="18"/>
  <c r="DN419" i="18"/>
  <c r="M373" i="18"/>
  <c r="DB137" i="18"/>
  <c r="M236" i="18"/>
  <c r="K330" i="18"/>
  <c r="M330" i="18"/>
  <c r="DK553" i="18"/>
  <c r="DD49" i="18"/>
  <c r="DH477" i="18"/>
  <c r="DO365" i="18"/>
  <c r="DO477" i="18"/>
  <c r="K558" i="18"/>
  <c r="M360" i="18"/>
  <c r="DC482" i="18"/>
  <c r="DN315" i="18"/>
  <c r="DB281" i="18"/>
  <c r="DJ22" i="18"/>
  <c r="DC197" i="18"/>
  <c r="DC365" i="18"/>
  <c r="DN143" i="18"/>
  <c r="DC27" i="18"/>
  <c r="DC148" i="18"/>
  <c r="DB337" i="18"/>
  <c r="DB412" i="18"/>
  <c r="DC310" i="18"/>
  <c r="DM487" i="18"/>
  <c r="DO527" i="18"/>
  <c r="DO450" i="18"/>
  <c r="DD577" i="18"/>
  <c r="DM109" i="18"/>
  <c r="DD477" i="18"/>
  <c r="EG43" i="18"/>
  <c r="CZ34" i="18"/>
  <c r="M231" i="18"/>
  <c r="DM129" i="18"/>
  <c r="DD257" i="18"/>
  <c r="DD129" i="18"/>
  <c r="DM188" i="18"/>
  <c r="DD337" i="18"/>
  <c r="DM373" i="18"/>
  <c r="DN85" i="18"/>
  <c r="DM402" i="18"/>
  <c r="DL477" i="18"/>
  <c r="CZ40" i="18"/>
  <c r="DB419" i="18"/>
  <c r="K236" i="18"/>
  <c r="DN553" i="18"/>
  <c r="DA281" i="18"/>
  <c r="DI553" i="18"/>
  <c r="DD315" i="18"/>
  <c r="DD231" i="18"/>
  <c r="DD10" i="18"/>
  <c r="DM407" i="18"/>
  <c r="DO472" i="18"/>
  <c r="DN325" i="18"/>
  <c r="DC281" i="18"/>
  <c r="DO281" i="18"/>
  <c r="DO558" i="18"/>
  <c r="CZ482" i="18"/>
  <c r="DD197" i="18"/>
  <c r="DF10" i="18"/>
  <c r="DB22" i="18"/>
  <c r="DM344" i="18"/>
  <c r="DD236" i="18"/>
  <c r="DN231" i="18"/>
  <c r="DD137" i="18"/>
  <c r="DC553" i="18"/>
  <c r="DN558" i="18"/>
  <c r="DO325" i="18"/>
  <c r="DM69" i="18"/>
  <c r="DN120" i="18"/>
  <c r="CZ344" i="18"/>
  <c r="M577" i="18"/>
  <c r="DM315" i="18"/>
  <c r="M197" i="18"/>
  <c r="CZ419" i="18"/>
  <c r="DD365" i="18"/>
  <c r="CZ10" i="18"/>
  <c r="DF13" i="18"/>
  <c r="DD558" i="18"/>
  <c r="DJ10" i="18"/>
  <c r="DL22" i="18"/>
  <c r="DC188" i="18"/>
  <c r="DO231" i="18"/>
  <c r="DE553" i="18"/>
  <c r="DN34" i="18"/>
  <c r="DA291" i="18"/>
  <c r="M310" i="18"/>
  <c r="DD373" i="18"/>
  <c r="CZ75" i="18"/>
  <c r="DC129" i="18"/>
  <c r="DI563" i="18"/>
  <c r="DM137" i="18"/>
  <c r="DD69" i="18"/>
  <c r="DN482" i="18"/>
  <c r="DO291" i="18"/>
  <c r="DN16" i="18"/>
  <c r="DM49" i="18"/>
  <c r="DD216" i="18"/>
  <c r="DA27" i="18"/>
  <c r="DB315" i="18"/>
  <c r="DN291" i="18"/>
  <c r="DM424" i="18"/>
  <c r="DF22" i="18"/>
  <c r="DF553" i="18"/>
  <c r="DJ13" i="18"/>
  <c r="DD75" i="18"/>
  <c r="CZ7" i="18"/>
  <c r="K337" i="18"/>
  <c r="DD27" i="18"/>
  <c r="DC407" i="18"/>
  <c r="DN477" i="18"/>
  <c r="DH161" i="18"/>
  <c r="DM27" i="18"/>
  <c r="DN96" i="18"/>
  <c r="DO22" i="18"/>
  <c r="DB344" i="18"/>
  <c r="DN365" i="18"/>
  <c r="DN49" i="18"/>
  <c r="DF477" i="18"/>
  <c r="DD568" i="18"/>
  <c r="CZ96" i="18"/>
  <c r="CZ16" i="18"/>
  <c r="DJ161" i="18"/>
  <c r="DN281" i="18"/>
  <c r="EG45" i="18"/>
  <c r="DM527" i="18"/>
  <c r="DM291" i="18"/>
  <c r="CZ365" i="18"/>
  <c r="CZ472" i="18"/>
  <c r="CZ291" i="18"/>
  <c r="M350" i="18"/>
  <c r="CZ148" i="18"/>
  <c r="DC120" i="18"/>
  <c r="DM120" i="18"/>
  <c r="DM216" i="18"/>
  <c r="DB291" i="18"/>
  <c r="DC143" i="18"/>
  <c r="CZ373" i="18"/>
  <c r="CZ188" i="18"/>
  <c r="DO344" i="18"/>
  <c r="DO10" i="18"/>
  <c r="DN58" i="18"/>
  <c r="DB310" i="18"/>
  <c r="DC64" i="18"/>
  <c r="K577" i="18"/>
  <c r="DD153" i="18"/>
  <c r="DA22" i="18"/>
  <c r="CZ216" i="18"/>
  <c r="DB286" i="18"/>
  <c r="DO27" i="18"/>
  <c r="DD527" i="18"/>
  <c r="DC344" i="18"/>
  <c r="DM257" i="18"/>
  <c r="DO13" i="18"/>
  <c r="DM519" i="18"/>
  <c r="DM148" i="18"/>
  <c r="DG477" i="18"/>
  <c r="DD563" i="18"/>
  <c r="DO109" i="18"/>
  <c r="DA231" i="18"/>
  <c r="DN337" i="18"/>
  <c r="DD482" i="18"/>
  <c r="CZ236" i="18"/>
  <c r="DO188" i="18"/>
  <c r="DD320" i="18"/>
  <c r="DD16" i="18"/>
  <c r="DC373" i="18"/>
  <c r="DN13" i="18"/>
  <c r="M257" i="18"/>
  <c r="DG563" i="18"/>
  <c r="DM236" i="18"/>
  <c r="DM412" i="18"/>
  <c r="DO577" i="18"/>
  <c r="DA568" i="18"/>
  <c r="DF161" i="18"/>
  <c r="DB153" i="18"/>
  <c r="DK161" i="18"/>
  <c r="DJ553" i="18"/>
  <c r="DN577" i="18"/>
  <c r="DD412" i="18"/>
  <c r="DB34" i="18"/>
  <c r="DC34" i="18"/>
  <c r="DL16" i="18"/>
  <c r="DB477" i="18"/>
  <c r="DM337" i="18"/>
  <c r="DD40" i="18"/>
  <c r="DC7" i="18"/>
  <c r="DC49" i="18"/>
  <c r="DM445" i="18"/>
  <c r="DO487" i="18"/>
  <c r="M595" i="18"/>
  <c r="DN137" i="18"/>
  <c r="DC477" i="18"/>
  <c r="DM419" i="18"/>
  <c r="DO337" i="18"/>
  <c r="DO49" i="18"/>
  <c r="DA7" i="18"/>
  <c r="DO153" i="18"/>
  <c r="DB197" i="18"/>
  <c r="DN402" i="18"/>
  <c r="CZ412" i="18"/>
  <c r="DD344" i="18"/>
  <c r="DN487" i="18"/>
  <c r="DC472" i="18"/>
  <c r="DL553" i="18"/>
  <c r="DN7" i="18"/>
  <c r="DD109" i="18"/>
  <c r="DO563" i="18"/>
  <c r="DB373" i="18"/>
  <c r="DC337" i="18"/>
  <c r="DM96" i="18"/>
  <c r="DO568" i="18"/>
  <c r="DH563" i="18"/>
  <c r="DC320" i="18"/>
  <c r="DB10" i="18"/>
  <c r="CZ519" i="18"/>
  <c r="DN563" i="18"/>
  <c r="DN472" i="18"/>
  <c r="DN445" i="18"/>
  <c r="DA197" i="18"/>
  <c r="DN257" i="18"/>
  <c r="DO197" i="18"/>
  <c r="DN310" i="18"/>
  <c r="M688" i="18"/>
  <c r="DA286" i="18"/>
  <c r="DL161" i="18"/>
  <c r="DM450" i="18"/>
  <c r="DD450" i="18"/>
  <c r="DL7" i="18"/>
  <c r="DC487" i="18"/>
  <c r="CZ257" i="18"/>
  <c r="DO143" i="18"/>
  <c r="M407" i="18"/>
  <c r="M344" i="18"/>
  <c r="DO419" i="18"/>
  <c r="DO519" i="18"/>
  <c r="DN188" i="18"/>
  <c r="M472" i="18"/>
  <c r="DB472" i="18"/>
  <c r="DM231" i="18"/>
  <c r="DM153" i="18"/>
  <c r="DC137" i="18"/>
  <c r="DJ7" i="18"/>
  <c r="DE161" i="18"/>
  <c r="K412" i="18"/>
  <c r="DG553" i="18"/>
  <c r="M296" i="18"/>
  <c r="DB424" i="18"/>
  <c r="DC558" i="18"/>
  <c r="DC69" i="18"/>
  <c r="DF34" i="18"/>
  <c r="DA337" i="18"/>
  <c r="DA257" i="18"/>
  <c r="DN412" i="18"/>
  <c r="CZ13" i="18"/>
  <c r="CZ286" i="18"/>
  <c r="DO64" i="18"/>
  <c r="DC519" i="18"/>
  <c r="DC402" i="18"/>
  <c r="DC450" i="18"/>
  <c r="DN197" i="18"/>
  <c r="DN450" i="18"/>
  <c r="DF16" i="18"/>
  <c r="DA558" i="18"/>
  <c r="CZ69" i="18"/>
  <c r="DD472" i="18"/>
  <c r="DO16" i="18"/>
  <c r="DO75" i="18"/>
  <c r="DN10" i="18"/>
  <c r="DN75" i="18"/>
  <c r="DD424" i="18"/>
  <c r="DO424" i="18"/>
  <c r="DF7" i="18"/>
  <c r="DD7" i="18"/>
  <c r="CZ320" i="18"/>
  <c r="CZ129" i="18"/>
  <c r="DL563" i="18"/>
  <c r="DN148" i="18"/>
  <c r="CZ527" i="18"/>
  <c r="CZ64" i="18"/>
  <c r="DJ477" i="18"/>
  <c r="DC40" i="18"/>
  <c r="DK477" i="18"/>
  <c r="M245" i="18"/>
  <c r="DD445" i="18"/>
  <c r="DD13" i="18"/>
  <c r="DI477" i="18"/>
  <c r="DM197" i="18"/>
  <c r="K231" i="18"/>
  <c r="DN527" i="18"/>
  <c r="DD291" i="18"/>
  <c r="CZ22" i="18"/>
  <c r="DB320" i="18"/>
  <c r="DD281" i="18"/>
  <c r="DM64" i="18"/>
  <c r="CZ27" i="18"/>
  <c r="DK22" i="18"/>
  <c r="DN320" i="18"/>
  <c r="DO445" i="18"/>
  <c r="CZ49" i="18"/>
  <c r="DM143" i="18"/>
  <c r="DC445" i="18"/>
  <c r="DC286" i="18"/>
  <c r="DC16" i="18"/>
  <c r="DB553" i="18"/>
  <c r="DM577" i="18"/>
  <c r="DL13" i="18"/>
  <c r="DN40" i="18"/>
  <c r="DO148" i="18"/>
  <c r="DA10" i="18"/>
  <c r="DN27" i="18"/>
  <c r="DO553" i="18"/>
  <c r="DN407" i="18"/>
  <c r="DK563" i="18"/>
  <c r="DB407" i="18"/>
  <c r="DB13" i="18"/>
  <c r="DD148" i="18"/>
  <c r="DM40" i="18"/>
  <c r="CZ445" i="18"/>
  <c r="CZ487" i="18"/>
  <c r="DA402" i="18"/>
  <c r="DB558" i="18"/>
  <c r="DO236" i="18"/>
  <c r="DD286" i="18"/>
  <c r="DM568" i="18"/>
  <c r="DM558" i="18"/>
  <c r="DD402" i="18"/>
  <c r="DD64" i="18"/>
  <c r="CZ402" i="18"/>
  <c r="DO34" i="18"/>
  <c r="DO407" i="18"/>
  <c r="DI161" i="18"/>
  <c r="DN519" i="18"/>
  <c r="CZ310" i="18"/>
  <c r="DN129" i="18"/>
  <c r="CZ553" i="18"/>
  <c r="DB7" i="18"/>
  <c r="CZ153" i="18"/>
  <c r="K257" i="18"/>
  <c r="DO85" i="18"/>
  <c r="DK10" i="18"/>
  <c r="DB402" i="18"/>
  <c r="CZ577" i="18"/>
  <c r="DC419" i="18"/>
  <c r="M558" i="18"/>
  <c r="DB568" i="18"/>
  <c r="M356" i="18"/>
  <c r="DC109" i="18"/>
  <c r="DA344" i="18"/>
  <c r="DB257" i="18"/>
  <c r="K568" i="18"/>
  <c r="DC22" i="18"/>
  <c r="M337" i="18"/>
  <c r="DO58" i="18"/>
  <c r="CZ558" i="18"/>
  <c r="DL10" i="18"/>
  <c r="DD22" i="18"/>
  <c r="DD407" i="18"/>
  <c r="CZ424" i="18"/>
  <c r="DC236" i="18"/>
  <c r="DM320" i="18"/>
  <c r="DC10" i="18"/>
  <c r="DC216" i="18"/>
  <c r="DD34" i="18"/>
  <c r="DM482" i="18"/>
  <c r="DO257" i="18"/>
  <c r="DC568" i="18"/>
  <c r="DC577" i="18"/>
  <c r="CZ137" i="18"/>
  <c r="DC257" i="18"/>
  <c r="DD487" i="18"/>
  <c r="DC75" i="18"/>
  <c r="DO310" i="18"/>
  <c r="DD188" i="18"/>
  <c r="K344" i="18"/>
  <c r="DA412" i="18"/>
  <c r="DD85" i="18"/>
  <c r="DB563" i="18"/>
  <c r="DG161" i="18"/>
  <c r="CZ568" i="18"/>
  <c r="DM365" i="18"/>
  <c r="DN568" i="18"/>
  <c r="CZ563" i="18"/>
  <c r="DA577" i="18"/>
  <c r="CZ337" i="18"/>
  <c r="DC13" i="18"/>
  <c r="DB148" i="18"/>
  <c r="K407" i="18"/>
  <c r="DC563" i="18"/>
  <c r="DC527" i="18"/>
  <c r="DD519" i="18"/>
  <c r="DB231" i="18"/>
  <c r="DB325" i="18"/>
  <c r="DD143" i="18"/>
  <c r="DO129" i="18"/>
  <c r="DO216" i="18"/>
  <c r="CZ325" i="18"/>
  <c r="DK16" i="18"/>
  <c r="DM310" i="18"/>
  <c r="DN69" i="18"/>
  <c r="DA16" i="18"/>
  <c r="DD325" i="18"/>
  <c r="DN22" i="18"/>
  <c r="DC96" i="18"/>
  <c r="DD120" i="18"/>
  <c r="DO120" i="18"/>
  <c r="K310" i="18"/>
  <c r="DM325" i="18"/>
  <c r="CZ315" i="18"/>
  <c r="CZ407" i="18"/>
  <c r="DO315" i="18"/>
  <c r="M303" i="18"/>
  <c r="DO412" i="18"/>
  <c r="CZ450" i="18"/>
  <c r="K197" i="18"/>
  <c r="DD96" i="18"/>
  <c r="DN109" i="18"/>
  <c r="CZ85" i="18"/>
  <c r="M412" i="18"/>
  <c r="CZ109" i="18"/>
  <c r="DO373" i="18"/>
  <c r="CZ197" i="18"/>
  <c r="DC325" i="18"/>
  <c r="DN373" i="18"/>
  <c r="DN344" i="18"/>
  <c r="DC412" i="18"/>
  <c r="DN236" i="18"/>
  <c r="DM286" i="18"/>
  <c r="M281" i="18"/>
  <c r="CZ120" i="18"/>
  <c r="DC153" i="18"/>
  <c r="DN286" i="18"/>
  <c r="DC315" i="18"/>
  <c r="K296" i="18"/>
  <c r="DC85" i="18"/>
  <c r="DN64" i="18"/>
  <c r="DC424" i="18"/>
  <c r="DC231" i="18"/>
  <c r="CZ231" i="18"/>
  <c r="DN153" i="18"/>
  <c r="DO69" i="18"/>
  <c r="DN216" i="18"/>
  <c r="DO137" i="18"/>
  <c r="DD553" i="18"/>
  <c r="CZ143" i="18"/>
  <c r="M424" i="18"/>
  <c r="DA34" i="18"/>
  <c r="DE477" i="18"/>
  <c r="DB16" i="18"/>
  <c r="DD419" i="18"/>
  <c r="DO482" i="18"/>
  <c r="DO286" i="18"/>
  <c r="DD310" i="18"/>
  <c r="K350" i="18"/>
  <c r="DM75" i="18"/>
  <c r="BC527" i="18" l="1"/>
  <c r="BB49" i="18"/>
  <c r="BA563" i="18"/>
  <c r="BB40" i="18"/>
  <c r="BB58" i="18"/>
  <c r="AZ419" i="18"/>
  <c r="BB487" i="18"/>
  <c r="BC558" i="18"/>
  <c r="AZ445" i="18"/>
  <c r="BC373" i="18"/>
  <c r="BB85" i="18"/>
  <c r="BB553" i="18"/>
  <c r="AZ137" i="18"/>
  <c r="N39" i="21"/>
  <c r="BL197" i="18"/>
  <c r="N118" i="21"/>
  <c r="BL563" i="18"/>
  <c r="AZ412" i="18"/>
  <c r="BC325" i="18"/>
  <c r="AZ96" i="18"/>
  <c r="AY407" i="18"/>
  <c r="BB373" i="18"/>
  <c r="BC188" i="18"/>
  <c r="AZ148" i="18"/>
  <c r="BA10" i="18"/>
  <c r="AY236" i="18"/>
  <c r="AD237" i="18" s="1"/>
  <c r="BC291" i="18"/>
  <c r="BB325" i="18"/>
  <c r="BB10" i="18"/>
  <c r="BA553" i="18"/>
  <c r="AZ109" i="18"/>
  <c r="BB148" i="18"/>
  <c r="BC310" i="18"/>
  <c r="N63" i="21"/>
  <c r="BL310" i="18"/>
  <c r="BL595" i="18"/>
  <c r="N126" i="21"/>
  <c r="BB7" i="18"/>
  <c r="N70" i="21"/>
  <c r="BL344" i="18"/>
  <c r="BA402" i="18"/>
  <c r="W405" i="18" s="1"/>
  <c r="BA419" i="18"/>
  <c r="AZ153" i="18"/>
  <c r="BB120" i="18"/>
  <c r="BB64" i="18"/>
  <c r="AZ58" i="18"/>
  <c r="BK568" i="18"/>
  <c r="L119" i="21"/>
  <c r="BA148" i="18"/>
  <c r="AY558" i="18"/>
  <c r="AZ7" i="18"/>
  <c r="BC231" i="18"/>
  <c r="BB257" i="18"/>
  <c r="BB315" i="18"/>
  <c r="BK407" i="18"/>
  <c r="L84" i="21"/>
  <c r="BC137" i="18"/>
  <c r="AZ286" i="18"/>
  <c r="AY231" i="18"/>
  <c r="BB188" i="18"/>
  <c r="AZ143" i="18"/>
  <c r="BC337" i="18"/>
  <c r="AZ482" i="18"/>
  <c r="AY16" i="18"/>
  <c r="AZ257" i="18"/>
  <c r="BB558" i="18"/>
  <c r="AZ120" i="18"/>
  <c r="BC286" i="18"/>
  <c r="N75" i="21"/>
  <c r="BL360" i="18"/>
  <c r="BC148" i="18"/>
  <c r="BC13" i="18"/>
  <c r="BB34" i="18"/>
  <c r="AY310" i="18"/>
  <c r="BB216" i="18"/>
  <c r="BA310" i="18"/>
  <c r="AD313" i="18" s="1"/>
  <c r="AZ281" i="18"/>
  <c r="AZ197" i="18"/>
  <c r="BB568" i="18"/>
  <c r="AZ402" i="18"/>
  <c r="BC129" i="18"/>
  <c r="BA22" i="18"/>
  <c r="BB153" i="18"/>
  <c r="N62" i="21"/>
  <c r="BL303" i="18"/>
  <c r="N69" i="21"/>
  <c r="BL337" i="18"/>
  <c r="BL577" i="18"/>
  <c r="N121" i="21"/>
  <c r="AZ85" i="18"/>
  <c r="BC344" i="18"/>
  <c r="AJ133" i="18"/>
  <c r="AL133" i="18" s="1"/>
  <c r="BL373" i="18"/>
  <c r="N79" i="21"/>
  <c r="BB281" i="18"/>
  <c r="BA7" i="18"/>
  <c r="BC487" i="18"/>
  <c r="N84" i="21"/>
  <c r="BL407" i="18"/>
  <c r="N48" i="21"/>
  <c r="BL236" i="18"/>
  <c r="BB477" i="18"/>
  <c r="AZ315" i="18"/>
  <c r="BC320" i="18"/>
  <c r="AZ320" i="18"/>
  <c r="BA558" i="18"/>
  <c r="BC40" i="18"/>
  <c r="BA320" i="18"/>
  <c r="BB320" i="18"/>
  <c r="BB286" i="18"/>
  <c r="AY402" i="18"/>
  <c r="BC477" i="18"/>
  <c r="BA337" i="18"/>
  <c r="AZ487" i="18"/>
  <c r="AZ10" i="18"/>
  <c r="BB236" i="18"/>
  <c r="AY10" i="18"/>
  <c r="BB344" i="18"/>
  <c r="BA344" i="18"/>
  <c r="BB519" i="18"/>
  <c r="AY291" i="18"/>
  <c r="BB310" i="18"/>
  <c r="AY281" i="18"/>
  <c r="BA257" i="18"/>
  <c r="AN261" i="18" s="1"/>
  <c r="BA286" i="18"/>
  <c r="BC197" i="18"/>
  <c r="BL419" i="18"/>
  <c r="N86" i="21"/>
  <c r="AZ337" i="18"/>
  <c r="BK577" i="18"/>
  <c r="L121" i="21"/>
  <c r="BB337" i="18"/>
  <c r="AY257" i="18"/>
  <c r="AN258" i="18" s="1"/>
  <c r="BB419" i="18"/>
  <c r="BC424" i="18"/>
  <c r="BC553" i="18"/>
  <c r="AZ407" i="18"/>
  <c r="AY27" i="18"/>
  <c r="BA281" i="18"/>
  <c r="BA472" i="18"/>
  <c r="BA231" i="18"/>
  <c r="BK257" i="18"/>
  <c r="L52" i="21"/>
  <c r="AZ13" i="18"/>
  <c r="BC412" i="18"/>
  <c r="BC7" i="18"/>
  <c r="BL558" i="18"/>
  <c r="N117" i="21"/>
  <c r="BC419" i="18"/>
  <c r="BB13" i="18"/>
  <c r="BB472" i="18"/>
  <c r="BB27" i="18"/>
  <c r="BC577" i="18"/>
  <c r="BA153" i="18"/>
  <c r="BC64" i="18"/>
  <c r="BC563" i="18"/>
  <c r="BC257" i="18"/>
  <c r="AZ424" i="18"/>
  <c r="L117" i="21"/>
  <c r="BK558" i="18"/>
  <c r="BB365" i="18"/>
  <c r="AZ553" i="18"/>
  <c r="AZ310" i="18"/>
  <c r="BC10" i="18"/>
  <c r="BA407" i="18"/>
  <c r="BA424" i="18"/>
  <c r="AZ236" i="18"/>
  <c r="AZ216" i="18"/>
  <c r="AZ325" i="18"/>
  <c r="BB424" i="18"/>
  <c r="AZ291" i="18"/>
  <c r="L67" i="21"/>
  <c r="BK330" i="18"/>
  <c r="AZ472" i="18"/>
  <c r="BC16" i="18"/>
  <c r="AZ27" i="18"/>
  <c r="BB482" i="18"/>
  <c r="AY22" i="18"/>
  <c r="BA412" i="18"/>
  <c r="BA291" i="18"/>
  <c r="AZ129" i="18"/>
  <c r="AZ69" i="18"/>
  <c r="AZ568" i="18"/>
  <c r="BB231" i="18"/>
  <c r="BA137" i="18"/>
  <c r="W151" i="18" s="1"/>
  <c r="BA197" i="18"/>
  <c r="AZ527" i="18"/>
  <c r="BA325" i="18"/>
  <c r="AY568" i="18"/>
  <c r="BC236" i="18"/>
  <c r="N145" i="21"/>
  <c r="BL688" i="18"/>
  <c r="BB16" i="18"/>
  <c r="BC445" i="18"/>
  <c r="BA13" i="18"/>
  <c r="BB143" i="18"/>
  <c r="L72" i="21"/>
  <c r="BK350" i="18"/>
  <c r="L63" i="21"/>
  <c r="BK310" i="18"/>
  <c r="BC34" i="18"/>
  <c r="BC153" i="18"/>
  <c r="AZ188" i="18"/>
  <c r="BK236" i="18"/>
  <c r="L48" i="21"/>
  <c r="BC27" i="18"/>
  <c r="AY197" i="18"/>
  <c r="AD198" i="18" s="1"/>
  <c r="AY286" i="18"/>
  <c r="AZ563" i="18"/>
  <c r="BA315" i="18"/>
  <c r="AZ231" i="18"/>
  <c r="AZ519" i="18"/>
  <c r="BC22" i="18"/>
  <c r="AZ450" i="18"/>
  <c r="N85" i="21"/>
  <c r="BL412" i="18"/>
  <c r="AZ477" i="18"/>
  <c r="BC49" i="18"/>
  <c r="L85" i="21"/>
  <c r="BK412" i="18"/>
  <c r="AZ49" i="18"/>
  <c r="BC472" i="18"/>
  <c r="BB137" i="18"/>
  <c r="BA16" i="18"/>
  <c r="BL350" i="18"/>
  <c r="N72" i="21"/>
  <c r="BL281" i="18"/>
  <c r="N57" i="21"/>
  <c r="BL330" i="18"/>
  <c r="N67" i="21"/>
  <c r="BB69" i="18"/>
  <c r="AZ365" i="18"/>
  <c r="AY577" i="18"/>
  <c r="BC450" i="18"/>
  <c r="BL472" i="18"/>
  <c r="N95" i="21"/>
  <c r="BC407" i="18"/>
  <c r="BL296" i="18"/>
  <c r="N60" i="21"/>
  <c r="BC519" i="18"/>
  <c r="BL424" i="18"/>
  <c r="N87" i="21"/>
  <c r="BA236" i="18"/>
  <c r="BB109" i="18"/>
  <c r="BA577" i="18"/>
  <c r="BK344" i="18"/>
  <c r="L70" i="21"/>
  <c r="AZ16" i="18"/>
  <c r="AZ34" i="18"/>
  <c r="AZ22" i="18"/>
  <c r="BC402" i="18"/>
  <c r="BC120" i="18"/>
  <c r="AZ558" i="18"/>
  <c r="BB445" i="18"/>
  <c r="AY337" i="18"/>
  <c r="BB291" i="18"/>
  <c r="N47" i="21"/>
  <c r="BL231" i="18"/>
  <c r="AZ577" i="18"/>
  <c r="BB412" i="18"/>
  <c r="BC568" i="18"/>
  <c r="BA477" i="18"/>
  <c r="W480" i="18" s="1"/>
  <c r="AZ40" i="18"/>
  <c r="AZ344" i="18"/>
  <c r="BK231" i="18"/>
  <c r="L47" i="21"/>
  <c r="AZ75" i="18"/>
  <c r="L60" i="21"/>
  <c r="BK296" i="18"/>
  <c r="BC315" i="18"/>
  <c r="BA34" i="18"/>
  <c r="BC216" i="18"/>
  <c r="BB527" i="18"/>
  <c r="AY34" i="18"/>
  <c r="BB563" i="18"/>
  <c r="BC85" i="18"/>
  <c r="BA373" i="18"/>
  <c r="BL257" i="18"/>
  <c r="N52" i="21"/>
  <c r="BB577" i="18"/>
  <c r="BB96" i="18"/>
  <c r="AY412" i="18"/>
  <c r="BC365" i="18"/>
  <c r="AZ373" i="18"/>
  <c r="BB407" i="18"/>
  <c r="BK197" i="18"/>
  <c r="L39" i="21"/>
  <c r="AY7" i="18"/>
  <c r="AC2" i="19" s="1"/>
  <c r="AF2" i="19" s="1"/>
  <c r="C2" i="19" s="1"/>
  <c r="BC482" i="18"/>
  <c r="BB402" i="18"/>
  <c r="BC109" i="18"/>
  <c r="BL245" i="18"/>
  <c r="N51" i="21"/>
  <c r="AZ64" i="18"/>
  <c r="BB22" i="18"/>
  <c r="BB450" i="18"/>
  <c r="AF248" i="18"/>
  <c r="AH248" i="18" s="1"/>
  <c r="AD247" i="18" s="1"/>
  <c r="AJ247" i="18" s="1"/>
  <c r="AF246" i="18" s="1"/>
  <c r="AJ246" i="18" s="1"/>
  <c r="U246" i="18" s="1"/>
  <c r="CU246" i="18" s="1"/>
  <c r="E246" i="18" s="1"/>
  <c r="BK337" i="18"/>
  <c r="L69" i="21"/>
  <c r="BC96" i="18"/>
  <c r="BB197" i="18"/>
  <c r="BC143" i="18"/>
  <c r="BB75" i="18"/>
  <c r="BB129" i="18"/>
  <c r="BC75" i="18"/>
  <c r="BA568" i="18"/>
  <c r="BC69" i="18"/>
  <c r="BL356" i="18"/>
  <c r="N74" i="21"/>
  <c r="AY13" i="18"/>
  <c r="AY344" i="18"/>
  <c r="E33" i="8"/>
  <c r="D12" i="4"/>
  <c r="X44" i="4"/>
  <c r="E66" i="8"/>
  <c r="S64" i="8"/>
  <c r="G29" i="4"/>
  <c r="I30" i="4"/>
  <c r="H30" i="4"/>
  <c r="U30" i="4" s="1"/>
  <c r="J31" i="4"/>
  <c r="M477" i="18"/>
  <c r="M148" i="18"/>
  <c r="M402" i="18"/>
  <c r="AY345" i="18" l="1"/>
  <c r="AY338" i="18"/>
  <c r="BL148" i="18"/>
  <c r="N30" i="21"/>
  <c r="AN247" i="18"/>
  <c r="BA304" i="18"/>
  <c r="AX306" i="18" s="1"/>
  <c r="BA246" i="18"/>
  <c r="BA689" i="18" s="1"/>
  <c r="AD292" i="18"/>
  <c r="AF292" i="18"/>
  <c r="AY246" i="18"/>
  <c r="AY889" i="18" s="1"/>
  <c r="BL477" i="18"/>
  <c r="N96" i="21"/>
  <c r="BL402" i="18"/>
  <c r="N83" i="21"/>
  <c r="BA345" i="18"/>
  <c r="U248" i="18"/>
  <c r="W247" i="18"/>
  <c r="AF287" i="18"/>
  <c r="AH287" i="18" s="1"/>
  <c r="W287" i="18" s="1"/>
  <c r="EV246" i="18"/>
  <c r="AF282" i="18"/>
  <c r="AH282" i="18" s="1"/>
  <c r="W282" i="18" s="1"/>
  <c r="W246" i="18"/>
  <c r="BA338" i="18"/>
  <c r="W433" i="18"/>
  <c r="E67" i="8"/>
  <c r="S66" i="8"/>
  <c r="E49" i="8"/>
  <c r="AD30" i="4"/>
  <c r="V30" i="4"/>
  <c r="L7" i="8"/>
  <c r="T29" i="4"/>
  <c r="W31" i="4"/>
  <c r="S33" i="8"/>
  <c r="E35" i="8"/>
  <c r="K42" i="4"/>
  <c r="J27" i="4"/>
  <c r="K281" i="18"/>
  <c r="K245" i="18"/>
  <c r="K286" i="18"/>
  <c r="AY824" i="18" l="1"/>
  <c r="BA706" i="18"/>
  <c r="BA907" i="18"/>
  <c r="BA768" i="18"/>
  <c r="BA858" i="18"/>
  <c r="BA811" i="18"/>
  <c r="BA805" i="18"/>
  <c r="BA889" i="18"/>
  <c r="BA757" i="18"/>
  <c r="BA844" i="18"/>
  <c r="BA321" i="18"/>
  <c r="W323" i="18" s="1"/>
  <c r="BA824" i="18"/>
  <c r="BA877" i="18"/>
  <c r="BA287" i="18"/>
  <c r="AD289" i="18" s="1"/>
  <c r="BA747" i="18"/>
  <c r="BA817" i="18"/>
  <c r="BA937" i="18"/>
  <c r="BA829" i="18"/>
  <c r="BA723" i="18"/>
  <c r="BA925" i="18"/>
  <c r="BA752" i="18"/>
  <c r="BA773" i="18"/>
  <c r="BA800" i="18"/>
  <c r="BA868" i="18"/>
  <c r="BA931" i="18"/>
  <c r="BA292" i="18"/>
  <c r="AD294" i="18" s="1"/>
  <c r="BA677" i="18"/>
  <c r="BA718" i="18"/>
  <c r="BA694" i="18"/>
  <c r="BA946" i="18"/>
  <c r="BA883" i="18"/>
  <c r="BA795" i="18"/>
  <c r="BA955" i="18"/>
  <c r="BA739" i="18"/>
  <c r="BA790" i="18"/>
  <c r="BA920" i="18"/>
  <c r="BA962" i="18"/>
  <c r="BA316" i="18"/>
  <c r="W318" i="18" s="1"/>
  <c r="BA734" i="18"/>
  <c r="BA729" i="18"/>
  <c r="BA898" i="18"/>
  <c r="BA974" i="18"/>
  <c r="BA839" i="18"/>
  <c r="BA713" i="18"/>
  <c r="BA914" i="18"/>
  <c r="BA863" i="18"/>
  <c r="BA853" i="18"/>
  <c r="BA762" i="18"/>
  <c r="BA701" i="18"/>
  <c r="BA326" i="18"/>
  <c r="W328" i="18" s="1"/>
  <c r="BA834" i="18"/>
  <c r="AY962" i="18"/>
  <c r="AY844" i="18"/>
  <c r="AH292" i="18"/>
  <c r="W292" i="18" s="1"/>
  <c r="AY863" i="18"/>
  <c r="BA282" i="18"/>
  <c r="BA969" i="18"/>
  <c r="AY811" i="18"/>
  <c r="AY974" i="18"/>
  <c r="AY747" i="18"/>
  <c r="AY839" i="18"/>
  <c r="AY701" i="18"/>
  <c r="AY795" i="18"/>
  <c r="AY868" i="18"/>
  <c r="AY829" i="18"/>
  <c r="AY752" i="18"/>
  <c r="AY834" i="18"/>
  <c r="AY805" i="18"/>
  <c r="AY287" i="18"/>
  <c r="AD246" i="18"/>
  <c r="AY800" i="18"/>
  <c r="AY877" i="18"/>
  <c r="AY937" i="18"/>
  <c r="AY883" i="18"/>
  <c r="AY969" i="18"/>
  <c r="AY931" i="18"/>
  <c r="AY946" i="18"/>
  <c r="AY677" i="18"/>
  <c r="AY790" i="18"/>
  <c r="AY734" i="18"/>
  <c r="AY706" i="18"/>
  <c r="AY925" i="18"/>
  <c r="AY723" i="18"/>
  <c r="AY739" i="18"/>
  <c r="AY773" i="18"/>
  <c r="AY817" i="18"/>
  <c r="AY907" i="18"/>
  <c r="AY694" i="18"/>
  <c r="AY282" i="18"/>
  <c r="AY914" i="18"/>
  <c r="AY762" i="18"/>
  <c r="AY898" i="18"/>
  <c r="AY768" i="18"/>
  <c r="AY853" i="18"/>
  <c r="AY689" i="18"/>
  <c r="AY729" i="18"/>
  <c r="AY920" i="18"/>
  <c r="AY718" i="18"/>
  <c r="AY858" i="18"/>
  <c r="AY955" i="18"/>
  <c r="AY757" i="18"/>
  <c r="AY713" i="18"/>
  <c r="AY292" i="18"/>
  <c r="BK286" i="18"/>
  <c r="L58" i="21"/>
  <c r="BK245" i="18"/>
  <c r="L51" i="21"/>
  <c r="BK281" i="18"/>
  <c r="L57" i="21"/>
  <c r="X42" i="4"/>
  <c r="E51" i="8"/>
  <c r="S49" i="8"/>
  <c r="W27" i="4"/>
  <c r="E36" i="8"/>
  <c r="S35" i="8"/>
  <c r="S67" i="8"/>
  <c r="H44" i="4"/>
  <c r="H42" i="4"/>
  <c r="I44" i="4"/>
  <c r="V44" i="4" s="1"/>
  <c r="M325" i="18"/>
  <c r="M320" i="18"/>
  <c r="K291" i="18"/>
  <c r="M315" i="18"/>
  <c r="W294" i="18" l="1"/>
  <c r="W289" i="18"/>
  <c r="BL320" i="18"/>
  <c r="N65" i="21"/>
  <c r="N66" i="21"/>
  <c r="BL325" i="18"/>
  <c r="BL315" i="18"/>
  <c r="N64" i="21"/>
  <c r="L59" i="21"/>
  <c r="BK291" i="18"/>
  <c r="E40" i="8"/>
  <c r="S36" i="8"/>
  <c r="U42" i="4"/>
  <c r="E52" i="8"/>
  <c r="S51" i="8"/>
  <c r="U44" i="4"/>
  <c r="M286" i="18"/>
  <c r="M291" i="18"/>
  <c r="N59" i="21" l="1"/>
  <c r="BL291" i="18"/>
  <c r="BL286" i="18"/>
  <c r="N58" i="21"/>
  <c r="S40" i="8"/>
  <c r="K7" i="8"/>
  <c r="C106" i="8"/>
  <c r="J16" i="4"/>
  <c r="S52" i="8"/>
  <c r="E56" i="8"/>
  <c r="E106" i="8" l="1"/>
  <c r="C108" i="8"/>
  <c r="S56" i="8"/>
  <c r="N26" i="4"/>
  <c r="J25" i="4"/>
  <c r="M25" i="4"/>
  <c r="W25" i="4" l="1"/>
  <c r="M8" i="4"/>
  <c r="G16" i="4"/>
  <c r="E108" i="8"/>
  <c r="G25" i="4"/>
  <c r="H32" i="4"/>
  <c r="U32" i="4" s="1"/>
  <c r="I32" i="4"/>
  <c r="G31" i="4"/>
  <c r="M29" i="4"/>
  <c r="T31" i="4" l="1"/>
  <c r="P31" i="4"/>
  <c r="P16" i="4"/>
  <c r="V32" i="4"/>
  <c r="AD32" i="4"/>
  <c r="T25" i="4"/>
  <c r="H20" i="8"/>
  <c r="W20" i="8" s="1"/>
  <c r="O9" i="4"/>
  <c r="N9" i="4"/>
  <c r="M12" i="4"/>
  <c r="P29" i="4"/>
  <c r="J8" i="4"/>
  <c r="H26" i="4"/>
  <c r="I26" i="4"/>
  <c r="N28" i="4"/>
  <c r="M27" i="4"/>
  <c r="G20" i="8" l="1"/>
  <c r="V20" i="8" s="1"/>
  <c r="M10" i="4"/>
  <c r="M35" i="4"/>
  <c r="V26" i="4"/>
  <c r="AD26" i="4"/>
  <c r="G8" i="4"/>
  <c r="U26" i="4"/>
  <c r="H49" i="8"/>
  <c r="V49" i="8" l="1"/>
  <c r="H51" i="8"/>
  <c r="N11" i="4"/>
  <c r="H33" i="8"/>
  <c r="O11" i="4"/>
  <c r="M18" i="4"/>
  <c r="I9" i="4"/>
  <c r="F20" i="8"/>
  <c r="U20" i="8" s="1"/>
  <c r="H9" i="4"/>
  <c r="V33" i="8" l="1"/>
  <c r="H35" i="8"/>
  <c r="H52" i="8"/>
  <c r="V51" i="8"/>
  <c r="V52" i="8" l="1"/>
  <c r="H56" i="8"/>
  <c r="H36" i="8"/>
  <c r="V35" i="8"/>
  <c r="O30" i="4"/>
  <c r="H40" i="8" l="1"/>
  <c r="V36" i="8"/>
  <c r="V56" i="8"/>
  <c r="O36" i="4"/>
  <c r="O13" i="4"/>
  <c r="O19" i="4" s="1"/>
  <c r="N30" i="4"/>
  <c r="N36" i="4" l="1"/>
  <c r="N13" i="4"/>
  <c r="N19" i="4" s="1"/>
  <c r="V40" i="8"/>
  <c r="D25" i="4" l="1"/>
  <c r="D8" i="4" l="1"/>
  <c r="P25" i="4"/>
  <c r="D35" i="4"/>
  <c r="P8" i="4" l="1"/>
  <c r="E20" i="8"/>
  <c r="D18" i="4"/>
  <c r="T20" i="8" l="1"/>
  <c r="T21" i="8" s="1"/>
  <c r="E21" i="8"/>
  <c r="G27" i="4" l="1"/>
  <c r="T27" i="4" l="1"/>
  <c r="P27" i="4"/>
  <c r="I28" i="4"/>
  <c r="H28" i="4"/>
  <c r="U28" i="4" l="1"/>
  <c r="V28" i="4"/>
  <c r="AD28" i="4"/>
  <c r="I45" i="4"/>
  <c r="V45" i="4" s="1"/>
  <c r="L45" i="4"/>
  <c r="Y45" i="4" s="1"/>
  <c r="J41" i="4" l="1"/>
  <c r="W41" i="4" s="1"/>
  <c r="G41" i="4"/>
  <c r="T41" i="4" s="1"/>
  <c r="J33" i="4" l="1"/>
  <c r="G33" i="4"/>
  <c r="T33" i="4" l="1"/>
  <c r="P33" i="4"/>
  <c r="P35" i="4" s="1"/>
  <c r="AC35" i="4" s="1"/>
  <c r="G35" i="4"/>
  <c r="W33" i="4"/>
  <c r="J35" i="4"/>
  <c r="I34" i="4"/>
  <c r="H34" i="4"/>
  <c r="U34" i="4" l="1"/>
  <c r="H17" i="4"/>
  <c r="H36" i="4"/>
  <c r="V34" i="4"/>
  <c r="AD34" i="4"/>
  <c r="I17" i="4"/>
  <c r="I36" i="4"/>
  <c r="W35" i="4"/>
  <c r="T35" i="4"/>
  <c r="AD36" i="4" l="1"/>
  <c r="G14" i="4"/>
  <c r="J14" i="4"/>
  <c r="G64" i="8" s="1"/>
  <c r="G12" i="4"/>
  <c r="J12" i="4"/>
  <c r="G49" i="8" s="1"/>
  <c r="J10" i="4" l="1"/>
  <c r="K96" i="8"/>
  <c r="G51" i="8"/>
  <c r="U49" i="8"/>
  <c r="H13" i="4"/>
  <c r="I13" i="4"/>
  <c r="F49" i="8"/>
  <c r="P12" i="4"/>
  <c r="G10" i="4"/>
  <c r="L96" i="8"/>
  <c r="U64" i="8"/>
  <c r="G66" i="8"/>
  <c r="H15" i="4"/>
  <c r="F64" i="8"/>
  <c r="I15" i="4"/>
  <c r="P14" i="4"/>
  <c r="F66" i="8" l="1"/>
  <c r="T64" i="8"/>
  <c r="AB64" i="8" s="1"/>
  <c r="I11" i="4"/>
  <c r="I19" i="4" s="1"/>
  <c r="F33" i="8"/>
  <c r="H11" i="4"/>
  <c r="H19" i="4" s="1"/>
  <c r="P10" i="4"/>
  <c r="P18" i="4" s="1"/>
  <c r="W18" i="4" s="1"/>
  <c r="G18" i="4"/>
  <c r="T49" i="8"/>
  <c r="F51" i="8"/>
  <c r="G52" i="8"/>
  <c r="U51" i="8"/>
  <c r="G33" i="8"/>
  <c r="J18" i="4"/>
  <c r="G67" i="8"/>
  <c r="U66" i="8"/>
  <c r="AD19" i="4" l="1"/>
  <c r="U33" i="8"/>
  <c r="G35" i="8"/>
  <c r="U52" i="8"/>
  <c r="G56" i="8"/>
  <c r="T51" i="8"/>
  <c r="AB51" i="8" s="1"/>
  <c r="F52" i="8"/>
  <c r="U67" i="8"/>
  <c r="AB49" i="8"/>
  <c r="S44" i="8"/>
  <c r="X44" i="8" s="1"/>
  <c r="F35" i="8"/>
  <c r="T33" i="8"/>
  <c r="F67" i="8"/>
  <c r="T66" i="8"/>
  <c r="AB66" i="8" s="1"/>
  <c r="T67" i="8" l="1"/>
  <c r="AB67" i="8" s="1"/>
  <c r="E70" i="8"/>
  <c r="F36" i="8"/>
  <c r="T35" i="8"/>
  <c r="U35" i="8"/>
  <c r="G36" i="8"/>
  <c r="S149" i="8"/>
  <c r="X149" i="8" s="1"/>
  <c r="F56" i="8"/>
  <c r="T52" i="8"/>
  <c r="AB52" i="8" s="1"/>
  <c r="E53" i="8"/>
  <c r="U56" i="8"/>
  <c r="T56" i="8" l="1"/>
  <c r="G40" i="8"/>
  <c r="U36" i="8"/>
  <c r="S53" i="8"/>
  <c r="T36" i="8"/>
  <c r="F40" i="8"/>
  <c r="E37" i="8"/>
  <c r="Q12" i="4"/>
  <c r="K55" i="8" l="1"/>
  <c r="Q18" i="4"/>
  <c r="S37" i="8"/>
  <c r="U40" i="8"/>
  <c r="T40" i="8"/>
  <c r="K56" i="8" l="1"/>
  <c r="Y55" i="8"/>
  <c r="Y56" i="8" l="1"/>
  <c r="G68" i="8" l="1"/>
  <c r="G75" i="8" s="1"/>
  <c r="G79" i="8" s="1"/>
  <c r="F69" i="8"/>
  <c r="F87" i="8" s="1"/>
  <c r="G69" i="8"/>
  <c r="G87" i="8" s="1"/>
  <c r="G91" i="8" s="1"/>
  <c r="F68" i="8"/>
  <c r="F75" i="8" s="1"/>
  <c r="D89" i="8"/>
  <c r="D77" i="8"/>
  <c r="E76" i="8" l="1"/>
  <c r="F79" i="8"/>
  <c r="U79" i="8"/>
  <c r="U91" i="8"/>
  <c r="F91" i="8"/>
  <c r="E88" i="8"/>
  <c r="T91" i="8" l="1"/>
  <c r="L88" i="8"/>
  <c r="S88" i="8"/>
  <c r="M89" i="8"/>
  <c r="AA88" i="8" s="1"/>
  <c r="T79" i="8"/>
  <c r="L76" i="8"/>
  <c r="S76" i="8"/>
  <c r="M77" i="8"/>
  <c r="AA76" i="8" s="1"/>
  <c r="L79" i="8" l="1"/>
  <c r="Z76" i="8"/>
  <c r="AB76" i="8" s="1"/>
  <c r="L91" i="8"/>
  <c r="Z88" i="8"/>
  <c r="AB88" i="8" s="1"/>
  <c r="D53" i="8"/>
  <c r="L53" i="8" s="1"/>
  <c r="Z91" i="8" l="1"/>
  <c r="L92" i="8"/>
  <c r="Z53" i="8"/>
  <c r="I102" i="8"/>
  <c r="I11" i="8"/>
  <c r="D41" i="8"/>
  <c r="Z79" i="8"/>
  <c r="L80" i="8"/>
  <c r="S41" i="8" l="1"/>
  <c r="K41" i="8"/>
  <c r="E41" i="8"/>
  <c r="H41" i="8"/>
  <c r="G41" i="8"/>
  <c r="F41" i="8"/>
  <c r="D37" i="8" l="1"/>
  <c r="L37" i="8" s="1"/>
  <c r="D38" i="8"/>
  <c r="M38" i="8" s="1"/>
  <c r="AA38" i="8" l="1"/>
  <c r="L40" i="8"/>
  <c r="Z37" i="8"/>
  <c r="L41" i="8" l="1"/>
  <c r="Z40" i="8"/>
  <c r="G9" i="8" l="1"/>
  <c r="G12" i="8"/>
  <c r="G13" i="8" l="1"/>
  <c r="G10" i="8"/>
  <c r="G8" i="8"/>
  <c r="G11" i="8"/>
  <c r="D23" i="8" l="1"/>
  <c r="S23" i="8" s="1"/>
  <c r="E8" i="8" l="1"/>
  <c r="E13" i="8"/>
  <c r="E11" i="8"/>
  <c r="E10" i="8"/>
  <c r="E9" i="8"/>
  <c r="E12" i="8"/>
  <c r="C14" i="8" l="1"/>
  <c r="L13" i="8" s="1"/>
  <c r="E7" i="8"/>
  <c r="D21" i="8"/>
  <c r="S21" i="8" l="1"/>
  <c r="X21" i="8" s="1"/>
  <c r="T22" i="8" s="1"/>
  <c r="Y23" i="8" s="1"/>
  <c r="T24" i="8" s="1"/>
  <c r="T26" i="8" s="1"/>
  <c r="I21" i="8"/>
  <c r="K8" i="8"/>
  <c r="K9" i="8"/>
  <c r="L11" i="8"/>
  <c r="K12" i="8"/>
  <c r="L8" i="8"/>
  <c r="K13" i="8"/>
  <c r="L9" i="8"/>
  <c r="K11" i="8"/>
  <c r="L12" i="8"/>
  <c r="E22" i="8" l="1"/>
  <c r="J23" i="8" s="1"/>
  <c r="E24" i="8" l="1"/>
  <c r="E26" i="8" s="1"/>
  <c r="F7" i="8" l="1"/>
  <c r="D80" i="8"/>
  <c r="F10" i="8" l="1"/>
  <c r="F12" i="8"/>
  <c r="F11" i="8"/>
  <c r="F9" i="8"/>
  <c r="F8" i="8"/>
  <c r="F13" i="8"/>
  <c r="S80" i="8"/>
  <c r="E80" i="8"/>
  <c r="H80" i="8"/>
  <c r="G80" i="8"/>
  <c r="F80" i="8"/>
  <c r="H8" i="8" l="1"/>
  <c r="H10" i="8"/>
  <c r="J10" i="8" s="1"/>
  <c r="Q10" i="8" s="1"/>
  <c r="U10" i="8" s="1"/>
  <c r="V10" i="8" s="1"/>
  <c r="H9" i="8"/>
  <c r="H11" i="8"/>
  <c r="H13" i="8"/>
  <c r="J13" i="8" s="1"/>
  <c r="Q13" i="8" s="1"/>
  <c r="U13" i="8" s="1"/>
  <c r="V13" i="8" s="1"/>
  <c r="H12" i="8"/>
  <c r="I55" i="8" s="1"/>
  <c r="I90" i="8" l="1"/>
  <c r="J9" i="8"/>
  <c r="Q9" i="8" s="1"/>
  <c r="U9" i="8" s="1"/>
  <c r="V9" i="8" s="1"/>
  <c r="I56" i="8"/>
  <c r="W56" i="8" s="1"/>
  <c r="W55" i="8"/>
  <c r="J11" i="8"/>
  <c r="Q11" i="8" s="1"/>
  <c r="U11" i="8" s="1"/>
  <c r="V11" i="8" s="1"/>
  <c r="I39" i="8"/>
  <c r="I78" i="8"/>
  <c r="J8" i="8"/>
  <c r="Q8" i="8" s="1"/>
  <c r="U8" i="8" s="1"/>
  <c r="V8" i="8" s="1"/>
  <c r="W78" i="8" l="1"/>
  <c r="I79" i="8"/>
  <c r="I40" i="8"/>
  <c r="W39" i="8"/>
  <c r="I91" i="8"/>
  <c r="W90" i="8"/>
  <c r="I41" i="8" l="1"/>
  <c r="W40" i="8"/>
  <c r="I80" i="8"/>
  <c r="W79" i="8"/>
  <c r="I92" i="8"/>
  <c r="W91" i="8"/>
  <c r="E109" i="8" l="1"/>
  <c r="C109" i="8" s="1"/>
  <c r="C110" i="8" s="1"/>
  <c r="E111" i="8"/>
  <c r="E110" i="8" l="1"/>
  <c r="C111" i="8"/>
  <c r="C112" i="8" s="1"/>
  <c r="F99" i="8" l="1"/>
  <c r="E112" i="8"/>
  <c r="G99" i="8"/>
  <c r="H99" i="8" l="1"/>
  <c r="F103" i="8"/>
  <c r="F101" i="8"/>
  <c r="F100" i="8"/>
  <c r="F102" i="8"/>
  <c r="F104" i="8"/>
  <c r="L100" i="8" l="1"/>
  <c r="K100" i="8"/>
  <c r="H100" i="8"/>
  <c r="H102" i="8"/>
  <c r="L102" i="8"/>
  <c r="K102" i="8"/>
  <c r="H101" i="8"/>
  <c r="L101" i="8"/>
  <c r="K101" i="8"/>
  <c r="K104" i="8"/>
  <c r="L104" i="8"/>
  <c r="H104" i="8"/>
  <c r="J104" i="8" s="1"/>
  <c r="M104" i="8" s="1"/>
  <c r="H103" i="8"/>
  <c r="J55" i="8" s="1"/>
  <c r="L103" i="8"/>
  <c r="K103" i="8"/>
  <c r="D54" i="8"/>
  <c r="M54" i="8" s="1"/>
  <c r="J100" i="8" l="1"/>
  <c r="J78" i="8"/>
  <c r="AA53" i="8"/>
  <c r="AB53" i="8" s="1"/>
  <c r="L56" i="8"/>
  <c r="J90" i="8"/>
  <c r="J101" i="8"/>
  <c r="M101" i="8" s="1"/>
  <c r="X55" i="8"/>
  <c r="AB55" i="8" s="1"/>
  <c r="J56" i="8"/>
  <c r="K99" i="8"/>
  <c r="J39" i="8"/>
  <c r="J102" i="8"/>
  <c r="M102" i="8" s="1"/>
  <c r="L99" i="8"/>
  <c r="X56" i="8" l="1"/>
  <c r="Z56" i="8"/>
  <c r="I12" i="8"/>
  <c r="J12" i="8" s="1"/>
  <c r="D57" i="8"/>
  <c r="I103" i="8"/>
  <c r="J103" i="8" s="1"/>
  <c r="M103" i="8" s="1"/>
  <c r="X78" i="8"/>
  <c r="AB78" i="8" s="1"/>
  <c r="J79" i="8"/>
  <c r="X39" i="8"/>
  <c r="J40" i="8"/>
  <c r="X90" i="8"/>
  <c r="AB90" i="8" s="1"/>
  <c r="J91" i="8"/>
  <c r="M100" i="8"/>
  <c r="J99" i="8" l="1"/>
  <c r="J41" i="8"/>
  <c r="E42" i="8" s="1"/>
  <c r="S42" i="8" s="1"/>
  <c r="X40" i="8"/>
  <c r="X91" i="8"/>
  <c r="AB91" i="8" s="1"/>
  <c r="J92" i="8"/>
  <c r="X79" i="8"/>
  <c r="AB79" i="8" s="1"/>
  <c r="J80" i="8"/>
  <c r="E81" i="8" s="1"/>
  <c r="S81" i="8" s="1"/>
  <c r="AB81" i="8" s="1"/>
  <c r="E57" i="8"/>
  <c r="H57" i="8"/>
  <c r="F57" i="8"/>
  <c r="S57" i="8"/>
  <c r="K57" i="8"/>
  <c r="G57" i="8"/>
  <c r="I57" i="8"/>
  <c r="Q12" i="8"/>
  <c r="U12" i="8" s="1"/>
  <c r="J7" i="8"/>
  <c r="Q7" i="8" s="1"/>
  <c r="J57" i="8"/>
  <c r="L57" i="8"/>
  <c r="AB56" i="8"/>
  <c r="E58" i="8" l="1"/>
  <c r="S58" i="8" s="1"/>
  <c r="AB58" i="8" s="1"/>
  <c r="V12" i="8"/>
  <c r="U7" i="8"/>
  <c r="V7" i="8" s="1"/>
  <c r="D92" i="8" l="1"/>
  <c r="H92" i="8" l="1"/>
  <c r="S92" i="8"/>
  <c r="E92" i="8"/>
  <c r="G92" i="8"/>
  <c r="F92" i="8"/>
  <c r="E93" i="8" l="1"/>
  <c r="S93" i="8" s="1"/>
  <c r="AB93" i="8" s="1"/>
  <c r="S185" i="15" l="1"/>
  <c r="S127" i="15"/>
  <c r="S129" i="15"/>
  <c r="L188" i="15"/>
  <c r="M188" i="15" s="1"/>
  <c r="N188" i="15" s="1"/>
  <c r="S175" i="15"/>
  <c r="S168" i="15"/>
  <c r="S189" i="15"/>
  <c r="S180" i="15"/>
  <c r="S174" i="15"/>
  <c r="S166" i="15"/>
  <c r="S171" i="15"/>
  <c r="S135" i="15"/>
  <c r="S178" i="15"/>
  <c r="S132" i="15"/>
  <c r="S126" i="15"/>
  <c r="S64" i="15"/>
  <c r="L4" i="15"/>
  <c r="M4" i="15" s="1"/>
  <c r="N4" i="15" s="1"/>
  <c r="L5" i="15"/>
  <c r="M5" i="15" s="1"/>
  <c r="N5" i="15" s="1"/>
  <c r="L6" i="15"/>
  <c r="M6" i="15" s="1"/>
  <c r="N6" i="15" s="1"/>
  <c r="L7" i="15"/>
  <c r="M7" i="15" s="1"/>
  <c r="N7" i="15" s="1"/>
  <c r="L8" i="15"/>
  <c r="M8" i="15" s="1"/>
  <c r="N8" i="15" s="1"/>
  <c r="L9" i="15"/>
  <c r="M9" i="15" s="1"/>
  <c r="N9" i="15" s="1"/>
  <c r="L10" i="15"/>
  <c r="M10" i="15" s="1"/>
  <c r="N10" i="15" s="1"/>
  <c r="L11" i="15"/>
  <c r="M11" i="15" s="1"/>
  <c r="N11" i="15" s="1"/>
  <c r="L12" i="15"/>
  <c r="M12" i="15" s="1"/>
  <c r="N12" i="15" s="1"/>
  <c r="L13" i="15"/>
  <c r="M13" i="15" s="1"/>
  <c r="N13" i="15" s="1"/>
  <c r="L14" i="15"/>
  <c r="M14" i="15" s="1"/>
  <c r="N14" i="15" s="1"/>
  <c r="L15" i="15"/>
  <c r="M15" i="15" s="1"/>
  <c r="N15" i="15" s="1"/>
  <c r="L19" i="15"/>
  <c r="M19" i="15" s="1"/>
  <c r="N19" i="15" s="1"/>
  <c r="L145" i="15"/>
  <c r="M145" i="15" s="1"/>
  <c r="N145" i="15" s="1"/>
  <c r="L146" i="15"/>
  <c r="M146" i="15" s="1"/>
  <c r="N146" i="15" s="1"/>
  <c r="L147" i="15"/>
  <c r="M147" i="15" s="1"/>
  <c r="N147" i="15" s="1"/>
  <c r="L148" i="15"/>
  <c r="M148" i="15" s="1"/>
  <c r="N148" i="15" s="1"/>
  <c r="L149" i="15"/>
  <c r="M149" i="15" s="1"/>
  <c r="N149" i="15" s="1"/>
  <c r="L150" i="15"/>
  <c r="M150" i="15" s="1"/>
  <c r="N150" i="15" s="1"/>
  <c r="L151" i="15"/>
  <c r="M151" i="15" s="1"/>
  <c r="N151" i="15" s="1"/>
  <c r="L152" i="15"/>
  <c r="M152" i="15" s="1"/>
  <c r="N152" i="15" s="1"/>
  <c r="S173" i="15"/>
  <c r="I187" i="15"/>
  <c r="J187" i="15" s="1"/>
  <c r="K187" i="15" s="1"/>
  <c r="I147" i="15"/>
  <c r="J147" i="15" s="1"/>
  <c r="K147" i="15" s="1"/>
  <c r="S169" i="15"/>
  <c r="S167" i="15"/>
  <c r="I10" i="15"/>
  <c r="J10" i="15" s="1"/>
  <c r="K10" i="15" s="1"/>
  <c r="I8" i="15"/>
  <c r="J8" i="15" s="1"/>
  <c r="K8" i="15" s="1"/>
  <c r="I14" i="15"/>
  <c r="J14" i="15" s="1"/>
  <c r="K14" i="15" s="1"/>
  <c r="I5" i="15"/>
  <c r="J5" i="15" s="1"/>
  <c r="K5" i="15" s="1"/>
  <c r="S177" i="15"/>
  <c r="I152" i="15"/>
  <c r="J152" i="15" s="1"/>
  <c r="K152" i="15" s="1"/>
  <c r="S179" i="15"/>
  <c r="S170" i="15"/>
  <c r="S7" i="15"/>
  <c r="S184" i="15"/>
  <c r="S172" i="15"/>
  <c r="S188" i="15"/>
  <c r="I145" i="15"/>
  <c r="J145" i="15" s="1"/>
  <c r="K145" i="15" s="1"/>
  <c r="I15" i="15"/>
  <c r="J15" i="15" s="1"/>
  <c r="K15" i="15" s="1"/>
  <c r="I149" i="15"/>
  <c r="J149" i="15" s="1"/>
  <c r="K149" i="15" s="1"/>
  <c r="I146" i="15"/>
  <c r="J146" i="15" s="1"/>
  <c r="K146" i="15" s="1"/>
  <c r="I13" i="15"/>
  <c r="J13" i="15" s="1"/>
  <c r="K13" i="15" s="1"/>
  <c r="I150" i="15"/>
  <c r="J150" i="15" s="1"/>
  <c r="K150" i="15" s="1"/>
  <c r="I148" i="15"/>
  <c r="J148" i="15" s="1"/>
  <c r="K148" i="15" s="1"/>
  <c r="I11" i="15"/>
  <c r="J11" i="15" s="1"/>
  <c r="K11" i="15" s="1"/>
  <c r="DI90" i="18"/>
  <c r="DE90" i="18"/>
  <c r="DL80" i="18"/>
  <c r="DI80" i="18"/>
  <c r="DA519" i="18"/>
  <c r="DB450" i="18"/>
  <c r="DA546" i="18"/>
  <c r="DB784" i="18"/>
  <c r="DA527" i="18"/>
  <c r="DJ80" i="18"/>
  <c r="DK90" i="18"/>
  <c r="DA373" i="18"/>
  <c r="DA435" i="18"/>
  <c r="DA424" i="18"/>
  <c r="K216" i="18"/>
  <c r="DA325" i="18"/>
  <c r="DB499" i="18"/>
  <c r="DG90" i="18"/>
  <c r="DH90" i="18"/>
  <c r="DA532" i="18"/>
  <c r="DB482" i="18"/>
  <c r="DB519" i="18"/>
  <c r="DF90" i="18"/>
  <c r="DA540" i="18"/>
  <c r="DA563" i="18"/>
  <c r="DG80" i="18"/>
  <c r="DB27" i="18"/>
  <c r="DA487" i="18"/>
  <c r="DE80" i="18"/>
  <c r="DJ90" i="18"/>
  <c r="M216" i="18"/>
  <c r="DK80" i="18"/>
  <c r="DL90" i="18"/>
  <c r="K445" i="18"/>
  <c r="DH80" i="18"/>
  <c r="DA450" i="18"/>
  <c r="DB487" i="18"/>
  <c r="DA320" i="18"/>
  <c r="DF80" i="18"/>
  <c r="DA482" i="18"/>
  <c r="DA499" i="18"/>
  <c r="AF2068" i="18" l="1"/>
  <c r="AJ2068" i="18" s="1"/>
  <c r="AO2068" i="18" s="1"/>
  <c r="AO363" i="18"/>
  <c r="AY435" i="18"/>
  <c r="BA784" i="18"/>
  <c r="S128" i="15"/>
  <c r="S15" i="15"/>
  <c r="S11" i="15"/>
  <c r="AY546" i="18"/>
  <c r="AY532" i="18"/>
  <c r="AY540" i="18"/>
  <c r="S150" i="15"/>
  <c r="S14" i="15"/>
  <c r="S146" i="15"/>
  <c r="S152" i="15"/>
  <c r="S6" i="15"/>
  <c r="N43" i="21"/>
  <c r="BL216" i="18"/>
  <c r="BK216" i="18"/>
  <c r="L43" i="21"/>
  <c r="L92" i="21"/>
  <c r="BK445" i="18"/>
  <c r="S4" i="15"/>
  <c r="S147" i="15"/>
  <c r="S151" i="15"/>
  <c r="S12" i="15"/>
  <c r="S8" i="15"/>
  <c r="S19" i="15"/>
  <c r="BA499" i="18"/>
  <c r="BA450" i="18"/>
  <c r="CU454" i="18" s="1"/>
  <c r="E454" i="18" s="1"/>
  <c r="BA487" i="18"/>
  <c r="AY482" i="18"/>
  <c r="BA27" i="18"/>
  <c r="AY325" i="18"/>
  <c r="AY320" i="18"/>
  <c r="AY373" i="18"/>
  <c r="AY563" i="18"/>
  <c r="AY499" i="18"/>
  <c r="AY450" i="18"/>
  <c r="BA519" i="18"/>
  <c r="BA482" i="18"/>
  <c r="AY487" i="18"/>
  <c r="AY519" i="18"/>
  <c r="AY527" i="18"/>
  <c r="AY424" i="18"/>
  <c r="S69" i="15"/>
  <c r="S88" i="15"/>
  <c r="S94" i="15"/>
  <c r="S145" i="15"/>
  <c r="S136" i="15"/>
  <c r="S10" i="15"/>
  <c r="S37" i="15"/>
  <c r="S181" i="15"/>
  <c r="S133" i="15"/>
  <c r="S68" i="15"/>
  <c r="S72" i="15"/>
  <c r="S77" i="15"/>
  <c r="S105" i="15"/>
  <c r="S92" i="15"/>
  <c r="S5" i="15"/>
  <c r="S149" i="15"/>
  <c r="S9" i="15"/>
  <c r="S13" i="15"/>
  <c r="S95" i="15"/>
  <c r="S99" i="15"/>
  <c r="S82" i="15"/>
  <c r="S148" i="15"/>
  <c r="S70" i="15"/>
  <c r="L175" i="15"/>
  <c r="M175" i="15" s="1"/>
  <c r="N175" i="15" s="1"/>
  <c r="I180" i="15"/>
  <c r="J180" i="15" s="1"/>
  <c r="K180" i="15" s="1"/>
  <c r="L186" i="15"/>
  <c r="M186" i="15" s="1"/>
  <c r="N186" i="15" s="1"/>
  <c r="I135" i="15"/>
  <c r="J135" i="15" s="1"/>
  <c r="K135" i="15" s="1"/>
  <c r="L184" i="15"/>
  <c r="M184" i="15" s="1"/>
  <c r="N184" i="15" s="1"/>
  <c r="I130" i="15"/>
  <c r="J130" i="15" s="1"/>
  <c r="K130" i="15" s="1"/>
  <c r="L130" i="15"/>
  <c r="M130" i="15" s="1"/>
  <c r="N130" i="15" s="1"/>
  <c r="L174" i="15"/>
  <c r="M174" i="15" s="1"/>
  <c r="N174" i="15" s="1"/>
  <c r="L176" i="15"/>
  <c r="M176" i="15" s="1"/>
  <c r="N176" i="15" s="1"/>
  <c r="L126" i="15"/>
  <c r="M126" i="15" s="1"/>
  <c r="N126" i="15" s="1"/>
  <c r="I136" i="15"/>
  <c r="J136" i="15" s="1"/>
  <c r="K136" i="15" s="1"/>
  <c r="L128" i="15"/>
  <c r="M128" i="15" s="1"/>
  <c r="N128" i="15" s="1"/>
  <c r="L129" i="15"/>
  <c r="M129" i="15" s="1"/>
  <c r="N129" i="15" s="1"/>
  <c r="I177" i="15"/>
  <c r="J177" i="15" s="1"/>
  <c r="K177" i="15" s="1"/>
  <c r="L132" i="15"/>
  <c r="M132" i="15" s="1"/>
  <c r="N132" i="15" s="1"/>
  <c r="L185" i="15"/>
  <c r="M185" i="15" s="1"/>
  <c r="N185" i="15" s="1"/>
  <c r="L171" i="15"/>
  <c r="M171" i="15" s="1"/>
  <c r="N171" i="15" s="1"/>
  <c r="I12" i="15"/>
  <c r="J12" i="15" s="1"/>
  <c r="K12" i="15" s="1"/>
  <c r="I7" i="15"/>
  <c r="J7" i="15" s="1"/>
  <c r="K7" i="15" s="1"/>
  <c r="I19" i="15"/>
  <c r="J19" i="15" s="1"/>
  <c r="K19" i="15" s="1"/>
  <c r="I4" i="15"/>
  <c r="J4" i="15" s="1"/>
  <c r="K4" i="15" s="1"/>
  <c r="I151" i="15"/>
  <c r="J151" i="15" s="1"/>
  <c r="K151" i="15" s="1"/>
  <c r="I6" i="15"/>
  <c r="J6" i="15" s="1"/>
  <c r="K6" i="15" s="1"/>
  <c r="I9" i="15"/>
  <c r="J9" i="15" s="1"/>
  <c r="K9" i="15" s="1"/>
  <c r="DE882" i="18"/>
  <c r="DE431" i="18"/>
  <c r="DB143" i="18"/>
  <c r="DF64" i="18"/>
  <c r="DB540" i="18"/>
  <c r="DF120" i="18"/>
  <c r="DF96" i="18"/>
  <c r="DE728" i="18"/>
  <c r="DE823" i="18"/>
  <c r="DE761" i="18"/>
  <c r="DE810" i="18"/>
  <c r="DE10" i="18"/>
  <c r="DF181" i="18"/>
  <c r="K527" i="18"/>
  <c r="DE717" i="18"/>
  <c r="K424" i="18"/>
  <c r="DF431" i="18"/>
  <c r="DE781" i="18"/>
  <c r="DE862" i="18"/>
  <c r="K487" i="18"/>
  <c r="DE96" i="18"/>
  <c r="DB527" i="18"/>
  <c r="DE961" i="18"/>
  <c r="DE857" i="18"/>
  <c r="DE945" i="18"/>
  <c r="DE954" i="18"/>
  <c r="M487" i="18"/>
  <c r="DE75" i="18"/>
  <c r="DE828" i="18"/>
  <c r="K499" i="18"/>
  <c r="DE973" i="18"/>
  <c r="DB532" i="18"/>
  <c r="DE924" i="18"/>
  <c r="DE919" i="18"/>
  <c r="DF419" i="18"/>
  <c r="DE487" i="18"/>
  <c r="DE767" i="18"/>
  <c r="DF188" i="18"/>
  <c r="DF373" i="18"/>
  <c r="DE751" i="18"/>
  <c r="DE688" i="18"/>
  <c r="K373" i="18"/>
  <c r="DE674" i="18"/>
  <c r="DF519" i="18"/>
  <c r="DE794" i="18"/>
  <c r="DE40" i="18"/>
  <c r="DE286" i="18"/>
  <c r="DF75" i="18"/>
  <c r="K563" i="18"/>
  <c r="DA37" i="18"/>
  <c r="K482" i="18"/>
  <c r="DE936" i="18"/>
  <c r="DE838" i="18"/>
  <c r="DE266" i="18"/>
  <c r="DE913" i="18"/>
  <c r="DE816" i="18"/>
  <c r="DF27" i="18"/>
  <c r="DA153" i="18"/>
  <c r="DF173" i="18"/>
  <c r="DA143" i="18"/>
  <c r="DE897" i="18"/>
  <c r="DB49" i="18"/>
  <c r="DF499" i="18"/>
  <c r="DF236" i="18"/>
  <c r="DE272" i="18"/>
  <c r="K519" i="18"/>
  <c r="DF148" i="18"/>
  <c r="M499" i="18"/>
  <c r="DE833" i="18"/>
  <c r="M519" i="18"/>
  <c r="DE705" i="18"/>
  <c r="DE85" i="18"/>
  <c r="DE712" i="18"/>
  <c r="DE281" i="18"/>
  <c r="DE58" i="18"/>
  <c r="DE681" i="18"/>
  <c r="DE419" i="18"/>
  <c r="DF450" i="18"/>
  <c r="DE876" i="18"/>
  <c r="DF784" i="18"/>
  <c r="DE103" i="18"/>
  <c r="DE573" i="18"/>
  <c r="DE693" i="18"/>
  <c r="DF568" i="18"/>
  <c r="DE568" i="18"/>
  <c r="DE906" i="18"/>
  <c r="DF129" i="18"/>
  <c r="DA49" i="18"/>
  <c r="DE315" i="18"/>
  <c r="DE930" i="18"/>
  <c r="DE738" i="18"/>
  <c r="DF103" i="18"/>
  <c r="DE365" i="18"/>
  <c r="DF573" i="18"/>
  <c r="DE799" i="18"/>
  <c r="DE968" i="18"/>
  <c r="DE143" i="18"/>
  <c r="DE733" i="18"/>
  <c r="DB216" i="18"/>
  <c r="DF337" i="18"/>
  <c r="DF350" i="18"/>
  <c r="DE746" i="18"/>
  <c r="DE16" i="18"/>
  <c r="DA315" i="18"/>
  <c r="DE700" i="18"/>
  <c r="DF558" i="18"/>
  <c r="DE867" i="18"/>
  <c r="DF402" i="18"/>
  <c r="DE888" i="18"/>
  <c r="DE303" i="18"/>
  <c r="DF344" i="18"/>
  <c r="DB546" i="18"/>
  <c r="DE772" i="18"/>
  <c r="DA553" i="18"/>
  <c r="DA303" i="18"/>
  <c r="M482" i="18"/>
  <c r="DE852" i="18"/>
  <c r="DB37" i="18"/>
  <c r="DF231" i="18"/>
  <c r="DE722" i="18"/>
  <c r="DE804" i="18"/>
  <c r="DA431" i="18"/>
  <c r="DE245" i="18"/>
  <c r="DE789" i="18"/>
  <c r="DA419" i="18"/>
  <c r="K450" i="18"/>
  <c r="DE843" i="18"/>
  <c r="DE756" i="18"/>
  <c r="W2068" i="18" l="1"/>
  <c r="U2068" i="18"/>
  <c r="AF363" i="18"/>
  <c r="AD368" i="18" s="1"/>
  <c r="AG368" i="18" s="1"/>
  <c r="AL363" i="18"/>
  <c r="AD363" i="18"/>
  <c r="C454" i="18"/>
  <c r="W450" i="18"/>
  <c r="B454" i="18"/>
  <c r="A454" i="18"/>
  <c r="AY431" i="18"/>
  <c r="BA546" i="18"/>
  <c r="BA540" i="18"/>
  <c r="BA532" i="18"/>
  <c r="BA37" i="18"/>
  <c r="AY37" i="18"/>
  <c r="AF465" i="18"/>
  <c r="AF463" i="18"/>
  <c r="AH463" i="18" s="1"/>
  <c r="I133" i="15"/>
  <c r="J133" i="15" s="1"/>
  <c r="K133" i="15" s="1"/>
  <c r="BA527" i="18"/>
  <c r="AY153" i="18"/>
  <c r="AY553" i="18"/>
  <c r="AY143" i="18"/>
  <c r="AY419" i="18"/>
  <c r="BA216" i="18"/>
  <c r="I181" i="15"/>
  <c r="J181" i="15" s="1"/>
  <c r="K181" i="15" s="1"/>
  <c r="I166" i="15"/>
  <c r="J166" i="15" s="1"/>
  <c r="K166" i="15" s="1"/>
  <c r="AY49" i="18"/>
  <c r="L108" i="21"/>
  <c r="BK527" i="18"/>
  <c r="N107" i="21"/>
  <c r="BL519" i="18"/>
  <c r="L79" i="21"/>
  <c r="BK373" i="18"/>
  <c r="L97" i="21"/>
  <c r="BK482" i="18"/>
  <c r="L133" i="15"/>
  <c r="M133" i="15" s="1"/>
  <c r="N133" i="15" s="1"/>
  <c r="I184" i="15"/>
  <c r="J184" i="15" s="1"/>
  <c r="K184" i="15" s="1"/>
  <c r="BA49" i="18"/>
  <c r="L107" i="21"/>
  <c r="BK519" i="18"/>
  <c r="BK450" i="18"/>
  <c r="L93" i="21"/>
  <c r="N98" i="21"/>
  <c r="BL487" i="18"/>
  <c r="BA143" i="18"/>
  <c r="I188" i="15"/>
  <c r="J188" i="15" s="1"/>
  <c r="K188" i="15" s="1"/>
  <c r="I128" i="15"/>
  <c r="J128" i="15" s="1"/>
  <c r="K128" i="15" s="1"/>
  <c r="AY303" i="18"/>
  <c r="AY315" i="18"/>
  <c r="L98" i="21"/>
  <c r="BK487" i="18"/>
  <c r="L102" i="21"/>
  <c r="BK499" i="18"/>
  <c r="L136" i="15"/>
  <c r="M136" i="15" s="1"/>
  <c r="N136" i="15" s="1"/>
  <c r="L87" i="21"/>
  <c r="BK424" i="18"/>
  <c r="N97" i="21"/>
  <c r="BL482" i="18"/>
  <c r="BK563" i="18"/>
  <c r="L118" i="21"/>
  <c r="N102" i="21"/>
  <c r="BL499" i="18"/>
  <c r="S43" i="15"/>
  <c r="I17" i="15"/>
  <c r="J17" i="15" s="1"/>
  <c r="I28" i="15"/>
  <c r="L58" i="15"/>
  <c r="L76" i="15"/>
  <c r="M76" i="15" s="1"/>
  <c r="S102" i="15"/>
  <c r="S40" i="15"/>
  <c r="S81" i="15"/>
  <c r="S85" i="15"/>
  <c r="L23" i="15"/>
  <c r="L42" i="15"/>
  <c r="L21" i="15"/>
  <c r="L50" i="15"/>
  <c r="S100" i="15"/>
  <c r="S34" i="15"/>
  <c r="L78" i="15"/>
  <c r="M78" i="15" s="1"/>
  <c r="L81" i="15"/>
  <c r="I106" i="15"/>
  <c r="L59" i="15"/>
  <c r="M59" i="15" s="1"/>
  <c r="I46" i="15"/>
  <c r="J46" i="15" s="1"/>
  <c r="L26" i="15"/>
  <c r="M26" i="15" s="1"/>
  <c r="L62" i="15"/>
  <c r="M62" i="15" s="1"/>
  <c r="N62" i="15" s="1"/>
  <c r="I23" i="15"/>
  <c r="L24" i="15"/>
  <c r="M24" i="15" s="1"/>
  <c r="I40" i="15"/>
  <c r="J40" i="15" s="1"/>
  <c r="I27" i="15"/>
  <c r="J27" i="15" s="1"/>
  <c r="L30" i="15"/>
  <c r="L103" i="15"/>
  <c r="L51" i="15"/>
  <c r="L99" i="15"/>
  <c r="I69" i="15"/>
  <c r="J69" i="15" s="1"/>
  <c r="K69" i="15" s="1"/>
  <c r="L106" i="15"/>
  <c r="I95" i="15"/>
  <c r="J95" i="15" s="1"/>
  <c r="L25" i="15"/>
  <c r="I36" i="15"/>
  <c r="I54" i="15"/>
  <c r="S65" i="15"/>
  <c r="L37" i="15"/>
  <c r="I61" i="15"/>
  <c r="L92" i="15"/>
  <c r="I65" i="15"/>
  <c r="L77" i="15"/>
  <c r="I24" i="15"/>
  <c r="I81" i="15"/>
  <c r="I20" i="15"/>
  <c r="S98" i="15"/>
  <c r="I169" i="15"/>
  <c r="J169" i="15" s="1"/>
  <c r="K169" i="15" s="1"/>
  <c r="L189" i="15"/>
  <c r="M189" i="15" s="1"/>
  <c r="N189" i="15" s="1"/>
  <c r="I179" i="15"/>
  <c r="J179" i="15" s="1"/>
  <c r="K179" i="15" s="1"/>
  <c r="L173" i="15"/>
  <c r="M173" i="15" s="1"/>
  <c r="N173" i="15" s="1"/>
  <c r="L168" i="15"/>
  <c r="M168" i="15" s="1"/>
  <c r="N168" i="15" s="1"/>
  <c r="L135" i="15"/>
  <c r="M135" i="15" s="1"/>
  <c r="N135" i="15" s="1"/>
  <c r="I31" i="15"/>
  <c r="J31" i="15" s="1"/>
  <c r="K31" i="15" s="1"/>
  <c r="L182" i="15"/>
  <c r="M182" i="15" s="1"/>
  <c r="N182" i="15" s="1"/>
  <c r="L181" i="15"/>
  <c r="M181" i="15" s="1"/>
  <c r="N181" i="15" s="1"/>
  <c r="I129" i="15"/>
  <c r="J129" i="15" s="1"/>
  <c r="K129" i="15" s="1"/>
  <c r="L178" i="15"/>
  <c r="M178" i="15" s="1"/>
  <c r="N178" i="15" s="1"/>
  <c r="DJ2029" i="18"/>
  <c r="DJ2020" i="18"/>
  <c r="DJ2061" i="18"/>
  <c r="DJ2048" i="18"/>
  <c r="DJ2039" i="18"/>
  <c r="DJ2010" i="18"/>
  <c r="DJ2077" i="18"/>
  <c r="DG828" i="18"/>
  <c r="DK103" i="18"/>
  <c r="DF661" i="18"/>
  <c r="DG487" i="18"/>
  <c r="DA445" i="18"/>
  <c r="DE310" i="18"/>
  <c r="DE499" i="18"/>
  <c r="DE330" i="18"/>
  <c r="DE231" i="18"/>
  <c r="DG843" i="18"/>
  <c r="DK402" i="18"/>
  <c r="DF611" i="18"/>
  <c r="DF153" i="18"/>
  <c r="DE634" i="18"/>
  <c r="DF577" i="18"/>
  <c r="DG761" i="18"/>
  <c r="DG728" i="18"/>
  <c r="DF617" i="18"/>
  <c r="DG717" i="18"/>
  <c r="DE584" i="18"/>
  <c r="DJ75" i="18"/>
  <c r="DG143" i="18"/>
  <c r="DG245" i="18"/>
  <c r="DG823" i="18"/>
  <c r="DE344" i="18"/>
  <c r="DG738" i="18"/>
  <c r="DJ337" i="18"/>
  <c r="DE216" i="18"/>
  <c r="DJ419" i="18"/>
  <c r="DG756" i="18"/>
  <c r="DF595" i="18"/>
  <c r="DE509" i="18"/>
  <c r="DG804" i="18"/>
  <c r="DJ499" i="18"/>
  <c r="DG365" i="18"/>
  <c r="DJ120" i="18"/>
  <c r="DG882" i="18"/>
  <c r="DF546" i="18"/>
  <c r="DG767" i="18"/>
  <c r="DJ373" i="18"/>
  <c r="DG913" i="18"/>
  <c r="DG751" i="18"/>
  <c r="DJ27" i="18"/>
  <c r="DG954" i="18"/>
  <c r="DG419" i="18"/>
  <c r="DG674" i="18"/>
  <c r="DG906" i="18"/>
  <c r="DG876" i="18"/>
  <c r="DJ350" i="18"/>
  <c r="DF365" i="18"/>
  <c r="DE649" i="18"/>
  <c r="DG573" i="18"/>
  <c r="DF407" i="18"/>
  <c r="DJ573" i="18"/>
  <c r="DE661" i="18"/>
  <c r="DF85" i="18"/>
  <c r="DG266" i="18"/>
  <c r="DE527" i="18"/>
  <c r="DJ344" i="18"/>
  <c r="DJ402" i="18"/>
  <c r="DE577" i="18"/>
  <c r="DG568" i="18"/>
  <c r="DF509" i="18"/>
  <c r="DE188" i="18"/>
  <c r="DA458" i="18"/>
  <c r="DJ784" i="18"/>
  <c r="DJ431" i="18"/>
  <c r="DG96" i="18"/>
  <c r="DE197" i="18"/>
  <c r="DG867" i="18"/>
  <c r="DG746" i="18"/>
  <c r="DG75" i="18"/>
  <c r="DG40" i="18"/>
  <c r="DE589" i="18"/>
  <c r="DF654" i="18"/>
  <c r="DE137" i="18"/>
  <c r="DE625" i="18"/>
  <c r="DE666" i="18"/>
  <c r="DE595" i="18"/>
  <c r="DG897" i="18"/>
  <c r="DE350" i="18"/>
  <c r="DE7" i="18"/>
  <c r="DF540" i="18"/>
  <c r="DF644" i="18"/>
  <c r="DF445" i="18"/>
  <c r="DG700" i="18"/>
  <c r="DG888" i="18"/>
  <c r="DE532" i="18"/>
  <c r="DJ181" i="18"/>
  <c r="DG681" i="18"/>
  <c r="DG838" i="18"/>
  <c r="DE611" i="18"/>
  <c r="DG303" i="18"/>
  <c r="I2061" i="18"/>
  <c r="DE37" i="18"/>
  <c r="DG431" i="18"/>
  <c r="DG281" i="18"/>
  <c r="DE605" i="18"/>
  <c r="DG810" i="18"/>
  <c r="DG705" i="18"/>
  <c r="DF137" i="18"/>
  <c r="DF109" i="18"/>
  <c r="DE129" i="18"/>
  <c r="DE296" i="18"/>
  <c r="DF589" i="18"/>
  <c r="DJ103" i="18"/>
  <c r="DH85" i="18"/>
  <c r="DF397" i="18"/>
  <c r="DF494" i="18"/>
  <c r="DE64" i="18"/>
  <c r="DG973" i="18"/>
  <c r="DG961" i="18"/>
  <c r="DG272" i="18"/>
  <c r="DG852" i="18"/>
  <c r="M450" i="18"/>
  <c r="DE450" i="18"/>
  <c r="DE402" i="18"/>
  <c r="DF625" i="18"/>
  <c r="DK129" i="18"/>
  <c r="DF584" i="18"/>
  <c r="DJ148" i="18"/>
  <c r="DF458" i="18"/>
  <c r="DF532" i="18"/>
  <c r="DE412" i="18"/>
  <c r="DE49" i="18"/>
  <c r="DJ568" i="18"/>
  <c r="DK350" i="18"/>
  <c r="DG58" i="18"/>
  <c r="DJ129" i="18"/>
  <c r="DE337" i="18"/>
  <c r="DF666" i="18"/>
  <c r="DG315" i="18"/>
  <c r="DJ64" i="18"/>
  <c r="DE600" i="18"/>
  <c r="DF487" i="18"/>
  <c r="DG286" i="18"/>
  <c r="DF605" i="18"/>
  <c r="DJ519" i="18"/>
  <c r="DG919" i="18"/>
  <c r="DE644" i="18"/>
  <c r="DE546" i="18"/>
  <c r="DG772" i="18"/>
  <c r="DF257" i="18"/>
  <c r="DG85" i="18"/>
  <c r="DG816" i="18"/>
  <c r="DG862" i="18"/>
  <c r="DF143" i="18"/>
  <c r="DJ450" i="18"/>
  <c r="DG733" i="18"/>
  <c r="DE617" i="18"/>
  <c r="DH10" i="18"/>
  <c r="DE424" i="18"/>
  <c r="DJ96" i="18"/>
  <c r="DF649" i="18"/>
  <c r="DG857" i="18"/>
  <c r="DF600" i="18"/>
  <c r="DK96" i="18"/>
  <c r="DJ231" i="18"/>
  <c r="DJ173" i="18"/>
  <c r="DJ558" i="18"/>
  <c r="DG722" i="18"/>
  <c r="DG799" i="18"/>
  <c r="DG794" i="18"/>
  <c r="DG936" i="18"/>
  <c r="DF216" i="18"/>
  <c r="DE540" i="18"/>
  <c r="DE558" i="18"/>
  <c r="DG693" i="18"/>
  <c r="DJ236" i="18"/>
  <c r="DE291" i="18"/>
  <c r="DG789" i="18"/>
  <c r="DF412" i="18"/>
  <c r="DG781" i="18"/>
  <c r="DG103" i="18"/>
  <c r="DF69" i="18"/>
  <c r="DG688" i="18"/>
  <c r="M527" i="18"/>
  <c r="DF634" i="18"/>
  <c r="DG833" i="18"/>
  <c r="DG10" i="18"/>
  <c r="DG968" i="18"/>
  <c r="DH487" i="18"/>
  <c r="DF472" i="18"/>
  <c r="DE435" i="18"/>
  <c r="DA397" i="18"/>
  <c r="DE173" i="18"/>
  <c r="DF527" i="18"/>
  <c r="DJ188" i="18"/>
  <c r="DE109" i="18"/>
  <c r="DG930" i="18"/>
  <c r="DE236" i="18"/>
  <c r="DE472" i="18"/>
  <c r="DE120" i="18"/>
  <c r="DG16" i="18"/>
  <c r="DG945" i="18"/>
  <c r="DG712" i="18"/>
  <c r="DE181" i="18"/>
  <c r="DA494" i="18"/>
  <c r="DK344" i="18"/>
  <c r="DG924" i="18"/>
  <c r="DH143" i="18"/>
  <c r="K419" i="18"/>
  <c r="DE654" i="18"/>
  <c r="CU2068" i="18" l="1"/>
  <c r="E2068" i="18" s="1"/>
  <c r="EV2068" i="18"/>
  <c r="BL450" i="18"/>
  <c r="N93" i="21"/>
  <c r="N450" i="18"/>
  <c r="J54" i="15"/>
  <c r="K54" i="15" s="1"/>
  <c r="J61" i="15"/>
  <c r="M106" i="15"/>
  <c r="N106" i="15" s="1"/>
  <c r="AY458" i="18"/>
  <c r="AY397" i="18"/>
  <c r="W398" i="18" s="1"/>
  <c r="AF461" i="18"/>
  <c r="AD478" i="18"/>
  <c r="U463" i="18"/>
  <c r="EV463" i="18" s="1"/>
  <c r="AD465" i="18"/>
  <c r="AH465" i="18" s="1"/>
  <c r="L116" i="21"/>
  <c r="BK553" i="18"/>
  <c r="AY494" i="18"/>
  <c r="AY445" i="18"/>
  <c r="L86" i="21"/>
  <c r="BK419" i="18"/>
  <c r="BL527" i="18"/>
  <c r="N108" i="21"/>
  <c r="K46" i="15"/>
  <c r="I50" i="15"/>
  <c r="J50" i="15" s="1"/>
  <c r="S76" i="15"/>
  <c r="I78" i="15"/>
  <c r="J78" i="15" s="1"/>
  <c r="I73" i="15"/>
  <c r="J73" i="15" s="1"/>
  <c r="K73" i="15" s="1"/>
  <c r="I80" i="15"/>
  <c r="L46" i="15"/>
  <c r="M46" i="15" s="1"/>
  <c r="I100" i="15"/>
  <c r="I39" i="15"/>
  <c r="J39" i="15" s="1"/>
  <c r="J24" i="15"/>
  <c r="K24" i="15" s="1"/>
  <c r="M103" i="15"/>
  <c r="N103" i="15" s="1"/>
  <c r="J106" i="15"/>
  <c r="M58" i="15"/>
  <c r="N58" i="15" s="1"/>
  <c r="I103" i="15"/>
  <c r="I138" i="15"/>
  <c r="L138" i="15"/>
  <c r="M138" i="15" s="1"/>
  <c r="I26" i="15"/>
  <c r="L107" i="15"/>
  <c r="L55" i="15"/>
  <c r="L43" i="15"/>
  <c r="L95" i="15"/>
  <c r="M95" i="15" s="1"/>
  <c r="L40" i="15"/>
  <c r="M40" i="15" s="1"/>
  <c r="I16" i="15"/>
  <c r="I62" i="15"/>
  <c r="J62" i="15" s="1"/>
  <c r="K62" i="15" s="1"/>
  <c r="L79" i="15"/>
  <c r="I51" i="15"/>
  <c r="J51" i="15" s="1"/>
  <c r="L29" i="15"/>
  <c r="M77" i="15"/>
  <c r="N77" i="15" s="1"/>
  <c r="K95" i="15"/>
  <c r="M30" i="15"/>
  <c r="K40" i="15"/>
  <c r="M81" i="15"/>
  <c r="M42" i="15"/>
  <c r="N42" i="15" s="1"/>
  <c r="J28" i="15"/>
  <c r="L27" i="15"/>
  <c r="S29" i="15"/>
  <c r="I98" i="15"/>
  <c r="L100" i="15"/>
  <c r="L22" i="15"/>
  <c r="I21" i="15"/>
  <c r="I92" i="15"/>
  <c r="J92" i="15" s="1"/>
  <c r="J20" i="15"/>
  <c r="K20" i="15" s="1"/>
  <c r="J65" i="15"/>
  <c r="K65" i="15" s="1"/>
  <c r="J36" i="15"/>
  <c r="K36" i="15" s="1"/>
  <c r="M99" i="15"/>
  <c r="N99" i="15" s="1"/>
  <c r="N24" i="15"/>
  <c r="N26" i="15"/>
  <c r="N78" i="15"/>
  <c r="M50" i="15"/>
  <c r="N50" i="15" s="1"/>
  <c r="M23" i="15"/>
  <c r="N76" i="15"/>
  <c r="K17" i="15"/>
  <c r="L32" i="15"/>
  <c r="I82" i="15"/>
  <c r="L98" i="15"/>
  <c r="I58" i="15"/>
  <c r="J58" i="15" s="1"/>
  <c r="I91" i="15"/>
  <c r="L80" i="15"/>
  <c r="M80" i="15" s="1"/>
  <c r="L39" i="15"/>
  <c r="I59" i="15"/>
  <c r="I30" i="15"/>
  <c r="I32" i="15"/>
  <c r="I34" i="15"/>
  <c r="I66" i="15"/>
  <c r="J66" i="15" s="1"/>
  <c r="I57" i="15"/>
  <c r="I47" i="15"/>
  <c r="L28" i="15"/>
  <c r="J81" i="15"/>
  <c r="M92" i="15"/>
  <c r="M37" i="15"/>
  <c r="M25" i="15"/>
  <c r="M51" i="15"/>
  <c r="N51" i="15" s="1"/>
  <c r="K27" i="15"/>
  <c r="J23" i="15"/>
  <c r="K23" i="15" s="1"/>
  <c r="N59" i="15"/>
  <c r="M21" i="15"/>
  <c r="AY304" i="18"/>
  <c r="AY316" i="18" s="1"/>
  <c r="W316" i="18" s="1"/>
  <c r="I107" i="15"/>
  <c r="I25" i="15"/>
  <c r="L91" i="15"/>
  <c r="M91" i="15" s="1"/>
  <c r="L167" i="15"/>
  <c r="M167" i="15" s="1"/>
  <c r="N167" i="15" s="1"/>
  <c r="L127" i="15"/>
  <c r="M127" i="15" s="1"/>
  <c r="N127" i="15" s="1"/>
  <c r="L73" i="15"/>
  <c r="I155" i="15"/>
  <c r="J155" i="15" s="1"/>
  <c r="K155" i="15" s="1"/>
  <c r="I157" i="15"/>
  <c r="J157" i="15" s="1"/>
  <c r="K157" i="15" s="1"/>
  <c r="I156" i="15"/>
  <c r="J156" i="15" s="1"/>
  <c r="K156" i="15" s="1"/>
  <c r="I154" i="15"/>
  <c r="J154" i="15" s="1"/>
  <c r="K154" i="15" s="1"/>
  <c r="L172" i="15"/>
  <c r="M172" i="15" s="1"/>
  <c r="N172" i="15" s="1"/>
  <c r="L31" i="15"/>
  <c r="M31" i="15" s="1"/>
  <c r="N31" i="15" s="1"/>
  <c r="L183" i="15"/>
  <c r="M183" i="15" s="1"/>
  <c r="N183" i="15" s="1"/>
  <c r="I127" i="15"/>
  <c r="J127" i="15" s="1"/>
  <c r="K127" i="15" s="1"/>
  <c r="I126" i="15"/>
  <c r="J126" i="15" s="1"/>
  <c r="K126" i="15" s="1"/>
  <c r="I170" i="15"/>
  <c r="J170" i="15" s="1"/>
  <c r="K170" i="15" s="1"/>
  <c r="I70" i="15"/>
  <c r="J70" i="15" s="1"/>
  <c r="K70" i="15" s="1"/>
  <c r="L70" i="15"/>
  <c r="M70" i="15" s="1"/>
  <c r="N70" i="15" s="1"/>
  <c r="I132" i="15"/>
  <c r="J132" i="15" s="1"/>
  <c r="K132" i="15" s="1"/>
  <c r="DH281" i="18"/>
  <c r="DH772" i="18"/>
  <c r="DF897" i="18"/>
  <c r="DF746" i="18"/>
  <c r="DG540" i="18"/>
  <c r="DF789" i="18"/>
  <c r="DJ532" i="18"/>
  <c r="DJ584" i="18"/>
  <c r="DI781" i="18"/>
  <c r="DH738" i="18"/>
  <c r="DH930" i="18"/>
  <c r="DH705" i="18"/>
  <c r="DJ617" i="18"/>
  <c r="DG605" i="18"/>
  <c r="DH843" i="18"/>
  <c r="DH888" i="18"/>
  <c r="DH919" i="18"/>
  <c r="DH266" i="18"/>
  <c r="DJ649" i="18"/>
  <c r="DG589" i="18"/>
  <c r="DF838" i="18"/>
  <c r="DF906" i="18"/>
  <c r="DE784" i="18"/>
  <c r="DH756" i="18"/>
  <c r="DH857" i="18"/>
  <c r="DH823" i="18"/>
  <c r="DF761" i="18"/>
  <c r="DJ540" i="18"/>
  <c r="DH751" i="18"/>
  <c r="DH924" i="18"/>
  <c r="DG584" i="18"/>
  <c r="DK568" i="18"/>
  <c r="DH954" i="18"/>
  <c r="DJ644" i="18"/>
  <c r="DG666" i="18"/>
  <c r="DG644" i="18"/>
  <c r="DF919" i="18"/>
  <c r="DH833" i="18"/>
  <c r="DK573" i="18"/>
  <c r="DH936" i="18"/>
  <c r="DH722" i="18"/>
  <c r="DG654" i="18"/>
  <c r="DH804" i="18"/>
  <c r="DG595" i="18"/>
  <c r="DF772" i="18"/>
  <c r="DH693" i="18"/>
  <c r="DF804" i="18"/>
  <c r="DH717" i="18"/>
  <c r="DG2020" i="18"/>
  <c r="DG2010" i="18"/>
  <c r="DG2061" i="18"/>
  <c r="DG2039" i="18"/>
  <c r="DG2029" i="18"/>
  <c r="DG2048" i="18"/>
  <c r="DG2077" i="18"/>
  <c r="DH761" i="18"/>
  <c r="DF435" i="18"/>
  <c r="DH882" i="18"/>
  <c r="DH810" i="18"/>
  <c r="DH728" i="18"/>
  <c r="DJ546" i="18"/>
  <c r="DH945" i="18"/>
  <c r="DH799" i="18"/>
  <c r="DF717" i="18"/>
  <c r="DH431" i="18"/>
  <c r="DH968" i="18"/>
  <c r="DH828" i="18"/>
  <c r="DH286" i="18"/>
  <c r="DF810" i="18"/>
  <c r="DH733" i="18"/>
  <c r="DH712" i="18"/>
  <c r="DF968" i="18"/>
  <c r="DH913" i="18"/>
  <c r="DJ589" i="18"/>
  <c r="DF781" i="18"/>
  <c r="DF816" i="18"/>
  <c r="DH876" i="18"/>
  <c r="DG617" i="18"/>
  <c r="DH973" i="18"/>
  <c r="DF924" i="18"/>
  <c r="DH794" i="18"/>
  <c r="DJ595" i="18"/>
  <c r="DF945" i="18"/>
  <c r="DH272" i="18"/>
  <c r="DH245" i="18"/>
  <c r="DK431" i="18"/>
  <c r="DH906" i="18"/>
  <c r="DH781" i="18"/>
  <c r="DH746" i="18"/>
  <c r="DL573" i="18"/>
  <c r="DJ611" i="18"/>
  <c r="DG625" i="18"/>
  <c r="DF954" i="18"/>
  <c r="DH681" i="18"/>
  <c r="DG649" i="18"/>
  <c r="DF961" i="18"/>
  <c r="DF799" i="18"/>
  <c r="DH852" i="18"/>
  <c r="DJ634" i="18"/>
  <c r="DG546" i="18"/>
  <c r="DF913" i="18"/>
  <c r="DF794" i="18"/>
  <c r="DJ654" i="18"/>
  <c r="DF888" i="18"/>
  <c r="DG435" i="18"/>
  <c r="DF756" i="18"/>
  <c r="DJ625" i="18"/>
  <c r="DH867" i="18"/>
  <c r="DF733" i="18"/>
  <c r="DF930" i="18"/>
  <c r="DH961" i="18"/>
  <c r="DH573" i="18"/>
  <c r="DH700" i="18"/>
  <c r="DJ981" i="18"/>
  <c r="DK2048" i="18"/>
  <c r="DK2020" i="18"/>
  <c r="DK2061" i="18"/>
  <c r="DK2029" i="18"/>
  <c r="DK2010" i="18"/>
  <c r="DK2039" i="18"/>
  <c r="DK2077" i="18"/>
  <c r="DG981" i="18"/>
  <c r="DH862" i="18"/>
  <c r="DG532" i="18"/>
  <c r="DJ666" i="18"/>
  <c r="DJ605" i="18"/>
  <c r="DH897" i="18"/>
  <c r="DH838" i="18"/>
  <c r="DH816" i="18"/>
  <c r="DF751" i="18"/>
  <c r="DF936" i="18"/>
  <c r="DH688" i="18"/>
  <c r="DF876" i="18"/>
  <c r="DF882" i="18"/>
  <c r="DH767" i="18"/>
  <c r="DG661" i="18"/>
  <c r="DF767" i="18"/>
  <c r="DJ661" i="18"/>
  <c r="DG634" i="18"/>
  <c r="DG600" i="18"/>
  <c r="DG611" i="18"/>
  <c r="DH674" i="18"/>
  <c r="DH789" i="18"/>
  <c r="DF973" i="18"/>
  <c r="DK784" i="18"/>
  <c r="DJ600" i="18"/>
  <c r="N30" i="15" l="1"/>
  <c r="CU463" i="18"/>
  <c r="E463" i="18" s="1"/>
  <c r="B463" i="18"/>
  <c r="K61" i="15"/>
  <c r="N81" i="15"/>
  <c r="J82" i="15"/>
  <c r="K82" i="15" s="1"/>
  <c r="AD403" i="18"/>
  <c r="AH403" i="18" s="1"/>
  <c r="W403" i="18" s="1"/>
  <c r="W432" i="18" s="1"/>
  <c r="AF464" i="18"/>
  <c r="AH464" i="18" s="1"/>
  <c r="K28" i="15"/>
  <c r="K92" i="15"/>
  <c r="K78" i="15"/>
  <c r="K50" i="15"/>
  <c r="I29" i="15"/>
  <c r="I77" i="15"/>
  <c r="L94" i="15"/>
  <c r="M94" i="15" s="1"/>
  <c r="I68" i="15"/>
  <c r="J68" i="15" s="1"/>
  <c r="I37" i="15"/>
  <c r="I99" i="15"/>
  <c r="J99" i="15" s="1"/>
  <c r="L61" i="15"/>
  <c r="J25" i="15"/>
  <c r="K25" i="15" s="1"/>
  <c r="N21" i="15"/>
  <c r="J32" i="15"/>
  <c r="K32" i="15" s="1"/>
  <c r="M43" i="15"/>
  <c r="N43" i="15" s="1"/>
  <c r="J103" i="15"/>
  <c r="K103" i="15" s="1"/>
  <c r="J100" i="15"/>
  <c r="L82" i="15"/>
  <c r="L66" i="15"/>
  <c r="M66" i="15" s="1"/>
  <c r="M73" i="15"/>
  <c r="N73" i="15" s="1"/>
  <c r="J107" i="15"/>
  <c r="N37" i="15"/>
  <c r="M28" i="15"/>
  <c r="K66" i="15"/>
  <c r="J30" i="15"/>
  <c r="N80" i="15"/>
  <c r="M100" i="15"/>
  <c r="M27" i="15"/>
  <c r="N27" i="15" s="1"/>
  <c r="K51" i="15"/>
  <c r="N40" i="15"/>
  <c r="M55" i="15"/>
  <c r="N55" i="15" s="1"/>
  <c r="N46" i="15"/>
  <c r="S138" i="15"/>
  <c r="S93" i="15"/>
  <c r="I22" i="15"/>
  <c r="J22" i="15" s="1"/>
  <c r="I55" i="15"/>
  <c r="L20" i="15"/>
  <c r="I79" i="15"/>
  <c r="I94" i="15"/>
  <c r="J94" i="15" s="1"/>
  <c r="L68" i="15"/>
  <c r="M68" i="15" s="1"/>
  <c r="L69" i="15"/>
  <c r="M69" i="15" s="1"/>
  <c r="N69" i="15" s="1"/>
  <c r="L54" i="15"/>
  <c r="N91" i="15"/>
  <c r="J47" i="15"/>
  <c r="K47" i="15" s="1"/>
  <c r="J59" i="15"/>
  <c r="K59" i="15" s="1"/>
  <c r="K58" i="15"/>
  <c r="J21" i="15"/>
  <c r="K21" i="15" s="1"/>
  <c r="J98" i="15"/>
  <c r="K98" i="15" s="1"/>
  <c r="M107" i="15"/>
  <c r="N138" i="15"/>
  <c r="L72" i="15"/>
  <c r="M72" i="15" s="1"/>
  <c r="I42" i="15"/>
  <c r="L65" i="15"/>
  <c r="I72" i="15"/>
  <c r="L47" i="15"/>
  <c r="M47" i="15" s="1"/>
  <c r="L34" i="15"/>
  <c r="I76" i="15"/>
  <c r="I43" i="15"/>
  <c r="J43" i="15" s="1"/>
  <c r="I3" i="15"/>
  <c r="I18" i="15"/>
  <c r="J18" i="15" s="1"/>
  <c r="L57" i="15"/>
  <c r="AY321" i="18"/>
  <c r="W321" i="18" s="1"/>
  <c r="AY326" i="18"/>
  <c r="N25" i="15"/>
  <c r="K81" i="15"/>
  <c r="J57" i="15"/>
  <c r="J34" i="15"/>
  <c r="M39" i="15"/>
  <c r="N39" i="15" s="1"/>
  <c r="J91" i="15"/>
  <c r="M98" i="15"/>
  <c r="M32" i="15"/>
  <c r="N23" i="15"/>
  <c r="M22" i="15"/>
  <c r="M29" i="15"/>
  <c r="M79" i="15"/>
  <c r="J16" i="15"/>
  <c r="K16" i="15" s="1"/>
  <c r="N95" i="15"/>
  <c r="J26" i="15"/>
  <c r="J138" i="15"/>
  <c r="K138" i="15" s="1"/>
  <c r="K106" i="15"/>
  <c r="N92" i="15"/>
  <c r="K39" i="15"/>
  <c r="J80" i="15"/>
  <c r="L64" i="15"/>
  <c r="M64" i="15" s="1"/>
  <c r="N64" i="15" s="1"/>
  <c r="I64" i="15"/>
  <c r="J64" i="15" s="1"/>
  <c r="K64" i="15" s="1"/>
  <c r="DL2029" i="18"/>
  <c r="DL2010" i="18"/>
  <c r="DL2061" i="18"/>
  <c r="DL2048" i="18"/>
  <c r="DL2020" i="18"/>
  <c r="DL2039" i="18"/>
  <c r="DL2077" i="18"/>
  <c r="DH981" i="18"/>
  <c r="DH2029" i="18"/>
  <c r="DH2048" i="18"/>
  <c r="DH2020" i="18"/>
  <c r="DH2061" i="18"/>
  <c r="DH2010" i="18"/>
  <c r="DH2039" i="18"/>
  <c r="DH2077" i="18"/>
  <c r="DI431" i="18"/>
  <c r="DJ973" i="18"/>
  <c r="DI717" i="18"/>
  <c r="DI838" i="18"/>
  <c r="DJ919" i="18"/>
  <c r="DG784" i="18"/>
  <c r="K431" i="18"/>
  <c r="DJ789" i="18"/>
  <c r="DJ772" i="18"/>
  <c r="DI882" i="18"/>
  <c r="DI906" i="18"/>
  <c r="DI973" i="18"/>
  <c r="DI746" i="18"/>
  <c r="DJ897" i="18"/>
  <c r="DJ794" i="18"/>
  <c r="DJ906" i="18"/>
  <c r="DI772" i="18"/>
  <c r="DJ799" i="18"/>
  <c r="DH617" i="18"/>
  <c r="DI888" i="18"/>
  <c r="DJ930" i="18"/>
  <c r="DI816" i="18"/>
  <c r="DJ751" i="18"/>
  <c r="DJ945" i="18"/>
  <c r="DI876" i="18"/>
  <c r="DJ961" i="18"/>
  <c r="DI733" i="18"/>
  <c r="DI919" i="18"/>
  <c r="DK617" i="18"/>
  <c r="DJ781" i="18"/>
  <c r="DJ882" i="18"/>
  <c r="DI756" i="18"/>
  <c r="DJ767" i="18"/>
  <c r="DJ810" i="18"/>
  <c r="DI435" i="18"/>
  <c r="DI789" i="18"/>
  <c r="DJ435" i="18"/>
  <c r="DJ913" i="18"/>
  <c r="DJ756" i="18"/>
  <c r="DI751" i="18"/>
  <c r="DJ717" i="18"/>
  <c r="DL431" i="18"/>
  <c r="DI799" i="18"/>
  <c r="DI767" i="18"/>
  <c r="DH435" i="18"/>
  <c r="DL784" i="18"/>
  <c r="DI961" i="18"/>
  <c r="DJ733" i="18"/>
  <c r="DI794" i="18"/>
  <c r="DJ888" i="18"/>
  <c r="DI945" i="18"/>
  <c r="DJ936" i="18"/>
  <c r="DI810" i="18"/>
  <c r="DJ954" i="18"/>
  <c r="DI968" i="18"/>
  <c r="DJ804" i="18"/>
  <c r="DI924" i="18"/>
  <c r="M431" i="18"/>
  <c r="DK981" i="18"/>
  <c r="DJ746" i="18"/>
  <c r="DI954" i="18"/>
  <c r="DI761" i="18"/>
  <c r="DI897" i="18"/>
  <c r="DI936" i="18"/>
  <c r="DJ876" i="18"/>
  <c r="DJ968" i="18"/>
  <c r="DJ816" i="18"/>
  <c r="DI913" i="18"/>
  <c r="DJ924" i="18"/>
  <c r="DJ838" i="18"/>
  <c r="DJ761" i="18"/>
  <c r="DI804" i="18"/>
  <c r="DI930" i="18"/>
  <c r="A463" i="18" l="1"/>
  <c r="C463" i="18"/>
  <c r="L88" i="21"/>
  <c r="N88" i="21"/>
  <c r="BK431" i="18"/>
  <c r="BL431" i="18"/>
  <c r="M54" i="15"/>
  <c r="N54" i="15" s="1"/>
  <c r="K107" i="15"/>
  <c r="N107" i="15"/>
  <c r="K100" i="15"/>
  <c r="K34" i="15"/>
  <c r="AH461" i="18"/>
  <c r="AJ461" i="18" s="1"/>
  <c r="AF473" i="18"/>
  <c r="J29" i="15"/>
  <c r="K29" i="15" s="1"/>
  <c r="N28" i="15"/>
  <c r="K22" i="15"/>
  <c r="N72" i="15"/>
  <c r="J72" i="15"/>
  <c r="K72" i="15" s="1"/>
  <c r="K80" i="15"/>
  <c r="N98" i="15"/>
  <c r="K43" i="15"/>
  <c r="M20" i="15"/>
  <c r="N20" i="15" s="1"/>
  <c r="J77" i="15"/>
  <c r="K77" i="15" s="1"/>
  <c r="J76" i="15"/>
  <c r="N66" i="15"/>
  <c r="K99" i="15"/>
  <c r="K68" i="15"/>
  <c r="J3" i="15"/>
  <c r="K3" i="15" s="1"/>
  <c r="M34" i="15"/>
  <c r="M65" i="15"/>
  <c r="N65" i="15" s="1"/>
  <c r="K94" i="15"/>
  <c r="N29" i="15"/>
  <c r="S42" i="15"/>
  <c r="K91" i="15"/>
  <c r="K18" i="15"/>
  <c r="J55" i="15"/>
  <c r="K55" i="15" s="1"/>
  <c r="K26" i="15"/>
  <c r="N79" i="15"/>
  <c r="N32" i="15"/>
  <c r="M57" i="15"/>
  <c r="N47" i="15"/>
  <c r="J42" i="15"/>
  <c r="K42" i="15" s="1"/>
  <c r="N68" i="15"/>
  <c r="J79" i="15"/>
  <c r="K79" i="15" s="1"/>
  <c r="N100" i="15"/>
  <c r="K30" i="15"/>
  <c r="M82" i="15"/>
  <c r="N22" i="15"/>
  <c r="K57" i="15"/>
  <c r="M61" i="15"/>
  <c r="J37" i="15"/>
  <c r="N94" i="15"/>
  <c r="DL981" i="18"/>
  <c r="DK897" i="18"/>
  <c r="DK876" i="18"/>
  <c r="DK930" i="18"/>
  <c r="DK961" i="18"/>
  <c r="DI2029" i="18"/>
  <c r="DI2039" i="18"/>
  <c r="DI2010" i="18"/>
  <c r="DI2061" i="18"/>
  <c r="DI2048" i="18"/>
  <c r="DI2020" i="18"/>
  <c r="DI2077" i="18"/>
  <c r="DK733" i="18"/>
  <c r="DI617" i="18"/>
  <c r="DK717" i="18"/>
  <c r="DH784" i="18"/>
  <c r="DK746" i="18"/>
  <c r="DK919" i="18"/>
  <c r="DK789" i="18"/>
  <c r="DK794" i="18"/>
  <c r="DK954" i="18"/>
  <c r="DK435" i="18"/>
  <c r="DK767" i="18"/>
  <c r="DK810" i="18"/>
  <c r="DL781" i="18"/>
  <c r="DK973" i="18"/>
  <c r="DK968" i="18"/>
  <c r="DK913" i="18"/>
  <c r="DK772" i="18"/>
  <c r="DK838" i="18"/>
  <c r="DK888" i="18"/>
  <c r="DK924" i="18"/>
  <c r="DK882" i="18"/>
  <c r="DK816" i="18"/>
  <c r="DK799" i="18"/>
  <c r="DK945" i="18"/>
  <c r="DK761" i="18"/>
  <c r="DI981" i="18"/>
  <c r="DK906" i="18"/>
  <c r="DL617" i="18"/>
  <c r="DK804" i="18"/>
  <c r="DK751" i="18"/>
  <c r="DK756" i="18"/>
  <c r="DK781" i="18"/>
  <c r="DK936" i="18"/>
  <c r="U465" i="18" l="1"/>
  <c r="EV465" i="18" s="1"/>
  <c r="AF459" i="18"/>
  <c r="N82" i="15"/>
  <c r="K37" i="15"/>
  <c r="N34" i="15"/>
  <c r="AH473" i="18"/>
  <c r="AJ473" i="18"/>
  <c r="AF478" i="18"/>
  <c r="AD460" i="18"/>
  <c r="AK460" i="18" s="1"/>
  <c r="S26" i="15"/>
  <c r="S91" i="15"/>
  <c r="N57" i="15"/>
  <c r="K76" i="15"/>
  <c r="N61" i="15"/>
  <c r="DL897" i="18"/>
  <c r="DL435" i="18"/>
  <c r="DL888" i="18"/>
  <c r="DL919" i="18"/>
  <c r="DL930" i="18"/>
  <c r="DL756" i="18"/>
  <c r="DL924" i="18"/>
  <c r="DL789" i="18"/>
  <c r="DL761" i="18"/>
  <c r="DL751" i="18"/>
  <c r="DL961" i="18"/>
  <c r="DL876" i="18"/>
  <c r="DL945" i="18"/>
  <c r="DL804" i="18"/>
  <c r="DI784" i="18"/>
  <c r="DL816" i="18"/>
  <c r="DL973" i="18"/>
  <c r="DL746" i="18"/>
  <c r="DL717" i="18"/>
  <c r="DL799" i="18"/>
  <c r="DL838" i="18"/>
  <c r="DL794" i="18"/>
  <c r="DL954" i="18"/>
  <c r="DL772" i="18"/>
  <c r="DL882" i="18"/>
  <c r="DL906" i="18"/>
  <c r="DL733" i="18"/>
  <c r="DL767" i="18"/>
  <c r="DL936" i="18"/>
  <c r="DL810" i="18"/>
  <c r="DL968" i="18"/>
  <c r="DL913" i="18"/>
  <c r="CU465" i="18" l="1"/>
  <c r="E465" i="18" s="1"/>
  <c r="C465" i="18"/>
  <c r="B465" i="18"/>
  <c r="A465" i="18"/>
  <c r="AL473" i="18"/>
  <c r="W473" i="18" s="1"/>
  <c r="AH478" i="18"/>
  <c r="W478" i="18" s="1"/>
  <c r="AJ459" i="18"/>
  <c r="AL459" i="18" s="1"/>
  <c r="S25" i="15"/>
  <c r="S39" i="15"/>
  <c r="U464" i="18" l="1"/>
  <c r="EV464" i="18" s="1"/>
  <c r="W459" i="18"/>
  <c r="CU464" i="18" l="1"/>
  <c r="E464" i="18" s="1"/>
  <c r="B464" i="18"/>
  <c r="C464" i="18"/>
  <c r="A464" i="18"/>
  <c r="U461" i="18" l="1"/>
  <c r="EV461" i="18" s="1"/>
  <c r="AH192" i="18"/>
  <c r="U192" i="18" s="1"/>
  <c r="EV192" i="18" l="1"/>
  <c r="CU461" i="18"/>
  <c r="E461" i="18" s="1"/>
  <c r="B461" i="18"/>
  <c r="A461" i="18"/>
  <c r="C461" i="18"/>
  <c r="U459" i="18" s="1"/>
  <c r="AL192" i="18"/>
  <c r="AH186" i="18" s="1"/>
  <c r="AJ186" i="18" s="1"/>
  <c r="U478" i="18" l="1"/>
  <c r="EV478" i="18" s="1"/>
  <c r="U473" i="18"/>
  <c r="EV473" i="18" s="1"/>
  <c r="C468" i="18"/>
  <c r="W458" i="18"/>
  <c r="N458" i="18" s="1"/>
  <c r="B468" i="18"/>
  <c r="A468" i="18"/>
  <c r="CU192" i="18"/>
  <c r="E192" i="18" s="1"/>
  <c r="AL186" i="18"/>
  <c r="W186" i="18"/>
  <c r="CU473" i="18" l="1"/>
  <c r="E473" i="18" s="1"/>
  <c r="CU478" i="18"/>
  <c r="E478" i="18" s="1"/>
  <c r="C192" i="18"/>
  <c r="U186" i="18" s="1"/>
  <c r="EV186" i="18" s="1"/>
  <c r="W188" i="18"/>
  <c r="N188" i="18" s="1"/>
  <c r="B192" i="18"/>
  <c r="A192" i="18"/>
  <c r="CU186" i="18" l="1"/>
  <c r="E186" i="18" s="1"/>
  <c r="C186" i="18"/>
  <c r="B478" i="18"/>
  <c r="A478" i="18"/>
  <c r="U477" i="18"/>
  <c r="EV477" i="18" s="1"/>
  <c r="C478" i="18"/>
  <c r="A473" i="18"/>
  <c r="C473" i="18"/>
  <c r="U472" i="18"/>
  <c r="EV472" i="18" s="1"/>
  <c r="B473" i="18"/>
  <c r="T90" i="22"/>
  <c r="T91" i="22"/>
  <c r="T93" i="22"/>
  <c r="A186" i="18" l="1"/>
  <c r="B186" i="18"/>
  <c r="W181" i="18"/>
  <c r="N181" i="18" s="1"/>
  <c r="L472" i="18"/>
  <c r="M95" i="21" s="1"/>
  <c r="L477" i="18"/>
  <c r="M96" i="21" s="1"/>
  <c r="R82" i="22"/>
  <c r="R74" i="22"/>
  <c r="V58" i="22"/>
  <c r="T92" i="22"/>
  <c r="AG834" i="18"/>
  <c r="R79" i="22"/>
  <c r="V59" i="22"/>
  <c r="V51" i="22"/>
  <c r="R80" i="22"/>
  <c r="R72" i="22"/>
  <c r="V56" i="22"/>
  <c r="R83" i="22"/>
  <c r="V61" i="22"/>
  <c r="R73" i="22"/>
  <c r="V57" i="22"/>
  <c r="R70" i="22"/>
  <c r="V54" i="22"/>
  <c r="R71" i="22"/>
  <c r="V55" i="22"/>
  <c r="V60" i="22"/>
  <c r="V52" i="22"/>
  <c r="L73" i="25"/>
  <c r="L74" i="25"/>
  <c r="L72" i="25"/>
  <c r="L76" i="25"/>
  <c r="L71" i="25"/>
  <c r="L75" i="25"/>
  <c r="BM477" i="18" l="1"/>
  <c r="C477" i="18"/>
  <c r="D96" i="21" s="1"/>
  <c r="E96" i="21"/>
  <c r="B477" i="18"/>
  <c r="C96" i="21" s="1"/>
  <c r="A477" i="18"/>
  <c r="B96" i="21" s="1"/>
  <c r="E95" i="21"/>
  <c r="BM472" i="18"/>
  <c r="C472" i="18"/>
  <c r="D95" i="21" s="1"/>
  <c r="B472" i="18"/>
  <c r="C95" i="21" s="1"/>
  <c r="A472" i="18"/>
  <c r="B95" i="21" s="1"/>
  <c r="L13" i="25"/>
  <c r="K59" i="25"/>
  <c r="K67" i="25"/>
  <c r="K57" i="25"/>
  <c r="L10" i="25"/>
  <c r="K23" i="25"/>
  <c r="K62" i="25"/>
  <c r="K61" i="25"/>
  <c r="L9" i="25"/>
  <c r="L49" i="25"/>
  <c r="AG824" i="18"/>
  <c r="R81" i="22"/>
  <c r="L45" i="25"/>
  <c r="K31" i="25"/>
  <c r="L52" i="25"/>
  <c r="K37" i="25"/>
  <c r="K27" i="25"/>
  <c r="K39" i="25"/>
  <c r="K58" i="25"/>
  <c r="K28" i="25"/>
  <c r="K65" i="25"/>
  <c r="L48" i="25"/>
  <c r="AG701" i="18"/>
  <c r="V53" i="22"/>
  <c r="L44" i="25"/>
  <c r="K60" i="25"/>
  <c r="L14" i="25"/>
  <c r="K56" i="25"/>
  <c r="L51" i="25"/>
  <c r="K21" i="25"/>
  <c r="K64" i="25"/>
  <c r="L16" i="25"/>
  <c r="K66" i="25"/>
  <c r="L12" i="25"/>
  <c r="K36" i="25"/>
  <c r="K30" i="25"/>
  <c r="K22" i="25"/>
  <c r="L11" i="25"/>
  <c r="K38" i="25"/>
  <c r="L15" i="25"/>
  <c r="L46" i="25"/>
  <c r="L50" i="25"/>
  <c r="L17" i="25"/>
  <c r="K40" i="25"/>
  <c r="K29" i="25"/>
  <c r="K111" i="22" l="1"/>
  <c r="N111" i="22"/>
  <c r="N119" i="22" l="1"/>
  <c r="K119" i="22"/>
  <c r="N115" i="22" l="1"/>
  <c r="K115" i="22"/>
  <c r="K117" i="22"/>
  <c r="N117" i="22"/>
  <c r="N113" i="22" l="1"/>
  <c r="N121" i="22" s="1"/>
  <c r="K113" i="22"/>
  <c r="K121" i="22" l="1"/>
  <c r="CU468" i="18" l="1"/>
  <c r="E468" i="18" s="1"/>
  <c r="BM7" i="18"/>
  <c r="E4" i="21"/>
  <c r="B7" i="18"/>
  <c r="C4" i="21" s="1"/>
  <c r="A7" i="18"/>
  <c r="B4" i="21" s="1"/>
  <c r="C7" i="18"/>
  <c r="D4" i="21" s="1"/>
  <c r="U7" i="18"/>
  <c r="N7" i="18" l="1"/>
  <c r="EV7" i="18"/>
  <c r="A10" i="18" l="1"/>
  <c r="B5" i="21" s="1"/>
  <c r="BM10" i="18"/>
  <c r="C10" i="18"/>
  <c r="D5" i="21" s="1"/>
  <c r="B10" i="18"/>
  <c r="C5" i="21" s="1"/>
  <c r="U10" i="18"/>
  <c r="EV10" i="18" s="1"/>
  <c r="E5" i="21"/>
  <c r="N10" i="18" l="1"/>
  <c r="C652" i="18"/>
  <c r="B652" i="18"/>
  <c r="W649" i="18"/>
  <c r="A652" i="18"/>
  <c r="B368" i="18"/>
  <c r="A368" i="18"/>
  <c r="A637" i="18"/>
  <c r="C637" i="18"/>
  <c r="W634" i="18"/>
  <c r="B637" i="18"/>
  <c r="N634" i="18" l="1"/>
  <c r="N649" i="18"/>
  <c r="B133" i="18"/>
  <c r="A133" i="18"/>
  <c r="W129" i="18"/>
  <c r="N129" i="18" s="1"/>
  <c r="B448" i="18" l="1"/>
  <c r="A448" i="18"/>
  <c r="W445" i="18"/>
  <c r="C448" i="18"/>
  <c r="A35" i="18"/>
  <c r="B35" i="18"/>
  <c r="C35" i="18"/>
  <c r="N445" i="18" l="1"/>
  <c r="A855" i="18" l="1"/>
  <c r="W852" i="18"/>
  <c r="N852" i="18" s="1"/>
  <c r="B855" i="18"/>
  <c r="B41" i="18"/>
  <c r="A41" i="18"/>
  <c r="A248" i="18"/>
  <c r="B248" i="18"/>
  <c r="C248" i="18"/>
  <c r="A50" i="18"/>
  <c r="B50" i="18"/>
  <c r="C41" i="18"/>
  <c r="U50" i="18" s="1"/>
  <c r="EV50" i="18" s="1"/>
  <c r="C50" i="18"/>
  <c r="U41" i="18" s="1"/>
  <c r="C855" i="18"/>
  <c r="EV248" i="18" l="1"/>
  <c r="U292" i="18"/>
  <c r="U247" i="18"/>
  <c r="U282" i="18"/>
  <c r="U287" i="18"/>
  <c r="CU41" i="18"/>
  <c r="E41" i="18" s="1"/>
  <c r="EV41" i="18"/>
  <c r="CU855" i="18"/>
  <c r="E855" i="18" s="1"/>
  <c r="EV855" i="18"/>
  <c r="CU248" i="18"/>
  <c r="E248" i="18" s="1"/>
  <c r="CU50" i="18"/>
  <c r="E50" i="18" s="1"/>
  <c r="U35" i="18"/>
  <c r="EV282" i="18" l="1"/>
  <c r="CU282" i="18"/>
  <c r="E282" i="18" s="1"/>
  <c r="EV292" i="18"/>
  <c r="CU292" i="18"/>
  <c r="E292" i="18" s="1"/>
  <c r="CU247" i="18"/>
  <c r="E247" i="18" s="1"/>
  <c r="EV247" i="18"/>
  <c r="EV287" i="18"/>
  <c r="CU287" i="18"/>
  <c r="E287" i="18" s="1"/>
  <c r="CU35" i="18"/>
  <c r="E35" i="18" s="1"/>
  <c r="EV35" i="18"/>
  <c r="A647" i="18" l="1"/>
  <c r="B647" i="18"/>
  <c r="W644" i="18"/>
  <c r="C647" i="18"/>
  <c r="N644" i="18" l="1"/>
  <c r="W625" i="18" l="1"/>
  <c r="B632" i="18"/>
  <c r="A632" i="18"/>
  <c r="N625" i="18" l="1"/>
  <c r="A657" i="18"/>
  <c r="B657" i="18"/>
  <c r="W654" i="18"/>
  <c r="C657" i="18"/>
  <c r="N654" i="18" l="1"/>
  <c r="B460" i="18"/>
  <c r="C460" i="18"/>
  <c r="A460" i="18"/>
  <c r="A459" i="18"/>
  <c r="C459" i="18"/>
  <c r="B459" i="18"/>
  <c r="A510" i="18"/>
  <c r="C510" i="18"/>
  <c r="B510" i="18"/>
  <c r="B511" i="18"/>
  <c r="A511" i="18"/>
  <c r="C511" i="18"/>
  <c r="B361" i="18"/>
  <c r="C361" i="18"/>
  <c r="A361" i="18"/>
  <c r="B357" i="18"/>
  <c r="C357" i="18"/>
  <c r="A357" i="18"/>
  <c r="BM34" i="18"/>
  <c r="B34" i="18"/>
  <c r="C11" i="21" s="1"/>
  <c r="BM360" i="18" l="1"/>
  <c r="B360" i="18"/>
  <c r="C75" i="21" s="1"/>
  <c r="BM509" i="18" l="1"/>
  <c r="B509" i="18"/>
  <c r="C103" i="21" s="1"/>
  <c r="BM356" i="18" l="1"/>
  <c r="B356" i="18"/>
  <c r="C74" i="21" s="1"/>
  <c r="BM458" i="18" l="1"/>
  <c r="B458" i="18"/>
  <c r="C94" i="21" s="1"/>
  <c r="A356" i="18" l="1"/>
  <c r="B74" i="21" s="1"/>
  <c r="DJ257" i="18"/>
  <c r="K397" i="18"/>
  <c r="DI823" i="18"/>
  <c r="DI291" i="18"/>
  <c r="DL120" i="18"/>
  <c r="DK320" i="18"/>
  <c r="DI843" i="18"/>
  <c r="DH546" i="18"/>
  <c r="DI344" i="18"/>
  <c r="DJ397" i="18"/>
  <c r="DL325" i="18"/>
  <c r="DJ245" i="18"/>
  <c r="DL96" i="18"/>
  <c r="DG373" i="18"/>
  <c r="DH666" i="18"/>
  <c r="DK27" i="18"/>
  <c r="DI120" i="18"/>
  <c r="DI412" i="18"/>
  <c r="DI303" i="18"/>
  <c r="DH103" i="18"/>
  <c r="DI69" i="18"/>
  <c r="DK303" i="18"/>
  <c r="DJ509" i="18"/>
  <c r="DL337" i="18"/>
  <c r="DI216" i="18"/>
  <c r="DI143" i="18"/>
  <c r="DI257" i="18"/>
  <c r="DL373" i="18"/>
  <c r="DI272" i="18"/>
  <c r="DI231" i="18"/>
  <c r="DE519" i="18"/>
  <c r="DK419" i="18"/>
  <c r="DJ330" i="18"/>
  <c r="DI296" i="18"/>
  <c r="DF738" i="18"/>
  <c r="DI738" i="18"/>
  <c r="DK272" i="18"/>
  <c r="DH188" i="18"/>
  <c r="DI402" i="18"/>
  <c r="DH482" i="18"/>
  <c r="DE257" i="18"/>
  <c r="DH325" i="18"/>
  <c r="DL625" i="18"/>
  <c r="DH589" i="18"/>
  <c r="DI577" i="18"/>
  <c r="DL852" i="18"/>
  <c r="DG13" i="18"/>
  <c r="DK674" i="18"/>
  <c r="DK257" i="18"/>
  <c r="DL649" i="18"/>
  <c r="DG499" i="18"/>
  <c r="DK494" i="18"/>
  <c r="DH75" i="18"/>
  <c r="DH450" i="18"/>
  <c r="DI445" i="18"/>
  <c r="DK519" i="18"/>
  <c r="DJ197" i="18"/>
  <c r="DL109" i="18"/>
  <c r="DK487" i="18"/>
  <c r="DJ37" i="18"/>
  <c r="DL344" i="18"/>
  <c r="DG458" i="18"/>
  <c r="DI337" i="18"/>
  <c r="DG450" i="18"/>
  <c r="DH291" i="18"/>
  <c r="DK231" i="18"/>
  <c r="DL674" i="18"/>
  <c r="DJ325" i="18"/>
  <c r="DH296" i="18"/>
  <c r="DK472" i="18"/>
  <c r="DI625" i="18"/>
  <c r="DH16" i="18"/>
  <c r="DL419" i="18"/>
  <c r="DL153" i="18"/>
  <c r="DK712" i="18"/>
  <c r="DL509" i="18"/>
  <c r="K477" i="18"/>
  <c r="DL546" i="18"/>
  <c r="DF705" i="18"/>
  <c r="DL681" i="18"/>
  <c r="DG330" i="18"/>
  <c r="DI693" i="18"/>
  <c r="DI661" i="18"/>
  <c r="DG424" i="18"/>
  <c r="DL245" i="18"/>
  <c r="DK589" i="18"/>
  <c r="M129" i="18"/>
  <c r="DH231" i="18"/>
  <c r="DI654" i="18"/>
  <c r="DL236" i="18"/>
  <c r="DA120" i="18"/>
  <c r="DL611" i="18"/>
  <c r="DH527" i="18"/>
  <c r="DH27" i="18"/>
  <c r="DL330" i="18"/>
  <c r="DI350" i="18"/>
  <c r="DH540" i="18"/>
  <c r="DI867" i="18"/>
  <c r="DH303" i="18"/>
  <c r="J10" i="18"/>
  <c r="DH397" i="18"/>
  <c r="DK693" i="18"/>
  <c r="DI153" i="18"/>
  <c r="DF823" i="18"/>
  <c r="DL49" i="18"/>
  <c r="DF424" i="18"/>
  <c r="DJ85" i="18"/>
  <c r="DI236" i="18"/>
  <c r="DK69" i="18"/>
  <c r="DK337" i="18"/>
  <c r="DI595" i="18"/>
  <c r="DL286" i="18"/>
  <c r="DK40" i="18"/>
  <c r="DL37" i="18"/>
  <c r="DK654" i="18"/>
  <c r="DL568" i="18"/>
  <c r="DH13" i="18"/>
  <c r="DL867" i="18"/>
  <c r="DL450" i="18"/>
  <c r="K320" i="18"/>
  <c r="DK286" i="18"/>
  <c r="DF291" i="18"/>
  <c r="K402" i="18"/>
  <c r="DI499" i="18"/>
  <c r="DH611" i="18"/>
  <c r="DL129" i="18"/>
  <c r="DK143" i="18"/>
  <c r="DL857" i="18"/>
  <c r="DI129" i="18"/>
  <c r="DH22" i="18"/>
  <c r="DG181" i="18"/>
  <c r="DH37" i="18"/>
  <c r="DJ310" i="18"/>
  <c r="DJ852" i="18"/>
  <c r="DI487" i="18"/>
  <c r="DH402" i="18"/>
  <c r="DK482" i="18"/>
  <c r="DJ472" i="18"/>
  <c r="DL661" i="18"/>
  <c r="DJ272" i="18"/>
  <c r="DF245" i="18"/>
  <c r="DL722" i="18"/>
  <c r="DI22" i="18"/>
  <c r="DI37" i="18"/>
  <c r="M458" i="18"/>
  <c r="DG472" i="18"/>
  <c r="DK532" i="18"/>
  <c r="DF722" i="18"/>
  <c r="DF843" i="18"/>
  <c r="DH445" i="18"/>
  <c r="DK64" i="18"/>
  <c r="DJ445" i="18"/>
  <c r="DL712" i="18"/>
  <c r="DH605" i="18"/>
  <c r="DG120" i="18"/>
  <c r="DI281" i="18"/>
  <c r="DE22" i="18"/>
  <c r="DK458" i="18"/>
  <c r="DL216" i="18"/>
  <c r="DK75" i="18"/>
  <c r="DJ674" i="18"/>
  <c r="DI611" i="18"/>
  <c r="DI365" i="18"/>
  <c r="DK499" i="18"/>
  <c r="DG402" i="18"/>
  <c r="DI450" i="18"/>
  <c r="DL705" i="18"/>
  <c r="DJ69" i="18"/>
  <c r="DI482" i="18"/>
  <c r="DK450" i="18"/>
  <c r="DI705" i="18"/>
  <c r="DJ365" i="18"/>
  <c r="DK37" i="18"/>
  <c r="DG397" i="18"/>
  <c r="DK325" i="18"/>
  <c r="DL58" i="18"/>
  <c r="DG494" i="18"/>
  <c r="DL499" i="18"/>
  <c r="DJ700" i="18"/>
  <c r="DL458" i="18"/>
  <c r="DL27" i="18"/>
  <c r="DI573" i="18"/>
  <c r="DI458" i="18"/>
  <c r="DH197" i="18"/>
  <c r="DE397" i="18"/>
  <c r="DG325" i="18"/>
  <c r="DH58" i="18"/>
  <c r="DI34" i="18"/>
  <c r="DG22" i="18"/>
  <c r="DG527" i="18"/>
  <c r="DG49" i="18"/>
  <c r="DK148" i="18"/>
  <c r="DI857" i="18"/>
  <c r="DG216" i="18"/>
  <c r="DF712" i="18"/>
  <c r="DE69" i="18"/>
  <c r="DG344" i="18"/>
  <c r="DA216" i="18"/>
  <c r="DH344" i="18"/>
  <c r="DH40" i="18"/>
  <c r="DK85" i="18"/>
  <c r="DL272" i="18"/>
  <c r="DL532" i="18"/>
  <c r="DI320" i="18"/>
  <c r="DK58" i="18"/>
  <c r="DH584" i="18"/>
  <c r="DJ458" i="18"/>
  <c r="DK828" i="18"/>
  <c r="DK412" i="18"/>
  <c r="DI722" i="18"/>
  <c r="M852" i="18"/>
  <c r="DJ857" i="18"/>
  <c r="DH373" i="18"/>
  <c r="DL365" i="18"/>
  <c r="DG310" i="18"/>
  <c r="DI828" i="18"/>
  <c r="DL350" i="18"/>
  <c r="DI649" i="18"/>
  <c r="DH216" i="18"/>
  <c r="DL540" i="18"/>
  <c r="DI688" i="18"/>
  <c r="DF266" i="18"/>
  <c r="DH315" i="18"/>
  <c r="DK540" i="18"/>
  <c r="DH532" i="18"/>
  <c r="DL728" i="18"/>
  <c r="DK373" i="18"/>
  <c r="DK397" i="18"/>
  <c r="DL143" i="18"/>
  <c r="DA509" i="18"/>
  <c r="DF325" i="18"/>
  <c r="DK625" i="18"/>
  <c r="DI527" i="18"/>
  <c r="DJ833" i="18"/>
  <c r="DJ843" i="18"/>
  <c r="DE13" i="18"/>
  <c r="DL310" i="18"/>
  <c r="DJ407" i="18"/>
  <c r="DG188" i="18"/>
  <c r="DF49" i="18"/>
  <c r="DH600" i="18"/>
  <c r="DK852" i="18"/>
  <c r="DI700" i="18"/>
  <c r="DE482" i="18"/>
  <c r="DI10" i="18"/>
  <c r="DF40" i="18"/>
  <c r="DG129" i="18"/>
  <c r="DJ728" i="18"/>
  <c r="DA472" i="18"/>
  <c r="DH625" i="18"/>
  <c r="DL823" i="18"/>
  <c r="DH337" i="18"/>
  <c r="DK296" i="18"/>
  <c r="DL472" i="18"/>
  <c r="DI419" i="18"/>
  <c r="DH558" i="18"/>
  <c r="M188" i="18"/>
  <c r="DK611" i="18"/>
  <c r="DK649" i="18"/>
  <c r="DF833" i="18"/>
  <c r="DI137" i="18"/>
  <c r="DH412" i="18"/>
  <c r="DI64" i="18"/>
  <c r="DI49" i="18"/>
  <c r="DG412" i="18"/>
  <c r="DG257" i="18"/>
  <c r="DL407" i="18"/>
  <c r="DJ281" i="18"/>
  <c r="DI245" i="18"/>
  <c r="DF674" i="18"/>
  <c r="DK857" i="18"/>
  <c r="DG69" i="18"/>
  <c r="DH350" i="18"/>
  <c r="DK197" i="18"/>
  <c r="DG482" i="18"/>
  <c r="DH7" i="18"/>
  <c r="DE320" i="18"/>
  <c r="DK700" i="18"/>
  <c r="DF286" i="18"/>
  <c r="DH494" i="18"/>
  <c r="DJ216" i="18"/>
  <c r="DK867" i="18"/>
  <c r="DF281" i="18"/>
  <c r="J7" i="18"/>
  <c r="DF852" i="18"/>
  <c r="DL738" i="18"/>
  <c r="M644" i="18"/>
  <c r="DL445" i="18"/>
  <c r="DH49" i="18"/>
  <c r="DL634" i="18"/>
  <c r="DI519" i="18"/>
  <c r="DK181" i="18"/>
  <c r="DG153" i="18"/>
  <c r="DI197" i="18"/>
  <c r="DL693" i="18"/>
  <c r="DI681" i="18"/>
  <c r="DL605" i="18"/>
  <c r="DJ828" i="18"/>
  <c r="DE494" i="18"/>
  <c r="DF700" i="18"/>
  <c r="DK137" i="18"/>
  <c r="DL231" i="18"/>
  <c r="DH148" i="18"/>
  <c r="DH654" i="18"/>
  <c r="DK424" i="18"/>
  <c r="DH310" i="18"/>
  <c r="DI605" i="18"/>
  <c r="DI644" i="18"/>
  <c r="DL644" i="18"/>
  <c r="DL666" i="18"/>
  <c r="DI634" i="18"/>
  <c r="DA137" i="18"/>
  <c r="DK644" i="18"/>
  <c r="DA129" i="18"/>
  <c r="DG173" i="18"/>
  <c r="DI373" i="18"/>
  <c r="DE148" i="18"/>
  <c r="DK527" i="18"/>
  <c r="DJ315" i="18"/>
  <c r="DI852" i="18"/>
  <c r="DK661" i="18"/>
  <c r="DL833" i="18"/>
  <c r="DI600" i="18"/>
  <c r="DJ738" i="18"/>
  <c r="DF681" i="18"/>
  <c r="DJ823" i="18"/>
  <c r="DJ577" i="18"/>
  <c r="DH595" i="18"/>
  <c r="DL188" i="18"/>
  <c r="DH634" i="18"/>
  <c r="DK546" i="18"/>
  <c r="DF197" i="18"/>
  <c r="DH96" i="18"/>
  <c r="DF688" i="18"/>
  <c r="DA148" i="18"/>
  <c r="DK688" i="18"/>
  <c r="DH644" i="18"/>
  <c r="DH330" i="18"/>
  <c r="DI540" i="18"/>
  <c r="DJ693" i="18"/>
  <c r="DK558" i="18"/>
  <c r="DL85" i="18"/>
  <c r="DL688" i="18"/>
  <c r="DG148" i="18"/>
  <c r="DL589" i="18"/>
  <c r="DJ266" i="18"/>
  <c r="DF315" i="18"/>
  <c r="DK407" i="18"/>
  <c r="DL487" i="18"/>
  <c r="DL402" i="18"/>
  <c r="DE445" i="18"/>
  <c r="DK188" i="18"/>
  <c r="DG509" i="18"/>
  <c r="DI103" i="18"/>
  <c r="DG558" i="18"/>
  <c r="DI325" i="18"/>
  <c r="DI589" i="18"/>
  <c r="DJ153" i="18"/>
  <c r="DI833" i="18"/>
  <c r="DJ303" i="18"/>
  <c r="DH419" i="18"/>
  <c r="DK236" i="18"/>
  <c r="DK823" i="18"/>
  <c r="DJ482" i="18"/>
  <c r="DJ688" i="18"/>
  <c r="DI728" i="18"/>
  <c r="M445" i="18"/>
  <c r="DH649" i="18"/>
  <c r="DG137" i="18"/>
  <c r="DI58" i="18"/>
  <c r="DK584" i="18"/>
  <c r="DF296" i="18"/>
  <c r="DI862" i="18"/>
  <c r="DJ286" i="18"/>
  <c r="DJ137" i="18"/>
  <c r="DK109" i="18"/>
  <c r="DJ867" i="18"/>
  <c r="DG197" i="18"/>
  <c r="K472" i="18"/>
  <c r="DE325" i="18"/>
  <c r="DE373" i="18"/>
  <c r="DI532" i="18"/>
  <c r="DH519" i="18"/>
  <c r="DH499" i="18"/>
  <c r="DI27" i="18"/>
  <c r="DJ40" i="18"/>
  <c r="DH365" i="18"/>
  <c r="DI666" i="18"/>
  <c r="DJ494" i="18"/>
  <c r="DH181" i="18"/>
  <c r="DK595" i="18"/>
  <c r="DJ487" i="18"/>
  <c r="DI568" i="18"/>
  <c r="DE458" i="18"/>
  <c r="DH509" i="18"/>
  <c r="DL173" i="18"/>
  <c r="DL700" i="18"/>
  <c r="DL320" i="18"/>
  <c r="DL303" i="18"/>
  <c r="DH458" i="18"/>
  <c r="DK173" i="18"/>
  <c r="DJ291" i="18"/>
  <c r="DL257" i="18"/>
  <c r="DJ320" i="18"/>
  <c r="DK722" i="18"/>
  <c r="DG350" i="18"/>
  <c r="DL482" i="18"/>
  <c r="DI558" i="18"/>
  <c r="DL600" i="18"/>
  <c r="DH120" i="18"/>
  <c r="DK681" i="18"/>
  <c r="DK330" i="18"/>
  <c r="DK577" i="18"/>
  <c r="DG337" i="18"/>
  <c r="DH472" i="18"/>
  <c r="DL281" i="18"/>
  <c r="DK120" i="18"/>
  <c r="DI310" i="18"/>
  <c r="DL291" i="18"/>
  <c r="DI266" i="18"/>
  <c r="DI330" i="18"/>
  <c r="DK634" i="18"/>
  <c r="DA477" i="18"/>
  <c r="DK705" i="18"/>
  <c r="DL137" i="18"/>
  <c r="DG407" i="18"/>
  <c r="DI407" i="18"/>
  <c r="DK365" i="18"/>
  <c r="DL527" i="18"/>
  <c r="DG445" i="18"/>
  <c r="DH109" i="18"/>
  <c r="DL103" i="18"/>
  <c r="DI85" i="18"/>
  <c r="DG296" i="18"/>
  <c r="DL266" i="18"/>
  <c r="DK833" i="18"/>
  <c r="DK600" i="18"/>
  <c r="DL654" i="18"/>
  <c r="DL577" i="18"/>
  <c r="DF320" i="18"/>
  <c r="DI173" i="18"/>
  <c r="DI16" i="18"/>
  <c r="DG236" i="18"/>
  <c r="DG27" i="18"/>
  <c r="DE27" i="18"/>
  <c r="DL296" i="18"/>
  <c r="DF58" i="18"/>
  <c r="DJ705" i="18"/>
  <c r="DL397" i="18"/>
  <c r="DF272" i="18"/>
  <c r="DJ412" i="18"/>
  <c r="DH34" i="18"/>
  <c r="K315" i="18"/>
  <c r="DL595" i="18"/>
  <c r="DG34" i="18"/>
  <c r="DJ296" i="18"/>
  <c r="K325" i="18"/>
  <c r="DK216" i="18"/>
  <c r="DL424" i="18"/>
  <c r="DI148" i="18"/>
  <c r="DK266" i="18"/>
  <c r="DF482" i="18"/>
  <c r="DI424" i="18"/>
  <c r="DJ862" i="18"/>
  <c r="DH69" i="18"/>
  <c r="DH236" i="18"/>
  <c r="DG109" i="18"/>
  <c r="DK509" i="18"/>
  <c r="DG7" i="18"/>
  <c r="DF330" i="18"/>
  <c r="DH577" i="18"/>
  <c r="DK605" i="18"/>
  <c r="DF857" i="18"/>
  <c r="DJ109" i="18"/>
  <c r="DK291" i="18"/>
  <c r="DJ143" i="18"/>
  <c r="DI13" i="18"/>
  <c r="DL412" i="18"/>
  <c r="DF828" i="18"/>
  <c r="DK315" i="18"/>
  <c r="DG577" i="18"/>
  <c r="DK310" i="18"/>
  <c r="DK49" i="18"/>
  <c r="DL862" i="18"/>
  <c r="DG291" i="18"/>
  <c r="DK281" i="18"/>
  <c r="DI397" i="18"/>
  <c r="DH173" i="18"/>
  <c r="DL315" i="18"/>
  <c r="DF303" i="18"/>
  <c r="DG519" i="18"/>
  <c r="DI584" i="18"/>
  <c r="DF862" i="18"/>
  <c r="DL584" i="18"/>
  <c r="DE153" i="18"/>
  <c r="DL558" i="18"/>
  <c r="DH129" i="18"/>
  <c r="DL40" i="18"/>
  <c r="DK445" i="18"/>
  <c r="DH153" i="18"/>
  <c r="DK245" i="18"/>
  <c r="DF693" i="18"/>
  <c r="K303" i="18"/>
  <c r="DL494" i="18"/>
  <c r="DL148" i="18"/>
  <c r="DI472" i="18"/>
  <c r="DL69" i="18"/>
  <c r="DI7" i="18"/>
  <c r="DH568" i="18"/>
  <c r="DG231" i="18"/>
  <c r="DJ58" i="18"/>
  <c r="DG64" i="18"/>
  <c r="DI75" i="18"/>
  <c r="DH320" i="18"/>
  <c r="DI674" i="18"/>
  <c r="DL181" i="18"/>
  <c r="DL519" i="18"/>
  <c r="DL843" i="18"/>
  <c r="DL197" i="18"/>
  <c r="DH424" i="18"/>
  <c r="M181" i="18"/>
  <c r="DL64" i="18"/>
  <c r="DG320" i="18"/>
  <c r="DJ712" i="18"/>
  <c r="DF728" i="18"/>
  <c r="DI109" i="18"/>
  <c r="DI40" i="18"/>
  <c r="DL828" i="18"/>
  <c r="DK153" i="18"/>
  <c r="DI315" i="18"/>
  <c r="DH257" i="18"/>
  <c r="DK738" i="18"/>
  <c r="DJ49" i="18"/>
  <c r="DI286" i="18"/>
  <c r="DJ527" i="18"/>
  <c r="DJ722" i="18"/>
  <c r="DK862" i="18"/>
  <c r="DI494" i="18"/>
  <c r="DI181" i="18"/>
  <c r="DH64" i="18"/>
  <c r="DK666" i="18"/>
  <c r="DL75" i="18"/>
  <c r="DF310" i="18"/>
  <c r="DI712" i="18"/>
  <c r="DE34" i="18"/>
  <c r="DH137" i="18"/>
  <c r="DJ424" i="18"/>
  <c r="DE407" i="18"/>
  <c r="DG37" i="18"/>
  <c r="DI509" i="18"/>
  <c r="DH661" i="18"/>
  <c r="DK843" i="18"/>
  <c r="DK728" i="18"/>
  <c r="DI546" i="18"/>
  <c r="DI188" i="18"/>
  <c r="DF37" i="18"/>
  <c r="DJ681" i="18"/>
  <c r="DH407" i="18"/>
  <c r="DI96" i="18"/>
  <c r="DF867" i="18"/>
  <c r="BL181" i="18" l="1"/>
  <c r="N37" i="21"/>
  <c r="L62" i="21"/>
  <c r="BK303" i="18"/>
  <c r="L66" i="21"/>
  <c r="BK325" i="18"/>
  <c r="BK315" i="18"/>
  <c r="L64" i="21"/>
  <c r="AY477" i="18"/>
  <c r="L95" i="21"/>
  <c r="BK472" i="18"/>
  <c r="N92" i="21"/>
  <c r="AM368" i="18"/>
  <c r="BL445" i="18"/>
  <c r="AY148" i="18"/>
  <c r="AY129" i="18"/>
  <c r="AS130" i="18" s="1"/>
  <c r="AY137" i="18"/>
  <c r="BL644" i="18"/>
  <c r="N134" i="21"/>
  <c r="BK7" i="18"/>
  <c r="K4" i="21"/>
  <c r="N38" i="21"/>
  <c r="BL188" i="18"/>
  <c r="AY472" i="18"/>
  <c r="AY509" i="18"/>
  <c r="N184" i="21"/>
  <c r="BL852" i="18"/>
  <c r="AY216" i="18"/>
  <c r="N94" i="21"/>
  <c r="BL458" i="18"/>
  <c r="L83" i="21"/>
  <c r="BK402" i="18"/>
  <c r="L65" i="21"/>
  <c r="BK320" i="18"/>
  <c r="BK10" i="18"/>
  <c r="K5" i="21"/>
  <c r="AY120" i="18"/>
  <c r="AD121" i="18" s="1"/>
  <c r="AP368" i="18"/>
  <c r="N27" i="21"/>
  <c r="BL129" i="18"/>
  <c r="L96" i="21"/>
  <c r="BK477" i="18"/>
  <c r="BK397" i="18"/>
  <c r="L82" i="21"/>
  <c r="A509" i="18"/>
  <c r="B103" i="21" s="1"/>
  <c r="A34" i="18"/>
  <c r="B11" i="21" s="1"/>
  <c r="A458" i="18"/>
  <c r="B94" i="21" s="1"/>
  <c r="BM22" i="18"/>
  <c r="E7" i="21"/>
  <c r="A360" i="18"/>
  <c r="B75" i="21" s="1"/>
  <c r="C22" i="18"/>
  <c r="D7" i="21" s="1"/>
  <c r="A22" i="18"/>
  <c r="B7" i="21" s="1"/>
  <c r="B22" i="18"/>
  <c r="C7" i="21" s="1"/>
  <c r="U22" i="18"/>
  <c r="AI368" i="18" l="1"/>
  <c r="AK368" i="18" s="1"/>
  <c r="W368" i="18" s="1"/>
  <c r="N22" i="18"/>
  <c r="EV22" i="18"/>
  <c r="BK22" i="18"/>
  <c r="K7" i="21"/>
  <c r="E11" i="21"/>
  <c r="AR368" i="18" l="1"/>
  <c r="U368" i="18" s="1"/>
  <c r="E75" i="21"/>
  <c r="C360" i="18" l="1"/>
  <c r="D75" i="21" s="1"/>
  <c r="C356" i="18"/>
  <c r="D74" i="21" s="1"/>
  <c r="E74" i="21"/>
  <c r="E103" i="21" l="1"/>
  <c r="C509" i="18"/>
  <c r="D103" i="21" s="1"/>
  <c r="C368" i="18"/>
  <c r="C133" i="18"/>
  <c r="W365" i="18"/>
  <c r="N365" i="18" s="1"/>
  <c r="U134" i="18" l="1"/>
  <c r="EV134" i="18" s="1"/>
  <c r="U448" i="18"/>
  <c r="EV448" i="18" s="1"/>
  <c r="EV368" i="18"/>
  <c r="EV133" i="18"/>
  <c r="M365" i="18"/>
  <c r="N78" i="21" l="1"/>
  <c r="BL365" i="18"/>
  <c r="CU134" i="18"/>
  <c r="E134" i="18" s="1"/>
  <c r="CU368" i="18"/>
  <c r="E368" i="18" s="1"/>
  <c r="CU448" i="18"/>
  <c r="E448" i="18" s="1"/>
  <c r="CU133" i="18"/>
  <c r="E133" i="18" s="1"/>
  <c r="BM16" i="18" l="1"/>
  <c r="B16" i="18"/>
  <c r="C8" i="21" s="1"/>
  <c r="U360" i="18"/>
  <c r="E94" i="21"/>
  <c r="A16" i="18"/>
  <c r="B8" i="21" s="1"/>
  <c r="C16" i="18"/>
  <c r="D8" i="21" s="1"/>
  <c r="U509" i="18"/>
  <c r="EV509" i="18" s="1"/>
  <c r="C34" i="18"/>
  <c r="D11" i="21" s="1"/>
  <c r="U356" i="18"/>
  <c r="EV356" i="18" s="1"/>
  <c r="U16" i="18"/>
  <c r="EV16" i="18" s="1"/>
  <c r="E8" i="21"/>
  <c r="U458" i="18"/>
  <c r="EV458" i="18" s="1"/>
  <c r="C458" i="18"/>
  <c r="D94" i="21" s="1"/>
  <c r="C632" i="18"/>
  <c r="U647" i="18" s="1"/>
  <c r="K509" i="18"/>
  <c r="K360" i="18"/>
  <c r="K458" i="18"/>
  <c r="J16" i="18"/>
  <c r="L356" i="18" l="1"/>
  <c r="M74" i="21" s="1"/>
  <c r="L360" i="18"/>
  <c r="M75" i="21" s="1"/>
  <c r="EV360" i="18"/>
  <c r="CU647" i="18"/>
  <c r="E647" i="18" s="1"/>
  <c r="EV647" i="18"/>
  <c r="L458" i="18"/>
  <c r="M94" i="21" s="1"/>
  <c r="L94" i="21"/>
  <c r="BK458" i="18"/>
  <c r="BK16" i="18"/>
  <c r="K8" i="21"/>
  <c r="BK509" i="18"/>
  <c r="L103" i="21"/>
  <c r="BK360" i="18"/>
  <c r="L75" i="21"/>
  <c r="L509" i="18"/>
  <c r="M103" i="21" s="1"/>
  <c r="K356" i="18"/>
  <c r="BK356" i="18" l="1"/>
  <c r="L74" i="21"/>
  <c r="U34" i="18"/>
  <c r="J34" i="18"/>
  <c r="N34" i="18" l="1"/>
  <c r="EV34" i="18"/>
  <c r="BK34" i="18"/>
  <c r="AF357" i="18"/>
  <c r="AF361" i="18"/>
  <c r="EV361" i="18" s="1"/>
  <c r="AJ511" i="18"/>
  <c r="AJ460" i="18"/>
  <c r="U460" i="18" s="1"/>
  <c r="EV460" i="18" s="1"/>
  <c r="K11" i="21"/>
  <c r="AD459" i="18"/>
  <c r="EV459" i="18" s="1"/>
  <c r="EV357" i="18" l="1"/>
  <c r="CU459" i="18"/>
  <c r="E459" i="18" s="1"/>
  <c r="CU361" i="18"/>
  <c r="E361" i="18" s="1"/>
  <c r="CU460" i="18"/>
  <c r="E460" i="18" s="1"/>
  <c r="AD510" i="18"/>
  <c r="U510" i="18" s="1"/>
  <c r="EV510" i="18" s="1"/>
  <c r="U511" i="18"/>
  <c r="EV511" i="18" s="1"/>
  <c r="CU357" i="18" l="1"/>
  <c r="E357" i="18" s="1"/>
  <c r="CU510" i="18"/>
  <c r="E510" i="18" s="1"/>
  <c r="CU511" i="18"/>
  <c r="E511" i="18" s="1"/>
  <c r="D23" i="23" l="1"/>
  <c r="D20" i="23"/>
  <c r="G21" i="23"/>
  <c r="E21" i="23" l="1"/>
  <c r="AF592" i="18" s="1"/>
  <c r="G25" i="23"/>
  <c r="G26" i="23"/>
  <c r="G27" i="23"/>
  <c r="G24" i="23"/>
  <c r="F26" i="23"/>
  <c r="F27" i="23"/>
  <c r="F25" i="23"/>
  <c r="E25" i="23"/>
  <c r="AF639" i="18" s="1"/>
  <c r="E26" i="23"/>
  <c r="AF640" i="18" s="1"/>
  <c r="E27" i="23"/>
  <c r="AF641" i="18" s="1"/>
  <c r="E24" i="23"/>
  <c r="AF638" i="18" s="1"/>
  <c r="D21" i="23"/>
  <c r="AE592" i="18" s="1"/>
  <c r="D24" i="23"/>
  <c r="AE638" i="18" s="1"/>
  <c r="U638" i="18" s="1"/>
  <c r="D25" i="23"/>
  <c r="AE639" i="18" s="1"/>
  <c r="U639" i="18" s="1"/>
  <c r="D27" i="23"/>
  <c r="AE641" i="18" s="1"/>
  <c r="U641" i="18" l="1"/>
  <c r="EV641" i="18" s="1"/>
  <c r="EV639" i="18"/>
  <c r="CU639" i="18"/>
  <c r="E639" i="18" s="1"/>
  <c r="EV638" i="18"/>
  <c r="CU638" i="18"/>
  <c r="E638" i="18" s="1"/>
  <c r="C638" i="18" s="1"/>
  <c r="CU641" i="18" l="1"/>
  <c r="E641" i="18" s="1"/>
  <c r="D26" i="23" l="1"/>
  <c r="AE640" i="18" s="1"/>
  <c r="U640" i="18" s="1"/>
  <c r="CU640" i="18" l="1"/>
  <c r="E640" i="18" s="1"/>
  <c r="EV640" i="18"/>
  <c r="B2" i="30" l="1"/>
  <c r="B6" i="30"/>
  <c r="D31" i="23" l="1"/>
  <c r="AE657" i="18" s="1"/>
  <c r="W657" i="18" s="1"/>
  <c r="D29" i="23"/>
  <c r="AE637" i="18" s="1"/>
  <c r="W637" i="18" s="1"/>
  <c r="M634" i="18"/>
  <c r="M654" i="18"/>
  <c r="N136" i="21" l="1"/>
  <c r="BL654" i="18"/>
  <c r="U657" i="18"/>
  <c r="BL634" i="18"/>
  <c r="N133" i="21"/>
  <c r="U637" i="18"/>
  <c r="CU657" i="18" l="1"/>
  <c r="E657" i="18" s="1"/>
  <c r="EV657" i="18"/>
  <c r="CU637" i="18"/>
  <c r="E637" i="18" s="1"/>
  <c r="EV637" i="18"/>
  <c r="D32" i="23" l="1"/>
  <c r="A1" i="29" l="1"/>
  <c r="O5" i="22" l="1"/>
  <c r="G12" i="29" l="1"/>
  <c r="CF1" i="22" l="1"/>
  <c r="D3" i="22" s="1"/>
  <c r="CF1" i="25"/>
  <c r="D3" i="25" s="1"/>
  <c r="L5" i="22" l="1"/>
  <c r="L31" i="22" s="1"/>
  <c r="AK31" i="22" s="1"/>
  <c r="U115" i="22"/>
  <c r="U17" i="22"/>
  <c r="N15" i="22"/>
  <c r="AM15" i="22" s="1"/>
  <c r="R12" i="22"/>
  <c r="P31" i="22"/>
  <c r="AO31" i="22" s="1"/>
  <c r="N17" i="22"/>
  <c r="AM17" i="22" s="1"/>
  <c r="O28" i="22"/>
  <c r="AN28" i="22" s="1"/>
  <c r="N13" i="22"/>
  <c r="AM13" i="22" s="1"/>
  <c r="M31" i="22"/>
  <c r="AL31" i="22" s="1"/>
  <c r="O30" i="22"/>
  <c r="AN30" i="22" s="1"/>
  <c r="U117" i="22"/>
  <c r="R20" i="22"/>
  <c r="L14" i="22"/>
  <c r="M30" i="22"/>
  <c r="AL30" i="22" s="1"/>
  <c r="R16" i="22"/>
  <c r="O31" i="22"/>
  <c r="AN31" i="22" s="1"/>
  <c r="M14" i="22"/>
  <c r="S14" i="22"/>
  <c r="H15" i="22"/>
  <c r="L12" i="22"/>
  <c r="N19" i="22"/>
  <c r="AM19" i="22" s="1"/>
  <c r="M29" i="22"/>
  <c r="AL29" i="22" s="1"/>
  <c r="K27" i="22"/>
  <c r="AJ27" i="22" s="1"/>
  <c r="K11" i="22"/>
  <c r="L18" i="22"/>
  <c r="H17" i="22"/>
  <c r="U113" i="22"/>
  <c r="U121" i="22" s="1"/>
  <c r="Q17" i="22"/>
  <c r="Q117" i="22" s="1"/>
  <c r="M20" i="22"/>
  <c r="K17" i="22"/>
  <c r="AJ17" i="22" s="1"/>
  <c r="Q11" i="22"/>
  <c r="L30" i="22"/>
  <c r="AK30" i="22" s="1"/>
  <c r="K19" i="22"/>
  <c r="AJ19" i="22" s="1"/>
  <c r="Q19" i="22"/>
  <c r="Q119" i="22" s="1"/>
  <c r="R14" i="22"/>
  <c r="N27" i="22"/>
  <c r="AM27" i="22" s="1"/>
  <c r="P29" i="22"/>
  <c r="AO29" i="22" s="1"/>
  <c r="Q13" i="22"/>
  <c r="Q113" i="22" s="1"/>
  <c r="H13" i="22"/>
  <c r="L16" i="22"/>
  <c r="N11" i="22"/>
  <c r="U15" i="22"/>
  <c r="U13" i="22"/>
  <c r="H11" i="22"/>
  <c r="M18" i="22"/>
  <c r="M16" i="22"/>
  <c r="P30" i="22"/>
  <c r="AO30" i="22" s="1"/>
  <c r="S20" i="22"/>
  <c r="K15" i="22"/>
  <c r="AJ15" i="22" s="1"/>
  <c r="L28" i="22"/>
  <c r="AK28" i="22" s="1"/>
  <c r="Q15" i="22"/>
  <c r="Q115" i="22" s="1"/>
  <c r="K13" i="22"/>
  <c r="AJ13" i="22" s="1"/>
  <c r="M12" i="22"/>
  <c r="R18" i="22"/>
  <c r="S12" i="22"/>
  <c r="S16" i="22"/>
  <c r="S18" i="22"/>
  <c r="L20" i="22" l="1"/>
  <c r="AH20" i="22" s="1"/>
  <c r="H19" i="22"/>
  <c r="H21" i="22" s="1"/>
  <c r="AL12" i="22"/>
  <c r="M112" i="22"/>
  <c r="M122" i="22" s="1"/>
  <c r="AH12" i="22"/>
  <c r="M22" i="22"/>
  <c r="AL18" i="22"/>
  <c r="AH18" i="22"/>
  <c r="M118" i="22"/>
  <c r="M120" i="22"/>
  <c r="AL20" i="22"/>
  <c r="L114" i="22"/>
  <c r="AK14" i="22"/>
  <c r="T11" i="22"/>
  <c r="H111" i="22"/>
  <c r="AK12" i="22"/>
  <c r="L112" i="22"/>
  <c r="L122" i="22" s="1"/>
  <c r="S116" i="22"/>
  <c r="R116" i="22"/>
  <c r="U21" i="22"/>
  <c r="H115" i="22"/>
  <c r="T115" i="22" s="1"/>
  <c r="T15" i="22"/>
  <c r="H117" i="22"/>
  <c r="T117" i="22" s="1"/>
  <c r="T17" i="22"/>
  <c r="N21" i="22"/>
  <c r="AM11" i="22"/>
  <c r="AM21" i="22" s="1"/>
  <c r="AK18" i="22"/>
  <c r="L118" i="22"/>
  <c r="AL14" i="22"/>
  <c r="M114" i="22"/>
  <c r="AH14" i="22"/>
  <c r="R22" i="22"/>
  <c r="AK16" i="22"/>
  <c r="L116" i="22"/>
  <c r="AJ11" i="22"/>
  <c r="AJ21" i="22" s="1"/>
  <c r="K21" i="22"/>
  <c r="S22" i="22"/>
  <c r="H113" i="22"/>
  <c r="T113" i="22" s="1"/>
  <c r="T13" i="22"/>
  <c r="Q111" i="22"/>
  <c r="Q21" i="22"/>
  <c r="AL16" i="22"/>
  <c r="AH16" i="22"/>
  <c r="M116" i="22"/>
  <c r="S114" i="22"/>
  <c r="R114" i="22"/>
  <c r="T19" i="22" l="1"/>
  <c r="H119" i="22"/>
  <c r="T119" i="22" s="1"/>
  <c r="L120" i="22"/>
  <c r="L22" i="22"/>
  <c r="AK20" i="22"/>
  <c r="T111" i="22"/>
  <c r="T121" i="22" s="1"/>
  <c r="AA121" i="22" s="1"/>
  <c r="T21" i="22"/>
  <c r="AG21" i="22" s="1"/>
  <c r="AH22" i="22"/>
  <c r="AH122" i="22"/>
  <c r="Q121" i="22"/>
  <c r="S112" i="22"/>
  <c r="S122" i="22" s="1"/>
  <c r="R112" i="22"/>
  <c r="R122" i="22" s="1"/>
  <c r="H121" i="22" l="1"/>
  <c r="D28" i="23" l="1"/>
  <c r="AE632" i="18" s="1"/>
  <c r="W632" i="18" s="1"/>
  <c r="M625" i="18"/>
  <c r="BL625" i="18" l="1"/>
  <c r="N132" i="21"/>
  <c r="U632" i="18"/>
  <c r="CU632" i="18" l="1"/>
  <c r="E632" i="18" s="1"/>
  <c r="EV632" i="18"/>
  <c r="D30" i="23" l="1"/>
  <c r="AE652" i="18" s="1"/>
  <c r="W652" i="18" s="1"/>
  <c r="D33" i="23"/>
  <c r="M649" i="18"/>
  <c r="N135" i="21" l="1"/>
  <c r="BL649" i="18"/>
  <c r="U652" i="18"/>
  <c r="EV652" i="18" l="1"/>
  <c r="CU652" i="18"/>
  <c r="E652"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hsk</author>
    <author>Hans-Heinrich Schmidt-Kanefendt</author>
    <author>Autor</author>
    <author>tc={E38B26F1-0A6D-1A42-85F1-D73761CFA499}</author>
    <author>tc={8C6E27C8-A9EE-6C4C-B8F6-712896A244F3}</author>
    <author>tc={D2C56D69-7415-2F42-9419-EBDD1A35D89C}</author>
  </authors>
  <commentList>
    <comment ref="W1" authorId="0" shapeId="0" xr:uid="{00000000-0006-0000-0000-000001000000}">
      <text>
        <r>
          <rPr>
            <b/>
            <sz val="9"/>
            <color indexed="81"/>
            <rFont val="Tahoma"/>
            <family val="2"/>
          </rPr>
          <t>hsk:</t>
        </r>
        <r>
          <rPr>
            <sz val="9"/>
            <color indexed="81"/>
            <rFont val="Tahoma"/>
            <family val="2"/>
          </rPr>
          <t xml:space="preserve">
Entwickungshinweis:
hier muss immer der Buchstabe der aktuellen Spalte eingetragen sein.
Wird automatisch angepasst.
</t>
        </r>
      </text>
    </comment>
    <comment ref="AC1" authorId="1" shapeId="0" xr:uid="{9F870649-9734-4C0A-898F-E60EC1599E5B}">
      <text>
        <r>
          <rPr>
            <b/>
            <sz val="9"/>
            <color indexed="81"/>
            <rFont val="Segoe UI"/>
            <family val="2"/>
          </rPr>
          <t>hsk:</t>
        </r>
        <r>
          <rPr>
            <sz val="9"/>
            <color indexed="81"/>
            <rFont val="Segoe UI"/>
            <family val="2"/>
          </rPr>
          <t xml:space="preserve">
Spalteneinträge: Tag der letzten Daten-/Text-Änderung in Eingabebereich und Nebenrechnungen.</t>
        </r>
      </text>
    </comment>
    <comment ref="BT1" authorId="0" shapeId="0" xr:uid="{00000000-0006-0000-0000-000002000000}">
      <text>
        <r>
          <rPr>
            <b/>
            <sz val="9"/>
            <color indexed="81"/>
            <rFont val="Tahoma"/>
            <family val="2"/>
          </rPr>
          <t>hsk: 06.01.2015</t>
        </r>
        <r>
          <rPr>
            <sz val="9"/>
            <color indexed="81"/>
            <rFont val="Tahoma"/>
            <family val="2"/>
          </rPr>
          <t xml:space="preserve">
Entscheidung: Datenmodell-Datei trägt den Dateinamen "D", ggf. ohne Trennzeichen gefolgt von einer Versionskennung. 
Voranstellung von _ ist nur bei der Szenario-Datei sinnvoll, da diese grundsätzlich den Einstieg bildet. 
Im Kopfzeilen-Titel wird nur der erste Buchstabe des Dateinamens "D" extrahiert, gefolgt von einem . und der Abschnittsnummer mit .
</t>
        </r>
      </text>
    </comment>
    <comment ref="BV1" authorId="2" shapeId="0" xr:uid="{00000000-0006-0000-0000-000003000000}">
      <text>
        <r>
          <rPr>
            <b/>
            <sz val="9"/>
            <color indexed="81"/>
            <rFont val="Tahoma"/>
            <family val="2"/>
          </rPr>
          <t>hsk: Dateiname</t>
        </r>
      </text>
    </comment>
    <comment ref="BW1" authorId="2" shapeId="0" xr:uid="{00000000-0006-0000-0000-000004000000}">
      <text>
        <r>
          <rPr>
            <b/>
            <sz val="9"/>
            <color indexed="81"/>
            <rFont val="Tahoma"/>
            <family val="2"/>
          </rPr>
          <t>hsk: Arbeitsblattbezeichnung bis zum Punkt</t>
        </r>
      </text>
    </comment>
    <comment ref="BX1" authorId="2" shapeId="0" xr:uid="{00000000-0006-0000-0000-000005000000}">
      <text>
        <r>
          <rPr>
            <b/>
            <sz val="9"/>
            <color indexed="81"/>
            <rFont val="Tahoma"/>
            <family val="2"/>
          </rPr>
          <t>hsk: Arbeitsblattbezeichnung</t>
        </r>
      </text>
    </comment>
    <comment ref="EV1" authorId="0" shapeId="0" xr:uid="{00000000-0006-0000-0000-000006000000}">
      <text>
        <r>
          <rPr>
            <b/>
            <sz val="9"/>
            <color indexed="81"/>
            <rFont val="Tahoma"/>
            <family val="2"/>
          </rPr>
          <t>hsk:</t>
        </r>
        <r>
          <rPr>
            <sz val="9"/>
            <color indexed="81"/>
            <rFont val="Tahoma"/>
            <family val="2"/>
          </rPr>
          <t xml:space="preserve">
1. In Kopf der Spalte O die Datenmodell-Version eintragen, die jetzt ersetzt werden soll.
2. Diese Spalte EV mit aktuellen Nummern aus D: Werte ab Zeile 5 als Altnummern in Spalte O kopieren.</t>
        </r>
      </text>
    </comment>
    <comment ref="AC2" authorId="1" shapeId="0" xr:uid="{C042254C-EDF4-408E-A9AA-653B0F04D0B8}">
      <text>
        <r>
          <rPr>
            <b/>
            <sz val="9"/>
            <color indexed="81"/>
            <rFont val="Segoe UI"/>
            <family val="2"/>
          </rPr>
          <t>hsk:</t>
        </r>
        <r>
          <rPr>
            <sz val="9"/>
            <color indexed="81"/>
            <rFont val="Segoe UI"/>
            <family val="2"/>
          </rPr>
          <t xml:space="preserve">
Stichdatum, ab dem die Spalteneinträge grün angezeigt werden (ältere grau).</t>
        </r>
      </text>
    </comment>
    <comment ref="BO2" authorId="0" shapeId="0" xr:uid="{00000000-0006-0000-0000-000007000000}">
      <text>
        <r>
          <rPr>
            <b/>
            <sz val="9"/>
            <color indexed="81"/>
            <rFont val="Tahoma"/>
            <family val="2"/>
          </rPr>
          <t>hsk:</t>
        </r>
        <r>
          <rPr>
            <sz val="9"/>
            <color indexed="81"/>
            <rFont val="Tahoma"/>
            <family val="2"/>
          </rPr>
          <t xml:space="preserve">
Kopfzeile 1</t>
        </r>
      </text>
    </comment>
    <comment ref="L3" authorId="0" shapeId="0" xr:uid="{00000000-0006-0000-0000-000008000000}">
      <text>
        <r>
          <rPr>
            <b/>
            <sz val="9"/>
            <color indexed="81"/>
            <rFont val="Tahoma"/>
            <family val="2"/>
          </rPr>
          <t>hsk:</t>
        </r>
        <r>
          <rPr>
            <sz val="9"/>
            <color indexed="81"/>
            <rFont val="Tahoma"/>
            <family val="2"/>
          </rPr>
          <t xml:space="preserve">
Verweis auf Definition Statusjahr</t>
        </r>
      </text>
    </comment>
    <comment ref="N3" authorId="0" shapeId="0" xr:uid="{00000000-0006-0000-0000-000009000000}">
      <text>
        <r>
          <rPr>
            <b/>
            <sz val="9"/>
            <color indexed="81"/>
            <rFont val="Tahoma"/>
            <family val="2"/>
          </rPr>
          <t>hsk:</t>
        </r>
        <r>
          <rPr>
            <sz val="9"/>
            <color indexed="81"/>
            <rFont val="Tahoma"/>
            <family val="2"/>
          </rPr>
          <t xml:space="preserve">
Verweis auf Definition Zieljahr
</t>
        </r>
      </text>
    </comment>
    <comment ref="BO3" authorId="0" shapeId="0" xr:uid="{00000000-0006-0000-0000-00000A000000}">
      <text>
        <r>
          <rPr>
            <b/>
            <sz val="9"/>
            <color indexed="81"/>
            <rFont val="Tahoma"/>
            <family val="2"/>
          </rPr>
          <t>hsk:</t>
        </r>
        <r>
          <rPr>
            <sz val="9"/>
            <color indexed="81"/>
            <rFont val="Tahoma"/>
            <family val="2"/>
          </rPr>
          <t xml:space="preserve">
Kopfzeile 2</t>
        </r>
      </text>
    </comment>
    <comment ref="BO5" authorId="0" shapeId="0" xr:uid="{00000000-0006-0000-0000-00000B000000}">
      <text>
        <r>
          <rPr>
            <b/>
            <sz val="9"/>
            <color indexed="81"/>
            <rFont val="Tahoma"/>
            <family val="2"/>
          </rPr>
          <t>hsk:</t>
        </r>
        <r>
          <rPr>
            <sz val="9"/>
            <color indexed="81"/>
            <rFont val="Tahoma"/>
            <family val="2"/>
          </rPr>
          <t xml:space="preserve">
Titelzeile</t>
        </r>
      </text>
    </comment>
    <comment ref="BO7" authorId="0" shapeId="0" xr:uid="{00000000-0006-0000-0000-00000C000000}">
      <text>
        <r>
          <rPr>
            <b/>
            <sz val="9"/>
            <color indexed="81"/>
            <rFont val="Tahoma"/>
            <family val="2"/>
          </rPr>
          <t>hsk:</t>
        </r>
        <r>
          <rPr>
            <sz val="9"/>
            <color indexed="81"/>
            <rFont val="Tahoma"/>
            <family val="2"/>
          </rPr>
          <t xml:space="preserve">
Langparameterzeile</t>
        </r>
      </text>
    </comment>
    <comment ref="BO10" authorId="0" shapeId="0" xr:uid="{00000000-0006-0000-0000-00000D000000}">
      <text>
        <r>
          <rPr>
            <b/>
            <sz val="9"/>
            <color indexed="81"/>
            <rFont val="Tahoma"/>
            <family val="2"/>
          </rPr>
          <t>hsk:</t>
        </r>
        <r>
          <rPr>
            <sz val="9"/>
            <color indexed="81"/>
            <rFont val="Tahoma"/>
            <family val="2"/>
          </rPr>
          <t xml:space="preserve">
Langparameterzeile</t>
        </r>
      </text>
    </comment>
    <comment ref="BO13" authorId="0" shapeId="0" xr:uid="{00000000-0006-0000-0000-00000E000000}">
      <text>
        <r>
          <rPr>
            <b/>
            <sz val="9"/>
            <color indexed="81"/>
            <rFont val="Tahoma"/>
            <family val="2"/>
          </rPr>
          <t>hsk:</t>
        </r>
        <r>
          <rPr>
            <sz val="9"/>
            <color indexed="81"/>
            <rFont val="Tahoma"/>
            <family val="2"/>
          </rPr>
          <t xml:space="preserve">
Langparameterzeile</t>
        </r>
      </text>
    </comment>
    <comment ref="BO14" authorId="0" shapeId="0" xr:uid="{00000000-0006-0000-0000-00000F000000}">
      <text>
        <r>
          <rPr>
            <b/>
            <sz val="9"/>
            <color indexed="81"/>
            <rFont val="Tahoma"/>
            <family val="2"/>
          </rPr>
          <t>hsk:</t>
        </r>
        <r>
          <rPr>
            <sz val="9"/>
            <color indexed="81"/>
            <rFont val="Tahoma"/>
            <family val="2"/>
          </rPr>
          <t xml:space="preserve">
Erläuterungs-Zeile</t>
        </r>
      </text>
    </comment>
    <comment ref="BO16" authorId="0" shapeId="0" xr:uid="{00000000-0006-0000-0000-000010000000}">
      <text>
        <r>
          <rPr>
            <b/>
            <sz val="9"/>
            <color indexed="81"/>
            <rFont val="Tahoma"/>
            <family val="2"/>
          </rPr>
          <t>hsk:</t>
        </r>
        <r>
          <rPr>
            <sz val="9"/>
            <color indexed="81"/>
            <rFont val="Tahoma"/>
            <family val="2"/>
          </rPr>
          <t xml:space="preserve">
Langparameterzeile</t>
        </r>
      </text>
    </comment>
    <comment ref="BO18" authorId="0" shapeId="0" xr:uid="{00000000-0006-0000-0000-000011000000}">
      <text>
        <r>
          <rPr>
            <b/>
            <sz val="9"/>
            <color indexed="81"/>
            <rFont val="Tahoma"/>
            <family val="2"/>
          </rPr>
          <t>hsk:</t>
        </r>
        <r>
          <rPr>
            <sz val="9"/>
            <color indexed="81"/>
            <rFont val="Tahoma"/>
            <family val="2"/>
          </rPr>
          <t xml:space="preserve">
Erläuterungs-Zeile</t>
        </r>
      </text>
    </comment>
    <comment ref="BO20" authorId="0" shapeId="0" xr:uid="{00000000-0006-0000-0000-000012000000}">
      <text>
        <r>
          <rPr>
            <b/>
            <sz val="9"/>
            <color indexed="81"/>
            <rFont val="Tahoma"/>
            <family val="2"/>
          </rPr>
          <t>hsk:</t>
        </r>
        <r>
          <rPr>
            <sz val="9"/>
            <color indexed="81"/>
            <rFont val="Tahoma"/>
            <family val="2"/>
          </rPr>
          <t xml:space="preserve">
Erläuterungs-Zeile</t>
        </r>
      </text>
    </comment>
    <comment ref="BO22" authorId="0" shapeId="0" xr:uid="{00000000-0006-0000-0000-000013000000}">
      <text>
        <r>
          <rPr>
            <b/>
            <sz val="9"/>
            <color indexed="81"/>
            <rFont val="Tahoma"/>
            <family val="2"/>
          </rPr>
          <t>hsk:</t>
        </r>
        <r>
          <rPr>
            <sz val="9"/>
            <color indexed="81"/>
            <rFont val="Tahoma"/>
            <family val="2"/>
          </rPr>
          <t xml:space="preserve">
Langparameterzeile</t>
        </r>
      </text>
    </comment>
    <comment ref="BO24" authorId="0" shapeId="0" xr:uid="{00000000-0006-0000-0000-000014000000}">
      <text>
        <r>
          <rPr>
            <b/>
            <sz val="9"/>
            <color indexed="81"/>
            <rFont val="Tahoma"/>
            <family val="2"/>
          </rPr>
          <t>hsk:</t>
        </r>
        <r>
          <rPr>
            <sz val="9"/>
            <color indexed="81"/>
            <rFont val="Tahoma"/>
            <family val="2"/>
          </rPr>
          <t xml:space="preserve">
Erläuterungs-Zeile</t>
        </r>
      </text>
    </comment>
    <comment ref="BO27" authorId="0" shapeId="0" xr:uid="{00000000-0006-0000-0000-000015000000}">
      <text>
        <r>
          <rPr>
            <b/>
            <sz val="9"/>
            <color indexed="81"/>
            <rFont val="Tahoma"/>
            <family val="2"/>
          </rPr>
          <t>hsk:</t>
        </r>
        <r>
          <rPr>
            <sz val="9"/>
            <color indexed="81"/>
            <rFont val="Tahoma"/>
            <family val="2"/>
          </rPr>
          <t xml:space="preserve">
Parameterzeile</t>
        </r>
      </text>
    </comment>
    <comment ref="BO28" authorId="0" shapeId="0" xr:uid="{00000000-0006-0000-0000-000016000000}">
      <text>
        <r>
          <rPr>
            <b/>
            <sz val="9"/>
            <color indexed="81"/>
            <rFont val="Tahoma"/>
            <family val="2"/>
          </rPr>
          <t>hsk:</t>
        </r>
        <r>
          <rPr>
            <sz val="9"/>
            <color indexed="81"/>
            <rFont val="Tahoma"/>
            <family val="2"/>
          </rPr>
          <t xml:space="preserve">
Statusansatz-Zeile</t>
        </r>
      </text>
    </comment>
    <comment ref="BO30" authorId="0" shapeId="0" xr:uid="{00000000-0006-0000-0000-000017000000}">
      <text>
        <r>
          <rPr>
            <b/>
            <sz val="9"/>
            <color indexed="81"/>
            <rFont val="Tahoma"/>
            <family val="2"/>
          </rPr>
          <t>hsk:</t>
        </r>
        <r>
          <rPr>
            <sz val="9"/>
            <color indexed="81"/>
            <rFont val="Tahoma"/>
            <family val="2"/>
          </rPr>
          <t xml:space="preserve">
Zielansatz-Zeile</t>
        </r>
      </text>
    </comment>
    <comment ref="BO32" authorId="0" shapeId="0" xr:uid="{00000000-0006-0000-0000-000018000000}">
      <text>
        <r>
          <rPr>
            <b/>
            <sz val="9"/>
            <color indexed="81"/>
            <rFont val="Tahoma"/>
            <family val="2"/>
          </rPr>
          <t>hsk:</t>
        </r>
        <r>
          <rPr>
            <sz val="9"/>
            <color indexed="81"/>
            <rFont val="Tahoma"/>
            <family val="2"/>
          </rPr>
          <t xml:space="preserve">
Titelzeile</t>
        </r>
      </text>
    </comment>
    <comment ref="BO34" authorId="0" shapeId="0" xr:uid="{00000000-0006-0000-0000-000019000000}">
      <text>
        <r>
          <rPr>
            <b/>
            <sz val="9"/>
            <color indexed="81"/>
            <rFont val="Tahoma"/>
            <family val="2"/>
          </rPr>
          <t>hsk:</t>
        </r>
        <r>
          <rPr>
            <sz val="9"/>
            <color indexed="81"/>
            <rFont val="Tahoma"/>
            <family val="2"/>
          </rPr>
          <t xml:space="preserve">
Langparameterzeile</t>
        </r>
      </text>
    </comment>
    <comment ref="BO35" authorId="0" shapeId="0" xr:uid="{00000000-0006-0000-0000-00001A000000}">
      <text>
        <r>
          <rPr>
            <b/>
            <sz val="9"/>
            <color indexed="81"/>
            <rFont val="Tahoma"/>
            <family val="2"/>
          </rPr>
          <t>hsk:</t>
        </r>
        <r>
          <rPr>
            <sz val="9"/>
            <color indexed="81"/>
            <rFont val="Tahoma"/>
            <family val="2"/>
          </rPr>
          <t xml:space="preserve">
Erläuterungs-Zeile</t>
        </r>
      </text>
    </comment>
    <comment ref="BO37" authorId="0" shapeId="0" xr:uid="{00000000-0006-0000-0000-00001B000000}">
      <text>
        <r>
          <rPr>
            <b/>
            <sz val="9"/>
            <color indexed="81"/>
            <rFont val="Tahoma"/>
            <family val="2"/>
          </rPr>
          <t>hsk:</t>
        </r>
        <r>
          <rPr>
            <sz val="9"/>
            <color indexed="81"/>
            <rFont val="Tahoma"/>
            <family val="2"/>
          </rPr>
          <t xml:space="preserve">
Parameterzeile</t>
        </r>
      </text>
    </comment>
    <comment ref="BO40" authorId="0" shapeId="0" xr:uid="{00000000-0006-0000-0000-00001C000000}">
      <text>
        <r>
          <rPr>
            <b/>
            <sz val="9"/>
            <color indexed="81"/>
            <rFont val="Tahoma"/>
            <family val="2"/>
          </rPr>
          <t>hsk:</t>
        </r>
        <r>
          <rPr>
            <sz val="9"/>
            <color indexed="81"/>
            <rFont val="Tahoma"/>
            <family val="2"/>
          </rPr>
          <t xml:space="preserve">
Parameterzeile</t>
        </r>
      </text>
    </comment>
    <comment ref="BO41" authorId="0" shapeId="0" xr:uid="{00000000-0006-0000-0000-00001D000000}">
      <text>
        <r>
          <rPr>
            <b/>
            <sz val="9"/>
            <color indexed="81"/>
            <rFont val="Tahoma"/>
            <family val="2"/>
          </rPr>
          <t>hsk:</t>
        </r>
        <r>
          <rPr>
            <sz val="9"/>
            <color indexed="81"/>
            <rFont val="Tahoma"/>
            <family val="2"/>
          </rPr>
          <t xml:space="preserve">
Erläuterungs-Zeile</t>
        </r>
      </text>
    </comment>
    <comment ref="BO43" authorId="0" shapeId="0" xr:uid="{00000000-0006-0000-0000-00001E000000}">
      <text>
        <r>
          <rPr>
            <b/>
            <sz val="9"/>
            <color indexed="81"/>
            <rFont val="Tahoma"/>
            <family val="2"/>
          </rPr>
          <t>hsk:</t>
        </r>
        <r>
          <rPr>
            <sz val="9"/>
            <color indexed="81"/>
            <rFont val="Tahoma"/>
            <family val="2"/>
          </rPr>
          <t xml:space="preserve">
Statusansatz-Zeile</t>
        </r>
      </text>
    </comment>
    <comment ref="BO45" authorId="0" shapeId="0" xr:uid="{00000000-0006-0000-0000-00001F000000}">
      <text>
        <r>
          <rPr>
            <b/>
            <sz val="9"/>
            <color indexed="81"/>
            <rFont val="Tahoma"/>
            <family val="2"/>
          </rPr>
          <t>hsk:</t>
        </r>
        <r>
          <rPr>
            <sz val="9"/>
            <color indexed="81"/>
            <rFont val="Tahoma"/>
            <family val="2"/>
          </rPr>
          <t xml:space="preserve">
Zielansatz-Zeile</t>
        </r>
      </text>
    </comment>
    <comment ref="BO46" authorId="0" shapeId="0" xr:uid="{00000000-0006-0000-0000-000020000000}">
      <text>
        <r>
          <rPr>
            <b/>
            <sz val="9"/>
            <color indexed="81"/>
            <rFont val="Tahoma"/>
            <family val="2"/>
          </rPr>
          <t>hsk:</t>
        </r>
        <r>
          <rPr>
            <sz val="9"/>
            <color indexed="81"/>
            <rFont val="Tahoma"/>
            <family val="2"/>
          </rPr>
          <t xml:space="preserve">
Erläuterungs-Zeile</t>
        </r>
      </text>
    </comment>
    <comment ref="BO47" authorId="0" shapeId="0" xr:uid="{00000000-0006-0000-0000-000021000000}">
      <text>
        <r>
          <rPr>
            <b/>
            <sz val="9"/>
            <color indexed="81"/>
            <rFont val="Tahoma"/>
            <family val="2"/>
          </rPr>
          <t>hsk:</t>
        </r>
        <r>
          <rPr>
            <sz val="9"/>
            <color indexed="81"/>
            <rFont val="Tahoma"/>
            <family val="2"/>
          </rPr>
          <t xml:space="preserve">
Erläuterungs-Zeile</t>
        </r>
      </text>
    </comment>
    <comment ref="BO49" authorId="0" shapeId="0" xr:uid="{00000000-0006-0000-0000-000022000000}">
      <text>
        <r>
          <rPr>
            <b/>
            <sz val="9"/>
            <color indexed="81"/>
            <rFont val="Tahoma"/>
            <family val="2"/>
          </rPr>
          <t>hsk:</t>
        </r>
        <r>
          <rPr>
            <sz val="9"/>
            <color indexed="81"/>
            <rFont val="Tahoma"/>
            <family val="2"/>
          </rPr>
          <t xml:space="preserve">
Parameterzeile</t>
        </r>
      </text>
    </comment>
    <comment ref="BO50" authorId="0" shapeId="0" xr:uid="{00000000-0006-0000-0000-000023000000}">
      <text>
        <r>
          <rPr>
            <b/>
            <sz val="9"/>
            <color indexed="81"/>
            <rFont val="Tahoma"/>
            <family val="2"/>
          </rPr>
          <t>hsk:</t>
        </r>
        <r>
          <rPr>
            <sz val="9"/>
            <color indexed="81"/>
            <rFont val="Tahoma"/>
            <family val="2"/>
          </rPr>
          <t xml:space="preserve">
Erläuterungs-Zeile</t>
        </r>
      </text>
    </comment>
    <comment ref="BO52" authorId="0" shapeId="0" xr:uid="{00000000-0006-0000-0000-000024000000}">
      <text>
        <r>
          <rPr>
            <b/>
            <sz val="9"/>
            <color indexed="81"/>
            <rFont val="Tahoma"/>
            <family val="2"/>
          </rPr>
          <t>hsk:</t>
        </r>
        <r>
          <rPr>
            <sz val="9"/>
            <color indexed="81"/>
            <rFont val="Tahoma"/>
            <family val="2"/>
          </rPr>
          <t xml:space="preserve">
Statusansatz-Zeile</t>
        </r>
      </text>
    </comment>
    <comment ref="BO53" authorId="0" shapeId="0" xr:uid="{00000000-0006-0000-0000-000025000000}">
      <text>
        <r>
          <rPr>
            <b/>
            <sz val="9"/>
            <color indexed="81"/>
            <rFont val="Tahoma"/>
            <family val="2"/>
          </rPr>
          <t>hsk:</t>
        </r>
        <r>
          <rPr>
            <sz val="9"/>
            <color indexed="81"/>
            <rFont val="Tahoma"/>
            <family val="2"/>
          </rPr>
          <t xml:space="preserve">
Herleitungs-Zeile</t>
        </r>
      </text>
    </comment>
    <comment ref="BO54" authorId="0" shapeId="0" xr:uid="{00000000-0006-0000-0000-000026000000}">
      <text>
        <r>
          <rPr>
            <b/>
            <sz val="9"/>
            <color indexed="81"/>
            <rFont val="Tahoma"/>
            <family val="2"/>
          </rPr>
          <t>hsk:</t>
        </r>
        <r>
          <rPr>
            <sz val="9"/>
            <color indexed="81"/>
            <rFont val="Tahoma"/>
            <family val="2"/>
          </rPr>
          <t xml:space="preserve">
Herleitungs-Zeile</t>
        </r>
      </text>
    </comment>
    <comment ref="BO56" authorId="0" shapeId="0" xr:uid="{00000000-0006-0000-0000-000027000000}">
      <text>
        <r>
          <rPr>
            <b/>
            <sz val="9"/>
            <color indexed="81"/>
            <rFont val="Tahoma"/>
            <family val="2"/>
          </rPr>
          <t>hsk:</t>
        </r>
        <r>
          <rPr>
            <sz val="9"/>
            <color indexed="81"/>
            <rFont val="Tahoma"/>
            <family val="2"/>
          </rPr>
          <t xml:space="preserve">
Zielansatz-Zeile</t>
        </r>
      </text>
    </comment>
    <comment ref="BO58" authorId="0" shapeId="0" xr:uid="{00000000-0006-0000-0000-000028000000}">
      <text>
        <r>
          <rPr>
            <b/>
            <sz val="9"/>
            <color indexed="81"/>
            <rFont val="Tahoma"/>
            <family val="2"/>
          </rPr>
          <t>hsk:</t>
        </r>
        <r>
          <rPr>
            <sz val="9"/>
            <color indexed="81"/>
            <rFont val="Tahoma"/>
            <family val="2"/>
          </rPr>
          <t xml:space="preserve">
Parameterzeile</t>
        </r>
      </text>
    </comment>
    <comment ref="BO59" authorId="0" shapeId="0" xr:uid="{00000000-0006-0000-0000-000029000000}">
      <text>
        <r>
          <rPr>
            <b/>
            <sz val="9"/>
            <color indexed="81"/>
            <rFont val="Tahoma"/>
            <family val="2"/>
          </rPr>
          <t>hsk:</t>
        </r>
        <r>
          <rPr>
            <sz val="9"/>
            <color indexed="81"/>
            <rFont val="Tahoma"/>
            <family val="2"/>
          </rPr>
          <t xml:space="preserve">
Statusansatz-Zeile</t>
        </r>
      </text>
    </comment>
    <comment ref="BO61" authorId="0" shapeId="0" xr:uid="{00000000-0006-0000-0000-00002A000000}">
      <text>
        <r>
          <rPr>
            <b/>
            <sz val="9"/>
            <color indexed="81"/>
            <rFont val="Tahoma"/>
            <family val="2"/>
          </rPr>
          <t>hsk:</t>
        </r>
        <r>
          <rPr>
            <sz val="9"/>
            <color indexed="81"/>
            <rFont val="Tahoma"/>
            <family val="2"/>
          </rPr>
          <t xml:space="preserve">
Zielansatz-Zeile</t>
        </r>
      </text>
    </comment>
    <comment ref="BO62" authorId="0" shapeId="0" xr:uid="{00000000-0006-0000-0000-00002B000000}">
      <text>
        <r>
          <rPr>
            <b/>
            <sz val="9"/>
            <color indexed="81"/>
            <rFont val="Tahoma"/>
            <family val="2"/>
          </rPr>
          <t>hsk:</t>
        </r>
        <r>
          <rPr>
            <sz val="9"/>
            <color indexed="81"/>
            <rFont val="Tahoma"/>
            <family val="2"/>
          </rPr>
          <t xml:space="preserve">
Erläuterungs-Zeile</t>
        </r>
      </text>
    </comment>
    <comment ref="BO64" authorId="0" shapeId="0" xr:uid="{00000000-0006-0000-0000-00002C000000}">
      <text>
        <r>
          <rPr>
            <b/>
            <sz val="9"/>
            <color indexed="81"/>
            <rFont val="Tahoma"/>
            <family val="2"/>
          </rPr>
          <t>hsk:</t>
        </r>
        <r>
          <rPr>
            <sz val="9"/>
            <color indexed="81"/>
            <rFont val="Tahoma"/>
            <family val="2"/>
          </rPr>
          <t xml:space="preserve">
Parameterzeile</t>
        </r>
      </text>
    </comment>
    <comment ref="BO65" authorId="0" shapeId="0" xr:uid="{00000000-0006-0000-0000-00002D000000}">
      <text>
        <r>
          <rPr>
            <b/>
            <sz val="9"/>
            <color indexed="81"/>
            <rFont val="Tahoma"/>
            <family val="2"/>
          </rPr>
          <t>hsk:</t>
        </r>
        <r>
          <rPr>
            <sz val="9"/>
            <color indexed="81"/>
            <rFont val="Tahoma"/>
            <family val="2"/>
          </rPr>
          <t xml:space="preserve">
Statusansatz-Zeile</t>
        </r>
      </text>
    </comment>
    <comment ref="BO67" authorId="0" shapeId="0" xr:uid="{00000000-0006-0000-0000-00002E000000}">
      <text>
        <r>
          <rPr>
            <b/>
            <sz val="9"/>
            <color indexed="81"/>
            <rFont val="Tahoma"/>
            <family val="2"/>
          </rPr>
          <t>hsk:</t>
        </r>
        <r>
          <rPr>
            <sz val="9"/>
            <color indexed="81"/>
            <rFont val="Tahoma"/>
            <family val="2"/>
          </rPr>
          <t xml:space="preserve">
Zielansatz-Zeile</t>
        </r>
      </text>
    </comment>
    <comment ref="BO69" authorId="0" shapeId="0" xr:uid="{00000000-0006-0000-0000-00002F000000}">
      <text>
        <r>
          <rPr>
            <b/>
            <sz val="9"/>
            <color indexed="81"/>
            <rFont val="Tahoma"/>
            <family val="2"/>
          </rPr>
          <t>hsk:</t>
        </r>
        <r>
          <rPr>
            <sz val="9"/>
            <color indexed="81"/>
            <rFont val="Tahoma"/>
            <family val="2"/>
          </rPr>
          <t xml:space="preserve">
Parameterzeile</t>
        </r>
      </text>
    </comment>
    <comment ref="BO70" authorId="0" shapeId="0" xr:uid="{00000000-0006-0000-0000-000030000000}">
      <text>
        <r>
          <rPr>
            <b/>
            <sz val="9"/>
            <color indexed="81"/>
            <rFont val="Tahoma"/>
            <family val="2"/>
          </rPr>
          <t>hsk:</t>
        </r>
        <r>
          <rPr>
            <sz val="9"/>
            <color indexed="81"/>
            <rFont val="Tahoma"/>
            <family val="2"/>
          </rPr>
          <t xml:space="preserve">
Statusansatz-Zeile</t>
        </r>
      </text>
    </comment>
    <comment ref="BO72" authorId="0" shapeId="0" xr:uid="{00000000-0006-0000-0000-000031000000}">
      <text>
        <r>
          <rPr>
            <b/>
            <sz val="9"/>
            <color indexed="81"/>
            <rFont val="Tahoma"/>
            <family val="2"/>
          </rPr>
          <t>hsk:</t>
        </r>
        <r>
          <rPr>
            <sz val="9"/>
            <color indexed="81"/>
            <rFont val="Tahoma"/>
            <family val="2"/>
          </rPr>
          <t xml:space="preserve">
Zielansatz-Zeile</t>
        </r>
      </text>
    </comment>
    <comment ref="BO73" authorId="0" shapeId="0" xr:uid="{00000000-0006-0000-0000-000032000000}">
      <text>
        <r>
          <rPr>
            <b/>
            <sz val="9"/>
            <color indexed="81"/>
            <rFont val="Tahoma"/>
            <family val="2"/>
          </rPr>
          <t>hsk:</t>
        </r>
        <r>
          <rPr>
            <sz val="9"/>
            <color indexed="81"/>
            <rFont val="Tahoma"/>
            <family val="2"/>
          </rPr>
          <t xml:space="preserve">
Erläuterungs-Zeile</t>
        </r>
      </text>
    </comment>
    <comment ref="BO75" authorId="0" shapeId="0" xr:uid="{00000000-0006-0000-0000-000033000000}">
      <text>
        <r>
          <rPr>
            <b/>
            <sz val="9"/>
            <color indexed="81"/>
            <rFont val="Tahoma"/>
            <family val="2"/>
          </rPr>
          <t>hsk:</t>
        </r>
        <r>
          <rPr>
            <sz val="9"/>
            <color indexed="81"/>
            <rFont val="Tahoma"/>
            <family val="2"/>
          </rPr>
          <t xml:space="preserve">
Parameterzeile</t>
        </r>
      </text>
    </comment>
    <comment ref="BO76" authorId="0" shapeId="0" xr:uid="{00000000-0006-0000-0000-000034000000}">
      <text>
        <r>
          <rPr>
            <b/>
            <sz val="9"/>
            <color indexed="81"/>
            <rFont val="Tahoma"/>
            <family val="2"/>
          </rPr>
          <t>hsk:</t>
        </r>
        <r>
          <rPr>
            <sz val="9"/>
            <color indexed="81"/>
            <rFont val="Tahoma"/>
            <family val="2"/>
          </rPr>
          <t xml:space="preserve">
Statusansatz-Zeile</t>
        </r>
      </text>
    </comment>
    <comment ref="BO78" authorId="0" shapeId="0" xr:uid="{00000000-0006-0000-0000-000035000000}">
      <text>
        <r>
          <rPr>
            <b/>
            <sz val="9"/>
            <color indexed="81"/>
            <rFont val="Tahoma"/>
            <family val="2"/>
          </rPr>
          <t>hsk:</t>
        </r>
        <r>
          <rPr>
            <sz val="9"/>
            <color indexed="81"/>
            <rFont val="Tahoma"/>
            <family val="2"/>
          </rPr>
          <t xml:space="preserve">
Zielansatz-Zeile</t>
        </r>
      </text>
    </comment>
    <comment ref="BO80" authorId="0" shapeId="0" xr:uid="{00000000-0006-0000-0000-000036000000}">
      <text>
        <r>
          <rPr>
            <b/>
            <sz val="9"/>
            <color indexed="81"/>
            <rFont val="Tahoma"/>
            <family val="2"/>
          </rPr>
          <t>hsk:</t>
        </r>
        <r>
          <rPr>
            <sz val="9"/>
            <color indexed="81"/>
            <rFont val="Tahoma"/>
            <family val="2"/>
          </rPr>
          <t xml:space="preserve">
Parameterzeile</t>
        </r>
      </text>
    </comment>
    <comment ref="BO81" authorId="0" shapeId="0" xr:uid="{00000000-0006-0000-0000-000037000000}">
      <text>
        <r>
          <rPr>
            <b/>
            <sz val="9"/>
            <color indexed="81"/>
            <rFont val="Tahoma"/>
            <family val="2"/>
          </rPr>
          <t>hsk:</t>
        </r>
        <r>
          <rPr>
            <sz val="9"/>
            <color indexed="81"/>
            <rFont val="Tahoma"/>
            <family val="2"/>
          </rPr>
          <t xml:space="preserve">
Statusansatz-Zeile</t>
        </r>
      </text>
    </comment>
    <comment ref="BO83" authorId="0" shapeId="0" xr:uid="{00000000-0006-0000-0000-000038000000}">
      <text>
        <r>
          <rPr>
            <b/>
            <sz val="9"/>
            <color indexed="81"/>
            <rFont val="Tahoma"/>
            <family val="2"/>
          </rPr>
          <t>hsk:</t>
        </r>
        <r>
          <rPr>
            <sz val="9"/>
            <color indexed="81"/>
            <rFont val="Tahoma"/>
            <family val="2"/>
          </rPr>
          <t xml:space="preserve">
Zielansatz-Zeile</t>
        </r>
      </text>
    </comment>
    <comment ref="BO85" authorId="0" shapeId="0" xr:uid="{00000000-0006-0000-0000-000039000000}">
      <text>
        <r>
          <rPr>
            <b/>
            <sz val="9"/>
            <color indexed="81"/>
            <rFont val="Tahoma"/>
            <family val="2"/>
          </rPr>
          <t>hsk:</t>
        </r>
        <r>
          <rPr>
            <sz val="9"/>
            <color indexed="81"/>
            <rFont val="Tahoma"/>
            <family val="2"/>
          </rPr>
          <t xml:space="preserve">
Parameterzeile</t>
        </r>
      </text>
    </comment>
    <comment ref="BO86" authorId="0" shapeId="0" xr:uid="{00000000-0006-0000-0000-00003A000000}">
      <text>
        <r>
          <rPr>
            <b/>
            <sz val="9"/>
            <color indexed="81"/>
            <rFont val="Tahoma"/>
            <family val="2"/>
          </rPr>
          <t>hsk:</t>
        </r>
        <r>
          <rPr>
            <sz val="9"/>
            <color indexed="81"/>
            <rFont val="Tahoma"/>
            <family val="2"/>
          </rPr>
          <t xml:space="preserve">
Statusansatz-Zeile</t>
        </r>
      </text>
    </comment>
    <comment ref="BO88" authorId="0" shapeId="0" xr:uid="{00000000-0006-0000-0000-00003B000000}">
      <text>
        <r>
          <rPr>
            <b/>
            <sz val="9"/>
            <color indexed="81"/>
            <rFont val="Tahoma"/>
            <family val="2"/>
          </rPr>
          <t>hsk:</t>
        </r>
        <r>
          <rPr>
            <sz val="9"/>
            <color indexed="81"/>
            <rFont val="Tahoma"/>
            <family val="2"/>
          </rPr>
          <t xml:space="preserve">
Zielansatz-Zeile</t>
        </r>
      </text>
    </comment>
    <comment ref="BO90" authorId="0" shapeId="0" xr:uid="{00000000-0006-0000-0000-00003C000000}">
      <text>
        <r>
          <rPr>
            <b/>
            <sz val="9"/>
            <color indexed="81"/>
            <rFont val="Tahoma"/>
            <family val="2"/>
          </rPr>
          <t>hsk:</t>
        </r>
        <r>
          <rPr>
            <sz val="9"/>
            <color indexed="81"/>
            <rFont val="Tahoma"/>
            <family val="2"/>
          </rPr>
          <t xml:space="preserve">
Parameterzeile</t>
        </r>
      </text>
    </comment>
    <comment ref="BO91" authorId="0" shapeId="0" xr:uid="{00000000-0006-0000-0000-00003D000000}">
      <text>
        <r>
          <rPr>
            <b/>
            <sz val="9"/>
            <color indexed="81"/>
            <rFont val="Tahoma"/>
            <family val="2"/>
          </rPr>
          <t>hsk:</t>
        </r>
        <r>
          <rPr>
            <sz val="9"/>
            <color indexed="81"/>
            <rFont val="Tahoma"/>
            <family val="2"/>
          </rPr>
          <t xml:space="preserve">
Statusansatz-Zeile</t>
        </r>
      </text>
    </comment>
    <comment ref="R93" authorId="0" shapeId="0" xr:uid="{00000000-0006-0000-0000-00003E000000}">
      <text>
        <r>
          <rPr>
            <b/>
            <sz val="9"/>
            <color indexed="81"/>
            <rFont val="Tahoma"/>
            <family val="2"/>
          </rPr>
          <t>hsk:</t>
        </r>
        <r>
          <rPr>
            <sz val="9"/>
            <color indexed="81"/>
            <rFont val="Tahoma"/>
            <family val="2"/>
          </rPr>
          <t xml:space="preserve">
nur errechnete Werte verändert
</t>
        </r>
      </text>
    </comment>
    <comment ref="BO93" authorId="0" shapeId="0" xr:uid="{00000000-0006-0000-0000-00003F000000}">
      <text>
        <r>
          <rPr>
            <b/>
            <sz val="9"/>
            <color indexed="81"/>
            <rFont val="Tahoma"/>
            <family val="2"/>
          </rPr>
          <t>hsk:</t>
        </r>
        <r>
          <rPr>
            <sz val="9"/>
            <color indexed="81"/>
            <rFont val="Tahoma"/>
            <family val="2"/>
          </rPr>
          <t xml:space="preserve">
Zielansatz-Zeile</t>
        </r>
      </text>
    </comment>
    <comment ref="BO94" authorId="0" shapeId="0" xr:uid="{00000000-0006-0000-0000-000040000000}">
      <text>
        <r>
          <rPr>
            <b/>
            <sz val="9"/>
            <color indexed="81"/>
            <rFont val="Tahoma"/>
            <family val="2"/>
          </rPr>
          <t>hsk:</t>
        </r>
        <r>
          <rPr>
            <sz val="9"/>
            <color indexed="81"/>
            <rFont val="Tahoma"/>
            <family val="2"/>
          </rPr>
          <t xml:space="preserve">
Erläuterungs-Zeile</t>
        </r>
      </text>
    </comment>
    <comment ref="BO96" authorId="0" shapeId="0" xr:uid="{00000000-0006-0000-0000-000041000000}">
      <text>
        <r>
          <rPr>
            <b/>
            <sz val="9"/>
            <color indexed="81"/>
            <rFont val="Tahoma"/>
            <family val="2"/>
          </rPr>
          <t>hsk:</t>
        </r>
        <r>
          <rPr>
            <sz val="9"/>
            <color indexed="81"/>
            <rFont val="Tahoma"/>
            <family val="2"/>
          </rPr>
          <t xml:space="preserve">
Parameterzeile</t>
        </r>
      </text>
    </comment>
    <comment ref="BO97" authorId="0" shapeId="0" xr:uid="{00000000-0006-0000-0000-000042000000}">
      <text>
        <r>
          <rPr>
            <b/>
            <sz val="9"/>
            <color indexed="81"/>
            <rFont val="Tahoma"/>
            <family val="2"/>
          </rPr>
          <t>hsk:</t>
        </r>
        <r>
          <rPr>
            <sz val="9"/>
            <color indexed="81"/>
            <rFont val="Tahoma"/>
            <family val="2"/>
          </rPr>
          <t xml:space="preserve">
Statusansatz-Zeile</t>
        </r>
      </text>
    </comment>
    <comment ref="BO98" authorId="0" shapeId="0" xr:uid="{00000000-0006-0000-0000-000043000000}">
      <text>
        <r>
          <rPr>
            <b/>
            <sz val="9"/>
            <color indexed="81"/>
            <rFont val="Tahoma"/>
            <family val="2"/>
          </rPr>
          <t>hsk:</t>
        </r>
        <r>
          <rPr>
            <sz val="9"/>
            <color indexed="81"/>
            <rFont val="Tahoma"/>
            <family val="2"/>
          </rPr>
          <t xml:space="preserve">
Erläuterungs-Zeile</t>
        </r>
      </text>
    </comment>
    <comment ref="BO100" authorId="0" shapeId="0" xr:uid="{00000000-0006-0000-0000-000044000000}">
      <text>
        <r>
          <rPr>
            <b/>
            <sz val="9"/>
            <color indexed="81"/>
            <rFont val="Tahoma"/>
            <family val="2"/>
          </rPr>
          <t>hsk:</t>
        </r>
        <r>
          <rPr>
            <sz val="9"/>
            <color indexed="81"/>
            <rFont val="Tahoma"/>
            <family val="2"/>
          </rPr>
          <t xml:space="preserve">
Zielansatz-Zeile</t>
        </r>
      </text>
    </comment>
    <comment ref="BO101" authorId="0" shapeId="0" xr:uid="{00000000-0006-0000-0000-000045000000}">
      <text>
        <r>
          <rPr>
            <b/>
            <sz val="9"/>
            <color indexed="81"/>
            <rFont val="Tahoma"/>
            <family val="2"/>
          </rPr>
          <t>hsk:</t>
        </r>
        <r>
          <rPr>
            <sz val="9"/>
            <color indexed="81"/>
            <rFont val="Tahoma"/>
            <family val="2"/>
          </rPr>
          <t xml:space="preserve">
Erläuterungs-Zeile</t>
        </r>
      </text>
    </comment>
    <comment ref="BO103" authorId="0" shapeId="0" xr:uid="{00000000-0006-0000-0000-000046000000}">
      <text>
        <r>
          <rPr>
            <b/>
            <sz val="9"/>
            <color indexed="81"/>
            <rFont val="Tahoma"/>
            <family val="2"/>
          </rPr>
          <t>hsk:</t>
        </r>
        <r>
          <rPr>
            <sz val="9"/>
            <color indexed="81"/>
            <rFont val="Tahoma"/>
            <family val="2"/>
          </rPr>
          <t xml:space="preserve">
Parameterzeile</t>
        </r>
      </text>
    </comment>
    <comment ref="BO104" authorId="0" shapeId="0" xr:uid="{00000000-0006-0000-0000-000047000000}">
      <text>
        <r>
          <rPr>
            <b/>
            <sz val="9"/>
            <color indexed="81"/>
            <rFont val="Tahoma"/>
            <family val="2"/>
          </rPr>
          <t>hsk:</t>
        </r>
        <r>
          <rPr>
            <sz val="9"/>
            <color indexed="81"/>
            <rFont val="Tahoma"/>
            <family val="2"/>
          </rPr>
          <t xml:space="preserve">
Statusansatz-Zeile</t>
        </r>
      </text>
    </comment>
    <comment ref="BO105" authorId="0" shapeId="0" xr:uid="{00000000-0006-0000-0000-000048000000}">
      <text>
        <r>
          <rPr>
            <b/>
            <sz val="9"/>
            <color indexed="81"/>
            <rFont val="Tahoma"/>
            <family val="2"/>
          </rPr>
          <t>hsk:</t>
        </r>
        <r>
          <rPr>
            <sz val="9"/>
            <color indexed="81"/>
            <rFont val="Tahoma"/>
            <family val="2"/>
          </rPr>
          <t xml:space="preserve">
Erläuterungs-Zeile</t>
        </r>
      </text>
    </comment>
    <comment ref="BO107" authorId="0" shapeId="0" xr:uid="{00000000-0006-0000-0000-000049000000}">
      <text>
        <r>
          <rPr>
            <b/>
            <sz val="9"/>
            <color indexed="81"/>
            <rFont val="Tahoma"/>
            <family val="2"/>
          </rPr>
          <t>hsk:</t>
        </r>
        <r>
          <rPr>
            <sz val="9"/>
            <color indexed="81"/>
            <rFont val="Tahoma"/>
            <family val="2"/>
          </rPr>
          <t xml:space="preserve">
Zielansatz-Zeile</t>
        </r>
      </text>
    </comment>
    <comment ref="BO109" authorId="0" shapeId="0" xr:uid="{00000000-0006-0000-0000-00004A000000}">
      <text>
        <r>
          <rPr>
            <b/>
            <sz val="9"/>
            <color indexed="81"/>
            <rFont val="Tahoma"/>
            <family val="2"/>
          </rPr>
          <t>hsk:</t>
        </r>
        <r>
          <rPr>
            <sz val="9"/>
            <color indexed="81"/>
            <rFont val="Tahoma"/>
            <family val="2"/>
          </rPr>
          <t xml:space="preserve">
Parameterzeile</t>
        </r>
      </text>
    </comment>
    <comment ref="BO110" authorId="0" shapeId="0" xr:uid="{00000000-0006-0000-0000-00004B000000}">
      <text>
        <r>
          <rPr>
            <b/>
            <sz val="9"/>
            <color indexed="81"/>
            <rFont val="Tahoma"/>
            <family val="2"/>
          </rPr>
          <t>hsk:</t>
        </r>
        <r>
          <rPr>
            <sz val="9"/>
            <color indexed="81"/>
            <rFont val="Tahoma"/>
            <family val="2"/>
          </rPr>
          <t xml:space="preserve">
Statusansatz-Zeile</t>
        </r>
      </text>
    </comment>
    <comment ref="BO111" authorId="0" shapeId="0" xr:uid="{00000000-0006-0000-0000-00004C000000}">
      <text>
        <r>
          <rPr>
            <b/>
            <sz val="9"/>
            <color indexed="81"/>
            <rFont val="Tahoma"/>
            <family val="2"/>
          </rPr>
          <t>hsk:</t>
        </r>
        <r>
          <rPr>
            <sz val="9"/>
            <color indexed="81"/>
            <rFont val="Tahoma"/>
            <family val="2"/>
          </rPr>
          <t xml:space="preserve">
Erläuterungs-Zeile</t>
        </r>
      </text>
    </comment>
    <comment ref="BO113" authorId="0" shapeId="0" xr:uid="{00000000-0006-0000-0000-00004D000000}">
      <text>
        <r>
          <rPr>
            <b/>
            <sz val="9"/>
            <color indexed="81"/>
            <rFont val="Tahoma"/>
            <family val="2"/>
          </rPr>
          <t>hsk:</t>
        </r>
        <r>
          <rPr>
            <sz val="9"/>
            <color indexed="81"/>
            <rFont val="Tahoma"/>
            <family val="2"/>
          </rPr>
          <t xml:space="preserve">
Zielansatz-Zeile</t>
        </r>
      </text>
    </comment>
    <comment ref="BO114" authorId="0" shapeId="0" xr:uid="{00000000-0006-0000-0000-00004E000000}">
      <text>
        <r>
          <rPr>
            <b/>
            <sz val="9"/>
            <color indexed="81"/>
            <rFont val="Tahoma"/>
            <family val="2"/>
          </rPr>
          <t>hsk:</t>
        </r>
        <r>
          <rPr>
            <sz val="9"/>
            <color indexed="81"/>
            <rFont val="Tahoma"/>
            <family val="2"/>
          </rPr>
          <t xml:space="preserve">
Erläuterungs-Zeile</t>
        </r>
      </text>
    </comment>
    <comment ref="BO115" authorId="0" shapeId="0" xr:uid="{00000000-0006-0000-0000-00004F000000}">
      <text>
        <r>
          <rPr>
            <b/>
            <sz val="9"/>
            <color indexed="81"/>
            <rFont val="Tahoma"/>
            <family val="2"/>
          </rPr>
          <t>hsk:</t>
        </r>
        <r>
          <rPr>
            <sz val="9"/>
            <color indexed="81"/>
            <rFont val="Tahoma"/>
            <family val="2"/>
          </rPr>
          <t xml:space="preserve">
Erläuterungs-Zeile</t>
        </r>
      </text>
    </comment>
    <comment ref="BO116" authorId="0" shapeId="0" xr:uid="{00000000-0006-0000-0000-000050000000}">
      <text>
        <r>
          <rPr>
            <b/>
            <sz val="9"/>
            <color indexed="81"/>
            <rFont val="Tahoma"/>
            <family val="2"/>
          </rPr>
          <t>hsk:</t>
        </r>
        <r>
          <rPr>
            <sz val="9"/>
            <color indexed="81"/>
            <rFont val="Tahoma"/>
            <family val="2"/>
          </rPr>
          <t xml:space="preserve">
Erläuterungs-Zeile</t>
        </r>
      </text>
    </comment>
    <comment ref="BO118" authorId="0" shapeId="0" xr:uid="{00000000-0006-0000-0000-000051000000}">
      <text>
        <r>
          <rPr>
            <b/>
            <sz val="9"/>
            <color indexed="81"/>
            <rFont val="Tahoma"/>
            <family val="2"/>
          </rPr>
          <t>hsk:</t>
        </r>
        <r>
          <rPr>
            <sz val="9"/>
            <color indexed="81"/>
            <rFont val="Tahoma"/>
            <family val="2"/>
          </rPr>
          <t xml:space="preserve">
Titelzeile</t>
        </r>
      </text>
    </comment>
    <comment ref="BO120" authorId="0" shapeId="0" xr:uid="{00000000-0006-0000-0000-000052000000}">
      <text>
        <r>
          <rPr>
            <b/>
            <sz val="9"/>
            <color indexed="81"/>
            <rFont val="Tahoma"/>
            <family val="2"/>
          </rPr>
          <t>hsk:</t>
        </r>
        <r>
          <rPr>
            <sz val="9"/>
            <color indexed="81"/>
            <rFont val="Tahoma"/>
            <family val="2"/>
          </rPr>
          <t xml:space="preserve">
Parameterzeile</t>
        </r>
      </text>
    </comment>
    <comment ref="BO121" authorId="0" shapeId="0" xr:uid="{00000000-0006-0000-0000-000053000000}">
      <text>
        <r>
          <rPr>
            <b/>
            <sz val="9"/>
            <color indexed="81"/>
            <rFont val="Tahoma"/>
            <family val="2"/>
          </rPr>
          <t>hsk:</t>
        </r>
        <r>
          <rPr>
            <sz val="9"/>
            <color indexed="81"/>
            <rFont val="Tahoma"/>
            <family val="2"/>
          </rPr>
          <t xml:space="preserve">
Statusansatz-Zeile</t>
        </r>
      </text>
    </comment>
    <comment ref="BO122" authorId="0" shapeId="0" xr:uid="{00000000-0006-0000-0000-000054000000}">
      <text>
        <r>
          <rPr>
            <b/>
            <sz val="9"/>
            <color indexed="81"/>
            <rFont val="Tahoma"/>
            <family val="2"/>
          </rPr>
          <t>hsk:</t>
        </r>
        <r>
          <rPr>
            <sz val="9"/>
            <color indexed="81"/>
            <rFont val="Tahoma"/>
            <family val="2"/>
          </rPr>
          <t xml:space="preserve">
Herleitungs-Zeile</t>
        </r>
      </text>
    </comment>
    <comment ref="BO123" authorId="0" shapeId="0" xr:uid="{00000000-0006-0000-0000-000055000000}">
      <text>
        <r>
          <rPr>
            <b/>
            <sz val="9"/>
            <color indexed="81"/>
            <rFont val="Tahoma"/>
            <family val="2"/>
          </rPr>
          <t>hsk:</t>
        </r>
        <r>
          <rPr>
            <sz val="9"/>
            <color indexed="81"/>
            <rFont val="Tahoma"/>
            <family val="2"/>
          </rPr>
          <t xml:space="preserve">
Herleitungs-Zeile</t>
        </r>
      </text>
    </comment>
    <comment ref="BO124" authorId="0" shapeId="0" xr:uid="{00000000-0006-0000-0000-000056000000}">
      <text>
        <r>
          <rPr>
            <b/>
            <sz val="9"/>
            <color indexed="81"/>
            <rFont val="Tahoma"/>
            <family val="2"/>
          </rPr>
          <t>hsk:</t>
        </r>
        <r>
          <rPr>
            <sz val="9"/>
            <color indexed="81"/>
            <rFont val="Tahoma"/>
            <family val="2"/>
          </rPr>
          <t xml:space="preserve">
Herleitungs-Zeile</t>
        </r>
      </text>
    </comment>
    <comment ref="BO126" authorId="0" shapeId="0" xr:uid="{00000000-0006-0000-0000-000057000000}">
      <text>
        <r>
          <rPr>
            <b/>
            <sz val="9"/>
            <color indexed="81"/>
            <rFont val="Tahoma"/>
            <family val="2"/>
          </rPr>
          <t>hsk:</t>
        </r>
        <r>
          <rPr>
            <sz val="9"/>
            <color indexed="81"/>
            <rFont val="Tahoma"/>
            <family val="2"/>
          </rPr>
          <t xml:space="preserve">
Zielansatz-Zeile</t>
        </r>
      </text>
    </comment>
    <comment ref="BO127" authorId="0" shapeId="0" xr:uid="{00000000-0006-0000-0000-000058000000}">
      <text>
        <r>
          <rPr>
            <b/>
            <sz val="9"/>
            <color indexed="81"/>
            <rFont val="Tahoma"/>
            <family val="2"/>
          </rPr>
          <t>hsk:</t>
        </r>
        <r>
          <rPr>
            <sz val="9"/>
            <color indexed="81"/>
            <rFont val="Tahoma"/>
            <family val="2"/>
          </rPr>
          <t xml:space="preserve">
Herleitungs-Zeile</t>
        </r>
      </text>
    </comment>
    <comment ref="BC129" authorId="0" shapeId="0" xr:uid="{00000000-0006-0000-0000-000059000000}">
      <text>
        <r>
          <rPr>
            <b/>
            <sz val="9"/>
            <color indexed="81"/>
            <rFont val="Tahoma"/>
            <family val="2"/>
          </rPr>
          <t>hsk:</t>
        </r>
        <r>
          <rPr>
            <sz val="9"/>
            <color indexed="81"/>
            <rFont val="Tahoma"/>
            <family val="2"/>
          </rPr>
          <t xml:space="preserve">
In Region.xls waren lediglich die solaren Absorberflächen auf Freiflächen gefassst,
hier ist es dagegen die gesamte beanspruchte Freifläche.</t>
        </r>
      </text>
    </comment>
    <comment ref="BO129" authorId="0" shapeId="0" xr:uid="{00000000-0006-0000-0000-00005A000000}">
      <text>
        <r>
          <rPr>
            <b/>
            <sz val="9"/>
            <color indexed="81"/>
            <rFont val="Tahoma"/>
            <family val="2"/>
          </rPr>
          <t>hsk:</t>
        </r>
        <r>
          <rPr>
            <sz val="9"/>
            <color indexed="81"/>
            <rFont val="Tahoma"/>
            <family val="2"/>
          </rPr>
          <t xml:space="preserve">
Parameterzeile</t>
        </r>
      </text>
    </comment>
    <comment ref="AD130" authorId="0" shapeId="0" xr:uid="{00000000-0006-0000-0000-00005B000000}">
      <text>
        <r>
          <rPr>
            <b/>
            <sz val="9"/>
            <color indexed="81"/>
            <rFont val="Tahoma"/>
            <family val="2"/>
          </rPr>
          <t>hsk:</t>
        </r>
        <r>
          <rPr>
            <sz val="9"/>
            <color indexed="81"/>
            <rFont val="Tahoma"/>
            <family val="2"/>
          </rPr>
          <t xml:space="preserve">
gesamte installierte PV-Leistung
</t>
        </r>
      </text>
    </comment>
    <comment ref="AF130" authorId="0" shapeId="0" xr:uid="{00000000-0006-0000-0000-00005C000000}">
      <text>
        <r>
          <rPr>
            <b/>
            <sz val="9"/>
            <color indexed="81"/>
            <rFont val="Tahoma"/>
            <family val="2"/>
          </rPr>
          <t>hsk:</t>
        </r>
        <r>
          <rPr>
            <sz val="9"/>
            <color indexed="81"/>
            <rFont val="Tahoma"/>
            <family val="2"/>
          </rPr>
          <t xml:space="preserve">
Auf Freiflächen entfallende Leistung</t>
        </r>
      </text>
    </comment>
    <comment ref="AP130" authorId="0" shapeId="0" xr:uid="{00000000-0006-0000-0000-00005D000000}">
      <text>
        <r>
          <rPr>
            <b/>
            <sz val="9"/>
            <color indexed="81"/>
            <rFont val="Tahoma"/>
            <family val="2"/>
          </rPr>
          <t>hsk:</t>
        </r>
        <r>
          <rPr>
            <sz val="9"/>
            <color indexed="81"/>
            <rFont val="Tahoma"/>
            <family val="2"/>
          </rPr>
          <t xml:space="preserve">
Flächenbedarf der PV-Freiflächenanlagen einschließlich Abstandsflächen.</t>
        </r>
      </text>
    </comment>
    <comment ref="BO130" authorId="0" shapeId="0" xr:uid="{00000000-0006-0000-0000-00005E000000}">
      <text>
        <r>
          <rPr>
            <b/>
            <sz val="9"/>
            <color indexed="81"/>
            <rFont val="Tahoma"/>
            <family val="2"/>
          </rPr>
          <t>hsk:</t>
        </r>
        <r>
          <rPr>
            <sz val="9"/>
            <color indexed="81"/>
            <rFont val="Tahoma"/>
            <family val="2"/>
          </rPr>
          <t xml:space="preserve">
Statusansatz-Zeile</t>
        </r>
      </text>
    </comment>
    <comment ref="AM131" authorId="0" shapeId="0" xr:uid="{00000000-0006-0000-0000-00005F000000}">
      <text>
        <r>
          <rPr>
            <b/>
            <sz val="9"/>
            <color indexed="81"/>
            <rFont val="Tahoma"/>
            <family val="2"/>
          </rPr>
          <t>hsk:</t>
        </r>
        <r>
          <rPr>
            <sz val="9"/>
            <color indexed="81"/>
            <rFont val="Tahoma"/>
            <family val="2"/>
          </rPr>
          <t xml:space="preserve">
Unter Einrechnung eines etwas erhöhten Energieertrages durch optimale Südausrichtung der Freiflächenanlagen ergibt sich lediglich eine Reduktion des Flächenbedarfs.
(Abschätzung aufgrund von Angaben Fr. Dr. Palmas)</t>
        </r>
      </text>
    </comment>
    <comment ref="BO131" authorId="0" shapeId="0" xr:uid="{00000000-0006-0000-0000-000060000000}">
      <text>
        <r>
          <rPr>
            <b/>
            <sz val="9"/>
            <color indexed="81"/>
            <rFont val="Tahoma"/>
            <family val="2"/>
          </rPr>
          <t>hsk:</t>
        </r>
        <r>
          <rPr>
            <sz val="9"/>
            <color indexed="81"/>
            <rFont val="Tahoma"/>
            <family val="2"/>
          </rPr>
          <t xml:space="preserve">
Herleitungs-Zeile</t>
        </r>
      </text>
    </comment>
    <comment ref="W133" authorId="0" shapeId="0" xr:uid="{00000000-0006-0000-0000-000061000000}">
      <text>
        <r>
          <rPr>
            <b/>
            <sz val="9"/>
            <color indexed="81"/>
            <rFont val="Tahoma"/>
            <family val="2"/>
          </rPr>
          <t>hsk:</t>
        </r>
        <r>
          <rPr>
            <sz val="9"/>
            <color indexed="81"/>
            <rFont val="Tahoma"/>
            <family val="2"/>
          </rPr>
          <t xml:space="preserve">
ergibt sich aus dem Abgleich</t>
        </r>
      </text>
    </comment>
    <comment ref="BO133" authorId="0" shapeId="0" xr:uid="{00000000-0006-0000-0000-000062000000}">
      <text>
        <r>
          <rPr>
            <b/>
            <sz val="9"/>
            <color indexed="81"/>
            <rFont val="Tahoma"/>
            <family val="2"/>
          </rPr>
          <t>hsk:</t>
        </r>
        <r>
          <rPr>
            <sz val="9"/>
            <color indexed="81"/>
            <rFont val="Tahoma"/>
            <family val="2"/>
          </rPr>
          <t xml:space="preserve">
Zielansatz-Zeile</t>
        </r>
      </text>
    </comment>
    <comment ref="BO134" authorId="0" shapeId="0" xr:uid="{00000000-0006-0000-0000-000063000000}">
      <text>
        <r>
          <rPr>
            <b/>
            <sz val="9"/>
            <color indexed="81"/>
            <rFont val="Tahoma"/>
            <family val="2"/>
          </rPr>
          <t>hsk:</t>
        </r>
        <r>
          <rPr>
            <sz val="9"/>
            <color indexed="81"/>
            <rFont val="Tahoma"/>
            <family val="2"/>
          </rPr>
          <t xml:space="preserve">
Herleitungs-Zeile</t>
        </r>
      </text>
    </comment>
    <comment ref="BO135" authorId="0" shapeId="0" xr:uid="{00000000-0006-0000-0000-000064000000}">
      <text>
        <r>
          <rPr>
            <b/>
            <sz val="9"/>
            <color indexed="81"/>
            <rFont val="Tahoma"/>
            <family val="2"/>
          </rPr>
          <t>hsk:</t>
        </r>
        <r>
          <rPr>
            <sz val="9"/>
            <color indexed="81"/>
            <rFont val="Tahoma"/>
            <family val="2"/>
          </rPr>
          <t xml:space="preserve">
Herleitungs-Zeile</t>
        </r>
      </text>
    </comment>
    <comment ref="BO137" authorId="0" shapeId="0" xr:uid="{00000000-0006-0000-0000-000065000000}">
      <text>
        <r>
          <rPr>
            <b/>
            <sz val="9"/>
            <color indexed="81"/>
            <rFont val="Tahoma"/>
            <family val="2"/>
          </rPr>
          <t>hsk:</t>
        </r>
        <r>
          <rPr>
            <sz val="9"/>
            <color indexed="81"/>
            <rFont val="Tahoma"/>
            <family val="2"/>
          </rPr>
          <t xml:space="preserve">
Parameterzeile</t>
        </r>
      </text>
    </comment>
    <comment ref="BO138" authorId="0" shapeId="0" xr:uid="{00000000-0006-0000-0000-000066000000}">
      <text>
        <r>
          <rPr>
            <b/>
            <sz val="9"/>
            <color indexed="81"/>
            <rFont val="Tahoma"/>
            <family val="2"/>
          </rPr>
          <t>hsk:</t>
        </r>
        <r>
          <rPr>
            <sz val="9"/>
            <color indexed="81"/>
            <rFont val="Tahoma"/>
            <family val="2"/>
          </rPr>
          <t xml:space="preserve">
Statusansatz-Zeile</t>
        </r>
      </text>
    </comment>
    <comment ref="BO139" authorId="0" shapeId="0" xr:uid="{00000000-0006-0000-0000-000067000000}">
      <text>
        <r>
          <rPr>
            <b/>
            <sz val="9"/>
            <color indexed="81"/>
            <rFont val="Tahoma"/>
            <family val="2"/>
          </rPr>
          <t>hsk:</t>
        </r>
        <r>
          <rPr>
            <sz val="9"/>
            <color indexed="81"/>
            <rFont val="Tahoma"/>
            <family val="2"/>
          </rPr>
          <t xml:space="preserve">
Herleitungs-Zeile</t>
        </r>
      </text>
    </comment>
    <comment ref="BO141" authorId="0" shapeId="0" xr:uid="{00000000-0006-0000-0000-000068000000}">
      <text>
        <r>
          <rPr>
            <b/>
            <sz val="9"/>
            <color indexed="81"/>
            <rFont val="Tahoma"/>
            <family val="2"/>
          </rPr>
          <t>hsk:</t>
        </r>
        <r>
          <rPr>
            <sz val="9"/>
            <color indexed="81"/>
            <rFont val="Tahoma"/>
            <family val="2"/>
          </rPr>
          <t xml:space="preserve">
Zielansatz-Zeile</t>
        </r>
      </text>
    </comment>
    <comment ref="BO143" authorId="0" shapeId="0" xr:uid="{00000000-0006-0000-0000-000069000000}">
      <text>
        <r>
          <rPr>
            <b/>
            <sz val="9"/>
            <color indexed="81"/>
            <rFont val="Tahoma"/>
            <family val="2"/>
          </rPr>
          <t>hsk:</t>
        </r>
        <r>
          <rPr>
            <sz val="9"/>
            <color indexed="81"/>
            <rFont val="Tahoma"/>
            <family val="2"/>
          </rPr>
          <t xml:space="preserve">
Parameterzeile</t>
        </r>
      </text>
    </comment>
    <comment ref="BO144" authorId="0" shapeId="0" xr:uid="{00000000-0006-0000-0000-00006A000000}">
      <text>
        <r>
          <rPr>
            <b/>
            <sz val="9"/>
            <color indexed="81"/>
            <rFont val="Tahoma"/>
            <family val="2"/>
          </rPr>
          <t>hsk:</t>
        </r>
        <r>
          <rPr>
            <sz val="9"/>
            <color indexed="81"/>
            <rFont val="Tahoma"/>
            <family val="2"/>
          </rPr>
          <t xml:space="preserve">
Statusansatz-Zeile</t>
        </r>
      </text>
    </comment>
    <comment ref="AG146" authorId="0" shapeId="0" xr:uid="{00000000-0006-0000-0000-00006B000000}">
      <text>
        <r>
          <rPr>
            <b/>
            <sz val="9"/>
            <color indexed="81"/>
            <rFont val="Tahoma"/>
            <family val="2"/>
          </rPr>
          <t xml:space="preserve">hsk: </t>
        </r>
        <r>
          <rPr>
            <sz val="9"/>
            <color indexed="81"/>
            <rFont val="Tahoma"/>
            <family val="2"/>
          </rPr>
          <t>03.04.2015:
Ad hoc keine brauchbaren Angaben gefunden.</t>
        </r>
      </text>
    </comment>
    <comment ref="BO146" authorId="0" shapeId="0" xr:uid="{00000000-0006-0000-0000-00006C000000}">
      <text>
        <r>
          <rPr>
            <b/>
            <sz val="9"/>
            <color indexed="81"/>
            <rFont val="Tahoma"/>
            <family val="2"/>
          </rPr>
          <t>hsk:</t>
        </r>
        <r>
          <rPr>
            <sz val="9"/>
            <color indexed="81"/>
            <rFont val="Tahoma"/>
            <family val="2"/>
          </rPr>
          <t xml:space="preserve">
Zielansatz-Zeile</t>
        </r>
      </text>
    </comment>
    <comment ref="BO148" authorId="0" shapeId="0" xr:uid="{00000000-0006-0000-0000-00006D000000}">
      <text>
        <r>
          <rPr>
            <b/>
            <sz val="9"/>
            <color indexed="81"/>
            <rFont val="Tahoma"/>
            <family val="2"/>
          </rPr>
          <t>hsk:</t>
        </r>
        <r>
          <rPr>
            <sz val="9"/>
            <color indexed="81"/>
            <rFont val="Tahoma"/>
            <family val="2"/>
          </rPr>
          <t xml:space="preserve">
Parameterzeile</t>
        </r>
      </text>
    </comment>
    <comment ref="BO149" authorId="0" shapeId="0" xr:uid="{00000000-0006-0000-0000-00006E000000}">
      <text>
        <r>
          <rPr>
            <b/>
            <sz val="9"/>
            <color indexed="81"/>
            <rFont val="Tahoma"/>
            <family val="2"/>
          </rPr>
          <t>hsk:</t>
        </r>
        <r>
          <rPr>
            <sz val="9"/>
            <color indexed="81"/>
            <rFont val="Tahoma"/>
            <family val="2"/>
          </rPr>
          <t xml:space="preserve">
Statusansatz-Zeile</t>
        </r>
      </text>
    </comment>
    <comment ref="BO151" authorId="0" shapeId="0" xr:uid="{00000000-0006-0000-0000-00006F000000}">
      <text>
        <r>
          <rPr>
            <b/>
            <sz val="9"/>
            <color indexed="81"/>
            <rFont val="Tahoma"/>
            <family val="2"/>
          </rPr>
          <t>hsk:</t>
        </r>
        <r>
          <rPr>
            <sz val="9"/>
            <color indexed="81"/>
            <rFont val="Tahoma"/>
            <family val="2"/>
          </rPr>
          <t xml:space="preserve">
Zielansatz-Zeile</t>
        </r>
      </text>
    </comment>
    <comment ref="BO153" authorId="0" shapeId="0" xr:uid="{00000000-0006-0000-0000-000070000000}">
      <text>
        <r>
          <rPr>
            <b/>
            <sz val="9"/>
            <color indexed="81"/>
            <rFont val="Tahoma"/>
            <family val="2"/>
          </rPr>
          <t>hsk:</t>
        </r>
        <r>
          <rPr>
            <sz val="9"/>
            <color indexed="81"/>
            <rFont val="Tahoma"/>
            <family val="2"/>
          </rPr>
          <t xml:space="preserve">
Parameterzeile</t>
        </r>
      </text>
    </comment>
    <comment ref="BO154" authorId="0" shapeId="0" xr:uid="{00000000-0006-0000-0000-000071000000}">
      <text>
        <r>
          <rPr>
            <b/>
            <sz val="9"/>
            <color indexed="81"/>
            <rFont val="Tahoma"/>
            <family val="2"/>
          </rPr>
          <t>hsk:</t>
        </r>
        <r>
          <rPr>
            <sz val="9"/>
            <color indexed="81"/>
            <rFont val="Tahoma"/>
            <family val="2"/>
          </rPr>
          <t xml:space="preserve">
Statusansatz-Zeile</t>
        </r>
      </text>
    </comment>
    <comment ref="BO155" authorId="0" shapeId="0" xr:uid="{00000000-0006-0000-0000-000072000000}">
      <text>
        <r>
          <rPr>
            <b/>
            <sz val="9"/>
            <color indexed="81"/>
            <rFont val="Tahoma"/>
            <family val="2"/>
          </rPr>
          <t>hsk:</t>
        </r>
        <r>
          <rPr>
            <sz val="9"/>
            <color indexed="81"/>
            <rFont val="Tahoma"/>
            <family val="2"/>
          </rPr>
          <t xml:space="preserve">
Herleitungs-Zeile</t>
        </r>
      </text>
    </comment>
    <comment ref="W156" authorId="0" shapeId="0" xr:uid="{00000000-0006-0000-0000-000073000000}">
      <text>
        <r>
          <rPr>
            <b/>
            <sz val="9"/>
            <color indexed="81"/>
            <rFont val="Tahoma"/>
            <family val="2"/>
          </rPr>
          <t>hsk 03.03.2018:</t>
        </r>
        <r>
          <rPr>
            <sz val="9"/>
            <color indexed="81"/>
            <rFont val="Tahoma"/>
            <family val="2"/>
          </rPr>
          <t xml:space="preserve">
Angabe in Quelle geändert: 6-12 m2 /kWp, im Mittel 8.
Hier wird der alte Wert 7 beibehalten.</t>
        </r>
      </text>
    </comment>
    <comment ref="BO156" authorId="0" shapeId="0" xr:uid="{00000000-0006-0000-0000-000074000000}">
      <text>
        <r>
          <rPr>
            <b/>
            <sz val="9"/>
            <color indexed="81"/>
            <rFont val="Tahoma"/>
            <family val="2"/>
          </rPr>
          <t>hsk:</t>
        </r>
        <r>
          <rPr>
            <sz val="9"/>
            <color indexed="81"/>
            <rFont val="Tahoma"/>
            <family val="2"/>
          </rPr>
          <t xml:space="preserve">
Herleitungs-Zeile</t>
        </r>
      </text>
    </comment>
    <comment ref="BO158" authorId="0" shapeId="0" xr:uid="{00000000-0006-0000-0000-000075000000}">
      <text>
        <r>
          <rPr>
            <b/>
            <sz val="9"/>
            <color indexed="81"/>
            <rFont val="Tahoma"/>
            <family val="2"/>
          </rPr>
          <t>hsk:</t>
        </r>
        <r>
          <rPr>
            <sz val="9"/>
            <color indexed="81"/>
            <rFont val="Tahoma"/>
            <family val="2"/>
          </rPr>
          <t xml:space="preserve">
Zielansatz-Zeile</t>
        </r>
      </text>
    </comment>
    <comment ref="BO159" authorId="0" shapeId="0" xr:uid="{00000000-0006-0000-0000-000076000000}">
      <text>
        <r>
          <rPr>
            <b/>
            <sz val="9"/>
            <color indexed="81"/>
            <rFont val="Tahoma"/>
            <family val="2"/>
          </rPr>
          <t>hsk:</t>
        </r>
        <r>
          <rPr>
            <sz val="9"/>
            <color indexed="81"/>
            <rFont val="Tahoma"/>
            <family val="2"/>
          </rPr>
          <t xml:space="preserve">
Herleitungs-Zeile</t>
        </r>
      </text>
    </comment>
    <comment ref="BO161" authorId="0" shapeId="0" xr:uid="{00000000-0006-0000-0000-000077000000}">
      <text>
        <r>
          <rPr>
            <b/>
            <sz val="9"/>
            <color indexed="81"/>
            <rFont val="Tahoma"/>
            <family val="2"/>
          </rPr>
          <t>hsk:</t>
        </r>
        <r>
          <rPr>
            <sz val="9"/>
            <color indexed="81"/>
            <rFont val="Tahoma"/>
            <family val="2"/>
          </rPr>
          <t xml:space="preserve">
Parameterzeile</t>
        </r>
      </text>
    </comment>
    <comment ref="BO162" authorId="0" shapeId="0" xr:uid="{00000000-0006-0000-0000-000078000000}">
      <text>
        <r>
          <rPr>
            <b/>
            <sz val="9"/>
            <color indexed="81"/>
            <rFont val="Tahoma"/>
            <family val="2"/>
          </rPr>
          <t>hsk:</t>
        </r>
        <r>
          <rPr>
            <sz val="9"/>
            <color indexed="81"/>
            <rFont val="Tahoma"/>
            <family val="2"/>
          </rPr>
          <t xml:space="preserve">
Statusansatz-Zeile</t>
        </r>
      </text>
    </comment>
    <comment ref="BO164" authorId="0" shapeId="0" xr:uid="{00000000-0006-0000-0000-000079000000}">
      <text>
        <r>
          <rPr>
            <b/>
            <sz val="9"/>
            <color indexed="81"/>
            <rFont val="Tahoma"/>
            <family val="2"/>
          </rPr>
          <t>hsk:</t>
        </r>
        <r>
          <rPr>
            <sz val="9"/>
            <color indexed="81"/>
            <rFont val="Tahoma"/>
            <family val="2"/>
          </rPr>
          <t xml:space="preserve">
Zielansatz-Zeile</t>
        </r>
      </text>
    </comment>
    <comment ref="BO166" authorId="0" shapeId="0" xr:uid="{00000000-0006-0000-0000-00007A000000}">
      <text>
        <r>
          <rPr>
            <b/>
            <sz val="9"/>
            <color indexed="81"/>
            <rFont val="Tahoma"/>
            <family val="2"/>
          </rPr>
          <t>hsk:</t>
        </r>
        <r>
          <rPr>
            <sz val="9"/>
            <color indexed="81"/>
            <rFont val="Tahoma"/>
            <family val="2"/>
          </rPr>
          <t xml:space="preserve">
Parameterzeile</t>
        </r>
      </text>
    </comment>
    <comment ref="BO167" authorId="0" shapeId="0" xr:uid="{00000000-0006-0000-0000-00007B000000}">
      <text>
        <r>
          <rPr>
            <b/>
            <sz val="9"/>
            <color indexed="81"/>
            <rFont val="Tahoma"/>
            <family val="2"/>
          </rPr>
          <t>hsk:</t>
        </r>
        <r>
          <rPr>
            <sz val="9"/>
            <color indexed="81"/>
            <rFont val="Tahoma"/>
            <family val="2"/>
          </rPr>
          <t xml:space="preserve">
Statusansatz-Zeile</t>
        </r>
      </text>
    </comment>
    <comment ref="BO169" authorId="0" shapeId="0" xr:uid="{00000000-0006-0000-0000-00007C000000}">
      <text>
        <r>
          <rPr>
            <b/>
            <sz val="9"/>
            <color indexed="81"/>
            <rFont val="Tahoma"/>
            <family val="2"/>
          </rPr>
          <t>hsk:</t>
        </r>
        <r>
          <rPr>
            <sz val="9"/>
            <color indexed="81"/>
            <rFont val="Tahoma"/>
            <family val="2"/>
          </rPr>
          <t xml:space="preserve">
Zielansatz-Zeile</t>
        </r>
      </text>
    </comment>
    <comment ref="BO171" authorId="0" shapeId="0" xr:uid="{00000000-0006-0000-0000-00007D000000}">
      <text>
        <r>
          <rPr>
            <b/>
            <sz val="9"/>
            <color indexed="81"/>
            <rFont val="Tahoma"/>
            <family val="2"/>
          </rPr>
          <t>hsk:</t>
        </r>
        <r>
          <rPr>
            <sz val="9"/>
            <color indexed="81"/>
            <rFont val="Tahoma"/>
            <family val="2"/>
          </rPr>
          <t xml:space="preserve">
Titelzeile</t>
        </r>
      </text>
    </comment>
    <comment ref="BO173" authorId="0" shapeId="0" xr:uid="{00000000-0006-0000-0000-00007E000000}">
      <text>
        <r>
          <rPr>
            <b/>
            <sz val="9"/>
            <color indexed="81"/>
            <rFont val="Tahoma"/>
            <family val="2"/>
          </rPr>
          <t>hsk:</t>
        </r>
        <r>
          <rPr>
            <sz val="9"/>
            <color indexed="81"/>
            <rFont val="Tahoma"/>
            <family val="2"/>
          </rPr>
          <t xml:space="preserve">
Parameterzeile</t>
        </r>
      </text>
    </comment>
    <comment ref="BO174" authorId="0" shapeId="0" xr:uid="{00000000-0006-0000-0000-00007F000000}">
      <text>
        <r>
          <rPr>
            <b/>
            <sz val="9"/>
            <color indexed="81"/>
            <rFont val="Tahoma"/>
            <family val="2"/>
          </rPr>
          <t>hsk:</t>
        </r>
        <r>
          <rPr>
            <sz val="9"/>
            <color indexed="81"/>
            <rFont val="Tahoma"/>
            <family val="2"/>
          </rPr>
          <t xml:space="preserve">
Statusansatz-Zeile</t>
        </r>
      </text>
    </comment>
    <comment ref="BO175" authorId="0" shapeId="0" xr:uid="{00000000-0006-0000-0000-000080000000}">
      <text>
        <r>
          <rPr>
            <b/>
            <sz val="9"/>
            <color indexed="81"/>
            <rFont val="Tahoma"/>
            <family val="2"/>
          </rPr>
          <t>hsk:</t>
        </r>
        <r>
          <rPr>
            <sz val="9"/>
            <color indexed="81"/>
            <rFont val="Tahoma"/>
            <family val="2"/>
          </rPr>
          <t xml:space="preserve">
Herleitungs-Zeile</t>
        </r>
      </text>
    </comment>
    <comment ref="BO176" authorId="0" shapeId="0" xr:uid="{00000000-0006-0000-0000-000081000000}">
      <text>
        <r>
          <rPr>
            <b/>
            <sz val="9"/>
            <color indexed="81"/>
            <rFont val="Tahoma"/>
            <family val="2"/>
          </rPr>
          <t>hsk:</t>
        </r>
        <r>
          <rPr>
            <sz val="9"/>
            <color indexed="81"/>
            <rFont val="Tahoma"/>
            <family val="2"/>
          </rPr>
          <t xml:space="preserve">
Herleitungs-Zeile</t>
        </r>
      </text>
    </comment>
    <comment ref="BO177" authorId="0" shapeId="0" xr:uid="{00000000-0006-0000-0000-000082000000}">
      <text>
        <r>
          <rPr>
            <b/>
            <sz val="9"/>
            <color indexed="81"/>
            <rFont val="Tahoma"/>
            <family val="2"/>
          </rPr>
          <t>hsk:</t>
        </r>
        <r>
          <rPr>
            <sz val="9"/>
            <color indexed="81"/>
            <rFont val="Tahoma"/>
            <family val="2"/>
          </rPr>
          <t xml:space="preserve">
Herleitungs-Zeile</t>
        </r>
      </text>
    </comment>
    <comment ref="BO179" authorId="0" shapeId="0" xr:uid="{00000000-0006-0000-0000-000083000000}">
      <text>
        <r>
          <rPr>
            <b/>
            <sz val="9"/>
            <color indexed="81"/>
            <rFont val="Tahoma"/>
            <family val="2"/>
          </rPr>
          <t>hsk:</t>
        </r>
        <r>
          <rPr>
            <sz val="9"/>
            <color indexed="81"/>
            <rFont val="Tahoma"/>
            <family val="2"/>
          </rPr>
          <t xml:space="preserve">
Zielansatz-Zeile</t>
        </r>
      </text>
    </comment>
    <comment ref="BO180" authorId="0" shapeId="0" xr:uid="{00000000-0006-0000-0000-000084000000}">
      <text>
        <r>
          <rPr>
            <b/>
            <sz val="9"/>
            <color indexed="81"/>
            <rFont val="Tahoma"/>
            <family val="2"/>
          </rPr>
          <t>hsk:</t>
        </r>
        <r>
          <rPr>
            <sz val="9"/>
            <color indexed="81"/>
            <rFont val="Tahoma"/>
            <family val="2"/>
          </rPr>
          <t xml:space="preserve">
Herleitungs-Zeile</t>
        </r>
      </text>
    </comment>
    <comment ref="BO181" authorId="0" shapeId="0" xr:uid="{00000000-0006-0000-0000-000085000000}">
      <text>
        <r>
          <rPr>
            <b/>
            <sz val="9"/>
            <color indexed="81"/>
            <rFont val="Tahoma"/>
            <family val="2"/>
          </rPr>
          <t>hsk:</t>
        </r>
        <r>
          <rPr>
            <sz val="9"/>
            <color indexed="81"/>
            <rFont val="Tahoma"/>
            <family val="2"/>
          </rPr>
          <t xml:space="preserve">
Parameterzeile</t>
        </r>
      </text>
    </comment>
    <comment ref="BO182" authorId="0" shapeId="0" xr:uid="{00000000-0006-0000-0000-000086000000}">
      <text>
        <r>
          <rPr>
            <b/>
            <sz val="9"/>
            <color indexed="81"/>
            <rFont val="Tahoma"/>
            <family val="2"/>
          </rPr>
          <t>hsk:</t>
        </r>
        <r>
          <rPr>
            <sz val="9"/>
            <color indexed="81"/>
            <rFont val="Tahoma"/>
            <family val="2"/>
          </rPr>
          <t xml:space="preserve">
Herleitungs-Zeile</t>
        </r>
      </text>
    </comment>
    <comment ref="BO184" authorId="0" shapeId="0" xr:uid="{00000000-0006-0000-0000-000087000000}">
      <text>
        <r>
          <rPr>
            <b/>
            <sz val="9"/>
            <color indexed="81"/>
            <rFont val="Tahoma"/>
            <family val="2"/>
          </rPr>
          <t>hsk:</t>
        </r>
        <r>
          <rPr>
            <sz val="9"/>
            <color indexed="81"/>
            <rFont val="Tahoma"/>
            <family val="2"/>
          </rPr>
          <t xml:space="preserve">
Statusansatz-Zeile</t>
        </r>
      </text>
    </comment>
    <comment ref="BO186" authorId="0" shapeId="0" xr:uid="{00000000-0006-0000-0000-000088000000}">
      <text>
        <r>
          <rPr>
            <b/>
            <sz val="9"/>
            <color indexed="81"/>
            <rFont val="Tahoma"/>
            <family val="2"/>
          </rPr>
          <t>hsk:</t>
        </r>
        <r>
          <rPr>
            <sz val="9"/>
            <color indexed="81"/>
            <rFont val="Tahoma"/>
            <family val="2"/>
          </rPr>
          <t xml:space="preserve">
Zielansatz-Zeile</t>
        </r>
      </text>
    </comment>
    <comment ref="BO188" authorId="0" shapeId="0" xr:uid="{00000000-0006-0000-0000-000089000000}">
      <text>
        <r>
          <rPr>
            <b/>
            <sz val="9"/>
            <color indexed="81"/>
            <rFont val="Tahoma"/>
            <family val="2"/>
          </rPr>
          <t>hsk:</t>
        </r>
        <r>
          <rPr>
            <sz val="9"/>
            <color indexed="81"/>
            <rFont val="Tahoma"/>
            <family val="2"/>
          </rPr>
          <t xml:space="preserve">
Parameterzeile</t>
        </r>
      </text>
    </comment>
    <comment ref="BO189" authorId="0" shapeId="0" xr:uid="{00000000-0006-0000-0000-00008A000000}">
      <text>
        <r>
          <rPr>
            <b/>
            <sz val="9"/>
            <color indexed="81"/>
            <rFont val="Tahoma"/>
            <family val="2"/>
          </rPr>
          <t>hsk:</t>
        </r>
        <r>
          <rPr>
            <sz val="9"/>
            <color indexed="81"/>
            <rFont val="Tahoma"/>
            <family val="2"/>
          </rPr>
          <t xml:space="preserve">
Statusansatz-Zeile</t>
        </r>
      </text>
    </comment>
    <comment ref="BO190" authorId="0" shapeId="0" xr:uid="{00000000-0006-0000-0000-00008B000000}">
      <text>
        <r>
          <rPr>
            <b/>
            <sz val="9"/>
            <color indexed="81"/>
            <rFont val="Tahoma"/>
            <family val="2"/>
          </rPr>
          <t>hsk:</t>
        </r>
        <r>
          <rPr>
            <sz val="9"/>
            <color indexed="81"/>
            <rFont val="Tahoma"/>
            <family val="2"/>
          </rPr>
          <t xml:space="preserve">
Herleitungs-Zeile</t>
        </r>
      </text>
    </comment>
    <comment ref="BO192" authorId="0" shapeId="0" xr:uid="{00000000-0006-0000-0000-00008C000000}">
      <text>
        <r>
          <rPr>
            <b/>
            <sz val="9"/>
            <color indexed="81"/>
            <rFont val="Tahoma"/>
            <family val="2"/>
          </rPr>
          <t>hsk:</t>
        </r>
        <r>
          <rPr>
            <sz val="9"/>
            <color indexed="81"/>
            <rFont val="Tahoma"/>
            <family val="2"/>
          </rPr>
          <t xml:space="preserve">
Zielansatz-Zeile</t>
        </r>
      </text>
    </comment>
    <comment ref="BO193" authorId="0" shapeId="0" xr:uid="{00000000-0006-0000-0000-00008D000000}">
      <text>
        <r>
          <rPr>
            <b/>
            <sz val="9"/>
            <color indexed="81"/>
            <rFont val="Tahoma"/>
            <family val="2"/>
          </rPr>
          <t>hsk:</t>
        </r>
        <r>
          <rPr>
            <sz val="9"/>
            <color indexed="81"/>
            <rFont val="Tahoma"/>
            <family val="2"/>
          </rPr>
          <t xml:space="preserve">
Herleitungs-Zeile</t>
        </r>
      </text>
    </comment>
    <comment ref="BO194" authorId="0" shapeId="0" xr:uid="{00000000-0006-0000-0000-00008E000000}">
      <text>
        <r>
          <rPr>
            <b/>
            <sz val="9"/>
            <color indexed="81"/>
            <rFont val="Tahoma"/>
            <family val="2"/>
          </rPr>
          <t>hsk:</t>
        </r>
        <r>
          <rPr>
            <sz val="9"/>
            <color indexed="81"/>
            <rFont val="Tahoma"/>
            <family val="2"/>
          </rPr>
          <t xml:space="preserve">
Herleitungs-Zeile</t>
        </r>
      </text>
    </comment>
    <comment ref="BO195" authorId="0" shapeId="0" xr:uid="{00000000-0006-0000-0000-00008F000000}">
      <text>
        <r>
          <rPr>
            <b/>
            <sz val="9"/>
            <color indexed="81"/>
            <rFont val="Tahoma"/>
            <family val="2"/>
          </rPr>
          <t>hsk:</t>
        </r>
        <r>
          <rPr>
            <sz val="9"/>
            <color indexed="81"/>
            <rFont val="Tahoma"/>
            <family val="2"/>
          </rPr>
          <t xml:space="preserve">
Herleitungs-Zeile</t>
        </r>
      </text>
    </comment>
    <comment ref="BO197" authorId="0" shapeId="0" xr:uid="{00000000-0006-0000-0000-000090000000}">
      <text>
        <r>
          <rPr>
            <b/>
            <sz val="9"/>
            <color indexed="81"/>
            <rFont val="Tahoma"/>
            <family val="2"/>
          </rPr>
          <t>hsk:</t>
        </r>
        <r>
          <rPr>
            <sz val="9"/>
            <color indexed="81"/>
            <rFont val="Tahoma"/>
            <family val="2"/>
          </rPr>
          <t xml:space="preserve">
Parameterzeile</t>
        </r>
      </text>
    </comment>
    <comment ref="BO198" authorId="0" shapeId="0" xr:uid="{00000000-0006-0000-0000-000091000000}">
      <text>
        <r>
          <rPr>
            <b/>
            <sz val="9"/>
            <color indexed="81"/>
            <rFont val="Tahoma"/>
            <family val="2"/>
          </rPr>
          <t>hsk:</t>
        </r>
        <r>
          <rPr>
            <sz val="9"/>
            <color indexed="81"/>
            <rFont val="Tahoma"/>
            <family val="2"/>
          </rPr>
          <t xml:space="preserve">
Statusansatz-Zeile</t>
        </r>
      </text>
    </comment>
    <comment ref="BO199" authorId="0" shapeId="0" xr:uid="{00000000-0006-0000-0000-000092000000}">
      <text>
        <r>
          <rPr>
            <b/>
            <sz val="9"/>
            <color indexed="81"/>
            <rFont val="Tahoma"/>
            <family val="2"/>
          </rPr>
          <t>hsk:</t>
        </r>
        <r>
          <rPr>
            <sz val="9"/>
            <color indexed="81"/>
            <rFont val="Tahoma"/>
            <family val="2"/>
          </rPr>
          <t xml:space="preserve">
Herleitungs-Zeile</t>
        </r>
      </text>
    </comment>
    <comment ref="BO200" authorId="0" shapeId="0" xr:uid="{00000000-0006-0000-0000-000093000000}">
      <text>
        <r>
          <rPr>
            <b/>
            <sz val="9"/>
            <color indexed="81"/>
            <rFont val="Tahoma"/>
            <family val="2"/>
          </rPr>
          <t>hsk:</t>
        </r>
        <r>
          <rPr>
            <sz val="9"/>
            <color indexed="81"/>
            <rFont val="Tahoma"/>
            <family val="2"/>
          </rPr>
          <t xml:space="preserve">
Herleitungs-Zeile</t>
        </r>
      </text>
    </comment>
    <comment ref="BO202" authorId="0" shapeId="0" xr:uid="{00000000-0006-0000-0000-000094000000}">
      <text>
        <r>
          <rPr>
            <b/>
            <sz val="9"/>
            <color indexed="81"/>
            <rFont val="Tahoma"/>
            <family val="2"/>
          </rPr>
          <t>hsk:</t>
        </r>
        <r>
          <rPr>
            <sz val="9"/>
            <color indexed="81"/>
            <rFont val="Tahoma"/>
            <family val="2"/>
          </rPr>
          <t xml:space="preserve">
Zielansatz-Zeile</t>
        </r>
      </text>
    </comment>
    <comment ref="BO203" authorId="0" shapeId="0" xr:uid="{00000000-0006-0000-0000-000095000000}">
      <text>
        <r>
          <rPr>
            <b/>
            <sz val="9"/>
            <color indexed="81"/>
            <rFont val="Tahoma"/>
            <family val="2"/>
          </rPr>
          <t>hsk:</t>
        </r>
        <r>
          <rPr>
            <sz val="9"/>
            <color indexed="81"/>
            <rFont val="Tahoma"/>
            <family val="2"/>
          </rPr>
          <t xml:space="preserve">
Herleitungs-Zeile</t>
        </r>
      </text>
    </comment>
    <comment ref="BO205" authorId="0" shapeId="0" xr:uid="{00000000-0006-0000-0000-000096000000}">
      <text>
        <r>
          <rPr>
            <b/>
            <sz val="9"/>
            <color indexed="81"/>
            <rFont val="Tahoma"/>
            <family val="2"/>
          </rPr>
          <t>hsk:</t>
        </r>
        <r>
          <rPr>
            <sz val="9"/>
            <color indexed="81"/>
            <rFont val="Tahoma"/>
            <family val="2"/>
          </rPr>
          <t xml:space="preserve">
Parameterzeile</t>
        </r>
      </text>
    </comment>
    <comment ref="BO206" authorId="0" shapeId="0" xr:uid="{00000000-0006-0000-0000-000097000000}">
      <text>
        <r>
          <rPr>
            <b/>
            <sz val="9"/>
            <color indexed="81"/>
            <rFont val="Tahoma"/>
            <family val="2"/>
          </rPr>
          <t>hsk:</t>
        </r>
        <r>
          <rPr>
            <sz val="9"/>
            <color indexed="81"/>
            <rFont val="Tahoma"/>
            <family val="2"/>
          </rPr>
          <t xml:space="preserve">
Statusansatz-Zeile</t>
        </r>
      </text>
    </comment>
    <comment ref="BO207" authorId="0" shapeId="0" xr:uid="{00000000-0006-0000-0000-000098000000}">
      <text>
        <r>
          <rPr>
            <b/>
            <sz val="9"/>
            <color indexed="81"/>
            <rFont val="Tahoma"/>
            <family val="2"/>
          </rPr>
          <t>hsk:</t>
        </r>
        <r>
          <rPr>
            <sz val="9"/>
            <color indexed="81"/>
            <rFont val="Tahoma"/>
            <family val="2"/>
          </rPr>
          <t xml:space="preserve">
Herleitungs-Zeile</t>
        </r>
      </text>
    </comment>
    <comment ref="BO209" authorId="0" shapeId="0" xr:uid="{00000000-0006-0000-0000-000099000000}">
      <text>
        <r>
          <rPr>
            <b/>
            <sz val="9"/>
            <color indexed="81"/>
            <rFont val="Tahoma"/>
            <family val="2"/>
          </rPr>
          <t>hsk:</t>
        </r>
        <r>
          <rPr>
            <sz val="9"/>
            <color indexed="81"/>
            <rFont val="Tahoma"/>
            <family val="2"/>
          </rPr>
          <t xml:space="preserve">
Zielansatz-Zeile</t>
        </r>
      </text>
    </comment>
    <comment ref="BO210" authorId="0" shapeId="0" xr:uid="{00000000-0006-0000-0000-00009A000000}">
      <text>
        <r>
          <rPr>
            <b/>
            <sz val="9"/>
            <color indexed="81"/>
            <rFont val="Tahoma"/>
            <family val="2"/>
          </rPr>
          <t>hsk:</t>
        </r>
        <r>
          <rPr>
            <sz val="9"/>
            <color indexed="81"/>
            <rFont val="Tahoma"/>
            <family val="2"/>
          </rPr>
          <t xml:space="preserve">
Herleitungs-Zeile</t>
        </r>
      </text>
    </comment>
    <comment ref="BO211" authorId="0" shapeId="0" xr:uid="{00000000-0006-0000-0000-00009B000000}">
      <text>
        <r>
          <rPr>
            <b/>
            <sz val="9"/>
            <color indexed="81"/>
            <rFont val="Tahoma"/>
            <family val="2"/>
          </rPr>
          <t>hsk:</t>
        </r>
        <r>
          <rPr>
            <sz val="9"/>
            <color indexed="81"/>
            <rFont val="Tahoma"/>
            <family val="2"/>
          </rPr>
          <t xml:space="preserve">
Herleitungs-Zeile</t>
        </r>
      </text>
    </comment>
    <comment ref="BO212" authorId="0" shapeId="0" xr:uid="{00000000-0006-0000-0000-00009C000000}">
      <text>
        <r>
          <rPr>
            <b/>
            <sz val="9"/>
            <color indexed="81"/>
            <rFont val="Tahoma"/>
            <family val="2"/>
          </rPr>
          <t>hsk:</t>
        </r>
        <r>
          <rPr>
            <sz val="9"/>
            <color indexed="81"/>
            <rFont val="Tahoma"/>
            <family val="2"/>
          </rPr>
          <t xml:space="preserve">
Herleitungs-Zeile</t>
        </r>
      </text>
    </comment>
    <comment ref="BO214" authorId="0" shapeId="0" xr:uid="{00000000-0006-0000-0000-00009D000000}">
      <text>
        <r>
          <rPr>
            <b/>
            <sz val="9"/>
            <color indexed="81"/>
            <rFont val="Tahoma"/>
            <family val="2"/>
          </rPr>
          <t>hsk:</t>
        </r>
        <r>
          <rPr>
            <sz val="9"/>
            <color indexed="81"/>
            <rFont val="Tahoma"/>
            <family val="2"/>
          </rPr>
          <t xml:space="preserve">
Titelzeile</t>
        </r>
      </text>
    </comment>
    <comment ref="BO216" authorId="0" shapeId="0" xr:uid="{00000000-0006-0000-0000-00009E000000}">
      <text>
        <r>
          <rPr>
            <b/>
            <sz val="9"/>
            <color indexed="81"/>
            <rFont val="Tahoma"/>
            <family val="2"/>
          </rPr>
          <t>hsk:</t>
        </r>
        <r>
          <rPr>
            <sz val="9"/>
            <color indexed="81"/>
            <rFont val="Tahoma"/>
            <family val="2"/>
          </rPr>
          <t xml:space="preserve">
Parameterzeile</t>
        </r>
      </text>
    </comment>
    <comment ref="BO217" authorId="0" shapeId="0" xr:uid="{00000000-0006-0000-0000-00009F000000}">
      <text>
        <r>
          <rPr>
            <b/>
            <sz val="9"/>
            <color indexed="81"/>
            <rFont val="Tahoma"/>
            <family val="2"/>
          </rPr>
          <t>hsk:</t>
        </r>
        <r>
          <rPr>
            <sz val="9"/>
            <color indexed="81"/>
            <rFont val="Tahoma"/>
            <family val="2"/>
          </rPr>
          <t xml:space="preserve">
Statusansatz-Zeile</t>
        </r>
      </text>
    </comment>
    <comment ref="BO219" authorId="0" shapeId="0" xr:uid="{00000000-0006-0000-0000-0000A0000000}">
      <text>
        <r>
          <rPr>
            <b/>
            <sz val="9"/>
            <color indexed="81"/>
            <rFont val="Tahoma"/>
            <family val="2"/>
          </rPr>
          <t>hsk:</t>
        </r>
        <r>
          <rPr>
            <sz val="9"/>
            <color indexed="81"/>
            <rFont val="Tahoma"/>
            <family val="2"/>
          </rPr>
          <t xml:space="preserve">
Zielansatz-Zeile</t>
        </r>
      </text>
    </comment>
    <comment ref="BO220" authorId="0" shapeId="0" xr:uid="{00000000-0006-0000-0000-0000A1000000}">
      <text>
        <r>
          <rPr>
            <b/>
            <sz val="9"/>
            <color indexed="81"/>
            <rFont val="Tahoma"/>
            <family val="2"/>
          </rPr>
          <t>hsk:</t>
        </r>
        <r>
          <rPr>
            <sz val="9"/>
            <color indexed="81"/>
            <rFont val="Tahoma"/>
            <family val="2"/>
          </rPr>
          <t xml:space="preserve">
Herleitungs-Zeile</t>
        </r>
      </text>
    </comment>
    <comment ref="BO222" authorId="0" shapeId="0" xr:uid="{00000000-0006-0000-0000-0000A2000000}">
      <text>
        <r>
          <rPr>
            <b/>
            <sz val="9"/>
            <color indexed="81"/>
            <rFont val="Tahoma"/>
            <family val="2"/>
          </rPr>
          <t>hsk:</t>
        </r>
        <r>
          <rPr>
            <sz val="9"/>
            <color indexed="81"/>
            <rFont val="Tahoma"/>
            <family val="2"/>
          </rPr>
          <t xml:space="preserve">
Parameterzeile</t>
        </r>
      </text>
    </comment>
    <comment ref="BO223" authorId="0" shapeId="0" xr:uid="{00000000-0006-0000-0000-0000A3000000}">
      <text>
        <r>
          <rPr>
            <b/>
            <sz val="9"/>
            <color indexed="81"/>
            <rFont val="Tahoma"/>
            <family val="2"/>
          </rPr>
          <t>hsk:</t>
        </r>
        <r>
          <rPr>
            <sz val="9"/>
            <color indexed="81"/>
            <rFont val="Tahoma"/>
            <family val="2"/>
          </rPr>
          <t xml:space="preserve">
Statusansatz-Zeile</t>
        </r>
      </text>
    </comment>
    <comment ref="BO225" authorId="0" shapeId="0" xr:uid="{00000000-0006-0000-0000-0000A4000000}">
      <text>
        <r>
          <rPr>
            <b/>
            <sz val="9"/>
            <color indexed="81"/>
            <rFont val="Tahoma"/>
            <family val="2"/>
          </rPr>
          <t>hsk:</t>
        </r>
        <r>
          <rPr>
            <sz val="9"/>
            <color indexed="81"/>
            <rFont val="Tahoma"/>
            <family val="2"/>
          </rPr>
          <t xml:space="preserve">
Zielansatz-Zeile</t>
        </r>
      </text>
    </comment>
    <comment ref="BO226" authorId="0" shapeId="0" xr:uid="{00000000-0006-0000-0000-0000A5000000}">
      <text>
        <r>
          <rPr>
            <b/>
            <sz val="9"/>
            <color indexed="81"/>
            <rFont val="Tahoma"/>
            <family val="2"/>
          </rPr>
          <t>hsk:</t>
        </r>
        <r>
          <rPr>
            <sz val="9"/>
            <color indexed="81"/>
            <rFont val="Tahoma"/>
            <family val="2"/>
          </rPr>
          <t xml:space="preserve">
Herleitungs-Zeile</t>
        </r>
      </text>
    </comment>
    <comment ref="BO227" authorId="0" shapeId="0" xr:uid="{00000000-0006-0000-0000-0000A6000000}">
      <text>
        <r>
          <rPr>
            <b/>
            <sz val="9"/>
            <color indexed="81"/>
            <rFont val="Tahoma"/>
            <family val="2"/>
          </rPr>
          <t>hsk:</t>
        </r>
        <r>
          <rPr>
            <sz val="9"/>
            <color indexed="81"/>
            <rFont val="Tahoma"/>
            <family val="2"/>
          </rPr>
          <t xml:space="preserve">
Herleitungs-Zeile</t>
        </r>
      </text>
    </comment>
    <comment ref="BO229" authorId="0" shapeId="0" xr:uid="{00000000-0006-0000-0000-0000A7000000}">
      <text>
        <r>
          <rPr>
            <b/>
            <sz val="9"/>
            <color indexed="81"/>
            <rFont val="Tahoma"/>
            <family val="2"/>
          </rPr>
          <t>hsk:</t>
        </r>
        <r>
          <rPr>
            <sz val="9"/>
            <color indexed="81"/>
            <rFont val="Tahoma"/>
            <family val="2"/>
          </rPr>
          <t xml:space="preserve">
Titelzeile</t>
        </r>
      </text>
    </comment>
    <comment ref="BO231" authorId="0" shapeId="0" xr:uid="{00000000-0006-0000-0000-0000A8000000}">
      <text>
        <r>
          <rPr>
            <b/>
            <sz val="9"/>
            <color indexed="81"/>
            <rFont val="Tahoma"/>
            <family val="2"/>
          </rPr>
          <t>hsk:</t>
        </r>
        <r>
          <rPr>
            <sz val="9"/>
            <color indexed="81"/>
            <rFont val="Tahoma"/>
            <family val="2"/>
          </rPr>
          <t xml:space="preserve">
Parameterzeile</t>
        </r>
      </text>
    </comment>
    <comment ref="BO232" authorId="0" shapeId="0" xr:uid="{00000000-0006-0000-0000-0000A9000000}">
      <text>
        <r>
          <rPr>
            <b/>
            <sz val="9"/>
            <color indexed="81"/>
            <rFont val="Tahoma"/>
            <family val="2"/>
          </rPr>
          <t>hsk:</t>
        </r>
        <r>
          <rPr>
            <sz val="9"/>
            <color indexed="81"/>
            <rFont val="Tahoma"/>
            <family val="2"/>
          </rPr>
          <t xml:space="preserve">
Statusansatz-Zeile</t>
        </r>
      </text>
    </comment>
    <comment ref="BO234" authorId="0" shapeId="0" xr:uid="{00000000-0006-0000-0000-0000AA000000}">
      <text>
        <r>
          <rPr>
            <b/>
            <sz val="9"/>
            <color indexed="81"/>
            <rFont val="Tahoma"/>
            <family val="2"/>
          </rPr>
          <t>hsk:</t>
        </r>
        <r>
          <rPr>
            <sz val="9"/>
            <color indexed="81"/>
            <rFont val="Tahoma"/>
            <family val="2"/>
          </rPr>
          <t xml:space="preserve">
Zielansatz-Zeile</t>
        </r>
      </text>
    </comment>
    <comment ref="BO236" authorId="0" shapeId="0" xr:uid="{00000000-0006-0000-0000-0000AB000000}">
      <text>
        <r>
          <rPr>
            <b/>
            <sz val="9"/>
            <color indexed="81"/>
            <rFont val="Tahoma"/>
            <family val="2"/>
          </rPr>
          <t>hsk:</t>
        </r>
        <r>
          <rPr>
            <sz val="9"/>
            <color indexed="81"/>
            <rFont val="Tahoma"/>
            <family val="2"/>
          </rPr>
          <t xml:space="preserve">
Parameterzeile</t>
        </r>
      </text>
    </comment>
    <comment ref="BO237" authorId="0" shapeId="0" xr:uid="{00000000-0006-0000-0000-0000AC000000}">
      <text>
        <r>
          <rPr>
            <b/>
            <sz val="9"/>
            <color indexed="81"/>
            <rFont val="Tahoma"/>
            <family val="2"/>
          </rPr>
          <t>hsk:</t>
        </r>
        <r>
          <rPr>
            <sz val="9"/>
            <color indexed="81"/>
            <rFont val="Tahoma"/>
            <family val="2"/>
          </rPr>
          <t xml:space="preserve">
Statusansatz-Zeile</t>
        </r>
      </text>
    </comment>
    <comment ref="BO238" authorId="0" shapeId="0" xr:uid="{00000000-0006-0000-0000-0000AD000000}">
      <text>
        <r>
          <rPr>
            <b/>
            <sz val="9"/>
            <color indexed="81"/>
            <rFont val="Tahoma"/>
            <family val="2"/>
          </rPr>
          <t>hsk:</t>
        </r>
        <r>
          <rPr>
            <sz val="9"/>
            <color indexed="81"/>
            <rFont val="Tahoma"/>
            <family val="2"/>
          </rPr>
          <t xml:space="preserve">
Herleitungs-Zeile</t>
        </r>
      </text>
    </comment>
    <comment ref="BO239" authorId="0" shapeId="0" xr:uid="{00000000-0006-0000-0000-0000AE000000}">
      <text>
        <r>
          <rPr>
            <b/>
            <sz val="9"/>
            <color indexed="81"/>
            <rFont val="Tahoma"/>
            <family val="2"/>
          </rPr>
          <t>hsk:</t>
        </r>
        <r>
          <rPr>
            <sz val="9"/>
            <color indexed="81"/>
            <rFont val="Tahoma"/>
            <family val="2"/>
          </rPr>
          <t xml:space="preserve">
Herleitungs-Zeile</t>
        </r>
      </text>
    </comment>
    <comment ref="BO241" authorId="0" shapeId="0" xr:uid="{00000000-0006-0000-0000-0000AF000000}">
      <text>
        <r>
          <rPr>
            <b/>
            <sz val="9"/>
            <color indexed="81"/>
            <rFont val="Tahoma"/>
            <family val="2"/>
          </rPr>
          <t>hsk:</t>
        </r>
        <r>
          <rPr>
            <sz val="9"/>
            <color indexed="81"/>
            <rFont val="Tahoma"/>
            <family val="2"/>
          </rPr>
          <t xml:space="preserve">
Zielansatz-Zeile</t>
        </r>
      </text>
    </comment>
    <comment ref="BO243" authorId="0" shapeId="0" xr:uid="{00000000-0006-0000-0000-0000B0000000}">
      <text>
        <r>
          <rPr>
            <b/>
            <sz val="9"/>
            <color indexed="81"/>
            <rFont val="Tahoma"/>
            <family val="2"/>
          </rPr>
          <t>hsk:</t>
        </r>
        <r>
          <rPr>
            <sz val="9"/>
            <color indexed="81"/>
            <rFont val="Tahoma"/>
            <family val="2"/>
          </rPr>
          <t xml:space="preserve">
Titelzeile</t>
        </r>
      </text>
    </comment>
    <comment ref="BO245" authorId="0" shapeId="0" xr:uid="{00000000-0006-0000-0000-0000B1000000}">
      <text>
        <r>
          <rPr>
            <b/>
            <sz val="9"/>
            <color indexed="81"/>
            <rFont val="Tahoma"/>
            <family val="2"/>
          </rPr>
          <t>hsk:</t>
        </r>
        <r>
          <rPr>
            <sz val="9"/>
            <color indexed="81"/>
            <rFont val="Tahoma"/>
            <family val="2"/>
          </rPr>
          <t xml:space="preserve">
Parameterzeile</t>
        </r>
      </text>
    </comment>
    <comment ref="BO246" authorId="0" shapeId="0" xr:uid="{00000000-0006-0000-0000-0000B2000000}">
      <text>
        <r>
          <rPr>
            <b/>
            <sz val="9"/>
            <color indexed="81"/>
            <rFont val="Tahoma"/>
            <family val="2"/>
          </rPr>
          <t>hsk:</t>
        </r>
        <r>
          <rPr>
            <sz val="9"/>
            <color indexed="81"/>
            <rFont val="Tahoma"/>
            <family val="2"/>
          </rPr>
          <t xml:space="preserve">
Statusansatz-Zeile</t>
        </r>
      </text>
    </comment>
    <comment ref="BO247" authorId="0" shapeId="0" xr:uid="{00000000-0006-0000-0000-0000B3000000}">
      <text>
        <r>
          <rPr>
            <b/>
            <sz val="9"/>
            <color indexed="81"/>
            <rFont val="Tahoma"/>
            <family val="2"/>
          </rPr>
          <t>hsk:</t>
        </r>
        <r>
          <rPr>
            <sz val="9"/>
            <color indexed="81"/>
            <rFont val="Tahoma"/>
            <family val="2"/>
          </rPr>
          <t xml:space="preserve">
Herleitungs-Zeile</t>
        </r>
      </text>
    </comment>
    <comment ref="BO248" authorId="0" shapeId="0" xr:uid="{00000000-0006-0000-0000-0000B4000000}">
      <text>
        <r>
          <rPr>
            <b/>
            <sz val="9"/>
            <color indexed="81"/>
            <rFont val="Tahoma"/>
            <family val="2"/>
          </rPr>
          <t>hsk:</t>
        </r>
        <r>
          <rPr>
            <sz val="9"/>
            <color indexed="81"/>
            <rFont val="Tahoma"/>
            <family val="2"/>
          </rPr>
          <t xml:space="preserve">
Herleitungs-Zeile</t>
        </r>
      </text>
    </comment>
    <comment ref="BO249" authorId="0" shapeId="0" xr:uid="{00000000-0006-0000-0000-0000B5000000}">
      <text>
        <r>
          <rPr>
            <b/>
            <sz val="9"/>
            <color indexed="81"/>
            <rFont val="Tahoma"/>
            <family val="2"/>
          </rPr>
          <t>hsk:</t>
        </r>
        <r>
          <rPr>
            <sz val="9"/>
            <color indexed="81"/>
            <rFont val="Tahoma"/>
            <family val="2"/>
          </rPr>
          <t xml:space="preserve">
Herleitungs-Zeile</t>
        </r>
      </text>
    </comment>
    <comment ref="BO250" authorId="0" shapeId="0" xr:uid="{00000000-0006-0000-0000-0000B6000000}">
      <text>
        <r>
          <rPr>
            <b/>
            <sz val="9"/>
            <color indexed="81"/>
            <rFont val="Tahoma"/>
            <family val="2"/>
          </rPr>
          <t>hsk:</t>
        </r>
        <r>
          <rPr>
            <sz val="9"/>
            <color indexed="81"/>
            <rFont val="Tahoma"/>
            <family val="2"/>
          </rPr>
          <t xml:space="preserve">
Herleitungs-Zeile</t>
        </r>
      </text>
    </comment>
    <comment ref="BO252" authorId="0" shapeId="0" xr:uid="{00000000-0006-0000-0000-0000B7000000}">
      <text>
        <r>
          <rPr>
            <b/>
            <sz val="9"/>
            <color indexed="81"/>
            <rFont val="Tahoma"/>
            <family val="2"/>
          </rPr>
          <t>hsk:</t>
        </r>
        <r>
          <rPr>
            <sz val="9"/>
            <color indexed="81"/>
            <rFont val="Tahoma"/>
            <family val="2"/>
          </rPr>
          <t xml:space="preserve">
Zielansatz-Zeile</t>
        </r>
      </text>
    </comment>
    <comment ref="BO253" authorId="0" shapeId="0" xr:uid="{00000000-0006-0000-0000-0000B8000000}">
      <text>
        <r>
          <rPr>
            <b/>
            <sz val="9"/>
            <color indexed="81"/>
            <rFont val="Tahoma"/>
            <family val="2"/>
          </rPr>
          <t>hsk:</t>
        </r>
        <r>
          <rPr>
            <sz val="9"/>
            <color indexed="81"/>
            <rFont val="Tahoma"/>
            <family val="2"/>
          </rPr>
          <t xml:space="preserve">
Herleitungs-Zeile</t>
        </r>
      </text>
    </comment>
    <comment ref="BO254" authorId="0" shapeId="0" xr:uid="{00000000-0006-0000-0000-0000B9000000}">
      <text>
        <r>
          <rPr>
            <b/>
            <sz val="9"/>
            <color indexed="81"/>
            <rFont val="Tahoma"/>
            <family val="2"/>
          </rPr>
          <t>hsk:</t>
        </r>
        <r>
          <rPr>
            <sz val="9"/>
            <color indexed="81"/>
            <rFont val="Tahoma"/>
            <family val="2"/>
          </rPr>
          <t xml:space="preserve">
Herleitungs-Zeile</t>
        </r>
      </text>
    </comment>
    <comment ref="BO255" authorId="0" shapeId="0" xr:uid="{00000000-0006-0000-0000-0000BA000000}">
      <text>
        <r>
          <rPr>
            <b/>
            <sz val="9"/>
            <color indexed="81"/>
            <rFont val="Tahoma"/>
            <family val="2"/>
          </rPr>
          <t>hsk:</t>
        </r>
        <r>
          <rPr>
            <sz val="9"/>
            <color indexed="81"/>
            <rFont val="Tahoma"/>
            <family val="2"/>
          </rPr>
          <t xml:space="preserve">
Herleitungs-Zeile</t>
        </r>
      </text>
    </comment>
    <comment ref="BO257" authorId="0" shapeId="0" xr:uid="{00000000-0006-0000-0000-0000BB000000}">
      <text>
        <r>
          <rPr>
            <b/>
            <sz val="9"/>
            <color indexed="81"/>
            <rFont val="Tahoma"/>
            <family val="2"/>
          </rPr>
          <t>hsk:</t>
        </r>
        <r>
          <rPr>
            <sz val="9"/>
            <color indexed="81"/>
            <rFont val="Tahoma"/>
            <family val="2"/>
          </rPr>
          <t xml:space="preserve">
Parameterzeile</t>
        </r>
      </text>
    </comment>
    <comment ref="BO258" authorId="0" shapeId="0" xr:uid="{00000000-0006-0000-0000-0000BC000000}">
      <text>
        <r>
          <rPr>
            <b/>
            <sz val="9"/>
            <color indexed="81"/>
            <rFont val="Tahoma"/>
            <family val="2"/>
          </rPr>
          <t>hsk:</t>
        </r>
        <r>
          <rPr>
            <sz val="9"/>
            <color indexed="81"/>
            <rFont val="Tahoma"/>
            <family val="2"/>
          </rPr>
          <t xml:space="preserve">
Statusansatz-Zeile</t>
        </r>
      </text>
    </comment>
    <comment ref="BO259" authorId="0" shapeId="0" xr:uid="{00000000-0006-0000-0000-0000BD000000}">
      <text>
        <r>
          <rPr>
            <b/>
            <sz val="9"/>
            <color indexed="81"/>
            <rFont val="Tahoma"/>
            <family val="2"/>
          </rPr>
          <t>hsk:</t>
        </r>
        <r>
          <rPr>
            <sz val="9"/>
            <color indexed="81"/>
            <rFont val="Tahoma"/>
            <family val="2"/>
          </rPr>
          <t xml:space="preserve">
Herleitungs-Zeile</t>
        </r>
      </text>
    </comment>
    <comment ref="BO261" authorId="0" shapeId="0" xr:uid="{00000000-0006-0000-0000-0000BE000000}">
      <text>
        <r>
          <rPr>
            <b/>
            <sz val="9"/>
            <color indexed="81"/>
            <rFont val="Tahoma"/>
            <family val="2"/>
          </rPr>
          <t>hsk:</t>
        </r>
        <r>
          <rPr>
            <sz val="9"/>
            <color indexed="81"/>
            <rFont val="Tahoma"/>
            <family val="2"/>
          </rPr>
          <t xml:space="preserve">
Zielansatz-Zeile</t>
        </r>
      </text>
    </comment>
    <comment ref="BO262" authorId="0" shapeId="0" xr:uid="{00000000-0006-0000-0000-0000BF000000}">
      <text>
        <r>
          <rPr>
            <b/>
            <sz val="9"/>
            <color indexed="81"/>
            <rFont val="Tahoma"/>
            <family val="2"/>
          </rPr>
          <t>hsk:</t>
        </r>
        <r>
          <rPr>
            <sz val="9"/>
            <color indexed="81"/>
            <rFont val="Tahoma"/>
            <family val="2"/>
          </rPr>
          <t xml:space="preserve">
Herleitungs-Zeile</t>
        </r>
      </text>
    </comment>
    <comment ref="BO264" authorId="0" shapeId="0" xr:uid="{00000000-0006-0000-0000-0000C0000000}">
      <text>
        <r>
          <rPr>
            <b/>
            <sz val="9"/>
            <color indexed="81"/>
            <rFont val="Tahoma"/>
            <family val="2"/>
          </rPr>
          <t>hsk:</t>
        </r>
        <r>
          <rPr>
            <sz val="9"/>
            <color indexed="81"/>
            <rFont val="Tahoma"/>
            <family val="2"/>
          </rPr>
          <t xml:space="preserve">
Titelzeile</t>
        </r>
      </text>
    </comment>
    <comment ref="BO266" authorId="0" shapeId="0" xr:uid="{00000000-0006-0000-0000-0000C1000000}">
      <text>
        <r>
          <rPr>
            <b/>
            <sz val="9"/>
            <color indexed="81"/>
            <rFont val="Tahoma"/>
            <family val="2"/>
          </rPr>
          <t>hsk:</t>
        </r>
        <r>
          <rPr>
            <sz val="9"/>
            <color indexed="81"/>
            <rFont val="Tahoma"/>
            <family val="2"/>
          </rPr>
          <t xml:space="preserve">
Parameterzeile</t>
        </r>
      </text>
    </comment>
    <comment ref="BO267" authorId="0" shapeId="0" xr:uid="{00000000-0006-0000-0000-0000C2000000}">
      <text>
        <r>
          <rPr>
            <b/>
            <sz val="9"/>
            <color indexed="81"/>
            <rFont val="Tahoma"/>
            <family val="2"/>
          </rPr>
          <t>hsk:</t>
        </r>
        <r>
          <rPr>
            <sz val="9"/>
            <color indexed="81"/>
            <rFont val="Tahoma"/>
            <family val="2"/>
          </rPr>
          <t xml:space="preserve">
Statusansatz-Zeile</t>
        </r>
      </text>
    </comment>
    <comment ref="BO268" authorId="0" shapeId="0" xr:uid="{00000000-0006-0000-0000-0000C3000000}">
      <text>
        <r>
          <rPr>
            <b/>
            <sz val="9"/>
            <color indexed="81"/>
            <rFont val="Tahoma"/>
            <family val="2"/>
          </rPr>
          <t>hsk:</t>
        </r>
        <r>
          <rPr>
            <sz val="9"/>
            <color indexed="81"/>
            <rFont val="Tahoma"/>
            <family val="2"/>
          </rPr>
          <t xml:space="preserve">
Herleitungs-Zeile</t>
        </r>
      </text>
    </comment>
    <comment ref="BO270" authorId="0" shapeId="0" xr:uid="{00000000-0006-0000-0000-0000C4000000}">
      <text>
        <r>
          <rPr>
            <b/>
            <sz val="9"/>
            <color indexed="81"/>
            <rFont val="Tahoma"/>
            <family val="2"/>
          </rPr>
          <t>hsk:</t>
        </r>
        <r>
          <rPr>
            <sz val="9"/>
            <color indexed="81"/>
            <rFont val="Tahoma"/>
            <family val="2"/>
          </rPr>
          <t xml:space="preserve">
Zielansatz-Zeile</t>
        </r>
      </text>
    </comment>
    <comment ref="BO272" authorId="0" shapeId="0" xr:uid="{00000000-0006-0000-0000-0000C5000000}">
      <text>
        <r>
          <rPr>
            <b/>
            <sz val="9"/>
            <color indexed="81"/>
            <rFont val="Tahoma"/>
            <family val="2"/>
          </rPr>
          <t>hsk:</t>
        </r>
        <r>
          <rPr>
            <sz val="9"/>
            <color indexed="81"/>
            <rFont val="Tahoma"/>
            <family val="2"/>
          </rPr>
          <t xml:space="preserve">
Parameterzeile</t>
        </r>
      </text>
    </comment>
    <comment ref="BO273" authorId="0" shapeId="0" xr:uid="{00000000-0006-0000-0000-0000C6000000}">
      <text>
        <r>
          <rPr>
            <b/>
            <sz val="9"/>
            <color indexed="81"/>
            <rFont val="Tahoma"/>
            <family val="2"/>
          </rPr>
          <t>hsk:</t>
        </r>
        <r>
          <rPr>
            <sz val="9"/>
            <color indexed="81"/>
            <rFont val="Tahoma"/>
            <family val="2"/>
          </rPr>
          <t xml:space="preserve">
Statusansatz-Zeile</t>
        </r>
      </text>
    </comment>
    <comment ref="BO274" authorId="0" shapeId="0" xr:uid="{00000000-0006-0000-0000-0000C7000000}">
      <text>
        <r>
          <rPr>
            <b/>
            <sz val="9"/>
            <color indexed="81"/>
            <rFont val="Tahoma"/>
            <family val="2"/>
          </rPr>
          <t>hsk:</t>
        </r>
        <r>
          <rPr>
            <sz val="9"/>
            <color indexed="81"/>
            <rFont val="Tahoma"/>
            <family val="2"/>
          </rPr>
          <t xml:space="preserve">
Herleitungs-Zeile</t>
        </r>
      </text>
    </comment>
    <comment ref="BO275" authorId="0" shapeId="0" xr:uid="{00000000-0006-0000-0000-0000C8000000}">
      <text>
        <r>
          <rPr>
            <b/>
            <sz val="9"/>
            <color indexed="81"/>
            <rFont val="Tahoma"/>
            <family val="2"/>
          </rPr>
          <t>hsk:</t>
        </r>
        <r>
          <rPr>
            <sz val="9"/>
            <color indexed="81"/>
            <rFont val="Tahoma"/>
            <family val="2"/>
          </rPr>
          <t xml:space="preserve">
Herleitungs-Zeile</t>
        </r>
      </text>
    </comment>
    <comment ref="BO277" authorId="0" shapeId="0" xr:uid="{00000000-0006-0000-0000-0000C9000000}">
      <text>
        <r>
          <rPr>
            <b/>
            <sz val="9"/>
            <color indexed="81"/>
            <rFont val="Tahoma"/>
            <family val="2"/>
          </rPr>
          <t>hsk:</t>
        </r>
        <r>
          <rPr>
            <sz val="9"/>
            <color indexed="81"/>
            <rFont val="Tahoma"/>
            <family val="2"/>
          </rPr>
          <t xml:space="preserve">
Zielansatz-Zeile</t>
        </r>
      </text>
    </comment>
    <comment ref="BO279" authorId="0" shapeId="0" xr:uid="{00000000-0006-0000-0000-0000CA000000}">
      <text>
        <r>
          <rPr>
            <b/>
            <sz val="9"/>
            <color indexed="81"/>
            <rFont val="Tahoma"/>
            <family val="2"/>
          </rPr>
          <t>hsk:</t>
        </r>
        <r>
          <rPr>
            <sz val="9"/>
            <color indexed="81"/>
            <rFont val="Tahoma"/>
            <family val="2"/>
          </rPr>
          <t xml:space="preserve">
Titelzeile</t>
        </r>
      </text>
    </comment>
    <comment ref="BO281" authorId="0" shapeId="0" xr:uid="{00000000-0006-0000-0000-0000CB000000}">
      <text>
        <r>
          <rPr>
            <b/>
            <sz val="9"/>
            <color indexed="81"/>
            <rFont val="Tahoma"/>
            <family val="2"/>
          </rPr>
          <t>hsk:</t>
        </r>
        <r>
          <rPr>
            <sz val="9"/>
            <color indexed="81"/>
            <rFont val="Tahoma"/>
            <family val="2"/>
          </rPr>
          <t xml:space="preserve">
Parameterzeile</t>
        </r>
      </text>
    </comment>
    <comment ref="BO282" authorId="0" shapeId="0" xr:uid="{00000000-0006-0000-0000-0000CC000000}">
      <text>
        <r>
          <rPr>
            <b/>
            <sz val="9"/>
            <color indexed="81"/>
            <rFont val="Tahoma"/>
            <family val="2"/>
          </rPr>
          <t>hsk:</t>
        </r>
        <r>
          <rPr>
            <sz val="9"/>
            <color indexed="81"/>
            <rFont val="Tahoma"/>
            <family val="2"/>
          </rPr>
          <t xml:space="preserve">
Statusansatz-Zeile</t>
        </r>
      </text>
    </comment>
    <comment ref="BO284" authorId="0" shapeId="0" xr:uid="{00000000-0006-0000-0000-0000CD000000}">
      <text>
        <r>
          <rPr>
            <b/>
            <sz val="9"/>
            <color indexed="81"/>
            <rFont val="Tahoma"/>
            <family val="2"/>
          </rPr>
          <t>hsk:</t>
        </r>
        <r>
          <rPr>
            <sz val="9"/>
            <color indexed="81"/>
            <rFont val="Tahoma"/>
            <family val="2"/>
          </rPr>
          <t xml:space="preserve">
Zielansatz-Zeile</t>
        </r>
      </text>
    </comment>
    <comment ref="BO286" authorId="0" shapeId="0" xr:uid="{00000000-0006-0000-0000-0000CE000000}">
      <text>
        <r>
          <rPr>
            <b/>
            <sz val="9"/>
            <color indexed="81"/>
            <rFont val="Tahoma"/>
            <family val="2"/>
          </rPr>
          <t>hsk:</t>
        </r>
        <r>
          <rPr>
            <sz val="9"/>
            <color indexed="81"/>
            <rFont val="Tahoma"/>
            <family val="2"/>
          </rPr>
          <t xml:space="preserve">
Parameterzeile</t>
        </r>
      </text>
    </comment>
    <comment ref="BO287" authorId="0" shapeId="0" xr:uid="{00000000-0006-0000-0000-0000CF000000}">
      <text>
        <r>
          <rPr>
            <b/>
            <sz val="9"/>
            <color indexed="81"/>
            <rFont val="Tahoma"/>
            <family val="2"/>
          </rPr>
          <t>hsk:</t>
        </r>
        <r>
          <rPr>
            <sz val="9"/>
            <color indexed="81"/>
            <rFont val="Tahoma"/>
            <family val="2"/>
          </rPr>
          <t xml:space="preserve">
Statusansatz-Zeile</t>
        </r>
      </text>
    </comment>
    <comment ref="BO289" authorId="0" shapeId="0" xr:uid="{00000000-0006-0000-0000-0000D0000000}">
      <text>
        <r>
          <rPr>
            <b/>
            <sz val="9"/>
            <color indexed="81"/>
            <rFont val="Tahoma"/>
            <family val="2"/>
          </rPr>
          <t>hsk:</t>
        </r>
        <r>
          <rPr>
            <sz val="9"/>
            <color indexed="81"/>
            <rFont val="Tahoma"/>
            <family val="2"/>
          </rPr>
          <t xml:space="preserve">
Zielansatz-Zeile</t>
        </r>
      </text>
    </comment>
    <comment ref="BO291" authorId="0" shapeId="0" xr:uid="{00000000-0006-0000-0000-0000D1000000}">
      <text>
        <r>
          <rPr>
            <b/>
            <sz val="9"/>
            <color indexed="81"/>
            <rFont val="Tahoma"/>
            <family val="2"/>
          </rPr>
          <t>hsk:</t>
        </r>
        <r>
          <rPr>
            <sz val="9"/>
            <color indexed="81"/>
            <rFont val="Tahoma"/>
            <family val="2"/>
          </rPr>
          <t xml:space="preserve">
Parameterzeile</t>
        </r>
      </text>
    </comment>
    <comment ref="BO292" authorId="0" shapeId="0" xr:uid="{00000000-0006-0000-0000-0000D2000000}">
      <text>
        <r>
          <rPr>
            <b/>
            <sz val="9"/>
            <color indexed="81"/>
            <rFont val="Tahoma"/>
            <family val="2"/>
          </rPr>
          <t>hsk:</t>
        </r>
        <r>
          <rPr>
            <sz val="9"/>
            <color indexed="81"/>
            <rFont val="Tahoma"/>
            <family val="2"/>
          </rPr>
          <t xml:space="preserve">
Statusansatz-Zeile</t>
        </r>
      </text>
    </comment>
    <comment ref="BO294" authorId="0" shapeId="0" xr:uid="{00000000-0006-0000-0000-0000D3000000}">
      <text>
        <r>
          <rPr>
            <b/>
            <sz val="9"/>
            <color indexed="81"/>
            <rFont val="Tahoma"/>
            <family val="2"/>
          </rPr>
          <t>hsk:</t>
        </r>
        <r>
          <rPr>
            <sz val="9"/>
            <color indexed="81"/>
            <rFont val="Tahoma"/>
            <family val="2"/>
          </rPr>
          <t xml:space="preserve">
Zielansatz-Zeile</t>
        </r>
      </text>
    </comment>
    <comment ref="BO296" authorId="0" shapeId="0" xr:uid="{00000000-0006-0000-0000-0000D4000000}">
      <text>
        <r>
          <rPr>
            <b/>
            <sz val="9"/>
            <color indexed="81"/>
            <rFont val="Tahoma"/>
            <family val="2"/>
          </rPr>
          <t>hsk:</t>
        </r>
        <r>
          <rPr>
            <sz val="9"/>
            <color indexed="81"/>
            <rFont val="Tahoma"/>
            <family val="2"/>
          </rPr>
          <t xml:space="preserve">
Parameterzeile</t>
        </r>
      </text>
    </comment>
    <comment ref="BO297" authorId="0" shapeId="0" xr:uid="{00000000-0006-0000-0000-0000D5000000}">
      <text>
        <r>
          <rPr>
            <b/>
            <sz val="9"/>
            <color indexed="81"/>
            <rFont val="Tahoma"/>
            <family val="2"/>
          </rPr>
          <t>hsk:</t>
        </r>
        <r>
          <rPr>
            <sz val="9"/>
            <color indexed="81"/>
            <rFont val="Tahoma"/>
            <family val="2"/>
          </rPr>
          <t xml:space="preserve">
Statusansatz-Zeile</t>
        </r>
      </text>
    </comment>
    <comment ref="BO299" authorId="0" shapeId="0" xr:uid="{00000000-0006-0000-0000-0000D6000000}">
      <text>
        <r>
          <rPr>
            <b/>
            <sz val="9"/>
            <color indexed="81"/>
            <rFont val="Tahoma"/>
            <family val="2"/>
          </rPr>
          <t>hsk:</t>
        </r>
        <r>
          <rPr>
            <sz val="9"/>
            <color indexed="81"/>
            <rFont val="Tahoma"/>
            <family val="2"/>
          </rPr>
          <t xml:space="preserve">
Zielansatz-Zeile</t>
        </r>
      </text>
    </comment>
    <comment ref="BO301" authorId="0" shapeId="0" xr:uid="{00000000-0006-0000-0000-0000D7000000}">
      <text>
        <r>
          <rPr>
            <b/>
            <sz val="9"/>
            <color indexed="81"/>
            <rFont val="Tahoma"/>
            <family val="2"/>
          </rPr>
          <t>hsk:</t>
        </r>
        <r>
          <rPr>
            <sz val="9"/>
            <color indexed="81"/>
            <rFont val="Tahoma"/>
            <family val="2"/>
          </rPr>
          <t xml:space="preserve">
Titelzeile</t>
        </r>
      </text>
    </comment>
    <comment ref="BO303" authorId="0" shapeId="0" xr:uid="{00000000-0006-0000-0000-0000D8000000}">
      <text>
        <r>
          <rPr>
            <b/>
            <sz val="9"/>
            <color indexed="81"/>
            <rFont val="Tahoma"/>
            <family val="2"/>
          </rPr>
          <t>hsk:</t>
        </r>
        <r>
          <rPr>
            <sz val="9"/>
            <color indexed="81"/>
            <rFont val="Tahoma"/>
            <family val="2"/>
          </rPr>
          <t xml:space="preserve">
Parameterzeile</t>
        </r>
      </text>
    </comment>
    <comment ref="AF304" authorId="0" shapeId="0" xr:uid="{00000000-0006-0000-0000-0000D9000000}">
      <text>
        <r>
          <rPr>
            <b/>
            <sz val="9"/>
            <color indexed="81"/>
            <rFont val="Tahoma"/>
            <family val="2"/>
          </rPr>
          <t>hsk:</t>
        </r>
        <r>
          <rPr>
            <sz val="9"/>
            <color indexed="81"/>
            <rFont val="Tahoma"/>
            <family val="2"/>
          </rPr>
          <t xml:space="preserve">
Quelle 02_Basisinformationen_Reststoffe_web.pdf
</t>
        </r>
      </text>
    </comment>
    <comment ref="BO304" authorId="0" shapeId="0" xr:uid="{00000000-0006-0000-0000-0000DA000000}">
      <text>
        <r>
          <rPr>
            <b/>
            <sz val="9"/>
            <color indexed="81"/>
            <rFont val="Tahoma"/>
            <family val="2"/>
          </rPr>
          <t>hsk:</t>
        </r>
        <r>
          <rPr>
            <sz val="9"/>
            <color indexed="81"/>
            <rFont val="Tahoma"/>
            <family val="2"/>
          </rPr>
          <t xml:space="preserve">
Statusansatz-Zeile</t>
        </r>
      </text>
    </comment>
    <comment ref="BO306" authorId="0" shapeId="0" xr:uid="{00000000-0006-0000-0000-0000DB000000}">
      <text>
        <r>
          <rPr>
            <b/>
            <sz val="9"/>
            <color indexed="81"/>
            <rFont val="Tahoma"/>
            <family val="2"/>
          </rPr>
          <t>hsk:</t>
        </r>
        <r>
          <rPr>
            <sz val="9"/>
            <color indexed="81"/>
            <rFont val="Tahoma"/>
            <family val="2"/>
          </rPr>
          <t xml:space="preserve">
Zielansatz-Zeile</t>
        </r>
      </text>
    </comment>
    <comment ref="AF307" authorId="0" shapeId="0" xr:uid="{00000000-0006-0000-0000-0000DC000000}">
      <text>
        <r>
          <rPr>
            <b/>
            <sz val="9"/>
            <color indexed="81"/>
            <rFont val="Tahoma"/>
            <family val="2"/>
          </rPr>
          <t>hsk:</t>
        </r>
        <r>
          <rPr>
            <sz val="9"/>
            <color indexed="81"/>
            <rFont val="Tahoma"/>
            <family val="2"/>
          </rPr>
          <t xml:space="preserve">
Nds.-Szenario 150826, S.1.15</t>
        </r>
      </text>
    </comment>
    <comment ref="BO307" authorId="0" shapeId="0" xr:uid="{00000000-0006-0000-0000-0000DD000000}">
      <text>
        <r>
          <rPr>
            <b/>
            <sz val="9"/>
            <color indexed="81"/>
            <rFont val="Tahoma"/>
            <family val="2"/>
          </rPr>
          <t>hsk:</t>
        </r>
        <r>
          <rPr>
            <sz val="9"/>
            <color indexed="81"/>
            <rFont val="Tahoma"/>
            <family val="2"/>
          </rPr>
          <t xml:space="preserve">
Herleitungs-Zeile</t>
        </r>
      </text>
    </comment>
    <comment ref="BO308" authorId="0" shapeId="0" xr:uid="{00000000-0006-0000-0000-0000DE000000}">
      <text>
        <r>
          <rPr>
            <b/>
            <sz val="9"/>
            <color indexed="81"/>
            <rFont val="Tahoma"/>
            <family val="2"/>
          </rPr>
          <t>hsk:</t>
        </r>
        <r>
          <rPr>
            <sz val="9"/>
            <color indexed="81"/>
            <rFont val="Tahoma"/>
            <family val="2"/>
          </rPr>
          <t xml:space="preserve">
Herleitungs-Zeile</t>
        </r>
      </text>
    </comment>
    <comment ref="BO310" authorId="0" shapeId="0" xr:uid="{00000000-0006-0000-0000-0000DF000000}">
      <text>
        <r>
          <rPr>
            <b/>
            <sz val="9"/>
            <color indexed="81"/>
            <rFont val="Tahoma"/>
            <family val="2"/>
          </rPr>
          <t>hsk:</t>
        </r>
        <r>
          <rPr>
            <sz val="9"/>
            <color indexed="81"/>
            <rFont val="Tahoma"/>
            <family val="2"/>
          </rPr>
          <t xml:space="preserve">
Parameterzeile</t>
        </r>
      </text>
    </comment>
    <comment ref="BO311" authorId="0" shapeId="0" xr:uid="{00000000-0006-0000-0000-0000E0000000}">
      <text>
        <r>
          <rPr>
            <b/>
            <sz val="9"/>
            <color indexed="81"/>
            <rFont val="Tahoma"/>
            <family val="2"/>
          </rPr>
          <t>hsk:</t>
        </r>
        <r>
          <rPr>
            <sz val="9"/>
            <color indexed="81"/>
            <rFont val="Tahoma"/>
            <family val="2"/>
          </rPr>
          <t xml:space="preserve">
Statusansatz-Zeile</t>
        </r>
      </text>
    </comment>
    <comment ref="BO313" authorId="0" shapeId="0" xr:uid="{00000000-0006-0000-0000-0000E1000000}">
      <text>
        <r>
          <rPr>
            <b/>
            <sz val="9"/>
            <color indexed="81"/>
            <rFont val="Tahoma"/>
            <family val="2"/>
          </rPr>
          <t>hsk:</t>
        </r>
        <r>
          <rPr>
            <sz val="9"/>
            <color indexed="81"/>
            <rFont val="Tahoma"/>
            <family val="2"/>
          </rPr>
          <t xml:space="preserve">
Zielansatz-Zeile</t>
        </r>
      </text>
    </comment>
    <comment ref="BO315" authorId="0" shapeId="0" xr:uid="{00000000-0006-0000-0000-0000E2000000}">
      <text>
        <r>
          <rPr>
            <b/>
            <sz val="9"/>
            <color indexed="81"/>
            <rFont val="Tahoma"/>
            <family val="2"/>
          </rPr>
          <t>hsk:</t>
        </r>
        <r>
          <rPr>
            <sz val="9"/>
            <color indexed="81"/>
            <rFont val="Tahoma"/>
            <family val="2"/>
          </rPr>
          <t xml:space="preserve">
Parameterzeile</t>
        </r>
      </text>
    </comment>
    <comment ref="BO316" authorId="0" shapeId="0" xr:uid="{00000000-0006-0000-0000-0000E3000000}">
      <text>
        <r>
          <rPr>
            <b/>
            <sz val="9"/>
            <color indexed="81"/>
            <rFont val="Tahoma"/>
            <family val="2"/>
          </rPr>
          <t>hsk:</t>
        </r>
        <r>
          <rPr>
            <sz val="9"/>
            <color indexed="81"/>
            <rFont val="Tahoma"/>
            <family val="2"/>
          </rPr>
          <t xml:space="preserve">
Statusansatz-Zeile</t>
        </r>
      </text>
    </comment>
    <comment ref="BO318" authorId="0" shapeId="0" xr:uid="{00000000-0006-0000-0000-0000E4000000}">
      <text>
        <r>
          <rPr>
            <b/>
            <sz val="9"/>
            <color indexed="81"/>
            <rFont val="Tahoma"/>
            <family val="2"/>
          </rPr>
          <t>hsk:</t>
        </r>
        <r>
          <rPr>
            <sz val="9"/>
            <color indexed="81"/>
            <rFont val="Tahoma"/>
            <family val="2"/>
          </rPr>
          <t xml:space="preserve">
Zielansatz-Zeile</t>
        </r>
      </text>
    </comment>
    <comment ref="BO320" authorId="0" shapeId="0" xr:uid="{00000000-0006-0000-0000-0000E5000000}">
      <text>
        <r>
          <rPr>
            <b/>
            <sz val="9"/>
            <color indexed="81"/>
            <rFont val="Tahoma"/>
            <family val="2"/>
          </rPr>
          <t>hsk:</t>
        </r>
        <r>
          <rPr>
            <sz val="9"/>
            <color indexed="81"/>
            <rFont val="Tahoma"/>
            <family val="2"/>
          </rPr>
          <t xml:space="preserve">
Parameterzeile</t>
        </r>
      </text>
    </comment>
    <comment ref="BO321" authorId="0" shapeId="0" xr:uid="{00000000-0006-0000-0000-0000E6000000}">
      <text>
        <r>
          <rPr>
            <b/>
            <sz val="9"/>
            <color indexed="81"/>
            <rFont val="Tahoma"/>
            <family val="2"/>
          </rPr>
          <t>hsk:</t>
        </r>
        <r>
          <rPr>
            <sz val="9"/>
            <color indexed="81"/>
            <rFont val="Tahoma"/>
            <family val="2"/>
          </rPr>
          <t xml:space="preserve">
Statusansatz-Zeile</t>
        </r>
      </text>
    </comment>
    <comment ref="BO323" authorId="0" shapeId="0" xr:uid="{00000000-0006-0000-0000-0000E7000000}">
      <text>
        <r>
          <rPr>
            <b/>
            <sz val="9"/>
            <color indexed="81"/>
            <rFont val="Tahoma"/>
            <family val="2"/>
          </rPr>
          <t>hsk:</t>
        </r>
        <r>
          <rPr>
            <sz val="9"/>
            <color indexed="81"/>
            <rFont val="Tahoma"/>
            <family val="2"/>
          </rPr>
          <t xml:space="preserve">
Zielansatz-Zeile</t>
        </r>
      </text>
    </comment>
    <comment ref="BO325" authorId="0" shapeId="0" xr:uid="{00000000-0006-0000-0000-0000E8000000}">
      <text>
        <r>
          <rPr>
            <b/>
            <sz val="9"/>
            <color indexed="81"/>
            <rFont val="Tahoma"/>
            <family val="2"/>
          </rPr>
          <t>hsk:</t>
        </r>
        <r>
          <rPr>
            <sz val="9"/>
            <color indexed="81"/>
            <rFont val="Tahoma"/>
            <family val="2"/>
          </rPr>
          <t xml:space="preserve">
Parameterzeile</t>
        </r>
      </text>
    </comment>
    <comment ref="BO326" authorId="0" shapeId="0" xr:uid="{00000000-0006-0000-0000-0000E9000000}">
      <text>
        <r>
          <rPr>
            <b/>
            <sz val="9"/>
            <color indexed="81"/>
            <rFont val="Tahoma"/>
            <family val="2"/>
          </rPr>
          <t>hsk:</t>
        </r>
        <r>
          <rPr>
            <sz val="9"/>
            <color indexed="81"/>
            <rFont val="Tahoma"/>
            <family val="2"/>
          </rPr>
          <t xml:space="preserve">
Statusansatz-Zeile</t>
        </r>
      </text>
    </comment>
    <comment ref="BO328" authorId="0" shapeId="0" xr:uid="{00000000-0006-0000-0000-0000EA000000}">
      <text>
        <r>
          <rPr>
            <b/>
            <sz val="9"/>
            <color indexed="81"/>
            <rFont val="Tahoma"/>
            <family val="2"/>
          </rPr>
          <t>hsk:</t>
        </r>
        <r>
          <rPr>
            <sz val="9"/>
            <color indexed="81"/>
            <rFont val="Tahoma"/>
            <family val="2"/>
          </rPr>
          <t xml:space="preserve">
Zielansatz-Zeile</t>
        </r>
      </text>
    </comment>
    <comment ref="BO330" authorId="0" shapeId="0" xr:uid="{00000000-0006-0000-0000-0000EB000000}">
      <text>
        <r>
          <rPr>
            <b/>
            <sz val="9"/>
            <color indexed="81"/>
            <rFont val="Tahoma"/>
            <family val="2"/>
          </rPr>
          <t>hsk:</t>
        </r>
        <r>
          <rPr>
            <sz val="9"/>
            <color indexed="81"/>
            <rFont val="Tahoma"/>
            <family val="2"/>
          </rPr>
          <t xml:space="preserve">
Parameterzeile</t>
        </r>
      </text>
    </comment>
    <comment ref="BO331" authorId="0" shapeId="0" xr:uid="{00000000-0006-0000-0000-0000EC000000}">
      <text>
        <r>
          <rPr>
            <b/>
            <sz val="9"/>
            <color indexed="81"/>
            <rFont val="Tahoma"/>
            <family val="2"/>
          </rPr>
          <t>hsk:</t>
        </r>
        <r>
          <rPr>
            <sz val="9"/>
            <color indexed="81"/>
            <rFont val="Tahoma"/>
            <family val="2"/>
          </rPr>
          <t xml:space="preserve">
Statusansatz-Zeile</t>
        </r>
      </text>
    </comment>
    <comment ref="BO333" authorId="0" shapeId="0" xr:uid="{00000000-0006-0000-0000-0000ED000000}">
      <text>
        <r>
          <rPr>
            <b/>
            <sz val="9"/>
            <color indexed="81"/>
            <rFont val="Tahoma"/>
            <family val="2"/>
          </rPr>
          <t>hsk:</t>
        </r>
        <r>
          <rPr>
            <sz val="9"/>
            <color indexed="81"/>
            <rFont val="Tahoma"/>
            <family val="2"/>
          </rPr>
          <t xml:space="preserve">
Zielansatz-Zeile</t>
        </r>
      </text>
    </comment>
    <comment ref="BO335" authorId="0" shapeId="0" xr:uid="{00000000-0006-0000-0000-0000EE000000}">
      <text>
        <r>
          <rPr>
            <b/>
            <sz val="9"/>
            <color indexed="81"/>
            <rFont val="Tahoma"/>
            <family val="2"/>
          </rPr>
          <t>hsk:</t>
        </r>
        <r>
          <rPr>
            <sz val="9"/>
            <color indexed="81"/>
            <rFont val="Tahoma"/>
            <family val="2"/>
          </rPr>
          <t xml:space="preserve">
Titelzeile</t>
        </r>
      </text>
    </comment>
    <comment ref="BO337" authorId="0" shapeId="0" xr:uid="{00000000-0006-0000-0000-0000EF000000}">
      <text>
        <r>
          <rPr>
            <b/>
            <sz val="9"/>
            <color indexed="81"/>
            <rFont val="Tahoma"/>
            <family val="2"/>
          </rPr>
          <t>hsk:</t>
        </r>
        <r>
          <rPr>
            <sz val="9"/>
            <color indexed="81"/>
            <rFont val="Tahoma"/>
            <family val="2"/>
          </rPr>
          <t xml:space="preserve">
Parameterzeile</t>
        </r>
      </text>
    </comment>
    <comment ref="BO338" authorId="0" shapeId="0" xr:uid="{00000000-0006-0000-0000-0000F0000000}">
      <text>
        <r>
          <rPr>
            <b/>
            <sz val="9"/>
            <color indexed="81"/>
            <rFont val="Tahoma"/>
            <family val="2"/>
          </rPr>
          <t>hsk:</t>
        </r>
        <r>
          <rPr>
            <sz val="9"/>
            <color indexed="81"/>
            <rFont val="Tahoma"/>
            <family val="2"/>
          </rPr>
          <t xml:space="preserve">
Statusansatz-Zeile</t>
        </r>
      </text>
    </comment>
    <comment ref="BO339" authorId="0" shapeId="0" xr:uid="{00000000-0006-0000-0000-0000F1000000}">
      <text>
        <r>
          <rPr>
            <b/>
            <sz val="9"/>
            <color indexed="81"/>
            <rFont val="Tahoma"/>
            <family val="2"/>
          </rPr>
          <t>hsk:</t>
        </r>
        <r>
          <rPr>
            <sz val="9"/>
            <color indexed="81"/>
            <rFont val="Tahoma"/>
            <family val="2"/>
          </rPr>
          <t xml:space="preserve">
Herleitungs-Zeile</t>
        </r>
      </text>
    </comment>
    <comment ref="BO340" authorId="0" shapeId="0" xr:uid="{00000000-0006-0000-0000-0000F2000000}">
      <text>
        <r>
          <rPr>
            <b/>
            <sz val="9"/>
            <color indexed="81"/>
            <rFont val="Tahoma"/>
            <family val="2"/>
          </rPr>
          <t>hsk:</t>
        </r>
        <r>
          <rPr>
            <sz val="9"/>
            <color indexed="81"/>
            <rFont val="Tahoma"/>
            <family val="2"/>
          </rPr>
          <t xml:space="preserve">
Herleitungs-Zeile</t>
        </r>
      </text>
    </comment>
    <comment ref="BO342" authorId="0" shapeId="0" xr:uid="{00000000-0006-0000-0000-0000F3000000}">
      <text>
        <r>
          <rPr>
            <b/>
            <sz val="9"/>
            <color indexed="81"/>
            <rFont val="Tahoma"/>
            <family val="2"/>
          </rPr>
          <t>hsk:</t>
        </r>
        <r>
          <rPr>
            <sz val="9"/>
            <color indexed="81"/>
            <rFont val="Tahoma"/>
            <family val="2"/>
          </rPr>
          <t xml:space="preserve">
Zielansatz-Zeile</t>
        </r>
      </text>
    </comment>
    <comment ref="BO344" authorId="0" shapeId="0" xr:uid="{00000000-0006-0000-0000-0000F4000000}">
      <text>
        <r>
          <rPr>
            <b/>
            <sz val="9"/>
            <color indexed="81"/>
            <rFont val="Tahoma"/>
            <family val="2"/>
          </rPr>
          <t>hsk:</t>
        </r>
        <r>
          <rPr>
            <sz val="9"/>
            <color indexed="81"/>
            <rFont val="Tahoma"/>
            <family val="2"/>
          </rPr>
          <t xml:space="preserve">
Parameterzeile</t>
        </r>
      </text>
    </comment>
    <comment ref="BO345" authorId="0" shapeId="0" xr:uid="{00000000-0006-0000-0000-0000F5000000}">
      <text>
        <r>
          <rPr>
            <b/>
            <sz val="9"/>
            <color indexed="81"/>
            <rFont val="Tahoma"/>
            <family val="2"/>
          </rPr>
          <t>hsk:</t>
        </r>
        <r>
          <rPr>
            <sz val="9"/>
            <color indexed="81"/>
            <rFont val="Tahoma"/>
            <family val="2"/>
          </rPr>
          <t xml:space="preserve">
Statusansatz-Zeile</t>
        </r>
      </text>
    </comment>
    <comment ref="BO346" authorId="0" shapeId="0" xr:uid="{00000000-0006-0000-0000-0000F6000000}">
      <text>
        <r>
          <rPr>
            <b/>
            <sz val="9"/>
            <color indexed="81"/>
            <rFont val="Tahoma"/>
            <family val="2"/>
          </rPr>
          <t>hsk:</t>
        </r>
        <r>
          <rPr>
            <sz val="9"/>
            <color indexed="81"/>
            <rFont val="Tahoma"/>
            <family val="2"/>
          </rPr>
          <t xml:space="preserve">
Zielansatz-Zeile</t>
        </r>
      </text>
    </comment>
    <comment ref="BO348" authorId="0" shapeId="0" xr:uid="{00000000-0006-0000-0000-0000F7000000}">
      <text>
        <r>
          <rPr>
            <b/>
            <sz val="9"/>
            <color indexed="81"/>
            <rFont val="Tahoma"/>
            <family val="2"/>
          </rPr>
          <t>hsk:</t>
        </r>
        <r>
          <rPr>
            <sz val="9"/>
            <color indexed="81"/>
            <rFont val="Tahoma"/>
            <family val="2"/>
          </rPr>
          <t xml:space="preserve">
Titelzeile</t>
        </r>
      </text>
    </comment>
    <comment ref="BO350" authorId="0" shapeId="0" xr:uid="{00000000-0006-0000-0000-0000F8000000}">
      <text>
        <r>
          <rPr>
            <b/>
            <sz val="9"/>
            <color indexed="81"/>
            <rFont val="Tahoma"/>
            <family val="2"/>
          </rPr>
          <t>hsk:</t>
        </r>
        <r>
          <rPr>
            <sz val="9"/>
            <color indexed="81"/>
            <rFont val="Tahoma"/>
            <family val="2"/>
          </rPr>
          <t xml:space="preserve">
Parameterzeile</t>
        </r>
      </text>
    </comment>
    <comment ref="BO351" authorId="0" shapeId="0" xr:uid="{00000000-0006-0000-0000-0000F9000000}">
      <text>
        <r>
          <rPr>
            <b/>
            <sz val="9"/>
            <color indexed="81"/>
            <rFont val="Tahoma"/>
            <family val="2"/>
          </rPr>
          <t>hsk:</t>
        </r>
        <r>
          <rPr>
            <sz val="9"/>
            <color indexed="81"/>
            <rFont val="Tahoma"/>
            <family val="2"/>
          </rPr>
          <t xml:space="preserve">
Statusansatz-Zeile</t>
        </r>
      </text>
    </comment>
    <comment ref="BO352" authorId="0" shapeId="0" xr:uid="{00000000-0006-0000-0000-0000FA000000}">
      <text>
        <r>
          <rPr>
            <b/>
            <sz val="9"/>
            <color indexed="81"/>
            <rFont val="Tahoma"/>
            <family val="2"/>
          </rPr>
          <t>hsk:</t>
        </r>
        <r>
          <rPr>
            <sz val="9"/>
            <color indexed="81"/>
            <rFont val="Tahoma"/>
            <family val="2"/>
          </rPr>
          <t xml:space="preserve">
Zielansatz-Zeile</t>
        </r>
      </text>
    </comment>
    <comment ref="BO354" authorId="0" shapeId="0" xr:uid="{00000000-0006-0000-0000-0000FB000000}">
      <text>
        <r>
          <rPr>
            <b/>
            <sz val="9"/>
            <color indexed="81"/>
            <rFont val="Tahoma"/>
            <family val="2"/>
          </rPr>
          <t>hsk:</t>
        </r>
        <r>
          <rPr>
            <sz val="9"/>
            <color indexed="81"/>
            <rFont val="Tahoma"/>
            <family val="2"/>
          </rPr>
          <t xml:space="preserve">
Titelzeile</t>
        </r>
      </text>
    </comment>
    <comment ref="BO356" authorId="0" shapeId="0" xr:uid="{00000000-0006-0000-0000-0000FC000000}">
      <text>
        <r>
          <rPr>
            <b/>
            <sz val="9"/>
            <color indexed="81"/>
            <rFont val="Tahoma"/>
            <family val="2"/>
          </rPr>
          <t>hsk:</t>
        </r>
        <r>
          <rPr>
            <sz val="9"/>
            <color indexed="81"/>
            <rFont val="Tahoma"/>
            <family val="2"/>
          </rPr>
          <t xml:space="preserve">
Parameterzeile</t>
        </r>
      </text>
    </comment>
    <comment ref="BO357" authorId="0" shapeId="0" xr:uid="{00000000-0006-0000-0000-0000FD000000}">
      <text>
        <r>
          <rPr>
            <b/>
            <sz val="9"/>
            <color indexed="81"/>
            <rFont val="Tahoma"/>
            <family val="2"/>
          </rPr>
          <t>hsk:</t>
        </r>
        <r>
          <rPr>
            <sz val="9"/>
            <color indexed="81"/>
            <rFont val="Tahoma"/>
            <family val="2"/>
          </rPr>
          <t xml:space="preserve">
Statusansatz-Zeile</t>
        </r>
      </text>
    </comment>
    <comment ref="BO358" authorId="0" shapeId="0" xr:uid="{00000000-0006-0000-0000-0000FE000000}">
      <text>
        <r>
          <rPr>
            <b/>
            <sz val="9"/>
            <color indexed="81"/>
            <rFont val="Tahoma"/>
            <family val="2"/>
          </rPr>
          <t>hsk:</t>
        </r>
        <r>
          <rPr>
            <sz val="9"/>
            <color indexed="81"/>
            <rFont val="Tahoma"/>
            <family val="2"/>
          </rPr>
          <t xml:space="preserve">
Zielansatz-Zeile</t>
        </r>
      </text>
    </comment>
    <comment ref="BO360" authorId="0" shapeId="0" xr:uid="{00000000-0006-0000-0000-0000FF000000}">
      <text>
        <r>
          <rPr>
            <b/>
            <sz val="9"/>
            <color indexed="81"/>
            <rFont val="Tahoma"/>
            <family val="2"/>
          </rPr>
          <t>hsk:</t>
        </r>
        <r>
          <rPr>
            <sz val="9"/>
            <color indexed="81"/>
            <rFont val="Tahoma"/>
            <family val="2"/>
          </rPr>
          <t xml:space="preserve">
Parameterzeile</t>
        </r>
      </text>
    </comment>
    <comment ref="BO361" authorId="0" shapeId="0" xr:uid="{00000000-0006-0000-0000-000000010000}">
      <text>
        <r>
          <rPr>
            <b/>
            <sz val="9"/>
            <color indexed="81"/>
            <rFont val="Tahoma"/>
            <family val="2"/>
          </rPr>
          <t>hsk:</t>
        </r>
        <r>
          <rPr>
            <sz val="9"/>
            <color indexed="81"/>
            <rFont val="Tahoma"/>
            <family val="2"/>
          </rPr>
          <t xml:space="preserve">
Statusansatz-Zeile</t>
        </r>
      </text>
    </comment>
    <comment ref="BO362" authorId="0" shapeId="0" xr:uid="{00000000-0006-0000-0000-000001010000}">
      <text>
        <r>
          <rPr>
            <b/>
            <sz val="9"/>
            <color indexed="81"/>
            <rFont val="Tahoma"/>
            <family val="2"/>
          </rPr>
          <t>hsk:</t>
        </r>
        <r>
          <rPr>
            <sz val="9"/>
            <color indexed="81"/>
            <rFont val="Tahoma"/>
            <family val="2"/>
          </rPr>
          <t xml:space="preserve">
Zielansatz-Zeile</t>
        </r>
      </text>
    </comment>
    <comment ref="AD363" authorId="0" shapeId="0" xr:uid="{00000000-0006-0000-0000-000002010000}">
      <text>
        <r>
          <rPr>
            <b/>
            <sz val="9"/>
            <color indexed="81"/>
            <rFont val="Tahoma"/>
            <family val="2"/>
          </rPr>
          <t>hsk:</t>
        </r>
        <r>
          <rPr>
            <sz val="9"/>
            <color indexed="81"/>
            <rFont val="Tahoma"/>
            <family val="2"/>
          </rPr>
          <t xml:space="preserve">
Energetisch beanspruchter Anteil von Acker- bzw. Landwirtschaftsflächen</t>
        </r>
      </text>
    </comment>
    <comment ref="AN363" authorId="0" shapeId="0" xr:uid="{00000000-0006-0000-0000-000003010000}">
      <text>
        <r>
          <rPr>
            <b/>
            <sz val="9"/>
            <color indexed="81"/>
            <rFont val="Tahoma"/>
            <family val="2"/>
          </rPr>
          <t>hsk:</t>
        </r>
        <r>
          <rPr>
            <sz val="9"/>
            <color indexed="81"/>
            <rFont val="Tahoma"/>
            <family val="2"/>
          </rPr>
          <t xml:space="preserve">
Anbauflächen</t>
        </r>
      </text>
    </comment>
    <comment ref="BO363" authorId="0" shapeId="0" xr:uid="{00000000-0006-0000-0000-000004010000}">
      <text>
        <r>
          <rPr>
            <b/>
            <sz val="9"/>
            <color indexed="81"/>
            <rFont val="Tahoma"/>
            <family val="2"/>
          </rPr>
          <t>hsk:</t>
        </r>
        <r>
          <rPr>
            <sz val="9"/>
            <color indexed="81"/>
            <rFont val="Tahoma"/>
            <family val="2"/>
          </rPr>
          <t xml:space="preserve">
Titelzeile</t>
        </r>
      </text>
    </comment>
    <comment ref="BO365" authorId="0" shapeId="0" xr:uid="{00000000-0006-0000-0000-000005010000}">
      <text>
        <r>
          <rPr>
            <b/>
            <sz val="9"/>
            <color indexed="81"/>
            <rFont val="Tahoma"/>
            <family val="2"/>
          </rPr>
          <t>hsk:</t>
        </r>
        <r>
          <rPr>
            <sz val="9"/>
            <color indexed="81"/>
            <rFont val="Tahoma"/>
            <family val="2"/>
          </rPr>
          <t xml:space="preserve">
Parameterzeile</t>
        </r>
      </text>
    </comment>
    <comment ref="BO366" authorId="0" shapeId="0" xr:uid="{00000000-0006-0000-0000-000006010000}">
      <text>
        <r>
          <rPr>
            <b/>
            <sz val="9"/>
            <color indexed="81"/>
            <rFont val="Tahoma"/>
            <family val="2"/>
          </rPr>
          <t>hsk:</t>
        </r>
        <r>
          <rPr>
            <sz val="9"/>
            <color indexed="81"/>
            <rFont val="Tahoma"/>
            <family val="2"/>
          </rPr>
          <t xml:space="preserve">
Statusansatz-Zeile</t>
        </r>
      </text>
    </comment>
    <comment ref="W368" authorId="0" shapeId="0" xr:uid="{00000000-0006-0000-0000-000007010000}">
      <text>
        <r>
          <rPr>
            <b/>
            <sz val="9"/>
            <color indexed="81"/>
            <rFont val="Tahoma"/>
            <family val="2"/>
          </rPr>
          <t>hsk:</t>
        </r>
        <r>
          <rPr>
            <sz val="9"/>
            <color indexed="81"/>
            <rFont val="Tahoma"/>
            <family val="2"/>
          </rPr>
          <t xml:space="preserve">
Erhalt des Status Quo an Energetisch genutzter Ackerfläche inkl. 1/2 PV-Freifläche, muss links noch erläutert werden.</t>
        </r>
      </text>
    </comment>
    <comment ref="AK368" authorId="0" shapeId="0" xr:uid="{00000000-0006-0000-0000-000008010000}">
      <text>
        <r>
          <rPr>
            <b/>
            <sz val="9"/>
            <color indexed="81"/>
            <rFont val="Tahoma"/>
            <family val="2"/>
          </rPr>
          <t>hsk:</t>
        </r>
        <r>
          <rPr>
            <sz val="9"/>
            <color indexed="81"/>
            <rFont val="Tahoma"/>
            <family val="2"/>
          </rPr>
          <t xml:space="preserve">
gerundet!</t>
        </r>
      </text>
    </comment>
    <comment ref="BO368" authorId="0" shapeId="0" xr:uid="{00000000-0006-0000-0000-000009010000}">
      <text>
        <r>
          <rPr>
            <b/>
            <sz val="9"/>
            <color indexed="81"/>
            <rFont val="Tahoma"/>
            <family val="2"/>
          </rPr>
          <t>hsk:</t>
        </r>
        <r>
          <rPr>
            <sz val="9"/>
            <color indexed="81"/>
            <rFont val="Tahoma"/>
            <family val="2"/>
          </rPr>
          <t xml:space="preserve">
Zielansatz-Zeile</t>
        </r>
      </text>
    </comment>
    <comment ref="BO369" authorId="0" shapeId="0" xr:uid="{00000000-0006-0000-0000-00000A010000}">
      <text>
        <r>
          <rPr>
            <b/>
            <sz val="9"/>
            <color indexed="81"/>
            <rFont val="Tahoma"/>
            <family val="2"/>
          </rPr>
          <t>hsk:</t>
        </r>
        <r>
          <rPr>
            <sz val="9"/>
            <color indexed="81"/>
            <rFont val="Tahoma"/>
            <family val="2"/>
          </rPr>
          <t xml:space="preserve">
Erläuterungs-Zeile</t>
        </r>
      </text>
    </comment>
    <comment ref="BO370" authorId="0" shapeId="0" xr:uid="{00000000-0006-0000-0000-00000B010000}">
      <text>
        <r>
          <rPr>
            <b/>
            <sz val="9"/>
            <color indexed="81"/>
            <rFont val="Tahoma"/>
            <family val="2"/>
          </rPr>
          <t>hsk:</t>
        </r>
        <r>
          <rPr>
            <sz val="9"/>
            <color indexed="81"/>
            <rFont val="Tahoma"/>
            <family val="2"/>
          </rPr>
          <t xml:space="preserve">
Erläuterungs-Zeile</t>
        </r>
      </text>
    </comment>
    <comment ref="BO371" authorId="0" shapeId="0" xr:uid="{00000000-0006-0000-0000-00000C010000}">
      <text>
        <r>
          <rPr>
            <b/>
            <sz val="9"/>
            <color indexed="81"/>
            <rFont val="Tahoma"/>
            <family val="2"/>
          </rPr>
          <t>hsk:</t>
        </r>
        <r>
          <rPr>
            <sz val="9"/>
            <color indexed="81"/>
            <rFont val="Tahoma"/>
            <family val="2"/>
          </rPr>
          <t xml:space="preserve">
Erläuterungs-Zeile</t>
        </r>
      </text>
    </comment>
    <comment ref="BO373" authorId="0" shapeId="0" xr:uid="{00000000-0006-0000-0000-00000D010000}">
      <text>
        <r>
          <rPr>
            <b/>
            <sz val="9"/>
            <color indexed="81"/>
            <rFont val="Tahoma"/>
            <family val="2"/>
          </rPr>
          <t>hsk:</t>
        </r>
        <r>
          <rPr>
            <sz val="9"/>
            <color indexed="81"/>
            <rFont val="Tahoma"/>
            <family val="2"/>
          </rPr>
          <t xml:space="preserve">
Parameterzeile</t>
        </r>
      </text>
    </comment>
    <comment ref="BO374" authorId="0" shapeId="0" xr:uid="{00000000-0006-0000-0000-00000E010000}">
      <text>
        <r>
          <rPr>
            <b/>
            <sz val="9"/>
            <color indexed="81"/>
            <rFont val="Tahoma"/>
            <family val="2"/>
          </rPr>
          <t>hsk:</t>
        </r>
        <r>
          <rPr>
            <sz val="9"/>
            <color indexed="81"/>
            <rFont val="Tahoma"/>
            <family val="2"/>
          </rPr>
          <t xml:space="preserve">
Statusansatz-Zeile</t>
        </r>
      </text>
    </comment>
    <comment ref="BO375" authorId="0" shapeId="0" xr:uid="{00000000-0006-0000-0000-00000F010000}">
      <text>
        <r>
          <rPr>
            <b/>
            <sz val="9"/>
            <color indexed="81"/>
            <rFont val="Tahoma"/>
            <family val="2"/>
          </rPr>
          <t>hsk:</t>
        </r>
        <r>
          <rPr>
            <sz val="9"/>
            <color indexed="81"/>
            <rFont val="Tahoma"/>
            <family val="2"/>
          </rPr>
          <t xml:space="preserve">
Herleitungs-Zeile</t>
        </r>
      </text>
    </comment>
    <comment ref="BO376" authorId="0" shapeId="0" xr:uid="{00000000-0006-0000-0000-000010010000}">
      <text>
        <r>
          <rPr>
            <b/>
            <sz val="9"/>
            <color indexed="81"/>
            <rFont val="Tahoma"/>
            <family val="2"/>
          </rPr>
          <t>hsk:</t>
        </r>
        <r>
          <rPr>
            <sz val="9"/>
            <color indexed="81"/>
            <rFont val="Tahoma"/>
            <family val="2"/>
          </rPr>
          <t xml:space="preserve">
Herleitungs-Zeile</t>
        </r>
      </text>
    </comment>
    <comment ref="BO377" authorId="0" shapeId="0" xr:uid="{00000000-0006-0000-0000-000011010000}">
      <text>
        <r>
          <rPr>
            <b/>
            <sz val="9"/>
            <color indexed="81"/>
            <rFont val="Tahoma"/>
            <family val="2"/>
          </rPr>
          <t>hsk:</t>
        </r>
        <r>
          <rPr>
            <sz val="9"/>
            <color indexed="81"/>
            <rFont val="Tahoma"/>
            <family val="2"/>
          </rPr>
          <t xml:space="preserve">
Herleitungs-Zeile</t>
        </r>
      </text>
    </comment>
    <comment ref="BO378" authorId="0" shapeId="0" xr:uid="{00000000-0006-0000-0000-000012010000}">
      <text>
        <r>
          <rPr>
            <b/>
            <sz val="9"/>
            <color indexed="81"/>
            <rFont val="Tahoma"/>
            <family val="2"/>
          </rPr>
          <t>hsk:</t>
        </r>
        <r>
          <rPr>
            <sz val="9"/>
            <color indexed="81"/>
            <rFont val="Tahoma"/>
            <family val="2"/>
          </rPr>
          <t xml:space="preserve">
Herleitungs-Zeile</t>
        </r>
      </text>
    </comment>
    <comment ref="BO380" authorId="0" shapeId="0" xr:uid="{00000000-0006-0000-0000-000013010000}">
      <text>
        <r>
          <rPr>
            <b/>
            <sz val="9"/>
            <color indexed="81"/>
            <rFont val="Tahoma"/>
            <family val="2"/>
          </rPr>
          <t>hsk:</t>
        </r>
        <r>
          <rPr>
            <sz val="9"/>
            <color indexed="81"/>
            <rFont val="Tahoma"/>
            <family val="2"/>
          </rPr>
          <t xml:space="preserve">
Zielansatz-Zeile</t>
        </r>
      </text>
    </comment>
    <comment ref="BO381" authorId="0" shapeId="0" xr:uid="{00000000-0006-0000-0000-000014010000}">
      <text>
        <r>
          <rPr>
            <b/>
            <sz val="9"/>
            <color indexed="81"/>
            <rFont val="Tahoma"/>
            <family val="2"/>
          </rPr>
          <t>hsk:</t>
        </r>
        <r>
          <rPr>
            <sz val="9"/>
            <color indexed="81"/>
            <rFont val="Tahoma"/>
            <family val="2"/>
          </rPr>
          <t xml:space="preserve">
Herleitungs-Zeile</t>
        </r>
      </text>
    </comment>
    <comment ref="BO382" authorId="0" shapeId="0" xr:uid="{00000000-0006-0000-0000-000015010000}">
      <text>
        <r>
          <rPr>
            <b/>
            <sz val="9"/>
            <color indexed="81"/>
            <rFont val="Tahoma"/>
            <family val="2"/>
          </rPr>
          <t>hsk:</t>
        </r>
        <r>
          <rPr>
            <sz val="9"/>
            <color indexed="81"/>
            <rFont val="Tahoma"/>
            <family val="2"/>
          </rPr>
          <t xml:space="preserve">
Herleitungs-Zeile</t>
        </r>
      </text>
    </comment>
    <comment ref="BO384" authorId="0" shapeId="0" xr:uid="{00000000-0006-0000-0000-000016010000}">
      <text>
        <r>
          <rPr>
            <b/>
            <sz val="9"/>
            <color indexed="81"/>
            <rFont val="Tahoma"/>
            <family val="2"/>
          </rPr>
          <t>hsk:</t>
        </r>
        <r>
          <rPr>
            <sz val="9"/>
            <color indexed="81"/>
            <rFont val="Tahoma"/>
            <family val="2"/>
          </rPr>
          <t xml:space="preserve">
Parameterzeile</t>
        </r>
      </text>
    </comment>
    <comment ref="BO385" authorId="0" shapeId="0" xr:uid="{00000000-0006-0000-0000-000017010000}">
      <text>
        <r>
          <rPr>
            <b/>
            <sz val="9"/>
            <color indexed="81"/>
            <rFont val="Tahoma"/>
            <family val="2"/>
          </rPr>
          <t>hsk:</t>
        </r>
        <r>
          <rPr>
            <sz val="9"/>
            <color indexed="81"/>
            <rFont val="Tahoma"/>
            <family val="2"/>
          </rPr>
          <t xml:space="preserve">
Statusansatz-Zeile</t>
        </r>
      </text>
    </comment>
    <comment ref="BO386" authorId="0" shapeId="0" xr:uid="{00000000-0006-0000-0000-000018010000}">
      <text>
        <r>
          <rPr>
            <b/>
            <sz val="9"/>
            <color indexed="81"/>
            <rFont val="Tahoma"/>
            <family val="2"/>
          </rPr>
          <t>hsk:</t>
        </r>
        <r>
          <rPr>
            <sz val="9"/>
            <color indexed="81"/>
            <rFont val="Tahoma"/>
            <family val="2"/>
          </rPr>
          <t xml:space="preserve">
Herleitungs-Zeile</t>
        </r>
      </text>
    </comment>
    <comment ref="BO388" authorId="0" shapeId="0" xr:uid="{00000000-0006-0000-0000-000019010000}">
      <text>
        <r>
          <rPr>
            <b/>
            <sz val="9"/>
            <color indexed="81"/>
            <rFont val="Tahoma"/>
            <family val="2"/>
          </rPr>
          <t>hsk:</t>
        </r>
        <r>
          <rPr>
            <sz val="9"/>
            <color indexed="81"/>
            <rFont val="Tahoma"/>
            <family val="2"/>
          </rPr>
          <t xml:space="preserve">
Zielansatz-Zeile</t>
        </r>
      </text>
    </comment>
    <comment ref="BO389" authorId="0" shapeId="0" xr:uid="{00000000-0006-0000-0000-00001A010000}">
      <text>
        <r>
          <rPr>
            <b/>
            <sz val="9"/>
            <color indexed="81"/>
            <rFont val="Tahoma"/>
            <family val="2"/>
          </rPr>
          <t>hsk:</t>
        </r>
        <r>
          <rPr>
            <sz val="9"/>
            <color indexed="81"/>
            <rFont val="Tahoma"/>
            <family val="2"/>
          </rPr>
          <t xml:space="preserve">
Herleitungs-Zeile</t>
        </r>
      </text>
    </comment>
    <comment ref="BO391" authorId="0" shapeId="0" xr:uid="{00000000-0006-0000-0000-00001B010000}">
      <text>
        <r>
          <rPr>
            <b/>
            <sz val="9"/>
            <color indexed="81"/>
            <rFont val="Tahoma"/>
            <family val="2"/>
          </rPr>
          <t>hsk:</t>
        </r>
        <r>
          <rPr>
            <sz val="9"/>
            <color indexed="81"/>
            <rFont val="Tahoma"/>
            <family val="2"/>
          </rPr>
          <t xml:space="preserve">
Parameterzeile</t>
        </r>
      </text>
    </comment>
    <comment ref="BO392" authorId="0" shapeId="0" xr:uid="{00000000-0006-0000-0000-00001C010000}">
      <text>
        <r>
          <rPr>
            <b/>
            <sz val="9"/>
            <color indexed="81"/>
            <rFont val="Tahoma"/>
            <family val="2"/>
          </rPr>
          <t>hsk:</t>
        </r>
        <r>
          <rPr>
            <sz val="9"/>
            <color indexed="81"/>
            <rFont val="Tahoma"/>
            <family val="2"/>
          </rPr>
          <t xml:space="preserve">
Statusansatz-Zeile</t>
        </r>
      </text>
    </comment>
    <comment ref="BO393" authorId="0" shapeId="0" xr:uid="{00000000-0006-0000-0000-00001D010000}">
      <text>
        <r>
          <rPr>
            <b/>
            <sz val="9"/>
            <color indexed="81"/>
            <rFont val="Tahoma"/>
            <family val="2"/>
          </rPr>
          <t>hsk:</t>
        </r>
        <r>
          <rPr>
            <sz val="9"/>
            <color indexed="81"/>
            <rFont val="Tahoma"/>
            <family val="2"/>
          </rPr>
          <t xml:space="preserve">
Herleitungs-Zeile</t>
        </r>
      </text>
    </comment>
    <comment ref="BO395" authorId="0" shapeId="0" xr:uid="{00000000-0006-0000-0000-00001E010000}">
      <text>
        <r>
          <rPr>
            <b/>
            <sz val="9"/>
            <color indexed="81"/>
            <rFont val="Tahoma"/>
            <family val="2"/>
          </rPr>
          <t>hsk:</t>
        </r>
        <r>
          <rPr>
            <sz val="9"/>
            <color indexed="81"/>
            <rFont val="Tahoma"/>
            <family val="2"/>
          </rPr>
          <t xml:space="preserve">
Zielansatz-Zeile</t>
        </r>
      </text>
    </comment>
    <comment ref="BO397" authorId="0" shapeId="0" xr:uid="{00000000-0006-0000-0000-00001F010000}">
      <text>
        <r>
          <rPr>
            <b/>
            <sz val="9"/>
            <color indexed="81"/>
            <rFont val="Tahoma"/>
            <family val="2"/>
          </rPr>
          <t>hsk:</t>
        </r>
        <r>
          <rPr>
            <sz val="9"/>
            <color indexed="81"/>
            <rFont val="Tahoma"/>
            <family val="2"/>
          </rPr>
          <t xml:space="preserve">
Parameterzeile</t>
        </r>
      </text>
    </comment>
    <comment ref="BO398" authorId="0" shapeId="0" xr:uid="{00000000-0006-0000-0000-000020010000}">
      <text>
        <r>
          <rPr>
            <b/>
            <sz val="9"/>
            <color indexed="81"/>
            <rFont val="Tahoma"/>
            <family val="2"/>
          </rPr>
          <t>hsk:</t>
        </r>
        <r>
          <rPr>
            <sz val="9"/>
            <color indexed="81"/>
            <rFont val="Tahoma"/>
            <family val="2"/>
          </rPr>
          <t xml:space="preserve">
Statusansatz-Zeile</t>
        </r>
      </text>
    </comment>
    <comment ref="BO400" authorId="0" shapeId="0" xr:uid="{00000000-0006-0000-0000-000021010000}">
      <text>
        <r>
          <rPr>
            <b/>
            <sz val="9"/>
            <color indexed="81"/>
            <rFont val="Tahoma"/>
            <family val="2"/>
          </rPr>
          <t>hsk:</t>
        </r>
        <r>
          <rPr>
            <sz val="9"/>
            <color indexed="81"/>
            <rFont val="Tahoma"/>
            <family val="2"/>
          </rPr>
          <t xml:space="preserve">
Zielansatz-Zeile</t>
        </r>
      </text>
    </comment>
    <comment ref="BO402" authorId="0" shapeId="0" xr:uid="{00000000-0006-0000-0000-000022010000}">
      <text>
        <r>
          <rPr>
            <b/>
            <sz val="9"/>
            <color indexed="81"/>
            <rFont val="Tahoma"/>
            <family val="2"/>
          </rPr>
          <t>hsk:</t>
        </r>
        <r>
          <rPr>
            <sz val="9"/>
            <color indexed="81"/>
            <rFont val="Tahoma"/>
            <family val="2"/>
          </rPr>
          <t xml:space="preserve">
Parameterzeile</t>
        </r>
      </text>
    </comment>
    <comment ref="BO403" authorId="0" shapeId="0" xr:uid="{00000000-0006-0000-0000-000023010000}">
      <text>
        <r>
          <rPr>
            <b/>
            <sz val="9"/>
            <color indexed="81"/>
            <rFont val="Tahoma"/>
            <family val="2"/>
          </rPr>
          <t>hsk:</t>
        </r>
        <r>
          <rPr>
            <sz val="9"/>
            <color indexed="81"/>
            <rFont val="Tahoma"/>
            <family val="2"/>
          </rPr>
          <t xml:space="preserve">
Statusansatz-Zeile</t>
        </r>
      </text>
    </comment>
    <comment ref="BO405" authorId="0" shapeId="0" xr:uid="{00000000-0006-0000-0000-000024010000}">
      <text>
        <r>
          <rPr>
            <b/>
            <sz val="9"/>
            <color indexed="81"/>
            <rFont val="Tahoma"/>
            <family val="2"/>
          </rPr>
          <t>hsk:</t>
        </r>
        <r>
          <rPr>
            <sz val="9"/>
            <color indexed="81"/>
            <rFont val="Tahoma"/>
            <family val="2"/>
          </rPr>
          <t xml:space="preserve">
Zielansatz-Zeile</t>
        </r>
      </text>
    </comment>
    <comment ref="BO407" authorId="0" shapeId="0" xr:uid="{00000000-0006-0000-0000-000025010000}">
      <text>
        <r>
          <rPr>
            <b/>
            <sz val="9"/>
            <color indexed="81"/>
            <rFont val="Tahoma"/>
            <family val="2"/>
          </rPr>
          <t>hsk:</t>
        </r>
        <r>
          <rPr>
            <sz val="9"/>
            <color indexed="81"/>
            <rFont val="Tahoma"/>
            <family val="2"/>
          </rPr>
          <t xml:space="preserve">
Parameterzeile</t>
        </r>
      </text>
    </comment>
    <comment ref="BO408" authorId="0" shapeId="0" xr:uid="{00000000-0006-0000-0000-000026010000}">
      <text>
        <r>
          <rPr>
            <b/>
            <sz val="9"/>
            <color indexed="81"/>
            <rFont val="Tahoma"/>
            <family val="2"/>
          </rPr>
          <t>hsk:</t>
        </r>
        <r>
          <rPr>
            <sz val="9"/>
            <color indexed="81"/>
            <rFont val="Tahoma"/>
            <family val="2"/>
          </rPr>
          <t xml:space="preserve">
Statusansatz-Zeile</t>
        </r>
      </text>
    </comment>
    <comment ref="BO410" authorId="0" shapeId="0" xr:uid="{00000000-0006-0000-0000-000027010000}">
      <text>
        <r>
          <rPr>
            <b/>
            <sz val="9"/>
            <color indexed="81"/>
            <rFont val="Tahoma"/>
            <family val="2"/>
          </rPr>
          <t>hsk:</t>
        </r>
        <r>
          <rPr>
            <sz val="9"/>
            <color indexed="81"/>
            <rFont val="Tahoma"/>
            <family val="2"/>
          </rPr>
          <t xml:space="preserve">
Zielansatz-Zeile</t>
        </r>
      </text>
    </comment>
    <comment ref="BO412" authorId="0" shapeId="0" xr:uid="{00000000-0006-0000-0000-000028010000}">
      <text>
        <r>
          <rPr>
            <b/>
            <sz val="9"/>
            <color indexed="81"/>
            <rFont val="Tahoma"/>
            <family val="2"/>
          </rPr>
          <t>hsk:</t>
        </r>
        <r>
          <rPr>
            <sz val="9"/>
            <color indexed="81"/>
            <rFont val="Tahoma"/>
            <family val="2"/>
          </rPr>
          <t xml:space="preserve">
Parameterzeile</t>
        </r>
      </text>
    </comment>
    <comment ref="BO413" authorId="0" shapeId="0" xr:uid="{00000000-0006-0000-0000-000029010000}">
      <text>
        <r>
          <rPr>
            <b/>
            <sz val="9"/>
            <color indexed="81"/>
            <rFont val="Tahoma"/>
            <family val="2"/>
          </rPr>
          <t>hsk:</t>
        </r>
        <r>
          <rPr>
            <sz val="9"/>
            <color indexed="81"/>
            <rFont val="Tahoma"/>
            <family val="2"/>
          </rPr>
          <t xml:space="preserve">
Statusansatz-Zeile</t>
        </r>
      </text>
    </comment>
    <comment ref="BO414" authorId="0" shapeId="0" xr:uid="{00000000-0006-0000-0000-00002A010000}">
      <text>
        <r>
          <rPr>
            <b/>
            <sz val="9"/>
            <color indexed="81"/>
            <rFont val="Tahoma"/>
            <family val="2"/>
          </rPr>
          <t>hsk:</t>
        </r>
        <r>
          <rPr>
            <sz val="9"/>
            <color indexed="81"/>
            <rFont val="Tahoma"/>
            <family val="2"/>
          </rPr>
          <t xml:space="preserve">
Herleitungs-Zeile</t>
        </r>
      </text>
    </comment>
    <comment ref="BO415" authorId="0" shapeId="0" xr:uid="{00000000-0006-0000-0000-00002B010000}">
      <text>
        <r>
          <rPr>
            <b/>
            <sz val="9"/>
            <color indexed="81"/>
            <rFont val="Tahoma"/>
            <family val="2"/>
          </rPr>
          <t>hsk:</t>
        </r>
        <r>
          <rPr>
            <sz val="9"/>
            <color indexed="81"/>
            <rFont val="Tahoma"/>
            <family val="2"/>
          </rPr>
          <t xml:space="preserve">
Herleitungs-Zeile</t>
        </r>
      </text>
    </comment>
    <comment ref="BO417" authorId="0" shapeId="0" xr:uid="{00000000-0006-0000-0000-00002C010000}">
      <text>
        <r>
          <rPr>
            <b/>
            <sz val="9"/>
            <color indexed="81"/>
            <rFont val="Tahoma"/>
            <family val="2"/>
          </rPr>
          <t>hsk:</t>
        </r>
        <r>
          <rPr>
            <sz val="9"/>
            <color indexed="81"/>
            <rFont val="Tahoma"/>
            <family val="2"/>
          </rPr>
          <t xml:space="preserve">
Zielansatz-Zeile</t>
        </r>
      </text>
    </comment>
    <comment ref="M419" authorId="3" shapeId="0" xr:uid="{E38B26F1-0A6D-1A42-85F1-D73761CFA499}">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=@INDIREKT($W$1&amp;W419)</t>
      </text>
    </comment>
    <comment ref="BO419" authorId="0" shapeId="0" xr:uid="{00000000-0006-0000-0000-00002D010000}">
      <text>
        <r>
          <rPr>
            <b/>
            <sz val="9"/>
            <color indexed="81"/>
            <rFont val="Tahoma"/>
            <family val="2"/>
          </rPr>
          <t>hsk:</t>
        </r>
        <r>
          <rPr>
            <sz val="9"/>
            <color indexed="81"/>
            <rFont val="Tahoma"/>
            <family val="2"/>
          </rPr>
          <t xml:space="preserve">
Parameterzeile</t>
        </r>
      </text>
    </comment>
    <comment ref="BO420" authorId="0" shapeId="0" xr:uid="{00000000-0006-0000-0000-00002E010000}">
      <text>
        <r>
          <rPr>
            <b/>
            <sz val="9"/>
            <color indexed="81"/>
            <rFont val="Tahoma"/>
            <family val="2"/>
          </rPr>
          <t>hsk:</t>
        </r>
        <r>
          <rPr>
            <sz val="9"/>
            <color indexed="81"/>
            <rFont val="Tahoma"/>
            <family val="2"/>
          </rPr>
          <t xml:space="preserve">
Statusansatz-Zeile</t>
        </r>
      </text>
    </comment>
    <comment ref="BO421" authorId="0" shapeId="0" xr:uid="{00000000-0006-0000-0000-00002F010000}">
      <text>
        <r>
          <rPr>
            <b/>
            <sz val="9"/>
            <color indexed="81"/>
            <rFont val="Tahoma"/>
            <family val="2"/>
          </rPr>
          <t>hsk:</t>
        </r>
        <r>
          <rPr>
            <sz val="9"/>
            <color indexed="81"/>
            <rFont val="Tahoma"/>
            <family val="2"/>
          </rPr>
          <t xml:space="preserve">
Herleitungs-Zeile</t>
        </r>
      </text>
    </comment>
    <comment ref="BO422" authorId="0" shapeId="0" xr:uid="{00000000-0006-0000-0000-000030010000}">
      <text>
        <r>
          <rPr>
            <b/>
            <sz val="9"/>
            <color indexed="81"/>
            <rFont val="Tahoma"/>
            <family val="2"/>
          </rPr>
          <t>hsk:</t>
        </r>
        <r>
          <rPr>
            <sz val="9"/>
            <color indexed="81"/>
            <rFont val="Tahoma"/>
            <family val="2"/>
          </rPr>
          <t xml:space="preserve">
Zielansatz-Zeile</t>
        </r>
      </text>
    </comment>
    <comment ref="BO424" authorId="0" shapeId="0" xr:uid="{00000000-0006-0000-0000-000031010000}">
      <text>
        <r>
          <rPr>
            <b/>
            <sz val="9"/>
            <color indexed="81"/>
            <rFont val="Tahoma"/>
            <family val="2"/>
          </rPr>
          <t>hsk:</t>
        </r>
        <r>
          <rPr>
            <sz val="9"/>
            <color indexed="81"/>
            <rFont val="Tahoma"/>
            <family val="2"/>
          </rPr>
          <t xml:space="preserve">
Parameterzeile</t>
        </r>
      </text>
    </comment>
    <comment ref="BO425" authorId="0" shapeId="0" xr:uid="{00000000-0006-0000-0000-000032010000}">
      <text>
        <r>
          <rPr>
            <b/>
            <sz val="9"/>
            <color indexed="81"/>
            <rFont val="Tahoma"/>
            <family val="2"/>
          </rPr>
          <t>hsk:</t>
        </r>
        <r>
          <rPr>
            <sz val="9"/>
            <color indexed="81"/>
            <rFont val="Tahoma"/>
            <family val="2"/>
          </rPr>
          <t xml:space="preserve">
Statusansatz-Zeile</t>
        </r>
      </text>
    </comment>
    <comment ref="BO426" authorId="0" shapeId="0" xr:uid="{00000000-0006-0000-0000-000033010000}">
      <text>
        <r>
          <rPr>
            <b/>
            <sz val="9"/>
            <color indexed="81"/>
            <rFont val="Tahoma"/>
            <family val="2"/>
          </rPr>
          <t>hsk:</t>
        </r>
        <r>
          <rPr>
            <sz val="9"/>
            <color indexed="81"/>
            <rFont val="Tahoma"/>
            <family val="2"/>
          </rPr>
          <t xml:space="preserve">
Herleitungs-Zeile</t>
        </r>
      </text>
    </comment>
    <comment ref="BO428" authorId="0" shapeId="0" xr:uid="{00000000-0006-0000-0000-000034010000}">
      <text>
        <r>
          <rPr>
            <b/>
            <sz val="9"/>
            <color indexed="81"/>
            <rFont val="Tahoma"/>
            <family val="2"/>
          </rPr>
          <t>hsk:</t>
        </r>
        <r>
          <rPr>
            <sz val="9"/>
            <color indexed="81"/>
            <rFont val="Tahoma"/>
            <family val="2"/>
          </rPr>
          <t xml:space="preserve">
Zielansatz-Zeile</t>
        </r>
      </text>
    </comment>
    <comment ref="BO429" authorId="0" shapeId="0" xr:uid="{00000000-0006-0000-0000-000035010000}">
      <text>
        <r>
          <rPr>
            <b/>
            <sz val="9"/>
            <color indexed="81"/>
            <rFont val="Tahoma"/>
            <family val="2"/>
          </rPr>
          <t>hsk:</t>
        </r>
        <r>
          <rPr>
            <sz val="9"/>
            <color indexed="81"/>
            <rFont val="Tahoma"/>
            <family val="2"/>
          </rPr>
          <t xml:space="preserve">
Herleitungs-Zeile</t>
        </r>
      </text>
    </comment>
    <comment ref="BO431" authorId="0" shapeId="0" xr:uid="{00000000-0006-0000-0000-000036010000}">
      <text>
        <r>
          <rPr>
            <b/>
            <sz val="9"/>
            <color indexed="81"/>
            <rFont val="Tahoma"/>
            <family val="2"/>
          </rPr>
          <t>hsk:</t>
        </r>
        <r>
          <rPr>
            <sz val="9"/>
            <color indexed="81"/>
            <rFont val="Tahoma"/>
            <family val="2"/>
          </rPr>
          <t xml:space="preserve">
Parameterzeile</t>
        </r>
      </text>
    </comment>
    <comment ref="BO432" authorId="0" shapeId="0" xr:uid="{00000000-0006-0000-0000-000037010000}">
      <text>
        <r>
          <rPr>
            <b/>
            <sz val="9"/>
            <color indexed="81"/>
            <rFont val="Tahoma"/>
            <family val="2"/>
          </rPr>
          <t>hsk:</t>
        </r>
        <r>
          <rPr>
            <sz val="9"/>
            <color indexed="81"/>
            <rFont val="Tahoma"/>
            <family val="2"/>
          </rPr>
          <t xml:space="preserve">
Statusansatz-Zeile</t>
        </r>
      </text>
    </comment>
    <comment ref="BO433" authorId="0" shapeId="0" xr:uid="{00000000-0006-0000-0000-000038010000}">
      <text>
        <r>
          <rPr>
            <b/>
            <sz val="9"/>
            <color indexed="81"/>
            <rFont val="Tahoma"/>
            <family val="2"/>
          </rPr>
          <t>hsk:</t>
        </r>
        <r>
          <rPr>
            <sz val="9"/>
            <color indexed="81"/>
            <rFont val="Tahoma"/>
            <family val="2"/>
          </rPr>
          <t xml:space="preserve">
Zielansatz-Zeile</t>
        </r>
      </text>
    </comment>
    <comment ref="BO435" authorId="0" shapeId="0" xr:uid="{00000000-0006-0000-0000-000039010000}">
      <text>
        <r>
          <rPr>
            <b/>
            <sz val="9"/>
            <color indexed="81"/>
            <rFont val="Tahoma"/>
            <family val="2"/>
          </rPr>
          <t>hsk:</t>
        </r>
        <r>
          <rPr>
            <sz val="9"/>
            <color indexed="81"/>
            <rFont val="Tahoma"/>
            <family val="2"/>
          </rPr>
          <t xml:space="preserve">
Parameterzeile</t>
        </r>
      </text>
    </comment>
    <comment ref="BO436" authorId="0" shapeId="0" xr:uid="{00000000-0006-0000-0000-00003A010000}">
      <text>
        <r>
          <rPr>
            <b/>
            <sz val="9"/>
            <color indexed="81"/>
            <rFont val="Tahoma"/>
            <family val="2"/>
          </rPr>
          <t>hsk:</t>
        </r>
        <r>
          <rPr>
            <sz val="9"/>
            <color indexed="81"/>
            <rFont val="Tahoma"/>
            <family val="2"/>
          </rPr>
          <t xml:space="preserve">
Statusansatz-Zeile</t>
        </r>
      </text>
    </comment>
    <comment ref="BO437" authorId="0" shapeId="0" xr:uid="{00000000-0006-0000-0000-00003B010000}">
      <text>
        <r>
          <rPr>
            <b/>
            <sz val="9"/>
            <color indexed="81"/>
            <rFont val="Tahoma"/>
            <family val="2"/>
          </rPr>
          <t>hsk:</t>
        </r>
        <r>
          <rPr>
            <sz val="9"/>
            <color indexed="81"/>
            <rFont val="Tahoma"/>
            <family val="2"/>
          </rPr>
          <t xml:space="preserve">
Herleitungs-Zeile</t>
        </r>
      </text>
    </comment>
    <comment ref="BO438" authorId="0" shapeId="0" xr:uid="{00000000-0006-0000-0000-00003C010000}">
      <text>
        <r>
          <rPr>
            <b/>
            <sz val="9"/>
            <color indexed="81"/>
            <rFont val="Tahoma"/>
            <family val="2"/>
          </rPr>
          <t>hsk:</t>
        </r>
        <r>
          <rPr>
            <sz val="9"/>
            <color indexed="81"/>
            <rFont val="Tahoma"/>
            <family val="2"/>
          </rPr>
          <t xml:space="preserve">
Herleitungs-Zeile</t>
        </r>
      </text>
    </comment>
    <comment ref="BO439" authorId="0" shapeId="0" xr:uid="{00000000-0006-0000-0000-00003D010000}">
      <text>
        <r>
          <rPr>
            <b/>
            <sz val="9"/>
            <color indexed="81"/>
            <rFont val="Tahoma"/>
            <family val="2"/>
          </rPr>
          <t>hsk:</t>
        </r>
        <r>
          <rPr>
            <sz val="9"/>
            <color indexed="81"/>
            <rFont val="Tahoma"/>
            <family val="2"/>
          </rPr>
          <t xml:space="preserve">
Herleitungs-Zeile</t>
        </r>
      </text>
    </comment>
    <comment ref="BO441" authorId="0" shapeId="0" xr:uid="{00000000-0006-0000-0000-00003E010000}">
      <text>
        <r>
          <rPr>
            <b/>
            <sz val="9"/>
            <color indexed="81"/>
            <rFont val="Tahoma"/>
            <family val="2"/>
          </rPr>
          <t>hsk:</t>
        </r>
        <r>
          <rPr>
            <sz val="9"/>
            <color indexed="81"/>
            <rFont val="Tahoma"/>
            <family val="2"/>
          </rPr>
          <t xml:space="preserve">
Zielansatz-Zeile</t>
        </r>
      </text>
    </comment>
    <comment ref="BO443" authorId="0" shapeId="0" xr:uid="{00000000-0006-0000-0000-00003F010000}">
      <text>
        <r>
          <rPr>
            <b/>
            <sz val="9"/>
            <color indexed="81"/>
            <rFont val="Tahoma"/>
            <family val="2"/>
          </rPr>
          <t>hsk:</t>
        </r>
        <r>
          <rPr>
            <sz val="9"/>
            <color indexed="81"/>
            <rFont val="Tahoma"/>
            <family val="2"/>
          </rPr>
          <t xml:space="preserve">
Titelzeile</t>
        </r>
      </text>
    </comment>
    <comment ref="AO445" authorId="0" shapeId="0" xr:uid="{00000000-0006-0000-0000-000040010000}">
      <text>
        <r>
          <rPr>
            <b/>
            <sz val="9"/>
            <color indexed="81"/>
            <rFont val="Tahoma"/>
            <family val="2"/>
          </rPr>
          <t>hsk:</t>
        </r>
        <r>
          <rPr>
            <sz val="9"/>
            <color indexed="81"/>
            <rFont val="Tahoma"/>
            <family val="2"/>
          </rPr>
          <t xml:space="preserve">
Der Dieselverbrauch der Landwirtschaft liegt somit bei ca. 2 TWh/a.</t>
        </r>
      </text>
    </comment>
    <comment ref="BO445" authorId="0" shapeId="0" xr:uid="{00000000-0006-0000-0000-000041010000}">
      <text>
        <r>
          <rPr>
            <b/>
            <sz val="9"/>
            <color indexed="81"/>
            <rFont val="Tahoma"/>
            <family val="2"/>
          </rPr>
          <t>hsk:</t>
        </r>
        <r>
          <rPr>
            <sz val="9"/>
            <color indexed="81"/>
            <rFont val="Tahoma"/>
            <family val="2"/>
          </rPr>
          <t xml:space="preserve">
Parameterzeile</t>
        </r>
      </text>
    </comment>
    <comment ref="AP446" authorId="0" shapeId="0" xr:uid="{00000000-0006-0000-0000-000042010000}">
      <text>
        <r>
          <rPr>
            <b/>
            <sz val="9"/>
            <color indexed="81"/>
            <rFont val="Tahoma"/>
            <family val="2"/>
          </rPr>
          <t>hsk:</t>
        </r>
        <r>
          <rPr>
            <sz val="9"/>
            <color indexed="81"/>
            <rFont val="Tahoma"/>
            <family val="2"/>
          </rPr>
          <t xml:space="preserve">
S.26
</t>
        </r>
      </text>
    </comment>
    <comment ref="AR446" authorId="0" shapeId="0" xr:uid="{00000000-0006-0000-0000-000043010000}">
      <text>
        <r>
          <rPr>
            <b/>
            <sz val="9"/>
            <color indexed="81"/>
            <rFont val="Tahoma"/>
            <family val="2"/>
          </rPr>
          <t>hsk:</t>
        </r>
        <r>
          <rPr>
            <sz val="9"/>
            <color indexed="81"/>
            <rFont val="Tahoma"/>
            <family val="2"/>
          </rPr>
          <t xml:space="preserve">
S.28
</t>
        </r>
      </text>
    </comment>
    <comment ref="BO446" authorId="0" shapeId="0" xr:uid="{00000000-0006-0000-0000-000044010000}">
      <text>
        <r>
          <rPr>
            <b/>
            <sz val="9"/>
            <color indexed="81"/>
            <rFont val="Tahoma"/>
            <family val="2"/>
          </rPr>
          <t>hsk:</t>
        </r>
        <r>
          <rPr>
            <sz val="9"/>
            <color indexed="81"/>
            <rFont val="Tahoma"/>
            <family val="2"/>
          </rPr>
          <t xml:space="preserve">
Statusansatz-Zeile</t>
        </r>
      </text>
    </comment>
    <comment ref="BO448" authorId="0" shapeId="0" xr:uid="{00000000-0006-0000-0000-000045010000}">
      <text>
        <r>
          <rPr>
            <b/>
            <sz val="9"/>
            <color indexed="81"/>
            <rFont val="Tahoma"/>
            <family val="2"/>
          </rPr>
          <t>hsk:</t>
        </r>
        <r>
          <rPr>
            <sz val="9"/>
            <color indexed="81"/>
            <rFont val="Tahoma"/>
            <family val="2"/>
          </rPr>
          <t xml:space="preserve">
Zielansatz-Zeile</t>
        </r>
      </text>
    </comment>
    <comment ref="BO450" authorId="0" shapeId="0" xr:uid="{00000000-0006-0000-0000-000046010000}">
      <text>
        <r>
          <rPr>
            <b/>
            <sz val="9"/>
            <color indexed="81"/>
            <rFont val="Tahoma"/>
            <family val="2"/>
          </rPr>
          <t>hsk:</t>
        </r>
        <r>
          <rPr>
            <sz val="9"/>
            <color indexed="81"/>
            <rFont val="Tahoma"/>
            <family val="2"/>
          </rPr>
          <t xml:space="preserve">
Parameterzeile</t>
        </r>
      </text>
    </comment>
    <comment ref="BO451" authorId="0" shapeId="0" xr:uid="{00000000-0006-0000-0000-000047010000}">
      <text>
        <r>
          <rPr>
            <b/>
            <sz val="9"/>
            <color indexed="81"/>
            <rFont val="Tahoma"/>
            <family val="2"/>
          </rPr>
          <t>hsk:</t>
        </r>
        <r>
          <rPr>
            <sz val="9"/>
            <color indexed="81"/>
            <rFont val="Tahoma"/>
            <family val="2"/>
          </rPr>
          <t xml:space="preserve">
Statusansatz-Zeile</t>
        </r>
      </text>
    </comment>
    <comment ref="BO452" authorId="0" shapeId="0" xr:uid="{00000000-0006-0000-0000-000048010000}">
      <text>
        <r>
          <rPr>
            <b/>
            <sz val="9"/>
            <color indexed="81"/>
            <rFont val="Tahoma"/>
            <family val="2"/>
          </rPr>
          <t>hsk:</t>
        </r>
        <r>
          <rPr>
            <sz val="9"/>
            <color indexed="81"/>
            <rFont val="Tahoma"/>
            <family val="2"/>
          </rPr>
          <t xml:space="preserve">
Herleitungs-Zeile</t>
        </r>
      </text>
    </comment>
    <comment ref="BO454" authorId="0" shapeId="0" xr:uid="{00000000-0006-0000-0000-000049010000}">
      <text>
        <r>
          <rPr>
            <b/>
            <sz val="9"/>
            <color indexed="81"/>
            <rFont val="Tahoma"/>
            <family val="2"/>
          </rPr>
          <t>hsk:</t>
        </r>
        <r>
          <rPr>
            <sz val="9"/>
            <color indexed="81"/>
            <rFont val="Tahoma"/>
            <family val="2"/>
          </rPr>
          <t xml:space="preserve">
Zielansatz-Zeile</t>
        </r>
      </text>
    </comment>
    <comment ref="BO455" authorId="0" shapeId="0" xr:uid="{00000000-0006-0000-0000-00004A010000}">
      <text>
        <r>
          <rPr>
            <b/>
            <sz val="9"/>
            <color indexed="81"/>
            <rFont val="Tahoma"/>
            <family val="2"/>
          </rPr>
          <t>hsk:</t>
        </r>
        <r>
          <rPr>
            <sz val="9"/>
            <color indexed="81"/>
            <rFont val="Tahoma"/>
            <family val="2"/>
          </rPr>
          <t xml:space="preserve">
Herleitungs-Zeile</t>
        </r>
      </text>
    </comment>
    <comment ref="BO456" authorId="0" shapeId="0" xr:uid="{00000000-0006-0000-0000-00004B010000}">
      <text>
        <r>
          <rPr>
            <b/>
            <sz val="9"/>
            <color indexed="81"/>
            <rFont val="Tahoma"/>
            <family val="2"/>
          </rPr>
          <t>hsk:</t>
        </r>
        <r>
          <rPr>
            <sz val="9"/>
            <color indexed="81"/>
            <rFont val="Tahoma"/>
            <family val="2"/>
          </rPr>
          <t xml:space="preserve">
Herleitungs-Zeile</t>
        </r>
      </text>
    </comment>
    <comment ref="BO458" authorId="0" shapeId="0" xr:uid="{00000000-0006-0000-0000-00004C010000}">
      <text>
        <r>
          <rPr>
            <b/>
            <sz val="9"/>
            <color indexed="81"/>
            <rFont val="Tahoma"/>
            <family val="2"/>
          </rPr>
          <t>hsk:</t>
        </r>
        <r>
          <rPr>
            <sz val="9"/>
            <color indexed="81"/>
            <rFont val="Tahoma"/>
            <family val="2"/>
          </rPr>
          <t xml:space="preserve">
Parameterzeile</t>
        </r>
      </text>
    </comment>
    <comment ref="BO459" authorId="0" shapeId="0" xr:uid="{00000000-0006-0000-0000-00004D010000}">
      <text>
        <r>
          <rPr>
            <b/>
            <sz val="9"/>
            <color indexed="81"/>
            <rFont val="Tahoma"/>
            <family val="2"/>
          </rPr>
          <t>hsk:</t>
        </r>
        <r>
          <rPr>
            <sz val="9"/>
            <color indexed="81"/>
            <rFont val="Tahoma"/>
            <family val="2"/>
          </rPr>
          <t xml:space="preserve">
Statusansatz-Zeile</t>
        </r>
      </text>
    </comment>
    <comment ref="BO460" authorId="0" shapeId="0" xr:uid="{00000000-0006-0000-0000-00004E010000}">
      <text>
        <r>
          <rPr>
            <b/>
            <sz val="9"/>
            <color indexed="81"/>
            <rFont val="Tahoma"/>
            <family val="2"/>
          </rPr>
          <t>hsk:</t>
        </r>
        <r>
          <rPr>
            <sz val="9"/>
            <color indexed="81"/>
            <rFont val="Tahoma"/>
            <family val="2"/>
          </rPr>
          <t xml:space="preserve">
Herleitungs-Zeile</t>
        </r>
      </text>
    </comment>
    <comment ref="BO461" authorId="0" shapeId="0" xr:uid="{00000000-0006-0000-0000-00004F010000}">
      <text>
        <r>
          <rPr>
            <b/>
            <sz val="9"/>
            <color indexed="81"/>
            <rFont val="Tahoma"/>
            <family val="2"/>
          </rPr>
          <t>hsk:</t>
        </r>
        <r>
          <rPr>
            <sz val="9"/>
            <color indexed="81"/>
            <rFont val="Tahoma"/>
            <family val="2"/>
          </rPr>
          <t xml:space="preserve">
Herleitungs-Zeile</t>
        </r>
      </text>
    </comment>
    <comment ref="BO462" authorId="0" shapeId="0" xr:uid="{00000000-0006-0000-0000-000050010000}">
      <text>
        <r>
          <rPr>
            <b/>
            <sz val="9"/>
            <color indexed="81"/>
            <rFont val="Tahoma"/>
            <family val="2"/>
          </rPr>
          <t>hsk:</t>
        </r>
        <r>
          <rPr>
            <sz val="9"/>
            <color indexed="81"/>
            <rFont val="Tahoma"/>
            <family val="2"/>
          </rPr>
          <t xml:space="preserve">
Herleitungs-Zeile</t>
        </r>
      </text>
    </comment>
    <comment ref="BO463" authorId="0" shapeId="0" xr:uid="{00000000-0006-0000-0000-000051010000}">
      <text>
        <r>
          <rPr>
            <b/>
            <sz val="9"/>
            <color indexed="81"/>
            <rFont val="Tahoma"/>
            <family val="2"/>
          </rPr>
          <t>hsk:</t>
        </r>
        <r>
          <rPr>
            <sz val="9"/>
            <color indexed="81"/>
            <rFont val="Tahoma"/>
            <family val="2"/>
          </rPr>
          <t xml:space="preserve">
Herleitungs-Zeile</t>
        </r>
      </text>
    </comment>
    <comment ref="BO464" authorId="0" shapeId="0" xr:uid="{00000000-0006-0000-0000-000052010000}">
      <text>
        <r>
          <rPr>
            <b/>
            <sz val="9"/>
            <color indexed="81"/>
            <rFont val="Tahoma"/>
            <family val="2"/>
          </rPr>
          <t>hsk:</t>
        </r>
        <r>
          <rPr>
            <sz val="9"/>
            <color indexed="81"/>
            <rFont val="Tahoma"/>
            <family val="2"/>
          </rPr>
          <t xml:space="preserve">
Herleitungs-Zeile</t>
        </r>
      </text>
    </comment>
    <comment ref="BO465" authorId="0" shapeId="0" xr:uid="{00000000-0006-0000-0000-000053010000}">
      <text>
        <r>
          <rPr>
            <b/>
            <sz val="9"/>
            <color indexed="81"/>
            <rFont val="Tahoma"/>
            <family val="2"/>
          </rPr>
          <t>hsk:</t>
        </r>
        <r>
          <rPr>
            <sz val="9"/>
            <color indexed="81"/>
            <rFont val="Tahoma"/>
            <family val="2"/>
          </rPr>
          <t xml:space="preserve">
Herleitungs-Zeile</t>
        </r>
      </text>
    </comment>
    <comment ref="BO466" authorId="0" shapeId="0" xr:uid="{00000000-0006-0000-0000-000054010000}">
      <text>
        <r>
          <rPr>
            <b/>
            <sz val="9"/>
            <color indexed="81"/>
            <rFont val="Tahoma"/>
            <family val="2"/>
          </rPr>
          <t>hsk:</t>
        </r>
        <r>
          <rPr>
            <sz val="9"/>
            <color indexed="81"/>
            <rFont val="Tahoma"/>
            <family val="2"/>
          </rPr>
          <t xml:space="preserve">
Herleitungs-Zeile</t>
        </r>
      </text>
    </comment>
    <comment ref="BO468" authorId="0" shapeId="0" xr:uid="{00000000-0006-0000-0000-000055010000}">
      <text>
        <r>
          <rPr>
            <b/>
            <sz val="9"/>
            <color indexed="81"/>
            <rFont val="Tahoma"/>
            <family val="2"/>
          </rPr>
          <t>hsk:</t>
        </r>
        <r>
          <rPr>
            <sz val="9"/>
            <color indexed="81"/>
            <rFont val="Tahoma"/>
            <family val="2"/>
          </rPr>
          <t xml:space="preserve">
Zielansatz-Zeile</t>
        </r>
      </text>
    </comment>
    <comment ref="BO469" authorId="0" shapeId="0" xr:uid="{00000000-0006-0000-0000-000056010000}">
      <text>
        <r>
          <rPr>
            <b/>
            <sz val="9"/>
            <color indexed="81"/>
            <rFont val="Tahoma"/>
            <family val="2"/>
          </rPr>
          <t>hsk:</t>
        </r>
        <r>
          <rPr>
            <sz val="9"/>
            <color indexed="81"/>
            <rFont val="Tahoma"/>
            <family val="2"/>
          </rPr>
          <t xml:space="preserve">
Erläuterungs-Zeile</t>
        </r>
      </text>
    </comment>
    <comment ref="BO470" authorId="0" shapeId="0" xr:uid="{00000000-0006-0000-0000-000057010000}">
      <text>
        <r>
          <rPr>
            <b/>
            <sz val="9"/>
            <color indexed="81"/>
            <rFont val="Tahoma"/>
            <family val="2"/>
          </rPr>
          <t>hsk:</t>
        </r>
        <r>
          <rPr>
            <sz val="9"/>
            <color indexed="81"/>
            <rFont val="Tahoma"/>
            <family val="2"/>
          </rPr>
          <t xml:space="preserve">
Erläuterungs-Zeile</t>
        </r>
      </text>
    </comment>
    <comment ref="BO472" authorId="0" shapeId="0" xr:uid="{00000000-0006-0000-0000-000058010000}">
      <text>
        <r>
          <rPr>
            <b/>
            <sz val="9"/>
            <color indexed="81"/>
            <rFont val="Tahoma"/>
            <family val="2"/>
          </rPr>
          <t>hsk:</t>
        </r>
        <r>
          <rPr>
            <sz val="9"/>
            <color indexed="81"/>
            <rFont val="Tahoma"/>
            <family val="2"/>
          </rPr>
          <t xml:space="preserve">
Parameterzeile</t>
        </r>
      </text>
    </comment>
    <comment ref="BO473" authorId="0" shapeId="0" xr:uid="{00000000-0006-0000-0000-000059010000}">
      <text>
        <r>
          <rPr>
            <b/>
            <sz val="9"/>
            <color indexed="81"/>
            <rFont val="Tahoma"/>
            <family val="2"/>
          </rPr>
          <t>hsk:</t>
        </r>
        <r>
          <rPr>
            <sz val="9"/>
            <color indexed="81"/>
            <rFont val="Tahoma"/>
            <family val="2"/>
          </rPr>
          <t xml:space="preserve">
Statusansatz-Zeile</t>
        </r>
      </text>
    </comment>
    <comment ref="BO475" authorId="0" shapeId="0" xr:uid="{00000000-0006-0000-0000-00005A010000}">
      <text>
        <r>
          <rPr>
            <b/>
            <sz val="9"/>
            <color indexed="81"/>
            <rFont val="Tahoma"/>
            <family val="2"/>
          </rPr>
          <t>hsk:</t>
        </r>
        <r>
          <rPr>
            <sz val="9"/>
            <color indexed="81"/>
            <rFont val="Tahoma"/>
            <family val="2"/>
          </rPr>
          <t xml:space="preserve">
Zielansatz-Zeile</t>
        </r>
      </text>
    </comment>
    <comment ref="BO477" authorId="0" shapeId="0" xr:uid="{00000000-0006-0000-0000-00005B010000}">
      <text>
        <r>
          <rPr>
            <b/>
            <sz val="9"/>
            <color indexed="81"/>
            <rFont val="Tahoma"/>
            <family val="2"/>
          </rPr>
          <t>hsk:</t>
        </r>
        <r>
          <rPr>
            <sz val="9"/>
            <color indexed="81"/>
            <rFont val="Tahoma"/>
            <family val="2"/>
          </rPr>
          <t xml:space="preserve">
Parameterzeile</t>
        </r>
      </text>
    </comment>
    <comment ref="BO478" authorId="0" shapeId="0" xr:uid="{00000000-0006-0000-0000-00005C010000}">
      <text>
        <r>
          <rPr>
            <b/>
            <sz val="9"/>
            <color indexed="81"/>
            <rFont val="Tahoma"/>
            <family val="2"/>
          </rPr>
          <t>hsk:</t>
        </r>
        <r>
          <rPr>
            <sz val="9"/>
            <color indexed="81"/>
            <rFont val="Tahoma"/>
            <family val="2"/>
          </rPr>
          <t xml:space="preserve">
Statusansatz-Zeile</t>
        </r>
      </text>
    </comment>
    <comment ref="BO480" authorId="0" shapeId="0" xr:uid="{00000000-0006-0000-0000-00005D010000}">
      <text>
        <r>
          <rPr>
            <b/>
            <sz val="9"/>
            <color indexed="81"/>
            <rFont val="Tahoma"/>
            <family val="2"/>
          </rPr>
          <t>hsk:</t>
        </r>
        <r>
          <rPr>
            <sz val="9"/>
            <color indexed="81"/>
            <rFont val="Tahoma"/>
            <family val="2"/>
          </rPr>
          <t xml:space="preserve">
Zielansatz-Zeile</t>
        </r>
      </text>
    </comment>
    <comment ref="BO482" authorId="0" shapeId="0" xr:uid="{00000000-0006-0000-0000-00005E010000}">
      <text>
        <r>
          <rPr>
            <b/>
            <sz val="9"/>
            <color indexed="81"/>
            <rFont val="Tahoma"/>
            <family val="2"/>
          </rPr>
          <t>hsk:</t>
        </r>
        <r>
          <rPr>
            <sz val="9"/>
            <color indexed="81"/>
            <rFont val="Tahoma"/>
            <family val="2"/>
          </rPr>
          <t xml:space="preserve">
Parameterzeile</t>
        </r>
      </text>
    </comment>
    <comment ref="BO483" authorId="0" shapeId="0" xr:uid="{00000000-0006-0000-0000-00005F010000}">
      <text>
        <r>
          <rPr>
            <b/>
            <sz val="9"/>
            <color indexed="81"/>
            <rFont val="Tahoma"/>
            <family val="2"/>
          </rPr>
          <t>hsk:</t>
        </r>
        <r>
          <rPr>
            <sz val="9"/>
            <color indexed="81"/>
            <rFont val="Tahoma"/>
            <family val="2"/>
          </rPr>
          <t xml:space="preserve">
Statusansatz-Zeile</t>
        </r>
      </text>
    </comment>
    <comment ref="BO485" authorId="0" shapeId="0" xr:uid="{00000000-0006-0000-0000-000060010000}">
      <text>
        <r>
          <rPr>
            <b/>
            <sz val="9"/>
            <color indexed="81"/>
            <rFont val="Tahoma"/>
            <family val="2"/>
          </rPr>
          <t>hsk:</t>
        </r>
        <r>
          <rPr>
            <sz val="9"/>
            <color indexed="81"/>
            <rFont val="Tahoma"/>
            <family val="2"/>
          </rPr>
          <t xml:space="preserve">
Zielansatz-Zeile</t>
        </r>
      </text>
    </comment>
    <comment ref="BO487" authorId="0" shapeId="0" xr:uid="{00000000-0006-0000-0000-000061010000}">
      <text>
        <r>
          <rPr>
            <b/>
            <sz val="9"/>
            <color indexed="81"/>
            <rFont val="Tahoma"/>
            <family val="2"/>
          </rPr>
          <t>hsk:</t>
        </r>
        <r>
          <rPr>
            <sz val="9"/>
            <color indexed="81"/>
            <rFont val="Tahoma"/>
            <family val="2"/>
          </rPr>
          <t xml:space="preserve">
Parameterzeile</t>
        </r>
      </text>
    </comment>
    <comment ref="BO488" authorId="0" shapeId="0" xr:uid="{00000000-0006-0000-0000-000062010000}">
      <text>
        <r>
          <rPr>
            <b/>
            <sz val="9"/>
            <color indexed="81"/>
            <rFont val="Tahoma"/>
            <family val="2"/>
          </rPr>
          <t>hsk:</t>
        </r>
        <r>
          <rPr>
            <sz val="9"/>
            <color indexed="81"/>
            <rFont val="Tahoma"/>
            <family val="2"/>
          </rPr>
          <t xml:space="preserve">
Statusansatz-Zeile</t>
        </r>
      </text>
    </comment>
    <comment ref="BO490" authorId="0" shapeId="0" xr:uid="{00000000-0006-0000-0000-000063010000}">
      <text>
        <r>
          <rPr>
            <b/>
            <sz val="9"/>
            <color indexed="81"/>
            <rFont val="Tahoma"/>
            <family val="2"/>
          </rPr>
          <t>hsk:</t>
        </r>
        <r>
          <rPr>
            <sz val="9"/>
            <color indexed="81"/>
            <rFont val="Tahoma"/>
            <family val="2"/>
          </rPr>
          <t xml:space="preserve">
Zielansatz-Zeile</t>
        </r>
      </text>
    </comment>
    <comment ref="BO492" authorId="0" shapeId="0" xr:uid="{00000000-0006-0000-0000-000064010000}">
      <text>
        <r>
          <rPr>
            <b/>
            <sz val="9"/>
            <color indexed="81"/>
            <rFont val="Tahoma"/>
            <family val="2"/>
          </rPr>
          <t>hsk:</t>
        </r>
        <r>
          <rPr>
            <sz val="9"/>
            <color indexed="81"/>
            <rFont val="Tahoma"/>
            <family val="2"/>
          </rPr>
          <t xml:space="preserve">
Titelzeile</t>
        </r>
      </text>
    </comment>
    <comment ref="BO494" authorId="0" shapeId="0" xr:uid="{00000000-0006-0000-0000-000065010000}">
      <text>
        <r>
          <rPr>
            <b/>
            <sz val="9"/>
            <color indexed="81"/>
            <rFont val="Tahoma"/>
            <family val="2"/>
          </rPr>
          <t>hsk:</t>
        </r>
        <r>
          <rPr>
            <sz val="9"/>
            <color indexed="81"/>
            <rFont val="Tahoma"/>
            <family val="2"/>
          </rPr>
          <t xml:space="preserve">
Parameterzeile</t>
        </r>
      </text>
    </comment>
    <comment ref="BO495" authorId="0" shapeId="0" xr:uid="{00000000-0006-0000-0000-000066010000}">
      <text>
        <r>
          <rPr>
            <b/>
            <sz val="9"/>
            <color indexed="81"/>
            <rFont val="Tahoma"/>
            <family val="2"/>
          </rPr>
          <t>hsk:</t>
        </r>
        <r>
          <rPr>
            <sz val="9"/>
            <color indexed="81"/>
            <rFont val="Tahoma"/>
            <family val="2"/>
          </rPr>
          <t xml:space="preserve">
Statusansatz-Zeile</t>
        </r>
      </text>
    </comment>
    <comment ref="BO497" authorId="0" shapeId="0" xr:uid="{00000000-0006-0000-0000-000067010000}">
      <text>
        <r>
          <rPr>
            <b/>
            <sz val="9"/>
            <color indexed="81"/>
            <rFont val="Tahoma"/>
            <family val="2"/>
          </rPr>
          <t>hsk:</t>
        </r>
        <r>
          <rPr>
            <sz val="9"/>
            <color indexed="81"/>
            <rFont val="Tahoma"/>
            <family val="2"/>
          </rPr>
          <t xml:space="preserve">
Zielansatz-Zeile</t>
        </r>
      </text>
    </comment>
    <comment ref="BO499" authorId="0" shapeId="0" xr:uid="{00000000-0006-0000-0000-000068010000}">
      <text>
        <r>
          <rPr>
            <b/>
            <sz val="9"/>
            <color indexed="81"/>
            <rFont val="Tahoma"/>
            <family val="2"/>
          </rPr>
          <t>hsk:</t>
        </r>
        <r>
          <rPr>
            <sz val="9"/>
            <color indexed="81"/>
            <rFont val="Tahoma"/>
            <family val="2"/>
          </rPr>
          <t xml:space="preserve">
Parameterzeile</t>
        </r>
      </text>
    </comment>
    <comment ref="U500" authorId="0" shapeId="0" xr:uid="{00000000-0006-0000-0000-000069010000}">
      <text>
        <r>
          <rPr>
            <b/>
            <sz val="9"/>
            <color indexed="81"/>
            <rFont val="Tahoma"/>
            <family val="2"/>
          </rPr>
          <t>hsk 14.09.2016:</t>
        </r>
        <r>
          <rPr>
            <sz val="9"/>
            <color indexed="81"/>
            <rFont val="Tahoma"/>
            <family val="2"/>
          </rPr>
          <t xml:space="preserve">
Biodiesel durch Bioethanol ersetzt</t>
        </r>
      </text>
    </comment>
    <comment ref="BO500" authorId="0" shapeId="0" xr:uid="{00000000-0006-0000-0000-00006A010000}">
      <text>
        <r>
          <rPr>
            <b/>
            <sz val="9"/>
            <color indexed="81"/>
            <rFont val="Tahoma"/>
            <family val="2"/>
          </rPr>
          <t>hsk:</t>
        </r>
        <r>
          <rPr>
            <sz val="9"/>
            <color indexed="81"/>
            <rFont val="Tahoma"/>
            <family val="2"/>
          </rPr>
          <t xml:space="preserve">
Statusansatz-Zeile</t>
        </r>
      </text>
    </comment>
    <comment ref="BO501" authorId="0" shapeId="0" xr:uid="{00000000-0006-0000-0000-00006B010000}">
      <text>
        <r>
          <rPr>
            <b/>
            <sz val="9"/>
            <color indexed="81"/>
            <rFont val="Tahoma"/>
            <family val="2"/>
          </rPr>
          <t>hsk:</t>
        </r>
        <r>
          <rPr>
            <sz val="9"/>
            <color indexed="81"/>
            <rFont val="Tahoma"/>
            <family val="2"/>
          </rPr>
          <t xml:space="preserve">
Herleitungs-Zeile</t>
        </r>
      </text>
    </comment>
    <comment ref="BO502" authorId="0" shapeId="0" xr:uid="{00000000-0006-0000-0000-00006C010000}">
      <text>
        <r>
          <rPr>
            <b/>
            <sz val="9"/>
            <color indexed="81"/>
            <rFont val="Tahoma"/>
            <family val="2"/>
          </rPr>
          <t>hsk:</t>
        </r>
        <r>
          <rPr>
            <sz val="9"/>
            <color indexed="81"/>
            <rFont val="Tahoma"/>
            <family val="2"/>
          </rPr>
          <t xml:space="preserve">
Herleitungs-Zeile</t>
        </r>
      </text>
    </comment>
    <comment ref="BO503" authorId="0" shapeId="0" xr:uid="{00000000-0006-0000-0000-00006D010000}">
      <text>
        <r>
          <rPr>
            <b/>
            <sz val="9"/>
            <color indexed="81"/>
            <rFont val="Tahoma"/>
            <family val="2"/>
          </rPr>
          <t>hsk:</t>
        </r>
        <r>
          <rPr>
            <sz val="9"/>
            <color indexed="81"/>
            <rFont val="Tahoma"/>
            <family val="2"/>
          </rPr>
          <t xml:space="preserve">
Herleitungs-Zeile</t>
        </r>
      </text>
    </comment>
    <comment ref="BO505" authorId="0" shapeId="0" xr:uid="{00000000-0006-0000-0000-00006E010000}">
      <text>
        <r>
          <rPr>
            <b/>
            <sz val="9"/>
            <color indexed="81"/>
            <rFont val="Tahoma"/>
            <family val="2"/>
          </rPr>
          <t>hsk:</t>
        </r>
        <r>
          <rPr>
            <sz val="9"/>
            <color indexed="81"/>
            <rFont val="Tahoma"/>
            <family val="2"/>
          </rPr>
          <t xml:space="preserve">
Zielansatz-Zeile</t>
        </r>
      </text>
    </comment>
    <comment ref="BO506" authorId="0" shapeId="0" xr:uid="{00000000-0006-0000-0000-00006F010000}">
      <text>
        <r>
          <rPr>
            <b/>
            <sz val="9"/>
            <color indexed="81"/>
            <rFont val="Tahoma"/>
            <family val="2"/>
          </rPr>
          <t>hsk:</t>
        </r>
        <r>
          <rPr>
            <sz val="9"/>
            <color indexed="81"/>
            <rFont val="Tahoma"/>
            <family val="2"/>
          </rPr>
          <t xml:space="preserve">
Herleitungs-Zeile</t>
        </r>
      </text>
    </comment>
    <comment ref="BO507" authorId="0" shapeId="0" xr:uid="{00000000-0006-0000-0000-000070010000}">
      <text>
        <r>
          <rPr>
            <b/>
            <sz val="9"/>
            <color indexed="81"/>
            <rFont val="Tahoma"/>
            <family val="2"/>
          </rPr>
          <t>hsk:</t>
        </r>
        <r>
          <rPr>
            <sz val="9"/>
            <color indexed="81"/>
            <rFont val="Tahoma"/>
            <family val="2"/>
          </rPr>
          <t xml:space="preserve">
Herleitungs-Zeile</t>
        </r>
      </text>
    </comment>
    <comment ref="J509" authorId="0" shapeId="0" xr:uid="{00000000-0006-0000-0000-000071010000}">
      <text>
        <r>
          <rPr>
            <b/>
            <sz val="9"/>
            <color indexed="81"/>
            <rFont val="Tahoma"/>
            <family val="2"/>
          </rPr>
          <t>hsk 14.09.2016:</t>
        </r>
        <r>
          <rPr>
            <sz val="9"/>
            <color indexed="81"/>
            <rFont val="Tahoma"/>
            <family val="2"/>
          </rPr>
          <t xml:space="preserve">
% durch GWh/a ersetzt</t>
        </r>
      </text>
    </comment>
    <comment ref="BO509" authorId="0" shapeId="0" xr:uid="{00000000-0006-0000-0000-000072010000}">
      <text>
        <r>
          <rPr>
            <b/>
            <sz val="9"/>
            <color indexed="81"/>
            <rFont val="Tahoma"/>
            <family val="2"/>
          </rPr>
          <t>hsk:</t>
        </r>
        <r>
          <rPr>
            <sz val="9"/>
            <color indexed="81"/>
            <rFont val="Tahoma"/>
            <family val="2"/>
          </rPr>
          <t xml:space="preserve">
Parameterzeile</t>
        </r>
      </text>
    </comment>
    <comment ref="BO510" authorId="0" shapeId="0" xr:uid="{00000000-0006-0000-0000-000073010000}">
      <text>
        <r>
          <rPr>
            <b/>
            <sz val="9"/>
            <color indexed="81"/>
            <rFont val="Tahoma"/>
            <family val="2"/>
          </rPr>
          <t>hsk:</t>
        </r>
        <r>
          <rPr>
            <sz val="9"/>
            <color indexed="81"/>
            <rFont val="Tahoma"/>
            <family val="2"/>
          </rPr>
          <t xml:space="preserve">
Statusansatz-Zeile</t>
        </r>
      </text>
    </comment>
    <comment ref="BO511" authorId="0" shapeId="0" xr:uid="{00000000-0006-0000-0000-000074010000}">
      <text>
        <r>
          <rPr>
            <b/>
            <sz val="9"/>
            <color indexed="81"/>
            <rFont val="Tahoma"/>
            <family val="2"/>
          </rPr>
          <t>hsk:</t>
        </r>
        <r>
          <rPr>
            <sz val="9"/>
            <color indexed="81"/>
            <rFont val="Tahoma"/>
            <family val="2"/>
          </rPr>
          <t xml:space="preserve">
Herleitungs-Zeile</t>
        </r>
      </text>
    </comment>
    <comment ref="BO512" authorId="0" shapeId="0" xr:uid="{00000000-0006-0000-0000-000075010000}">
      <text>
        <r>
          <rPr>
            <b/>
            <sz val="9"/>
            <color indexed="81"/>
            <rFont val="Tahoma"/>
            <family val="2"/>
          </rPr>
          <t>hsk:</t>
        </r>
        <r>
          <rPr>
            <sz val="9"/>
            <color indexed="81"/>
            <rFont val="Tahoma"/>
            <family val="2"/>
          </rPr>
          <t xml:space="preserve">
Herleitungs-Zeile</t>
        </r>
      </text>
    </comment>
    <comment ref="BO513" authorId="0" shapeId="0" xr:uid="{00000000-0006-0000-0000-000076010000}">
      <text>
        <r>
          <rPr>
            <b/>
            <sz val="9"/>
            <color indexed="81"/>
            <rFont val="Tahoma"/>
            <family val="2"/>
          </rPr>
          <t>hsk:</t>
        </r>
        <r>
          <rPr>
            <sz val="9"/>
            <color indexed="81"/>
            <rFont val="Tahoma"/>
            <family val="2"/>
          </rPr>
          <t xml:space="preserve">
Herleitungs-Zeile</t>
        </r>
      </text>
    </comment>
    <comment ref="BO515" authorId="0" shapeId="0" xr:uid="{00000000-0006-0000-0000-000077010000}">
      <text>
        <r>
          <rPr>
            <b/>
            <sz val="9"/>
            <color indexed="81"/>
            <rFont val="Tahoma"/>
            <family val="2"/>
          </rPr>
          <t>hsk:</t>
        </r>
        <r>
          <rPr>
            <sz val="9"/>
            <color indexed="81"/>
            <rFont val="Tahoma"/>
            <family val="2"/>
          </rPr>
          <t xml:space="preserve">
Zielansatz-Zeile</t>
        </r>
      </text>
    </comment>
    <comment ref="BO517" authorId="0" shapeId="0" xr:uid="{00000000-0006-0000-0000-000078010000}">
      <text>
        <r>
          <rPr>
            <b/>
            <sz val="9"/>
            <color indexed="81"/>
            <rFont val="Tahoma"/>
            <family val="2"/>
          </rPr>
          <t>hsk:</t>
        </r>
        <r>
          <rPr>
            <sz val="9"/>
            <color indexed="81"/>
            <rFont val="Tahoma"/>
            <family val="2"/>
          </rPr>
          <t xml:space="preserve">
Titelzeile</t>
        </r>
      </text>
    </comment>
    <comment ref="J519" authorId="0" shapeId="0" xr:uid="{00000000-0006-0000-0000-000079010000}">
      <text>
        <r>
          <rPr>
            <b/>
            <sz val="9"/>
            <color indexed="81"/>
            <rFont val="Tahoma"/>
            <family val="2"/>
          </rPr>
          <t>hsk 14.09.2016:</t>
        </r>
        <r>
          <rPr>
            <sz val="9"/>
            <color indexed="81"/>
            <rFont val="Tahoma"/>
            <family val="2"/>
          </rPr>
          <t xml:space="preserve">
Korrektur GWh/a statt MWh/ha/a</t>
        </r>
      </text>
    </comment>
    <comment ref="BO519" authorId="0" shapeId="0" xr:uid="{00000000-0006-0000-0000-00007A010000}">
      <text>
        <r>
          <rPr>
            <b/>
            <sz val="9"/>
            <color indexed="81"/>
            <rFont val="Tahoma"/>
            <family val="2"/>
          </rPr>
          <t>hsk:</t>
        </r>
        <r>
          <rPr>
            <sz val="9"/>
            <color indexed="81"/>
            <rFont val="Tahoma"/>
            <family val="2"/>
          </rPr>
          <t xml:space="preserve">
Parameterzeile</t>
        </r>
      </text>
    </comment>
    <comment ref="BO520" authorId="0" shapeId="0" xr:uid="{00000000-0006-0000-0000-00007B010000}">
      <text>
        <r>
          <rPr>
            <b/>
            <sz val="9"/>
            <color indexed="81"/>
            <rFont val="Tahoma"/>
            <family val="2"/>
          </rPr>
          <t>hsk:</t>
        </r>
        <r>
          <rPr>
            <sz val="9"/>
            <color indexed="81"/>
            <rFont val="Tahoma"/>
            <family val="2"/>
          </rPr>
          <t xml:space="preserve">
Statusansatz-Zeile</t>
        </r>
      </text>
    </comment>
    <comment ref="BO521" authorId="0" shapeId="0" xr:uid="{00000000-0006-0000-0000-00007C010000}">
      <text>
        <r>
          <rPr>
            <b/>
            <sz val="9"/>
            <color indexed="81"/>
            <rFont val="Tahoma"/>
            <family val="2"/>
          </rPr>
          <t>hsk:</t>
        </r>
        <r>
          <rPr>
            <sz val="9"/>
            <color indexed="81"/>
            <rFont val="Tahoma"/>
            <family val="2"/>
          </rPr>
          <t xml:space="preserve">
Herleitungs-Zeile</t>
        </r>
      </text>
    </comment>
    <comment ref="AF522" authorId="0" shapeId="0" xr:uid="{00000000-0006-0000-0000-00007D010000}">
      <text>
        <r>
          <rPr>
            <b/>
            <sz val="9"/>
            <color indexed="81"/>
            <rFont val="Tahoma"/>
            <family val="2"/>
          </rPr>
          <t>hsk:</t>
        </r>
        <r>
          <rPr>
            <sz val="9"/>
            <color indexed="81"/>
            <rFont val="Tahoma"/>
            <family val="2"/>
          </rPr>
          <t xml:space="preserve">
https://www.bundesverband-bioenergie.de/application/files/8714/9129/3591/entwicklung_der_erneuerbaren_energien_in_deutschland_im_jahr_2016.pdf
S. 27</t>
        </r>
      </text>
    </comment>
    <comment ref="BO522" authorId="0" shapeId="0" xr:uid="{00000000-0006-0000-0000-00007E010000}">
      <text>
        <r>
          <rPr>
            <b/>
            <sz val="9"/>
            <color indexed="81"/>
            <rFont val="Tahoma"/>
            <family val="2"/>
          </rPr>
          <t>hsk:</t>
        </r>
        <r>
          <rPr>
            <sz val="9"/>
            <color indexed="81"/>
            <rFont val="Tahoma"/>
            <family val="2"/>
          </rPr>
          <t xml:space="preserve">
Herleitungs-Zeile</t>
        </r>
      </text>
    </comment>
    <comment ref="W524" authorId="1" shapeId="0" xr:uid="{1E79FCFB-D0F6-4B8A-91EA-5332B0E17C8A}">
      <text>
        <r>
          <rPr>
            <b/>
            <sz val="9"/>
            <color indexed="81"/>
            <rFont val="Segoe UI"/>
            <family val="2"/>
          </rPr>
          <t>hsk:</t>
        </r>
        <r>
          <rPr>
            <sz val="9"/>
            <color indexed="81"/>
            <rFont val="Segoe UI"/>
            <family val="2"/>
          </rPr>
          <t xml:space="preserve">
Zum Abschluss der Übernahme von Modifikationen ins Datenmodell ist der Zielwert aus S.2.148 hierher zu übertragen (Absolutwert, nicht per Formel).</t>
        </r>
      </text>
    </comment>
    <comment ref="BO524" authorId="0" shapeId="0" xr:uid="{00000000-0006-0000-0000-00007F010000}">
      <text>
        <r>
          <rPr>
            <b/>
            <sz val="9"/>
            <color indexed="81"/>
            <rFont val="Tahoma"/>
            <family val="2"/>
          </rPr>
          <t>hsk:</t>
        </r>
        <r>
          <rPr>
            <sz val="9"/>
            <color indexed="81"/>
            <rFont val="Tahoma"/>
            <family val="2"/>
          </rPr>
          <t xml:space="preserve">
Zielansatz-Zeile</t>
        </r>
      </text>
    </comment>
    <comment ref="BO525" authorId="0" shapeId="0" xr:uid="{00000000-0006-0000-0000-000080010000}">
      <text>
        <r>
          <rPr>
            <b/>
            <sz val="9"/>
            <color indexed="81"/>
            <rFont val="Tahoma"/>
            <family val="2"/>
          </rPr>
          <t>hsk:</t>
        </r>
        <r>
          <rPr>
            <sz val="9"/>
            <color indexed="81"/>
            <rFont val="Tahoma"/>
            <family val="2"/>
          </rPr>
          <t xml:space="preserve">
Herleitungs-Zeile</t>
        </r>
      </text>
    </comment>
    <comment ref="BO527" authorId="0" shapeId="0" xr:uid="{00000000-0006-0000-0000-000081010000}">
      <text>
        <r>
          <rPr>
            <b/>
            <sz val="9"/>
            <color indexed="81"/>
            <rFont val="Tahoma"/>
            <family val="2"/>
          </rPr>
          <t>hsk:</t>
        </r>
        <r>
          <rPr>
            <sz val="9"/>
            <color indexed="81"/>
            <rFont val="Tahoma"/>
            <family val="2"/>
          </rPr>
          <t xml:space="preserve">
Parameterzeile</t>
        </r>
      </text>
    </comment>
    <comment ref="BO528" authorId="0" shapeId="0" xr:uid="{00000000-0006-0000-0000-000082010000}">
      <text>
        <r>
          <rPr>
            <b/>
            <sz val="9"/>
            <color indexed="81"/>
            <rFont val="Tahoma"/>
            <family val="2"/>
          </rPr>
          <t>hsk:</t>
        </r>
        <r>
          <rPr>
            <sz val="9"/>
            <color indexed="81"/>
            <rFont val="Tahoma"/>
            <family val="2"/>
          </rPr>
          <t xml:space="preserve">
Statusansatz-Zeile</t>
        </r>
      </text>
    </comment>
    <comment ref="BO530" authorId="0" shapeId="0" xr:uid="{00000000-0006-0000-0000-000083010000}">
      <text>
        <r>
          <rPr>
            <b/>
            <sz val="9"/>
            <color indexed="81"/>
            <rFont val="Tahoma"/>
            <family val="2"/>
          </rPr>
          <t>hsk:</t>
        </r>
        <r>
          <rPr>
            <sz val="9"/>
            <color indexed="81"/>
            <rFont val="Tahoma"/>
            <family val="2"/>
          </rPr>
          <t xml:space="preserve">
Zielansatz-Zeile</t>
        </r>
      </text>
    </comment>
    <comment ref="BO532" authorId="0" shapeId="0" xr:uid="{00000000-0006-0000-0000-000084010000}">
      <text>
        <r>
          <rPr>
            <b/>
            <sz val="9"/>
            <color indexed="81"/>
            <rFont val="Tahoma"/>
            <family val="2"/>
          </rPr>
          <t>hsk:</t>
        </r>
        <r>
          <rPr>
            <sz val="9"/>
            <color indexed="81"/>
            <rFont val="Tahoma"/>
            <family val="2"/>
          </rPr>
          <t xml:space="preserve">
Parameterzeile</t>
        </r>
      </text>
    </comment>
    <comment ref="BO533" authorId="0" shapeId="0" xr:uid="{00000000-0006-0000-0000-000085010000}">
      <text>
        <r>
          <rPr>
            <b/>
            <sz val="9"/>
            <color indexed="81"/>
            <rFont val="Tahoma"/>
            <family val="2"/>
          </rPr>
          <t>hsk:</t>
        </r>
        <r>
          <rPr>
            <sz val="9"/>
            <color indexed="81"/>
            <rFont val="Tahoma"/>
            <family val="2"/>
          </rPr>
          <t xml:space="preserve">
Herleitungs-Zeile</t>
        </r>
      </text>
    </comment>
    <comment ref="BO534" authorId="0" shapeId="0" xr:uid="{00000000-0006-0000-0000-000086010000}">
      <text>
        <r>
          <rPr>
            <b/>
            <sz val="9"/>
            <color indexed="81"/>
            <rFont val="Tahoma"/>
            <family val="2"/>
          </rPr>
          <t>hsk:</t>
        </r>
        <r>
          <rPr>
            <sz val="9"/>
            <color indexed="81"/>
            <rFont val="Tahoma"/>
            <family val="2"/>
          </rPr>
          <t xml:space="preserve">
Statusansatz-Zeile</t>
        </r>
      </text>
    </comment>
    <comment ref="BO536" authorId="0" shapeId="0" xr:uid="{00000000-0006-0000-0000-000087010000}">
      <text>
        <r>
          <rPr>
            <b/>
            <sz val="9"/>
            <color indexed="81"/>
            <rFont val="Tahoma"/>
            <family val="2"/>
          </rPr>
          <t>hsk:</t>
        </r>
        <r>
          <rPr>
            <sz val="9"/>
            <color indexed="81"/>
            <rFont val="Tahoma"/>
            <family val="2"/>
          </rPr>
          <t xml:space="preserve">
Zielansatz-Zeile</t>
        </r>
      </text>
    </comment>
    <comment ref="BO537" authorId="0" shapeId="0" xr:uid="{00000000-0006-0000-0000-000088010000}">
      <text>
        <r>
          <rPr>
            <b/>
            <sz val="9"/>
            <color indexed="81"/>
            <rFont val="Tahoma"/>
            <family val="2"/>
          </rPr>
          <t>hsk:</t>
        </r>
        <r>
          <rPr>
            <sz val="9"/>
            <color indexed="81"/>
            <rFont val="Tahoma"/>
            <family val="2"/>
          </rPr>
          <t xml:space="preserve">
Herleitungs-Zeile</t>
        </r>
      </text>
    </comment>
    <comment ref="BO538" authorId="0" shapeId="0" xr:uid="{00000000-0006-0000-0000-000089010000}">
      <text>
        <r>
          <rPr>
            <b/>
            <sz val="9"/>
            <color indexed="81"/>
            <rFont val="Tahoma"/>
            <family val="2"/>
          </rPr>
          <t>hsk:</t>
        </r>
        <r>
          <rPr>
            <sz val="9"/>
            <color indexed="81"/>
            <rFont val="Tahoma"/>
            <family val="2"/>
          </rPr>
          <t xml:space="preserve">
Herleitungs-Zeile</t>
        </r>
      </text>
    </comment>
    <comment ref="BO540" authorId="0" shapeId="0" xr:uid="{00000000-0006-0000-0000-00008A010000}">
      <text>
        <r>
          <rPr>
            <b/>
            <sz val="9"/>
            <color indexed="81"/>
            <rFont val="Tahoma"/>
            <family val="2"/>
          </rPr>
          <t>hsk:</t>
        </r>
        <r>
          <rPr>
            <sz val="9"/>
            <color indexed="81"/>
            <rFont val="Tahoma"/>
            <family val="2"/>
          </rPr>
          <t xml:space="preserve">
Parameterzeile</t>
        </r>
      </text>
    </comment>
    <comment ref="BO541" authorId="0" shapeId="0" xr:uid="{00000000-0006-0000-0000-00008B010000}">
      <text>
        <r>
          <rPr>
            <b/>
            <sz val="9"/>
            <color indexed="81"/>
            <rFont val="Tahoma"/>
            <family val="2"/>
          </rPr>
          <t>hsk:</t>
        </r>
        <r>
          <rPr>
            <sz val="9"/>
            <color indexed="81"/>
            <rFont val="Tahoma"/>
            <family val="2"/>
          </rPr>
          <t xml:space="preserve">
Herleitungs-Zeile</t>
        </r>
      </text>
    </comment>
    <comment ref="BO542" authorId="0" shapeId="0" xr:uid="{00000000-0006-0000-0000-00008C010000}">
      <text>
        <r>
          <rPr>
            <b/>
            <sz val="9"/>
            <color indexed="81"/>
            <rFont val="Tahoma"/>
            <family val="2"/>
          </rPr>
          <t>hsk:</t>
        </r>
        <r>
          <rPr>
            <sz val="9"/>
            <color indexed="81"/>
            <rFont val="Tahoma"/>
            <family val="2"/>
          </rPr>
          <t xml:space="preserve">
Statusansatz-Zeile</t>
        </r>
      </text>
    </comment>
    <comment ref="BO544" authorId="0" shapeId="0" xr:uid="{00000000-0006-0000-0000-00008D010000}">
      <text>
        <r>
          <rPr>
            <b/>
            <sz val="9"/>
            <color indexed="81"/>
            <rFont val="Tahoma"/>
            <family val="2"/>
          </rPr>
          <t>hsk:</t>
        </r>
        <r>
          <rPr>
            <sz val="9"/>
            <color indexed="81"/>
            <rFont val="Tahoma"/>
            <family val="2"/>
          </rPr>
          <t xml:space="preserve">
Zielansatz-Zeile</t>
        </r>
      </text>
    </comment>
    <comment ref="BO546" authorId="0" shapeId="0" xr:uid="{00000000-0006-0000-0000-00008E010000}">
      <text>
        <r>
          <rPr>
            <b/>
            <sz val="9"/>
            <color indexed="81"/>
            <rFont val="Tahoma"/>
            <family val="2"/>
          </rPr>
          <t>hsk:</t>
        </r>
        <r>
          <rPr>
            <sz val="9"/>
            <color indexed="81"/>
            <rFont val="Tahoma"/>
            <family val="2"/>
          </rPr>
          <t xml:space="preserve">
Parameterzeile</t>
        </r>
      </text>
    </comment>
    <comment ref="BO547" authorId="0" shapeId="0" xr:uid="{00000000-0006-0000-0000-00008F010000}">
      <text>
        <r>
          <rPr>
            <b/>
            <sz val="9"/>
            <color indexed="81"/>
            <rFont val="Tahoma"/>
            <family val="2"/>
          </rPr>
          <t>hsk:</t>
        </r>
        <r>
          <rPr>
            <sz val="9"/>
            <color indexed="81"/>
            <rFont val="Tahoma"/>
            <family val="2"/>
          </rPr>
          <t xml:space="preserve">
Statusansatz-Zeile</t>
        </r>
      </text>
    </comment>
    <comment ref="BO549" authorId="0" shapeId="0" xr:uid="{00000000-0006-0000-0000-000090010000}">
      <text>
        <r>
          <rPr>
            <b/>
            <sz val="9"/>
            <color indexed="81"/>
            <rFont val="Tahoma"/>
            <family val="2"/>
          </rPr>
          <t>hsk:</t>
        </r>
        <r>
          <rPr>
            <sz val="9"/>
            <color indexed="81"/>
            <rFont val="Tahoma"/>
            <family val="2"/>
          </rPr>
          <t xml:space="preserve">
Zielansatz-Zeile</t>
        </r>
      </text>
    </comment>
    <comment ref="BO551" authorId="0" shapeId="0" xr:uid="{00000000-0006-0000-0000-000091010000}">
      <text>
        <r>
          <rPr>
            <b/>
            <sz val="9"/>
            <color indexed="81"/>
            <rFont val="Tahoma"/>
            <family val="2"/>
          </rPr>
          <t>hsk:</t>
        </r>
        <r>
          <rPr>
            <sz val="9"/>
            <color indexed="81"/>
            <rFont val="Tahoma"/>
            <family val="2"/>
          </rPr>
          <t xml:space="preserve">
Titelzeile</t>
        </r>
      </text>
    </comment>
    <comment ref="T553" authorId="0" shapeId="0" xr:uid="{00000000-0006-0000-0000-000092010000}">
      <text>
        <r>
          <rPr>
            <b/>
            <sz val="9"/>
            <color indexed="81"/>
            <rFont val="Tahoma"/>
            <family val="2"/>
          </rPr>
          <t>hsk:</t>
        </r>
        <r>
          <rPr>
            <sz val="9"/>
            <color indexed="81"/>
            <rFont val="Tahoma"/>
            <family val="2"/>
          </rPr>
          <t xml:space="preserve">
elektrische Nutzung rausnehmen und dafür thermische Nutzung einsetzen?</t>
        </r>
      </text>
    </comment>
    <comment ref="BO553" authorId="0" shapeId="0" xr:uid="{00000000-0006-0000-0000-000093010000}">
      <text>
        <r>
          <rPr>
            <b/>
            <sz val="9"/>
            <color indexed="81"/>
            <rFont val="Tahoma"/>
            <family val="2"/>
          </rPr>
          <t>hsk:</t>
        </r>
        <r>
          <rPr>
            <sz val="9"/>
            <color indexed="81"/>
            <rFont val="Tahoma"/>
            <family val="2"/>
          </rPr>
          <t xml:space="preserve">
Parameterzeile</t>
        </r>
      </text>
    </comment>
    <comment ref="BO554" authorId="0" shapeId="0" xr:uid="{00000000-0006-0000-0000-000094010000}">
      <text>
        <r>
          <rPr>
            <b/>
            <sz val="9"/>
            <color indexed="81"/>
            <rFont val="Tahoma"/>
            <family val="2"/>
          </rPr>
          <t>hsk:</t>
        </r>
        <r>
          <rPr>
            <sz val="9"/>
            <color indexed="81"/>
            <rFont val="Tahoma"/>
            <family val="2"/>
          </rPr>
          <t xml:space="preserve">
Statusansatz-Zeile</t>
        </r>
      </text>
    </comment>
    <comment ref="BO556" authorId="0" shapeId="0" xr:uid="{00000000-0006-0000-0000-000095010000}">
      <text>
        <r>
          <rPr>
            <b/>
            <sz val="9"/>
            <color indexed="81"/>
            <rFont val="Tahoma"/>
            <family val="2"/>
          </rPr>
          <t>hsk:</t>
        </r>
        <r>
          <rPr>
            <sz val="9"/>
            <color indexed="81"/>
            <rFont val="Tahoma"/>
            <family val="2"/>
          </rPr>
          <t xml:space="preserve">
Zielansatz-Zeile</t>
        </r>
      </text>
    </comment>
    <comment ref="BO558" authorId="0" shapeId="0" xr:uid="{00000000-0006-0000-0000-000096010000}">
      <text>
        <r>
          <rPr>
            <b/>
            <sz val="9"/>
            <color indexed="81"/>
            <rFont val="Tahoma"/>
            <family val="2"/>
          </rPr>
          <t>hsk:</t>
        </r>
        <r>
          <rPr>
            <sz val="9"/>
            <color indexed="81"/>
            <rFont val="Tahoma"/>
            <family val="2"/>
          </rPr>
          <t xml:space="preserve">
Parameterzeile</t>
        </r>
      </text>
    </comment>
    <comment ref="BO559" authorId="0" shapeId="0" xr:uid="{00000000-0006-0000-0000-000097010000}">
      <text>
        <r>
          <rPr>
            <b/>
            <sz val="9"/>
            <color indexed="81"/>
            <rFont val="Tahoma"/>
            <family val="2"/>
          </rPr>
          <t>hsk:</t>
        </r>
        <r>
          <rPr>
            <sz val="9"/>
            <color indexed="81"/>
            <rFont val="Tahoma"/>
            <family val="2"/>
          </rPr>
          <t xml:space="preserve">
Statusansatz-Zeile</t>
        </r>
      </text>
    </comment>
    <comment ref="BO561" authorId="0" shapeId="0" xr:uid="{00000000-0006-0000-0000-000098010000}">
      <text>
        <r>
          <rPr>
            <b/>
            <sz val="9"/>
            <color indexed="81"/>
            <rFont val="Tahoma"/>
            <family val="2"/>
          </rPr>
          <t>hsk:</t>
        </r>
        <r>
          <rPr>
            <sz val="9"/>
            <color indexed="81"/>
            <rFont val="Tahoma"/>
            <family val="2"/>
          </rPr>
          <t xml:space="preserve">
Zielansatz-Zeile</t>
        </r>
      </text>
    </comment>
    <comment ref="BO563" authorId="0" shapeId="0" xr:uid="{00000000-0006-0000-0000-000099010000}">
      <text>
        <r>
          <rPr>
            <b/>
            <sz val="9"/>
            <color indexed="81"/>
            <rFont val="Tahoma"/>
            <family val="2"/>
          </rPr>
          <t>hsk:</t>
        </r>
        <r>
          <rPr>
            <sz val="9"/>
            <color indexed="81"/>
            <rFont val="Tahoma"/>
            <family val="2"/>
          </rPr>
          <t xml:space="preserve">
Parameterzeile</t>
        </r>
      </text>
    </comment>
    <comment ref="BO564" authorId="0" shapeId="0" xr:uid="{00000000-0006-0000-0000-00009A010000}">
      <text>
        <r>
          <rPr>
            <b/>
            <sz val="9"/>
            <color indexed="81"/>
            <rFont val="Tahoma"/>
            <family val="2"/>
          </rPr>
          <t>hsk:</t>
        </r>
        <r>
          <rPr>
            <sz val="9"/>
            <color indexed="81"/>
            <rFont val="Tahoma"/>
            <family val="2"/>
          </rPr>
          <t xml:space="preserve">
Statusansatz-Zeile</t>
        </r>
      </text>
    </comment>
    <comment ref="BO566" authorId="0" shapeId="0" xr:uid="{00000000-0006-0000-0000-00009B010000}">
      <text>
        <r>
          <rPr>
            <b/>
            <sz val="9"/>
            <color indexed="81"/>
            <rFont val="Tahoma"/>
            <family val="2"/>
          </rPr>
          <t>hsk:</t>
        </r>
        <r>
          <rPr>
            <sz val="9"/>
            <color indexed="81"/>
            <rFont val="Tahoma"/>
            <family val="2"/>
          </rPr>
          <t xml:space="preserve">
Zielansatz-Zeile</t>
        </r>
      </text>
    </comment>
    <comment ref="BO568" authorId="0" shapeId="0" xr:uid="{00000000-0006-0000-0000-00009C010000}">
      <text>
        <r>
          <rPr>
            <b/>
            <sz val="9"/>
            <color indexed="81"/>
            <rFont val="Tahoma"/>
            <family val="2"/>
          </rPr>
          <t>hsk:</t>
        </r>
        <r>
          <rPr>
            <sz val="9"/>
            <color indexed="81"/>
            <rFont val="Tahoma"/>
            <family val="2"/>
          </rPr>
          <t xml:space="preserve">
Parameterzeile</t>
        </r>
      </text>
    </comment>
    <comment ref="BO569" authorId="0" shapeId="0" xr:uid="{00000000-0006-0000-0000-00009D010000}">
      <text>
        <r>
          <rPr>
            <b/>
            <sz val="9"/>
            <color indexed="81"/>
            <rFont val="Tahoma"/>
            <family val="2"/>
          </rPr>
          <t>hsk:</t>
        </r>
        <r>
          <rPr>
            <sz val="9"/>
            <color indexed="81"/>
            <rFont val="Tahoma"/>
            <family val="2"/>
          </rPr>
          <t xml:space="preserve">
Herleitungs-Zeile</t>
        </r>
      </text>
    </comment>
    <comment ref="BO570" authorId="0" shapeId="0" xr:uid="{00000000-0006-0000-0000-00009E010000}">
      <text>
        <r>
          <rPr>
            <b/>
            <sz val="9"/>
            <color indexed="81"/>
            <rFont val="Tahoma"/>
            <family val="2"/>
          </rPr>
          <t>hsk:</t>
        </r>
        <r>
          <rPr>
            <sz val="9"/>
            <color indexed="81"/>
            <rFont val="Tahoma"/>
            <family val="2"/>
          </rPr>
          <t xml:space="preserve">
Herleitungs-Zeile</t>
        </r>
      </text>
    </comment>
    <comment ref="BO571" authorId="0" shapeId="0" xr:uid="{00000000-0006-0000-0000-00009F010000}">
      <text>
        <r>
          <rPr>
            <b/>
            <sz val="9"/>
            <color indexed="81"/>
            <rFont val="Tahoma"/>
            <family val="2"/>
          </rPr>
          <t>hsk:</t>
        </r>
        <r>
          <rPr>
            <sz val="9"/>
            <color indexed="81"/>
            <rFont val="Tahoma"/>
            <family val="2"/>
          </rPr>
          <t xml:space="preserve">
Herleitungs-Zeile</t>
        </r>
      </text>
    </comment>
    <comment ref="BO573" authorId="0" shapeId="0" xr:uid="{00000000-0006-0000-0000-0000A0010000}">
      <text>
        <r>
          <rPr>
            <b/>
            <sz val="9"/>
            <color indexed="81"/>
            <rFont val="Tahoma"/>
            <family val="2"/>
          </rPr>
          <t>hsk:</t>
        </r>
        <r>
          <rPr>
            <sz val="9"/>
            <color indexed="81"/>
            <rFont val="Tahoma"/>
            <family val="2"/>
          </rPr>
          <t xml:space="preserve">
Parameterzeile</t>
        </r>
      </text>
    </comment>
    <comment ref="BO574" authorId="0" shapeId="0" xr:uid="{00000000-0006-0000-0000-0000A1010000}">
      <text>
        <r>
          <rPr>
            <b/>
            <sz val="9"/>
            <color indexed="81"/>
            <rFont val="Tahoma"/>
            <family val="2"/>
          </rPr>
          <t>hsk:</t>
        </r>
        <r>
          <rPr>
            <sz val="9"/>
            <color indexed="81"/>
            <rFont val="Tahoma"/>
            <family val="2"/>
          </rPr>
          <t xml:space="preserve">
Herleitungs-Zeile</t>
        </r>
      </text>
    </comment>
    <comment ref="BO575" authorId="0" shapeId="0" xr:uid="{00000000-0006-0000-0000-0000A2010000}">
      <text>
        <r>
          <rPr>
            <b/>
            <sz val="9"/>
            <color indexed="81"/>
            <rFont val="Tahoma"/>
            <family val="2"/>
          </rPr>
          <t>hsk:</t>
        </r>
        <r>
          <rPr>
            <sz val="9"/>
            <color indexed="81"/>
            <rFont val="Tahoma"/>
            <family val="2"/>
          </rPr>
          <t xml:space="preserve">
Herleitungs-Zeile</t>
        </r>
      </text>
    </comment>
    <comment ref="BO577" authorId="0" shapeId="0" xr:uid="{00000000-0006-0000-0000-0000A3010000}">
      <text>
        <r>
          <rPr>
            <b/>
            <sz val="9"/>
            <color indexed="81"/>
            <rFont val="Tahoma"/>
            <family val="2"/>
          </rPr>
          <t>hsk:</t>
        </r>
        <r>
          <rPr>
            <sz val="9"/>
            <color indexed="81"/>
            <rFont val="Tahoma"/>
            <family val="2"/>
          </rPr>
          <t xml:space="preserve">
Parameterzeile</t>
        </r>
      </text>
    </comment>
    <comment ref="BO578" authorId="0" shapeId="0" xr:uid="{00000000-0006-0000-0000-0000A4010000}">
      <text>
        <r>
          <rPr>
            <b/>
            <sz val="9"/>
            <color indexed="81"/>
            <rFont val="Tahoma"/>
            <family val="2"/>
          </rPr>
          <t>hsk:</t>
        </r>
        <r>
          <rPr>
            <sz val="9"/>
            <color indexed="81"/>
            <rFont val="Tahoma"/>
            <family val="2"/>
          </rPr>
          <t xml:space="preserve">
Statusansatz-Zeile</t>
        </r>
      </text>
    </comment>
    <comment ref="BO580" authorId="0" shapeId="0" xr:uid="{00000000-0006-0000-0000-0000A5010000}">
      <text>
        <r>
          <rPr>
            <b/>
            <sz val="9"/>
            <color indexed="81"/>
            <rFont val="Tahoma"/>
            <family val="2"/>
          </rPr>
          <t>hsk:</t>
        </r>
        <r>
          <rPr>
            <sz val="9"/>
            <color indexed="81"/>
            <rFont val="Tahoma"/>
            <family val="2"/>
          </rPr>
          <t xml:space="preserve">
Zielansatz-Zeile</t>
        </r>
      </text>
    </comment>
    <comment ref="BO582" authorId="0" shapeId="0" xr:uid="{00000000-0006-0000-0000-0000A6010000}">
      <text>
        <r>
          <rPr>
            <b/>
            <sz val="9"/>
            <color indexed="81"/>
            <rFont val="Tahoma"/>
            <family val="2"/>
          </rPr>
          <t>hsk:</t>
        </r>
        <r>
          <rPr>
            <sz val="9"/>
            <color indexed="81"/>
            <rFont val="Tahoma"/>
            <family val="2"/>
          </rPr>
          <t xml:space="preserve">
Titelzeile</t>
        </r>
      </text>
    </comment>
    <comment ref="BO584" authorId="0" shapeId="0" xr:uid="{00000000-0006-0000-0000-0000A7010000}">
      <text>
        <r>
          <rPr>
            <b/>
            <sz val="9"/>
            <color indexed="81"/>
            <rFont val="Tahoma"/>
            <family val="2"/>
          </rPr>
          <t>hsk:</t>
        </r>
        <r>
          <rPr>
            <sz val="9"/>
            <color indexed="81"/>
            <rFont val="Tahoma"/>
            <family val="2"/>
          </rPr>
          <t xml:space="preserve">
Parameterzeile</t>
        </r>
      </text>
    </comment>
    <comment ref="BO585" authorId="0" shapeId="0" xr:uid="{00000000-0006-0000-0000-0000A8010000}">
      <text>
        <r>
          <rPr>
            <b/>
            <sz val="9"/>
            <color indexed="81"/>
            <rFont val="Tahoma"/>
            <family val="2"/>
          </rPr>
          <t>hsk:</t>
        </r>
        <r>
          <rPr>
            <sz val="9"/>
            <color indexed="81"/>
            <rFont val="Tahoma"/>
            <family val="2"/>
          </rPr>
          <t xml:space="preserve">
Statusansatz-Zeile</t>
        </r>
      </text>
    </comment>
    <comment ref="W587" authorId="0" shapeId="0" xr:uid="{00000000-0006-0000-0000-0000A9010000}">
      <text>
        <r>
          <rPr>
            <b/>
            <sz val="9"/>
            <color indexed="81"/>
            <rFont val="Tahoma"/>
            <family val="2"/>
          </rPr>
          <t>hsk:</t>
        </r>
        <r>
          <rPr>
            <sz val="9"/>
            <color indexed="81"/>
            <rFont val="Tahoma"/>
            <family val="2"/>
          </rPr>
          <t xml:space="preserve">
Prozentzahl aus _S links übertragen
</t>
        </r>
      </text>
    </comment>
    <comment ref="BO587" authorId="0" shapeId="0" xr:uid="{00000000-0006-0000-0000-0000AA010000}">
      <text>
        <r>
          <rPr>
            <b/>
            <sz val="9"/>
            <color indexed="81"/>
            <rFont val="Tahoma"/>
            <family val="2"/>
          </rPr>
          <t>hsk:</t>
        </r>
        <r>
          <rPr>
            <sz val="9"/>
            <color indexed="81"/>
            <rFont val="Tahoma"/>
            <family val="2"/>
          </rPr>
          <t xml:space="preserve">
Zielansatz-Zeile</t>
        </r>
      </text>
    </comment>
    <comment ref="BO589" authorId="0" shapeId="0" xr:uid="{00000000-0006-0000-0000-0000AB010000}">
      <text>
        <r>
          <rPr>
            <b/>
            <sz val="9"/>
            <color indexed="81"/>
            <rFont val="Tahoma"/>
            <family val="2"/>
          </rPr>
          <t>hsk:</t>
        </r>
        <r>
          <rPr>
            <sz val="9"/>
            <color indexed="81"/>
            <rFont val="Tahoma"/>
            <family val="2"/>
          </rPr>
          <t xml:space="preserve">
Parameterzeile</t>
        </r>
      </text>
    </comment>
    <comment ref="BO590" authorId="0" shapeId="0" xr:uid="{00000000-0006-0000-0000-0000AC010000}">
      <text>
        <r>
          <rPr>
            <b/>
            <sz val="9"/>
            <color indexed="81"/>
            <rFont val="Tahoma"/>
            <family val="2"/>
          </rPr>
          <t>hsk:</t>
        </r>
        <r>
          <rPr>
            <sz val="9"/>
            <color indexed="81"/>
            <rFont val="Tahoma"/>
            <family val="2"/>
          </rPr>
          <t xml:space="preserve">
Statusansatz-Zeile</t>
        </r>
      </text>
    </comment>
    <comment ref="BO592" authorId="0" shapeId="0" xr:uid="{00000000-0006-0000-0000-0000AD010000}">
      <text>
        <r>
          <rPr>
            <b/>
            <sz val="9"/>
            <color indexed="81"/>
            <rFont val="Tahoma"/>
            <family val="2"/>
          </rPr>
          <t>hsk:</t>
        </r>
        <r>
          <rPr>
            <sz val="9"/>
            <color indexed="81"/>
            <rFont val="Tahoma"/>
            <family val="2"/>
          </rPr>
          <t xml:space="preserve">
Zielansatz-Zeile</t>
        </r>
      </text>
    </comment>
    <comment ref="BO593" authorId="0" shapeId="0" xr:uid="{00000000-0006-0000-0000-0000AE010000}">
      <text>
        <r>
          <rPr>
            <b/>
            <sz val="9"/>
            <color indexed="81"/>
            <rFont val="Tahoma"/>
            <family val="2"/>
          </rPr>
          <t>hsk:</t>
        </r>
        <r>
          <rPr>
            <sz val="9"/>
            <color indexed="81"/>
            <rFont val="Tahoma"/>
            <family val="2"/>
          </rPr>
          <t xml:space="preserve">
Herleitungs-Zeile</t>
        </r>
      </text>
    </comment>
    <comment ref="BO595" authorId="0" shapeId="0" xr:uid="{00000000-0006-0000-0000-0000AF010000}">
      <text>
        <r>
          <rPr>
            <b/>
            <sz val="9"/>
            <color indexed="81"/>
            <rFont val="Tahoma"/>
            <family val="2"/>
          </rPr>
          <t>hsk:</t>
        </r>
        <r>
          <rPr>
            <sz val="9"/>
            <color indexed="81"/>
            <rFont val="Tahoma"/>
            <family val="2"/>
          </rPr>
          <t xml:space="preserve">
Parameterzeile</t>
        </r>
      </text>
    </comment>
    <comment ref="BO596" authorId="0" shapeId="0" xr:uid="{00000000-0006-0000-0000-0000B0010000}">
      <text>
        <r>
          <rPr>
            <b/>
            <sz val="9"/>
            <color indexed="81"/>
            <rFont val="Tahoma"/>
            <family val="2"/>
          </rPr>
          <t>hsk:</t>
        </r>
        <r>
          <rPr>
            <sz val="9"/>
            <color indexed="81"/>
            <rFont val="Tahoma"/>
            <family val="2"/>
          </rPr>
          <t xml:space="preserve">
Statusansatz-Zeile</t>
        </r>
      </text>
    </comment>
    <comment ref="BO598" authorId="0" shapeId="0" xr:uid="{00000000-0006-0000-0000-0000B1010000}">
      <text>
        <r>
          <rPr>
            <b/>
            <sz val="9"/>
            <color indexed="81"/>
            <rFont val="Tahoma"/>
            <family val="2"/>
          </rPr>
          <t>hsk:</t>
        </r>
        <r>
          <rPr>
            <sz val="9"/>
            <color indexed="81"/>
            <rFont val="Tahoma"/>
            <family val="2"/>
          </rPr>
          <t xml:space="preserve">
Zielansatz-Zeile</t>
        </r>
      </text>
    </comment>
    <comment ref="BO600" authorId="0" shapeId="0" xr:uid="{00000000-0006-0000-0000-0000B2010000}">
      <text>
        <r>
          <rPr>
            <b/>
            <sz val="9"/>
            <color indexed="81"/>
            <rFont val="Tahoma"/>
            <family val="2"/>
          </rPr>
          <t>hsk:</t>
        </r>
        <r>
          <rPr>
            <sz val="9"/>
            <color indexed="81"/>
            <rFont val="Tahoma"/>
            <family val="2"/>
          </rPr>
          <t xml:space="preserve">
Parameterzeile</t>
        </r>
      </text>
    </comment>
    <comment ref="BO601" authorId="0" shapeId="0" xr:uid="{00000000-0006-0000-0000-0000B3010000}">
      <text>
        <r>
          <rPr>
            <b/>
            <sz val="9"/>
            <color indexed="81"/>
            <rFont val="Tahoma"/>
            <family val="2"/>
          </rPr>
          <t>hsk:</t>
        </r>
        <r>
          <rPr>
            <sz val="9"/>
            <color indexed="81"/>
            <rFont val="Tahoma"/>
            <family val="2"/>
          </rPr>
          <t xml:space="preserve">
Statusansatz-Zeile</t>
        </r>
      </text>
    </comment>
    <comment ref="BO603" authorId="0" shapeId="0" xr:uid="{00000000-0006-0000-0000-0000B4010000}">
      <text>
        <r>
          <rPr>
            <b/>
            <sz val="9"/>
            <color indexed="81"/>
            <rFont val="Tahoma"/>
            <family val="2"/>
          </rPr>
          <t>hsk:</t>
        </r>
        <r>
          <rPr>
            <sz val="9"/>
            <color indexed="81"/>
            <rFont val="Tahoma"/>
            <family val="2"/>
          </rPr>
          <t xml:space="preserve">
Zielansatz-Zeile</t>
        </r>
      </text>
    </comment>
    <comment ref="BO605" authorId="0" shapeId="0" xr:uid="{00000000-0006-0000-0000-0000B5010000}">
      <text>
        <r>
          <rPr>
            <b/>
            <sz val="9"/>
            <color indexed="81"/>
            <rFont val="Tahoma"/>
            <family val="2"/>
          </rPr>
          <t>hsk:</t>
        </r>
        <r>
          <rPr>
            <sz val="9"/>
            <color indexed="81"/>
            <rFont val="Tahoma"/>
            <family val="2"/>
          </rPr>
          <t xml:space="preserve">
Parameterzeile</t>
        </r>
      </text>
    </comment>
    <comment ref="BO606" authorId="0" shapeId="0" xr:uid="{00000000-0006-0000-0000-0000B6010000}">
      <text>
        <r>
          <rPr>
            <b/>
            <sz val="9"/>
            <color indexed="81"/>
            <rFont val="Tahoma"/>
            <family val="2"/>
          </rPr>
          <t>hsk:</t>
        </r>
        <r>
          <rPr>
            <sz val="9"/>
            <color indexed="81"/>
            <rFont val="Tahoma"/>
            <family val="2"/>
          </rPr>
          <t xml:space="preserve">
Statusansatz-Zeile</t>
        </r>
      </text>
    </comment>
    <comment ref="BO608" authorId="0" shapeId="0" xr:uid="{00000000-0006-0000-0000-0000B7010000}">
      <text>
        <r>
          <rPr>
            <b/>
            <sz val="9"/>
            <color indexed="81"/>
            <rFont val="Tahoma"/>
            <family val="2"/>
          </rPr>
          <t>hsk:</t>
        </r>
        <r>
          <rPr>
            <sz val="9"/>
            <color indexed="81"/>
            <rFont val="Tahoma"/>
            <family val="2"/>
          </rPr>
          <t xml:space="preserve">
Zielansatz-Zeile</t>
        </r>
      </text>
    </comment>
    <comment ref="BO609" authorId="0" shapeId="0" xr:uid="{00000000-0006-0000-0000-0000B8010000}">
      <text>
        <r>
          <rPr>
            <b/>
            <sz val="9"/>
            <color indexed="81"/>
            <rFont val="Tahoma"/>
            <family val="2"/>
          </rPr>
          <t>hsk:</t>
        </r>
        <r>
          <rPr>
            <sz val="9"/>
            <color indexed="81"/>
            <rFont val="Tahoma"/>
            <family val="2"/>
          </rPr>
          <t xml:space="preserve">
Herleitungs-Zeile</t>
        </r>
      </text>
    </comment>
    <comment ref="BO611" authorId="0" shapeId="0" xr:uid="{00000000-0006-0000-0000-0000B9010000}">
      <text>
        <r>
          <rPr>
            <b/>
            <sz val="9"/>
            <color indexed="81"/>
            <rFont val="Tahoma"/>
            <family val="2"/>
          </rPr>
          <t>hsk:</t>
        </r>
        <r>
          <rPr>
            <sz val="9"/>
            <color indexed="81"/>
            <rFont val="Tahoma"/>
            <family val="2"/>
          </rPr>
          <t xml:space="preserve">
Parameterzeile</t>
        </r>
      </text>
    </comment>
    <comment ref="BO612" authorId="0" shapeId="0" xr:uid="{00000000-0006-0000-0000-0000BA010000}">
      <text>
        <r>
          <rPr>
            <b/>
            <sz val="9"/>
            <color indexed="81"/>
            <rFont val="Tahoma"/>
            <family val="2"/>
          </rPr>
          <t>hsk:</t>
        </r>
        <r>
          <rPr>
            <sz val="9"/>
            <color indexed="81"/>
            <rFont val="Tahoma"/>
            <family val="2"/>
          </rPr>
          <t xml:space="preserve">
Statusansatz-Zeile</t>
        </r>
      </text>
    </comment>
    <comment ref="BO614" authorId="0" shapeId="0" xr:uid="{00000000-0006-0000-0000-0000BB010000}">
      <text>
        <r>
          <rPr>
            <b/>
            <sz val="9"/>
            <color indexed="81"/>
            <rFont val="Tahoma"/>
            <family val="2"/>
          </rPr>
          <t>hsk:</t>
        </r>
        <r>
          <rPr>
            <sz val="9"/>
            <color indexed="81"/>
            <rFont val="Tahoma"/>
            <family val="2"/>
          </rPr>
          <t xml:space="preserve">
Zielansatz-Zeile</t>
        </r>
      </text>
    </comment>
    <comment ref="BO615" authorId="0" shapeId="0" xr:uid="{00000000-0006-0000-0000-0000BC010000}">
      <text>
        <r>
          <rPr>
            <b/>
            <sz val="9"/>
            <color indexed="81"/>
            <rFont val="Tahoma"/>
            <family val="2"/>
          </rPr>
          <t>hsk:</t>
        </r>
        <r>
          <rPr>
            <sz val="9"/>
            <color indexed="81"/>
            <rFont val="Tahoma"/>
            <family val="2"/>
          </rPr>
          <t xml:space="preserve">
Herleitungs-Zeile</t>
        </r>
      </text>
    </comment>
    <comment ref="BO617" authorId="0" shapeId="0" xr:uid="{00000000-0006-0000-0000-0000BD010000}">
      <text>
        <r>
          <rPr>
            <b/>
            <sz val="9"/>
            <color indexed="81"/>
            <rFont val="Tahoma"/>
            <family val="2"/>
          </rPr>
          <t>hsk:</t>
        </r>
        <r>
          <rPr>
            <sz val="9"/>
            <color indexed="81"/>
            <rFont val="Tahoma"/>
            <family val="2"/>
          </rPr>
          <t xml:space="preserve">
Parameterzeile</t>
        </r>
      </text>
    </comment>
    <comment ref="BO618" authorId="0" shapeId="0" xr:uid="{00000000-0006-0000-0000-0000BE010000}">
      <text>
        <r>
          <rPr>
            <b/>
            <sz val="9"/>
            <color indexed="81"/>
            <rFont val="Tahoma"/>
            <family val="2"/>
          </rPr>
          <t>hsk:</t>
        </r>
        <r>
          <rPr>
            <sz val="9"/>
            <color indexed="81"/>
            <rFont val="Tahoma"/>
            <family val="2"/>
          </rPr>
          <t xml:space="preserve">
Statusansatz-Zeile</t>
        </r>
      </text>
    </comment>
    <comment ref="BO620" authorId="0" shapeId="0" xr:uid="{00000000-0006-0000-0000-0000BF010000}">
      <text>
        <r>
          <rPr>
            <b/>
            <sz val="9"/>
            <color indexed="81"/>
            <rFont val="Tahoma"/>
            <family val="2"/>
          </rPr>
          <t>hsk:</t>
        </r>
        <r>
          <rPr>
            <sz val="9"/>
            <color indexed="81"/>
            <rFont val="Tahoma"/>
            <family val="2"/>
          </rPr>
          <t xml:space="preserve">
Zielansatz-Zeile</t>
        </r>
      </text>
    </comment>
    <comment ref="BO621" authorId="0" shapeId="0" xr:uid="{00000000-0006-0000-0000-0000C0010000}">
      <text>
        <r>
          <rPr>
            <b/>
            <sz val="9"/>
            <color indexed="81"/>
            <rFont val="Tahoma"/>
            <family val="2"/>
          </rPr>
          <t>hsk:</t>
        </r>
        <r>
          <rPr>
            <sz val="9"/>
            <color indexed="81"/>
            <rFont val="Tahoma"/>
            <family val="2"/>
          </rPr>
          <t xml:space="preserve">
Herleitungs-Zeile</t>
        </r>
      </text>
    </comment>
    <comment ref="BO623" authorId="0" shapeId="0" xr:uid="{00000000-0006-0000-0000-0000C1010000}">
      <text>
        <r>
          <rPr>
            <b/>
            <sz val="9"/>
            <color indexed="81"/>
            <rFont val="Tahoma"/>
            <family val="2"/>
          </rPr>
          <t>hsk:</t>
        </r>
        <r>
          <rPr>
            <sz val="9"/>
            <color indexed="81"/>
            <rFont val="Tahoma"/>
            <family val="2"/>
          </rPr>
          <t xml:space="preserve">
Titelzeile</t>
        </r>
      </text>
    </comment>
    <comment ref="BO625" authorId="0" shapeId="0" xr:uid="{00000000-0006-0000-0000-0000C2010000}">
      <text>
        <r>
          <rPr>
            <b/>
            <sz val="9"/>
            <color indexed="81"/>
            <rFont val="Tahoma"/>
            <family val="2"/>
          </rPr>
          <t>hsk:</t>
        </r>
        <r>
          <rPr>
            <sz val="9"/>
            <color indexed="81"/>
            <rFont val="Tahoma"/>
            <family val="2"/>
          </rPr>
          <t xml:space="preserve">
Parameterzeile</t>
        </r>
      </text>
    </comment>
    <comment ref="BO626" authorId="0" shapeId="0" xr:uid="{00000000-0006-0000-0000-0000C3010000}">
      <text>
        <r>
          <rPr>
            <b/>
            <sz val="9"/>
            <color indexed="81"/>
            <rFont val="Tahoma"/>
            <family val="2"/>
          </rPr>
          <t>hsk:</t>
        </r>
        <r>
          <rPr>
            <sz val="9"/>
            <color indexed="81"/>
            <rFont val="Tahoma"/>
            <family val="2"/>
          </rPr>
          <t xml:space="preserve">
Herleitungs-Zeile</t>
        </r>
      </text>
    </comment>
    <comment ref="BO627" authorId="0" shapeId="0" xr:uid="{00000000-0006-0000-0000-0000C4010000}">
      <text>
        <r>
          <rPr>
            <b/>
            <sz val="9"/>
            <color indexed="81"/>
            <rFont val="Tahoma"/>
            <family val="2"/>
          </rPr>
          <t>hsk:</t>
        </r>
        <r>
          <rPr>
            <sz val="9"/>
            <color indexed="81"/>
            <rFont val="Tahoma"/>
            <family val="2"/>
          </rPr>
          <t xml:space="preserve">
Herleitungs-Zeile</t>
        </r>
      </text>
    </comment>
    <comment ref="BO628" authorId="0" shapeId="0" xr:uid="{00000000-0006-0000-0000-0000C5010000}">
      <text>
        <r>
          <rPr>
            <b/>
            <sz val="9"/>
            <color indexed="81"/>
            <rFont val="Tahoma"/>
            <family val="2"/>
          </rPr>
          <t>hsk:</t>
        </r>
        <r>
          <rPr>
            <sz val="9"/>
            <color indexed="81"/>
            <rFont val="Tahoma"/>
            <family val="2"/>
          </rPr>
          <t xml:space="preserve">
Herleitungs-Zeile</t>
        </r>
      </text>
    </comment>
    <comment ref="BO629" authorId="0" shapeId="0" xr:uid="{00000000-0006-0000-0000-0000C6010000}">
      <text>
        <r>
          <rPr>
            <b/>
            <sz val="9"/>
            <color indexed="81"/>
            <rFont val="Tahoma"/>
            <family val="2"/>
          </rPr>
          <t>hsk:</t>
        </r>
        <r>
          <rPr>
            <sz val="9"/>
            <color indexed="81"/>
            <rFont val="Tahoma"/>
            <family val="2"/>
          </rPr>
          <t xml:space="preserve">
Herleitungs-Zeile</t>
        </r>
      </text>
    </comment>
    <comment ref="BO630" authorId="0" shapeId="0" xr:uid="{00000000-0006-0000-0000-0000C7010000}">
      <text>
        <r>
          <rPr>
            <b/>
            <sz val="9"/>
            <color indexed="81"/>
            <rFont val="Tahoma"/>
            <family val="2"/>
          </rPr>
          <t>hsk:</t>
        </r>
        <r>
          <rPr>
            <sz val="9"/>
            <color indexed="81"/>
            <rFont val="Tahoma"/>
            <family val="2"/>
          </rPr>
          <t xml:space="preserve">
Statusansatz-Zeile</t>
        </r>
      </text>
    </comment>
    <comment ref="BO632" authorId="0" shapeId="0" xr:uid="{00000000-0006-0000-0000-0000C8010000}">
      <text>
        <r>
          <rPr>
            <b/>
            <sz val="9"/>
            <color indexed="81"/>
            <rFont val="Tahoma"/>
            <family val="2"/>
          </rPr>
          <t>hsk:</t>
        </r>
        <r>
          <rPr>
            <sz val="9"/>
            <color indexed="81"/>
            <rFont val="Tahoma"/>
            <family val="2"/>
          </rPr>
          <t xml:space="preserve">
Zielansatz-Zeile</t>
        </r>
      </text>
    </comment>
    <comment ref="BO634" authorId="0" shapeId="0" xr:uid="{00000000-0006-0000-0000-0000C9010000}">
      <text>
        <r>
          <rPr>
            <b/>
            <sz val="9"/>
            <color indexed="81"/>
            <rFont val="Tahoma"/>
            <family val="2"/>
          </rPr>
          <t>hsk:</t>
        </r>
        <r>
          <rPr>
            <sz val="9"/>
            <color indexed="81"/>
            <rFont val="Tahoma"/>
            <family val="2"/>
          </rPr>
          <t xml:space="preserve">
Parameterzeile</t>
        </r>
      </text>
    </comment>
    <comment ref="BO635" authorId="0" shapeId="0" xr:uid="{00000000-0006-0000-0000-0000CA010000}">
      <text>
        <r>
          <rPr>
            <b/>
            <sz val="9"/>
            <color indexed="81"/>
            <rFont val="Tahoma"/>
            <family val="2"/>
          </rPr>
          <t>hsk:</t>
        </r>
        <r>
          <rPr>
            <sz val="9"/>
            <color indexed="81"/>
            <rFont val="Tahoma"/>
            <family val="2"/>
          </rPr>
          <t xml:space="preserve">
Statusansatz-Zeile</t>
        </r>
      </text>
    </comment>
    <comment ref="BO637" authorId="0" shapeId="0" xr:uid="{00000000-0006-0000-0000-0000CB010000}">
      <text>
        <r>
          <rPr>
            <b/>
            <sz val="9"/>
            <color indexed="81"/>
            <rFont val="Tahoma"/>
            <family val="2"/>
          </rPr>
          <t>hsk:</t>
        </r>
        <r>
          <rPr>
            <sz val="9"/>
            <color indexed="81"/>
            <rFont val="Tahoma"/>
            <family val="2"/>
          </rPr>
          <t xml:space="preserve">
Zielansatz-Zeile</t>
        </r>
      </text>
    </comment>
    <comment ref="BO638" authorId="0" shapeId="0" xr:uid="{00000000-0006-0000-0000-0000CC010000}">
      <text>
        <r>
          <rPr>
            <b/>
            <sz val="9"/>
            <color indexed="81"/>
            <rFont val="Tahoma"/>
            <family val="2"/>
          </rPr>
          <t>hsk:</t>
        </r>
        <r>
          <rPr>
            <sz val="9"/>
            <color indexed="81"/>
            <rFont val="Tahoma"/>
            <family val="2"/>
          </rPr>
          <t xml:space="preserve">
Herleitungs-Zeile</t>
        </r>
      </text>
    </comment>
    <comment ref="BO639" authorId="0" shapeId="0" xr:uid="{00000000-0006-0000-0000-0000CD010000}">
      <text>
        <r>
          <rPr>
            <b/>
            <sz val="9"/>
            <color indexed="81"/>
            <rFont val="Tahoma"/>
            <family val="2"/>
          </rPr>
          <t>hsk:</t>
        </r>
        <r>
          <rPr>
            <sz val="9"/>
            <color indexed="81"/>
            <rFont val="Tahoma"/>
            <family val="2"/>
          </rPr>
          <t xml:space="preserve">
Herleitungs-Zeile</t>
        </r>
      </text>
    </comment>
    <comment ref="BO640" authorId="0" shapeId="0" xr:uid="{00000000-0006-0000-0000-0000CE010000}">
      <text>
        <r>
          <rPr>
            <b/>
            <sz val="9"/>
            <color indexed="81"/>
            <rFont val="Tahoma"/>
            <family val="2"/>
          </rPr>
          <t>hsk:</t>
        </r>
        <r>
          <rPr>
            <sz val="9"/>
            <color indexed="81"/>
            <rFont val="Tahoma"/>
            <family val="2"/>
          </rPr>
          <t xml:space="preserve">
Herleitungs-Zeile</t>
        </r>
      </text>
    </comment>
    <comment ref="BO641" authorId="0" shapeId="0" xr:uid="{00000000-0006-0000-0000-0000CF010000}">
      <text>
        <r>
          <rPr>
            <b/>
            <sz val="9"/>
            <color indexed="81"/>
            <rFont val="Tahoma"/>
            <family val="2"/>
          </rPr>
          <t>hsk:</t>
        </r>
        <r>
          <rPr>
            <sz val="9"/>
            <color indexed="81"/>
            <rFont val="Tahoma"/>
            <family val="2"/>
          </rPr>
          <t xml:space="preserve">
Herleitungs-Zeile</t>
        </r>
      </text>
    </comment>
    <comment ref="BO642" authorId="0" shapeId="0" xr:uid="{00000000-0006-0000-0000-0000D0010000}">
      <text>
        <r>
          <rPr>
            <b/>
            <sz val="9"/>
            <color indexed="81"/>
            <rFont val="Tahoma"/>
            <family val="2"/>
          </rPr>
          <t>hsk:</t>
        </r>
        <r>
          <rPr>
            <sz val="9"/>
            <color indexed="81"/>
            <rFont val="Tahoma"/>
            <family val="2"/>
          </rPr>
          <t xml:space="preserve">
Herleitungs-Zeile</t>
        </r>
      </text>
    </comment>
    <comment ref="BO644" authorId="0" shapeId="0" xr:uid="{00000000-0006-0000-0000-0000D1010000}">
      <text>
        <r>
          <rPr>
            <b/>
            <sz val="9"/>
            <color indexed="81"/>
            <rFont val="Tahoma"/>
            <family val="2"/>
          </rPr>
          <t>hsk:</t>
        </r>
        <r>
          <rPr>
            <sz val="9"/>
            <color indexed="81"/>
            <rFont val="Tahoma"/>
            <family val="2"/>
          </rPr>
          <t xml:space="preserve">
Parameterzeile</t>
        </r>
      </text>
    </comment>
    <comment ref="BO645" authorId="0" shapeId="0" xr:uid="{00000000-0006-0000-0000-0000D2010000}">
      <text>
        <r>
          <rPr>
            <b/>
            <sz val="9"/>
            <color indexed="81"/>
            <rFont val="Tahoma"/>
            <family val="2"/>
          </rPr>
          <t>hsk:</t>
        </r>
        <r>
          <rPr>
            <sz val="9"/>
            <color indexed="81"/>
            <rFont val="Tahoma"/>
            <family val="2"/>
          </rPr>
          <t xml:space="preserve">
Statusansatz-Zeile</t>
        </r>
      </text>
    </comment>
    <comment ref="BO647" authorId="0" shapeId="0" xr:uid="{00000000-0006-0000-0000-0000D3010000}">
      <text>
        <r>
          <rPr>
            <b/>
            <sz val="9"/>
            <color indexed="81"/>
            <rFont val="Tahoma"/>
            <family val="2"/>
          </rPr>
          <t>hsk:</t>
        </r>
        <r>
          <rPr>
            <sz val="9"/>
            <color indexed="81"/>
            <rFont val="Tahoma"/>
            <family val="2"/>
          </rPr>
          <t xml:space="preserve">
Zielansatz-Zeile</t>
        </r>
      </text>
    </comment>
    <comment ref="BO649" authorId="0" shapeId="0" xr:uid="{00000000-0006-0000-0000-0000D4010000}">
      <text>
        <r>
          <rPr>
            <b/>
            <sz val="9"/>
            <color indexed="81"/>
            <rFont val="Tahoma"/>
            <family val="2"/>
          </rPr>
          <t>hsk:</t>
        </r>
        <r>
          <rPr>
            <sz val="9"/>
            <color indexed="81"/>
            <rFont val="Tahoma"/>
            <family val="2"/>
          </rPr>
          <t xml:space="preserve">
Parameterzeile</t>
        </r>
      </text>
    </comment>
    <comment ref="BO650" authorId="0" shapeId="0" xr:uid="{00000000-0006-0000-0000-0000D5010000}">
      <text>
        <r>
          <rPr>
            <b/>
            <sz val="9"/>
            <color indexed="81"/>
            <rFont val="Tahoma"/>
            <family val="2"/>
          </rPr>
          <t>hsk:</t>
        </r>
        <r>
          <rPr>
            <sz val="9"/>
            <color indexed="81"/>
            <rFont val="Tahoma"/>
            <family val="2"/>
          </rPr>
          <t xml:space="preserve">
Statusansatz-Zeile</t>
        </r>
      </text>
    </comment>
    <comment ref="BO652" authorId="0" shapeId="0" xr:uid="{00000000-0006-0000-0000-0000D6010000}">
      <text>
        <r>
          <rPr>
            <b/>
            <sz val="9"/>
            <color indexed="81"/>
            <rFont val="Tahoma"/>
            <family val="2"/>
          </rPr>
          <t>hsk:</t>
        </r>
        <r>
          <rPr>
            <sz val="9"/>
            <color indexed="81"/>
            <rFont val="Tahoma"/>
            <family val="2"/>
          </rPr>
          <t xml:space="preserve">
Zielansatz-Zeile</t>
        </r>
      </text>
    </comment>
    <comment ref="BO654" authorId="0" shapeId="0" xr:uid="{00000000-0006-0000-0000-0000D7010000}">
      <text>
        <r>
          <rPr>
            <b/>
            <sz val="9"/>
            <color indexed="81"/>
            <rFont val="Tahoma"/>
            <family val="2"/>
          </rPr>
          <t>hsk:</t>
        </r>
        <r>
          <rPr>
            <sz val="9"/>
            <color indexed="81"/>
            <rFont val="Tahoma"/>
            <family val="2"/>
          </rPr>
          <t xml:space="preserve">
Parameterzeile</t>
        </r>
      </text>
    </comment>
    <comment ref="BO655" authorId="0" shapeId="0" xr:uid="{00000000-0006-0000-0000-0000D8010000}">
      <text>
        <r>
          <rPr>
            <b/>
            <sz val="9"/>
            <color indexed="81"/>
            <rFont val="Tahoma"/>
            <family val="2"/>
          </rPr>
          <t>hsk:</t>
        </r>
        <r>
          <rPr>
            <sz val="9"/>
            <color indexed="81"/>
            <rFont val="Tahoma"/>
            <family val="2"/>
          </rPr>
          <t xml:space="preserve">
Statusansatz-Zeile</t>
        </r>
      </text>
    </comment>
    <comment ref="BO657" authorId="0" shapeId="0" xr:uid="{00000000-0006-0000-0000-0000D9010000}">
      <text>
        <r>
          <rPr>
            <b/>
            <sz val="9"/>
            <color indexed="81"/>
            <rFont val="Tahoma"/>
            <family val="2"/>
          </rPr>
          <t>hsk:</t>
        </r>
        <r>
          <rPr>
            <sz val="9"/>
            <color indexed="81"/>
            <rFont val="Tahoma"/>
            <family val="2"/>
          </rPr>
          <t xml:space="preserve">
Zielansatz-Zeile</t>
        </r>
      </text>
    </comment>
    <comment ref="BO659" authorId="0" shapeId="0" xr:uid="{00000000-0006-0000-0000-0000DA010000}">
      <text>
        <r>
          <rPr>
            <b/>
            <sz val="9"/>
            <color indexed="81"/>
            <rFont val="Tahoma"/>
            <family val="2"/>
          </rPr>
          <t>hsk:</t>
        </r>
        <r>
          <rPr>
            <sz val="9"/>
            <color indexed="81"/>
            <rFont val="Tahoma"/>
            <family val="2"/>
          </rPr>
          <t xml:space="preserve">
Titelzeile</t>
        </r>
      </text>
    </comment>
    <comment ref="BO661" authorId="0" shapeId="0" xr:uid="{00000000-0006-0000-0000-0000DB010000}">
      <text>
        <r>
          <rPr>
            <b/>
            <sz val="9"/>
            <color indexed="81"/>
            <rFont val="Tahoma"/>
            <family val="2"/>
          </rPr>
          <t>hsk:</t>
        </r>
        <r>
          <rPr>
            <sz val="9"/>
            <color indexed="81"/>
            <rFont val="Tahoma"/>
            <family val="2"/>
          </rPr>
          <t xml:space="preserve">
Parameterzeile</t>
        </r>
      </text>
    </comment>
    <comment ref="BO662" authorId="0" shapeId="0" xr:uid="{00000000-0006-0000-0000-0000DC010000}">
      <text>
        <r>
          <rPr>
            <b/>
            <sz val="9"/>
            <color indexed="81"/>
            <rFont val="Tahoma"/>
            <family val="2"/>
          </rPr>
          <t>hsk:</t>
        </r>
        <r>
          <rPr>
            <sz val="9"/>
            <color indexed="81"/>
            <rFont val="Tahoma"/>
            <family val="2"/>
          </rPr>
          <t xml:space="preserve">
Statusansatz-Zeile</t>
        </r>
      </text>
    </comment>
    <comment ref="BO664" authorId="0" shapeId="0" xr:uid="{00000000-0006-0000-0000-0000DD010000}">
      <text>
        <r>
          <rPr>
            <b/>
            <sz val="9"/>
            <color indexed="81"/>
            <rFont val="Tahoma"/>
            <family val="2"/>
          </rPr>
          <t>hsk:</t>
        </r>
        <r>
          <rPr>
            <sz val="9"/>
            <color indexed="81"/>
            <rFont val="Tahoma"/>
            <family val="2"/>
          </rPr>
          <t xml:space="preserve">
Zielansatz-Zeile</t>
        </r>
      </text>
    </comment>
    <comment ref="BO666" authorId="0" shapeId="0" xr:uid="{00000000-0006-0000-0000-0000DE010000}">
      <text>
        <r>
          <rPr>
            <b/>
            <sz val="9"/>
            <color indexed="81"/>
            <rFont val="Tahoma"/>
            <family val="2"/>
          </rPr>
          <t>hsk:</t>
        </r>
        <r>
          <rPr>
            <sz val="9"/>
            <color indexed="81"/>
            <rFont val="Tahoma"/>
            <family val="2"/>
          </rPr>
          <t xml:space="preserve">
Parameterzeile</t>
        </r>
      </text>
    </comment>
    <comment ref="BO667" authorId="0" shapeId="0" xr:uid="{00000000-0006-0000-0000-0000DF010000}">
      <text>
        <r>
          <rPr>
            <b/>
            <sz val="9"/>
            <color indexed="81"/>
            <rFont val="Tahoma"/>
            <family val="2"/>
          </rPr>
          <t>hsk:</t>
        </r>
        <r>
          <rPr>
            <sz val="9"/>
            <color indexed="81"/>
            <rFont val="Tahoma"/>
            <family val="2"/>
          </rPr>
          <t xml:space="preserve">
Statusansatz-Zeile</t>
        </r>
      </text>
    </comment>
    <comment ref="BO669" authorId="0" shapeId="0" xr:uid="{00000000-0006-0000-0000-0000E0010000}">
      <text>
        <r>
          <rPr>
            <b/>
            <sz val="9"/>
            <color indexed="81"/>
            <rFont val="Tahoma"/>
            <family val="2"/>
          </rPr>
          <t>hsk:</t>
        </r>
        <r>
          <rPr>
            <sz val="9"/>
            <color indexed="81"/>
            <rFont val="Tahoma"/>
            <family val="2"/>
          </rPr>
          <t xml:space="preserve">
Zielansatz-Zeile</t>
        </r>
      </text>
    </comment>
    <comment ref="BO670" authorId="0" shapeId="0" xr:uid="{00000000-0006-0000-0000-0000E1010000}">
      <text>
        <r>
          <rPr>
            <b/>
            <sz val="9"/>
            <color indexed="81"/>
            <rFont val="Tahoma"/>
            <family val="2"/>
          </rPr>
          <t>hsk:</t>
        </r>
        <r>
          <rPr>
            <sz val="9"/>
            <color indexed="81"/>
            <rFont val="Tahoma"/>
            <family val="2"/>
          </rPr>
          <t xml:space="preserve">
Herleitungs-Zeile</t>
        </r>
      </text>
    </comment>
    <comment ref="BO672" authorId="0" shapeId="0" xr:uid="{00000000-0006-0000-0000-0000E2010000}">
      <text>
        <r>
          <rPr>
            <b/>
            <sz val="9"/>
            <color indexed="81"/>
            <rFont val="Tahoma"/>
            <family val="2"/>
          </rPr>
          <t>hsk:</t>
        </r>
        <r>
          <rPr>
            <sz val="9"/>
            <color indexed="81"/>
            <rFont val="Tahoma"/>
            <family val="2"/>
          </rPr>
          <t xml:space="preserve">
Titelzeile</t>
        </r>
      </text>
    </comment>
    <comment ref="BO674" authorId="0" shapeId="0" xr:uid="{00000000-0006-0000-0000-0000E3010000}">
      <text>
        <r>
          <rPr>
            <b/>
            <sz val="9"/>
            <color indexed="81"/>
            <rFont val="Tahoma"/>
            <family val="2"/>
          </rPr>
          <t>hsk:</t>
        </r>
        <r>
          <rPr>
            <sz val="9"/>
            <color indexed="81"/>
            <rFont val="Tahoma"/>
            <family val="2"/>
          </rPr>
          <t xml:space="preserve">
Parameterzeile</t>
        </r>
      </text>
    </comment>
    <comment ref="BO675" authorId="0" shapeId="0" xr:uid="{00000000-0006-0000-0000-0000E4010000}">
      <text>
        <r>
          <rPr>
            <b/>
            <sz val="9"/>
            <color indexed="81"/>
            <rFont val="Tahoma"/>
            <family val="2"/>
          </rPr>
          <t>hsk:</t>
        </r>
        <r>
          <rPr>
            <sz val="9"/>
            <color indexed="81"/>
            <rFont val="Tahoma"/>
            <family val="2"/>
          </rPr>
          <t xml:space="preserve">
Herleitungs-Zeile</t>
        </r>
      </text>
    </comment>
    <comment ref="BO677" authorId="0" shapeId="0" xr:uid="{00000000-0006-0000-0000-0000E5010000}">
      <text>
        <r>
          <rPr>
            <b/>
            <sz val="9"/>
            <color indexed="81"/>
            <rFont val="Tahoma"/>
            <family val="2"/>
          </rPr>
          <t>hsk:</t>
        </r>
        <r>
          <rPr>
            <sz val="9"/>
            <color indexed="81"/>
            <rFont val="Tahoma"/>
            <family val="2"/>
          </rPr>
          <t xml:space="preserve">
Statusansatz-Zeile</t>
        </r>
      </text>
    </comment>
    <comment ref="BO679" authorId="0" shapeId="0" xr:uid="{00000000-0006-0000-0000-0000E6010000}">
      <text>
        <r>
          <rPr>
            <b/>
            <sz val="9"/>
            <color indexed="81"/>
            <rFont val="Tahoma"/>
            <family val="2"/>
          </rPr>
          <t>hsk:</t>
        </r>
        <r>
          <rPr>
            <sz val="9"/>
            <color indexed="81"/>
            <rFont val="Tahoma"/>
            <family val="2"/>
          </rPr>
          <t xml:space="preserve">
Zielansatz-Zeile</t>
        </r>
      </text>
    </comment>
    <comment ref="BO681" authorId="0" shapeId="0" xr:uid="{00000000-0006-0000-0000-0000E7010000}">
      <text>
        <r>
          <rPr>
            <b/>
            <sz val="9"/>
            <color indexed="81"/>
            <rFont val="Tahoma"/>
            <family val="2"/>
          </rPr>
          <t>hsk:</t>
        </r>
        <r>
          <rPr>
            <sz val="9"/>
            <color indexed="81"/>
            <rFont val="Tahoma"/>
            <family val="2"/>
          </rPr>
          <t xml:space="preserve">
Parameterzeile</t>
        </r>
      </text>
    </comment>
    <comment ref="BO682" authorId="0" shapeId="0" xr:uid="{00000000-0006-0000-0000-0000E8010000}">
      <text>
        <r>
          <rPr>
            <b/>
            <sz val="9"/>
            <color indexed="81"/>
            <rFont val="Tahoma"/>
            <family val="2"/>
          </rPr>
          <t>hsk:</t>
        </r>
        <r>
          <rPr>
            <sz val="9"/>
            <color indexed="81"/>
            <rFont val="Tahoma"/>
            <family val="2"/>
          </rPr>
          <t xml:space="preserve">
Herleitungs-Zeile</t>
        </r>
      </text>
    </comment>
    <comment ref="BO683" authorId="0" shapeId="0" xr:uid="{00000000-0006-0000-0000-0000E9010000}">
      <text>
        <r>
          <rPr>
            <b/>
            <sz val="9"/>
            <color indexed="81"/>
            <rFont val="Tahoma"/>
            <family val="2"/>
          </rPr>
          <t>hsk:</t>
        </r>
        <r>
          <rPr>
            <sz val="9"/>
            <color indexed="81"/>
            <rFont val="Tahoma"/>
            <family val="2"/>
          </rPr>
          <t xml:space="preserve">
Erläuterungs-Zeile</t>
        </r>
      </text>
    </comment>
    <comment ref="BO684" authorId="0" shapeId="0" xr:uid="{00000000-0006-0000-0000-0000EA010000}">
      <text>
        <r>
          <rPr>
            <b/>
            <sz val="9"/>
            <color indexed="81"/>
            <rFont val="Tahoma"/>
            <family val="2"/>
          </rPr>
          <t>hsk:</t>
        </r>
        <r>
          <rPr>
            <sz val="9"/>
            <color indexed="81"/>
            <rFont val="Tahoma"/>
            <family val="2"/>
          </rPr>
          <t xml:space="preserve">
Erläuterungs-Zeile</t>
        </r>
      </text>
    </comment>
    <comment ref="BO685" authorId="0" shapeId="0" xr:uid="{00000000-0006-0000-0000-0000EB010000}">
      <text>
        <r>
          <rPr>
            <b/>
            <sz val="9"/>
            <color indexed="81"/>
            <rFont val="Tahoma"/>
            <family val="2"/>
          </rPr>
          <t>hsk:</t>
        </r>
        <r>
          <rPr>
            <sz val="9"/>
            <color indexed="81"/>
            <rFont val="Tahoma"/>
            <family val="2"/>
          </rPr>
          <t xml:space="preserve">
Herleitungs-Zeile</t>
        </r>
      </text>
    </comment>
    <comment ref="BO686" authorId="0" shapeId="0" xr:uid="{00000000-0006-0000-0000-0000EC010000}">
      <text>
        <r>
          <rPr>
            <b/>
            <sz val="9"/>
            <color indexed="81"/>
            <rFont val="Tahoma"/>
            <family val="2"/>
          </rPr>
          <t>hsk:</t>
        </r>
        <r>
          <rPr>
            <sz val="9"/>
            <color indexed="81"/>
            <rFont val="Tahoma"/>
            <family val="2"/>
          </rPr>
          <t xml:space="preserve">
Herleitungs-Zeile</t>
        </r>
      </text>
    </comment>
    <comment ref="BO688" authorId="0" shapeId="0" xr:uid="{00000000-0006-0000-0000-0000ED010000}">
      <text>
        <r>
          <rPr>
            <b/>
            <sz val="9"/>
            <color indexed="81"/>
            <rFont val="Tahoma"/>
            <family val="2"/>
          </rPr>
          <t>hsk:</t>
        </r>
        <r>
          <rPr>
            <sz val="9"/>
            <color indexed="81"/>
            <rFont val="Tahoma"/>
            <family val="2"/>
          </rPr>
          <t xml:space="preserve">
Parameterzeile</t>
        </r>
      </text>
    </comment>
    <comment ref="BO689" authorId="0" shapeId="0" xr:uid="{00000000-0006-0000-0000-0000EE010000}">
      <text>
        <r>
          <rPr>
            <b/>
            <sz val="9"/>
            <color indexed="81"/>
            <rFont val="Tahoma"/>
            <family val="2"/>
          </rPr>
          <t>hsk:</t>
        </r>
        <r>
          <rPr>
            <sz val="9"/>
            <color indexed="81"/>
            <rFont val="Tahoma"/>
            <family val="2"/>
          </rPr>
          <t xml:space="preserve">
Statusansatz-Zeile</t>
        </r>
      </text>
    </comment>
    <comment ref="BO691" authorId="0" shapeId="0" xr:uid="{00000000-0006-0000-0000-0000EF010000}">
      <text>
        <r>
          <rPr>
            <b/>
            <sz val="9"/>
            <color indexed="81"/>
            <rFont val="Tahoma"/>
            <family val="2"/>
          </rPr>
          <t>hsk:</t>
        </r>
        <r>
          <rPr>
            <sz val="9"/>
            <color indexed="81"/>
            <rFont val="Tahoma"/>
            <family val="2"/>
          </rPr>
          <t xml:space="preserve">
Zielansatz-Zeile</t>
        </r>
      </text>
    </comment>
    <comment ref="BO693" authorId="0" shapeId="0" xr:uid="{00000000-0006-0000-0000-0000F0010000}">
      <text>
        <r>
          <rPr>
            <b/>
            <sz val="9"/>
            <color indexed="81"/>
            <rFont val="Tahoma"/>
            <family val="2"/>
          </rPr>
          <t>hsk:</t>
        </r>
        <r>
          <rPr>
            <sz val="9"/>
            <color indexed="81"/>
            <rFont val="Tahoma"/>
            <family val="2"/>
          </rPr>
          <t xml:space="preserve">
Parameterzeile</t>
        </r>
      </text>
    </comment>
    <comment ref="BO694" authorId="0" shapeId="0" xr:uid="{00000000-0006-0000-0000-0000F1010000}">
      <text>
        <r>
          <rPr>
            <b/>
            <sz val="9"/>
            <color indexed="81"/>
            <rFont val="Tahoma"/>
            <family val="2"/>
          </rPr>
          <t>hsk:</t>
        </r>
        <r>
          <rPr>
            <sz val="9"/>
            <color indexed="81"/>
            <rFont val="Tahoma"/>
            <family val="2"/>
          </rPr>
          <t xml:space="preserve">
Statusansatz-Zeile</t>
        </r>
      </text>
    </comment>
    <comment ref="BO696" authorId="0" shapeId="0" xr:uid="{00000000-0006-0000-0000-0000F2010000}">
      <text>
        <r>
          <rPr>
            <b/>
            <sz val="9"/>
            <color indexed="81"/>
            <rFont val="Tahoma"/>
            <family val="2"/>
          </rPr>
          <t>hsk:</t>
        </r>
        <r>
          <rPr>
            <sz val="9"/>
            <color indexed="81"/>
            <rFont val="Tahoma"/>
            <family val="2"/>
          </rPr>
          <t xml:space="preserve">
Zielansatz-Zeile</t>
        </r>
      </text>
    </comment>
    <comment ref="BO698" authorId="0" shapeId="0" xr:uid="{00000000-0006-0000-0000-0000F3010000}">
      <text>
        <r>
          <rPr>
            <b/>
            <sz val="9"/>
            <color indexed="81"/>
            <rFont val="Tahoma"/>
            <family val="2"/>
          </rPr>
          <t>hsk:</t>
        </r>
        <r>
          <rPr>
            <sz val="9"/>
            <color indexed="81"/>
            <rFont val="Tahoma"/>
            <family val="2"/>
          </rPr>
          <t xml:space="preserve">
Titelzeile</t>
        </r>
      </text>
    </comment>
    <comment ref="BO700" authorId="0" shapeId="0" xr:uid="{00000000-0006-0000-0000-0000F4010000}">
      <text>
        <r>
          <rPr>
            <b/>
            <sz val="9"/>
            <color indexed="81"/>
            <rFont val="Tahoma"/>
            <family val="2"/>
          </rPr>
          <t>hsk:</t>
        </r>
        <r>
          <rPr>
            <sz val="9"/>
            <color indexed="81"/>
            <rFont val="Tahoma"/>
            <family val="2"/>
          </rPr>
          <t xml:space="preserve">
Parameterzeile</t>
        </r>
      </text>
    </comment>
    <comment ref="BO701" authorId="0" shapeId="0" xr:uid="{00000000-0006-0000-0000-0000F5010000}">
      <text>
        <r>
          <rPr>
            <b/>
            <sz val="9"/>
            <color indexed="81"/>
            <rFont val="Tahoma"/>
            <family val="2"/>
          </rPr>
          <t>hsk:</t>
        </r>
        <r>
          <rPr>
            <sz val="9"/>
            <color indexed="81"/>
            <rFont val="Tahoma"/>
            <family val="2"/>
          </rPr>
          <t xml:space="preserve">
Statusansatz-Zeile</t>
        </r>
      </text>
    </comment>
    <comment ref="BO703" authorId="0" shapeId="0" xr:uid="{00000000-0006-0000-0000-0000F6010000}">
      <text>
        <r>
          <rPr>
            <b/>
            <sz val="9"/>
            <color indexed="81"/>
            <rFont val="Tahoma"/>
            <family val="2"/>
          </rPr>
          <t>hsk:</t>
        </r>
        <r>
          <rPr>
            <sz val="9"/>
            <color indexed="81"/>
            <rFont val="Tahoma"/>
            <family val="2"/>
          </rPr>
          <t xml:space="preserve">
Zielansatz-Zeile</t>
        </r>
      </text>
    </comment>
    <comment ref="BO705" authorId="0" shapeId="0" xr:uid="{00000000-0006-0000-0000-0000F7010000}">
      <text>
        <r>
          <rPr>
            <b/>
            <sz val="9"/>
            <color indexed="81"/>
            <rFont val="Tahoma"/>
            <family val="2"/>
          </rPr>
          <t>hsk:</t>
        </r>
        <r>
          <rPr>
            <sz val="9"/>
            <color indexed="81"/>
            <rFont val="Tahoma"/>
            <family val="2"/>
          </rPr>
          <t xml:space="preserve">
Parameterzeile</t>
        </r>
      </text>
    </comment>
    <comment ref="BO706" authorId="0" shapeId="0" xr:uid="{00000000-0006-0000-0000-0000F8010000}">
      <text>
        <r>
          <rPr>
            <b/>
            <sz val="9"/>
            <color indexed="81"/>
            <rFont val="Tahoma"/>
            <family val="2"/>
          </rPr>
          <t>hsk:</t>
        </r>
        <r>
          <rPr>
            <sz val="9"/>
            <color indexed="81"/>
            <rFont val="Tahoma"/>
            <family val="2"/>
          </rPr>
          <t xml:space="preserve">
Statusansatz-Zeile</t>
        </r>
      </text>
    </comment>
    <comment ref="BO708" authorId="0" shapeId="0" xr:uid="{00000000-0006-0000-0000-0000F9010000}">
      <text>
        <r>
          <rPr>
            <b/>
            <sz val="9"/>
            <color indexed="81"/>
            <rFont val="Tahoma"/>
            <family val="2"/>
          </rPr>
          <t>hsk:</t>
        </r>
        <r>
          <rPr>
            <sz val="9"/>
            <color indexed="81"/>
            <rFont val="Tahoma"/>
            <family val="2"/>
          </rPr>
          <t xml:space="preserve">
Zielansatz-Zeile</t>
        </r>
      </text>
    </comment>
    <comment ref="BO709" authorId="0" shapeId="0" xr:uid="{00000000-0006-0000-0000-0000FA010000}">
      <text>
        <r>
          <rPr>
            <b/>
            <sz val="9"/>
            <color indexed="81"/>
            <rFont val="Tahoma"/>
            <family val="2"/>
          </rPr>
          <t>hsk:</t>
        </r>
        <r>
          <rPr>
            <sz val="9"/>
            <color indexed="81"/>
            <rFont val="Tahoma"/>
            <family val="2"/>
          </rPr>
          <t xml:space="preserve">
Herleitungs-Zeile</t>
        </r>
      </text>
    </comment>
    <comment ref="BO710" authorId="0" shapeId="0" xr:uid="{00000000-0006-0000-0000-0000FB010000}">
      <text>
        <r>
          <rPr>
            <b/>
            <sz val="9"/>
            <color indexed="81"/>
            <rFont val="Tahoma"/>
            <family val="2"/>
          </rPr>
          <t>hsk:</t>
        </r>
        <r>
          <rPr>
            <sz val="9"/>
            <color indexed="81"/>
            <rFont val="Tahoma"/>
            <family val="2"/>
          </rPr>
          <t xml:space="preserve">
Herleitungs-Zeile</t>
        </r>
      </text>
    </comment>
    <comment ref="BO712" authorId="0" shapeId="0" xr:uid="{00000000-0006-0000-0000-0000FC010000}">
      <text>
        <r>
          <rPr>
            <b/>
            <sz val="9"/>
            <color indexed="81"/>
            <rFont val="Tahoma"/>
            <family val="2"/>
          </rPr>
          <t>hsk:</t>
        </r>
        <r>
          <rPr>
            <sz val="9"/>
            <color indexed="81"/>
            <rFont val="Tahoma"/>
            <family val="2"/>
          </rPr>
          <t xml:space="preserve">
Parameterzeile</t>
        </r>
      </text>
    </comment>
    <comment ref="BO713" authorId="0" shapeId="0" xr:uid="{00000000-0006-0000-0000-0000FD010000}">
      <text>
        <r>
          <rPr>
            <b/>
            <sz val="9"/>
            <color indexed="81"/>
            <rFont val="Tahoma"/>
            <family val="2"/>
          </rPr>
          <t>hsk:</t>
        </r>
        <r>
          <rPr>
            <sz val="9"/>
            <color indexed="81"/>
            <rFont val="Tahoma"/>
            <family val="2"/>
          </rPr>
          <t xml:space="preserve">
Statusansatz-Zeile</t>
        </r>
      </text>
    </comment>
    <comment ref="BO715" authorId="0" shapeId="0" xr:uid="{00000000-0006-0000-0000-0000FE010000}">
      <text>
        <r>
          <rPr>
            <b/>
            <sz val="9"/>
            <color indexed="81"/>
            <rFont val="Tahoma"/>
            <family val="2"/>
          </rPr>
          <t>hsk:</t>
        </r>
        <r>
          <rPr>
            <sz val="9"/>
            <color indexed="81"/>
            <rFont val="Tahoma"/>
            <family val="2"/>
          </rPr>
          <t xml:space="preserve">
Zielansatz-Zeile</t>
        </r>
      </text>
    </comment>
    <comment ref="BO717" authorId="0" shapeId="0" xr:uid="{00000000-0006-0000-0000-0000FF010000}">
      <text>
        <r>
          <rPr>
            <b/>
            <sz val="9"/>
            <color indexed="81"/>
            <rFont val="Tahoma"/>
            <family val="2"/>
          </rPr>
          <t>hsk:</t>
        </r>
        <r>
          <rPr>
            <sz val="9"/>
            <color indexed="81"/>
            <rFont val="Tahoma"/>
            <family val="2"/>
          </rPr>
          <t xml:space="preserve">
Parameterzeile</t>
        </r>
      </text>
    </comment>
    <comment ref="BO718" authorId="0" shapeId="0" xr:uid="{00000000-0006-0000-0000-000000020000}">
      <text>
        <r>
          <rPr>
            <b/>
            <sz val="9"/>
            <color indexed="81"/>
            <rFont val="Tahoma"/>
            <family val="2"/>
          </rPr>
          <t>hsk:</t>
        </r>
        <r>
          <rPr>
            <sz val="9"/>
            <color indexed="81"/>
            <rFont val="Tahoma"/>
            <family val="2"/>
          </rPr>
          <t xml:space="preserve">
Statusansatz-Zeile</t>
        </r>
      </text>
    </comment>
    <comment ref="W720" authorId="0" shapeId="0" xr:uid="{00000000-0006-0000-0000-000001020000}">
      <text>
        <r>
          <rPr>
            <b/>
            <sz val="9"/>
            <color indexed="81"/>
            <rFont val="Tahoma"/>
            <family val="2"/>
          </rPr>
          <t>hsk:</t>
        </r>
        <r>
          <rPr>
            <sz val="9"/>
            <color indexed="81"/>
            <rFont val="Tahoma"/>
            <family val="2"/>
          </rPr>
          <t xml:space="preserve">
Aktualisieren
</t>
        </r>
      </text>
    </comment>
    <comment ref="BO720" authorId="0" shapeId="0" xr:uid="{00000000-0006-0000-0000-000002020000}">
      <text>
        <r>
          <rPr>
            <b/>
            <sz val="9"/>
            <color indexed="81"/>
            <rFont val="Tahoma"/>
            <family val="2"/>
          </rPr>
          <t>hsk:</t>
        </r>
        <r>
          <rPr>
            <sz val="9"/>
            <color indexed="81"/>
            <rFont val="Tahoma"/>
            <family val="2"/>
          </rPr>
          <t xml:space="preserve">
Zielansatz-Zeile</t>
        </r>
      </text>
    </comment>
    <comment ref="BO722" authorId="0" shapeId="0" xr:uid="{00000000-0006-0000-0000-000003020000}">
      <text>
        <r>
          <rPr>
            <b/>
            <sz val="9"/>
            <color indexed="81"/>
            <rFont val="Tahoma"/>
            <family val="2"/>
          </rPr>
          <t>hsk:</t>
        </r>
        <r>
          <rPr>
            <sz val="9"/>
            <color indexed="81"/>
            <rFont val="Tahoma"/>
            <family val="2"/>
          </rPr>
          <t xml:space="preserve">
Parameterzeile</t>
        </r>
      </text>
    </comment>
    <comment ref="BO723" authorId="0" shapeId="0" xr:uid="{00000000-0006-0000-0000-000004020000}">
      <text>
        <r>
          <rPr>
            <b/>
            <sz val="9"/>
            <color indexed="81"/>
            <rFont val="Tahoma"/>
            <family val="2"/>
          </rPr>
          <t>hsk:</t>
        </r>
        <r>
          <rPr>
            <sz val="9"/>
            <color indexed="81"/>
            <rFont val="Tahoma"/>
            <family val="2"/>
          </rPr>
          <t xml:space="preserve">
Statusansatz-Zeile</t>
        </r>
      </text>
    </comment>
    <comment ref="BO725" authorId="0" shapeId="0" xr:uid="{00000000-0006-0000-0000-000005020000}">
      <text>
        <r>
          <rPr>
            <b/>
            <sz val="9"/>
            <color indexed="81"/>
            <rFont val="Tahoma"/>
            <family val="2"/>
          </rPr>
          <t>hsk:</t>
        </r>
        <r>
          <rPr>
            <sz val="9"/>
            <color indexed="81"/>
            <rFont val="Tahoma"/>
            <family val="2"/>
          </rPr>
          <t xml:space="preserve">
Zielansatz-Zeile</t>
        </r>
      </text>
    </comment>
    <comment ref="BO726" authorId="0" shapeId="0" xr:uid="{00000000-0006-0000-0000-000006020000}">
      <text>
        <r>
          <rPr>
            <b/>
            <sz val="9"/>
            <color indexed="81"/>
            <rFont val="Tahoma"/>
            <family val="2"/>
          </rPr>
          <t>hsk:</t>
        </r>
        <r>
          <rPr>
            <sz val="9"/>
            <color indexed="81"/>
            <rFont val="Tahoma"/>
            <family val="2"/>
          </rPr>
          <t xml:space="preserve">
Herleitungs-Zeile</t>
        </r>
      </text>
    </comment>
    <comment ref="BO728" authorId="0" shapeId="0" xr:uid="{00000000-0006-0000-0000-000007020000}">
      <text>
        <r>
          <rPr>
            <b/>
            <sz val="9"/>
            <color indexed="81"/>
            <rFont val="Tahoma"/>
            <family val="2"/>
          </rPr>
          <t>hsk:</t>
        </r>
        <r>
          <rPr>
            <sz val="9"/>
            <color indexed="81"/>
            <rFont val="Tahoma"/>
            <family val="2"/>
          </rPr>
          <t xml:space="preserve">
Parameterzeile</t>
        </r>
      </text>
    </comment>
    <comment ref="BO729" authorId="0" shapeId="0" xr:uid="{00000000-0006-0000-0000-000008020000}">
      <text>
        <r>
          <rPr>
            <b/>
            <sz val="9"/>
            <color indexed="81"/>
            <rFont val="Tahoma"/>
            <family val="2"/>
          </rPr>
          <t>hsk:</t>
        </r>
        <r>
          <rPr>
            <sz val="9"/>
            <color indexed="81"/>
            <rFont val="Tahoma"/>
            <family val="2"/>
          </rPr>
          <t xml:space="preserve">
Statusansatz-Zeile</t>
        </r>
      </text>
    </comment>
    <comment ref="BO731" authorId="0" shapeId="0" xr:uid="{00000000-0006-0000-0000-000009020000}">
      <text>
        <r>
          <rPr>
            <b/>
            <sz val="9"/>
            <color indexed="81"/>
            <rFont val="Tahoma"/>
            <family val="2"/>
          </rPr>
          <t>hsk:</t>
        </r>
        <r>
          <rPr>
            <sz val="9"/>
            <color indexed="81"/>
            <rFont val="Tahoma"/>
            <family val="2"/>
          </rPr>
          <t xml:space="preserve">
Zielansatz-Zeile</t>
        </r>
      </text>
    </comment>
    <comment ref="BO733" authorId="0" shapeId="0" xr:uid="{00000000-0006-0000-0000-00000A020000}">
      <text>
        <r>
          <rPr>
            <b/>
            <sz val="9"/>
            <color indexed="81"/>
            <rFont val="Tahoma"/>
            <family val="2"/>
          </rPr>
          <t>hsk:</t>
        </r>
        <r>
          <rPr>
            <sz val="9"/>
            <color indexed="81"/>
            <rFont val="Tahoma"/>
            <family val="2"/>
          </rPr>
          <t xml:space="preserve">
Parameterzeile</t>
        </r>
      </text>
    </comment>
    <comment ref="BO734" authorId="0" shapeId="0" xr:uid="{00000000-0006-0000-0000-00000B020000}">
      <text>
        <r>
          <rPr>
            <b/>
            <sz val="9"/>
            <color indexed="81"/>
            <rFont val="Tahoma"/>
            <family val="2"/>
          </rPr>
          <t>hsk:</t>
        </r>
        <r>
          <rPr>
            <sz val="9"/>
            <color indexed="81"/>
            <rFont val="Tahoma"/>
            <family val="2"/>
          </rPr>
          <t xml:space="preserve">
Statusansatz-Zeile</t>
        </r>
      </text>
    </comment>
    <comment ref="W736" authorId="0" shapeId="0" xr:uid="{00000000-0006-0000-0000-00000C020000}">
      <text>
        <r>
          <rPr>
            <b/>
            <sz val="9"/>
            <color indexed="81"/>
            <rFont val="Tahoma"/>
            <family val="2"/>
          </rPr>
          <t>hsk:</t>
        </r>
        <r>
          <rPr>
            <sz val="9"/>
            <color indexed="81"/>
            <rFont val="Tahoma"/>
            <family val="2"/>
          </rPr>
          <t xml:space="preserve">
aktualisieren
</t>
        </r>
      </text>
    </comment>
    <comment ref="BO736" authorId="0" shapeId="0" xr:uid="{00000000-0006-0000-0000-00000D020000}">
      <text>
        <r>
          <rPr>
            <b/>
            <sz val="9"/>
            <color indexed="81"/>
            <rFont val="Tahoma"/>
            <family val="2"/>
          </rPr>
          <t>hsk:</t>
        </r>
        <r>
          <rPr>
            <sz val="9"/>
            <color indexed="81"/>
            <rFont val="Tahoma"/>
            <family val="2"/>
          </rPr>
          <t xml:space="preserve">
Zielansatz-Zeile</t>
        </r>
      </text>
    </comment>
    <comment ref="BO738" authorId="0" shapeId="0" xr:uid="{00000000-0006-0000-0000-00000E020000}">
      <text>
        <r>
          <rPr>
            <b/>
            <sz val="9"/>
            <color indexed="81"/>
            <rFont val="Tahoma"/>
            <family val="2"/>
          </rPr>
          <t>hsk:</t>
        </r>
        <r>
          <rPr>
            <sz val="9"/>
            <color indexed="81"/>
            <rFont val="Tahoma"/>
            <family val="2"/>
          </rPr>
          <t xml:space="preserve">
Parameterzeile</t>
        </r>
      </text>
    </comment>
    <comment ref="BO739" authorId="0" shapeId="0" xr:uid="{00000000-0006-0000-0000-00000F020000}">
      <text>
        <r>
          <rPr>
            <b/>
            <sz val="9"/>
            <color indexed="81"/>
            <rFont val="Tahoma"/>
            <family val="2"/>
          </rPr>
          <t>hsk:</t>
        </r>
        <r>
          <rPr>
            <sz val="9"/>
            <color indexed="81"/>
            <rFont val="Tahoma"/>
            <family val="2"/>
          </rPr>
          <t xml:space="preserve">
Statusansatz-Zeile</t>
        </r>
      </text>
    </comment>
    <comment ref="BO741" authorId="0" shapeId="0" xr:uid="{00000000-0006-0000-0000-000010020000}">
      <text>
        <r>
          <rPr>
            <b/>
            <sz val="9"/>
            <color indexed="81"/>
            <rFont val="Tahoma"/>
            <family val="2"/>
          </rPr>
          <t>hsk:</t>
        </r>
        <r>
          <rPr>
            <sz val="9"/>
            <color indexed="81"/>
            <rFont val="Tahoma"/>
            <family val="2"/>
          </rPr>
          <t xml:space="preserve">
Zielansatz-Zeile</t>
        </r>
      </text>
    </comment>
    <comment ref="BO742" authorId="0" shapeId="0" xr:uid="{00000000-0006-0000-0000-000011020000}">
      <text>
        <r>
          <rPr>
            <b/>
            <sz val="9"/>
            <color indexed="81"/>
            <rFont val="Tahoma"/>
            <family val="2"/>
          </rPr>
          <t>hsk:</t>
        </r>
        <r>
          <rPr>
            <sz val="9"/>
            <color indexed="81"/>
            <rFont val="Tahoma"/>
            <family val="2"/>
          </rPr>
          <t xml:space="preserve">
Herleitungs-Zeile</t>
        </r>
      </text>
    </comment>
    <comment ref="BO744" authorId="0" shapeId="0" xr:uid="{00000000-0006-0000-0000-000012020000}">
      <text>
        <r>
          <rPr>
            <b/>
            <sz val="9"/>
            <color indexed="81"/>
            <rFont val="Tahoma"/>
            <family val="2"/>
          </rPr>
          <t>hsk:</t>
        </r>
        <r>
          <rPr>
            <sz val="9"/>
            <color indexed="81"/>
            <rFont val="Tahoma"/>
            <family val="2"/>
          </rPr>
          <t xml:space="preserve">
Titelzeile</t>
        </r>
      </text>
    </comment>
    <comment ref="BO746" authorId="0" shapeId="0" xr:uid="{00000000-0006-0000-0000-000013020000}">
      <text>
        <r>
          <rPr>
            <b/>
            <sz val="9"/>
            <color indexed="81"/>
            <rFont val="Tahoma"/>
            <family val="2"/>
          </rPr>
          <t>hsk:</t>
        </r>
        <r>
          <rPr>
            <sz val="9"/>
            <color indexed="81"/>
            <rFont val="Tahoma"/>
            <family val="2"/>
          </rPr>
          <t xml:space="preserve">
Parameterzeile</t>
        </r>
      </text>
    </comment>
    <comment ref="BO747" authorId="0" shapeId="0" xr:uid="{00000000-0006-0000-0000-000014020000}">
      <text>
        <r>
          <rPr>
            <b/>
            <sz val="9"/>
            <color indexed="81"/>
            <rFont val="Tahoma"/>
            <family val="2"/>
          </rPr>
          <t>hsk:</t>
        </r>
        <r>
          <rPr>
            <sz val="9"/>
            <color indexed="81"/>
            <rFont val="Tahoma"/>
            <family val="2"/>
          </rPr>
          <t xml:space="preserve">
Statusansatz-Zeile</t>
        </r>
      </text>
    </comment>
    <comment ref="BO749" authorId="0" shapeId="0" xr:uid="{00000000-0006-0000-0000-000015020000}">
      <text>
        <r>
          <rPr>
            <b/>
            <sz val="9"/>
            <color indexed="81"/>
            <rFont val="Tahoma"/>
            <family val="2"/>
          </rPr>
          <t>hsk:</t>
        </r>
        <r>
          <rPr>
            <sz val="9"/>
            <color indexed="81"/>
            <rFont val="Tahoma"/>
            <family val="2"/>
          </rPr>
          <t xml:space="preserve">
Zielansatz-Zeile</t>
        </r>
      </text>
    </comment>
    <comment ref="BO751" authorId="0" shapeId="0" xr:uid="{00000000-0006-0000-0000-000016020000}">
      <text>
        <r>
          <rPr>
            <b/>
            <sz val="9"/>
            <color indexed="81"/>
            <rFont val="Tahoma"/>
            <family val="2"/>
          </rPr>
          <t>hsk:</t>
        </r>
        <r>
          <rPr>
            <sz val="9"/>
            <color indexed="81"/>
            <rFont val="Tahoma"/>
            <family val="2"/>
          </rPr>
          <t xml:space="preserve">
Parameterzeile</t>
        </r>
      </text>
    </comment>
    <comment ref="BO752" authorId="0" shapeId="0" xr:uid="{00000000-0006-0000-0000-000017020000}">
      <text>
        <r>
          <rPr>
            <b/>
            <sz val="9"/>
            <color indexed="81"/>
            <rFont val="Tahoma"/>
            <family val="2"/>
          </rPr>
          <t>hsk:</t>
        </r>
        <r>
          <rPr>
            <sz val="9"/>
            <color indexed="81"/>
            <rFont val="Tahoma"/>
            <family val="2"/>
          </rPr>
          <t xml:space="preserve">
Statusansatz-Zeile</t>
        </r>
      </text>
    </comment>
    <comment ref="BO754" authorId="0" shapeId="0" xr:uid="{00000000-0006-0000-0000-000018020000}">
      <text>
        <r>
          <rPr>
            <b/>
            <sz val="9"/>
            <color indexed="81"/>
            <rFont val="Tahoma"/>
            <family val="2"/>
          </rPr>
          <t>hsk:</t>
        </r>
        <r>
          <rPr>
            <sz val="9"/>
            <color indexed="81"/>
            <rFont val="Tahoma"/>
            <family val="2"/>
          </rPr>
          <t xml:space="preserve">
Zielansatz-Zeile</t>
        </r>
      </text>
    </comment>
    <comment ref="BO756" authorId="0" shapeId="0" xr:uid="{00000000-0006-0000-0000-000019020000}">
      <text>
        <r>
          <rPr>
            <b/>
            <sz val="9"/>
            <color indexed="81"/>
            <rFont val="Tahoma"/>
            <family val="2"/>
          </rPr>
          <t>hsk:</t>
        </r>
        <r>
          <rPr>
            <sz val="9"/>
            <color indexed="81"/>
            <rFont val="Tahoma"/>
            <family val="2"/>
          </rPr>
          <t xml:space="preserve">
Parameterzeile</t>
        </r>
      </text>
    </comment>
    <comment ref="BO757" authorId="0" shapeId="0" xr:uid="{00000000-0006-0000-0000-00001A020000}">
      <text>
        <r>
          <rPr>
            <b/>
            <sz val="9"/>
            <color indexed="81"/>
            <rFont val="Tahoma"/>
            <family val="2"/>
          </rPr>
          <t>hsk:</t>
        </r>
        <r>
          <rPr>
            <sz val="9"/>
            <color indexed="81"/>
            <rFont val="Tahoma"/>
            <family val="2"/>
          </rPr>
          <t xml:space="preserve">
Statusansatz-Zeile</t>
        </r>
      </text>
    </comment>
    <comment ref="BO759" authorId="0" shapeId="0" xr:uid="{00000000-0006-0000-0000-00001B020000}">
      <text>
        <r>
          <rPr>
            <b/>
            <sz val="9"/>
            <color indexed="81"/>
            <rFont val="Tahoma"/>
            <family val="2"/>
          </rPr>
          <t>hsk:</t>
        </r>
        <r>
          <rPr>
            <sz val="9"/>
            <color indexed="81"/>
            <rFont val="Tahoma"/>
            <family val="2"/>
          </rPr>
          <t xml:space="preserve">
Zielansatz-Zeile</t>
        </r>
      </text>
    </comment>
    <comment ref="BO761" authorId="0" shapeId="0" xr:uid="{00000000-0006-0000-0000-00001C020000}">
      <text>
        <r>
          <rPr>
            <b/>
            <sz val="9"/>
            <color indexed="81"/>
            <rFont val="Tahoma"/>
            <family val="2"/>
          </rPr>
          <t>hsk:</t>
        </r>
        <r>
          <rPr>
            <sz val="9"/>
            <color indexed="81"/>
            <rFont val="Tahoma"/>
            <family val="2"/>
          </rPr>
          <t xml:space="preserve">
Parameterzeile</t>
        </r>
      </text>
    </comment>
    <comment ref="BO762" authorId="0" shapeId="0" xr:uid="{00000000-0006-0000-0000-00001D020000}">
      <text>
        <r>
          <rPr>
            <b/>
            <sz val="9"/>
            <color indexed="81"/>
            <rFont val="Tahoma"/>
            <family val="2"/>
          </rPr>
          <t>hsk:</t>
        </r>
        <r>
          <rPr>
            <sz val="9"/>
            <color indexed="81"/>
            <rFont val="Tahoma"/>
            <family val="2"/>
          </rPr>
          <t xml:space="preserve">
Statusansatz-Zeile</t>
        </r>
      </text>
    </comment>
    <comment ref="W764" authorId="0" shapeId="0" xr:uid="{00000000-0006-0000-0000-00001E020000}">
      <text>
        <r>
          <rPr>
            <b/>
            <sz val="9"/>
            <color indexed="81"/>
            <rFont val="Tahoma"/>
            <family val="2"/>
          </rPr>
          <t>hsk:</t>
        </r>
        <r>
          <rPr>
            <sz val="9"/>
            <color indexed="81"/>
            <rFont val="Tahoma"/>
            <family val="2"/>
          </rPr>
          <t xml:space="preserve">
Aktualisieren
</t>
        </r>
      </text>
    </comment>
    <comment ref="BO764" authorId="0" shapeId="0" xr:uid="{00000000-0006-0000-0000-00001F020000}">
      <text>
        <r>
          <rPr>
            <b/>
            <sz val="9"/>
            <color indexed="81"/>
            <rFont val="Tahoma"/>
            <family val="2"/>
          </rPr>
          <t>hsk:</t>
        </r>
        <r>
          <rPr>
            <sz val="9"/>
            <color indexed="81"/>
            <rFont val="Tahoma"/>
            <family val="2"/>
          </rPr>
          <t xml:space="preserve">
Zielansatz-Zeile</t>
        </r>
      </text>
    </comment>
    <comment ref="BO765" authorId="0" shapeId="0" xr:uid="{00000000-0006-0000-0000-000020020000}">
      <text>
        <r>
          <rPr>
            <b/>
            <sz val="9"/>
            <color indexed="81"/>
            <rFont val="Tahoma"/>
            <family val="2"/>
          </rPr>
          <t>hsk:</t>
        </r>
        <r>
          <rPr>
            <sz val="9"/>
            <color indexed="81"/>
            <rFont val="Tahoma"/>
            <family val="2"/>
          </rPr>
          <t xml:space="preserve">
Herleitungs-Zeile</t>
        </r>
      </text>
    </comment>
    <comment ref="BO767" authorId="0" shapeId="0" xr:uid="{00000000-0006-0000-0000-000021020000}">
      <text>
        <r>
          <rPr>
            <b/>
            <sz val="9"/>
            <color indexed="81"/>
            <rFont val="Tahoma"/>
            <family val="2"/>
          </rPr>
          <t>hsk:</t>
        </r>
        <r>
          <rPr>
            <sz val="9"/>
            <color indexed="81"/>
            <rFont val="Tahoma"/>
            <family val="2"/>
          </rPr>
          <t xml:space="preserve">
Parameterzeile</t>
        </r>
      </text>
    </comment>
    <comment ref="BO768" authorId="0" shapeId="0" xr:uid="{00000000-0006-0000-0000-000022020000}">
      <text>
        <r>
          <rPr>
            <b/>
            <sz val="9"/>
            <color indexed="81"/>
            <rFont val="Tahoma"/>
            <family val="2"/>
          </rPr>
          <t>hsk:</t>
        </r>
        <r>
          <rPr>
            <sz val="9"/>
            <color indexed="81"/>
            <rFont val="Tahoma"/>
            <family val="2"/>
          </rPr>
          <t xml:space="preserve">
Statusansatz-Zeile</t>
        </r>
      </text>
    </comment>
    <comment ref="BO770" authorId="0" shapeId="0" xr:uid="{00000000-0006-0000-0000-000023020000}">
      <text>
        <r>
          <rPr>
            <b/>
            <sz val="9"/>
            <color indexed="81"/>
            <rFont val="Tahoma"/>
            <family val="2"/>
          </rPr>
          <t>hsk:</t>
        </r>
        <r>
          <rPr>
            <sz val="9"/>
            <color indexed="81"/>
            <rFont val="Tahoma"/>
            <family val="2"/>
          </rPr>
          <t xml:space="preserve">
Zielansatz-Zeile</t>
        </r>
      </text>
    </comment>
    <comment ref="BO772" authorId="0" shapeId="0" xr:uid="{00000000-0006-0000-0000-000024020000}">
      <text>
        <r>
          <rPr>
            <b/>
            <sz val="9"/>
            <color indexed="81"/>
            <rFont val="Tahoma"/>
            <family val="2"/>
          </rPr>
          <t>hsk:</t>
        </r>
        <r>
          <rPr>
            <sz val="9"/>
            <color indexed="81"/>
            <rFont val="Tahoma"/>
            <family val="2"/>
          </rPr>
          <t xml:space="preserve">
Parameterzeile</t>
        </r>
      </text>
    </comment>
    <comment ref="BO773" authorId="0" shapeId="0" xr:uid="{00000000-0006-0000-0000-000025020000}">
      <text>
        <r>
          <rPr>
            <b/>
            <sz val="9"/>
            <color indexed="81"/>
            <rFont val="Tahoma"/>
            <family val="2"/>
          </rPr>
          <t>hsk:</t>
        </r>
        <r>
          <rPr>
            <sz val="9"/>
            <color indexed="81"/>
            <rFont val="Tahoma"/>
            <family val="2"/>
          </rPr>
          <t xml:space="preserve">
Statusansatz-Zeile</t>
        </r>
      </text>
    </comment>
    <comment ref="BO774" authorId="0" shapeId="0" xr:uid="{00000000-0006-0000-0000-000026020000}">
      <text>
        <r>
          <rPr>
            <b/>
            <sz val="9"/>
            <color indexed="81"/>
            <rFont val="Tahoma"/>
            <family val="2"/>
          </rPr>
          <t>hsk:</t>
        </r>
        <r>
          <rPr>
            <sz val="9"/>
            <color indexed="81"/>
            <rFont val="Tahoma"/>
            <family val="2"/>
          </rPr>
          <t xml:space="preserve">
Herleitungs-Zeile</t>
        </r>
      </text>
    </comment>
    <comment ref="BO776" authorId="0" shapeId="0" xr:uid="{00000000-0006-0000-0000-000027020000}">
      <text>
        <r>
          <rPr>
            <b/>
            <sz val="9"/>
            <color indexed="81"/>
            <rFont val="Tahoma"/>
            <family val="2"/>
          </rPr>
          <t>hsk:</t>
        </r>
        <r>
          <rPr>
            <sz val="9"/>
            <color indexed="81"/>
            <rFont val="Tahoma"/>
            <family val="2"/>
          </rPr>
          <t xml:space="preserve">
Zielansatz-Zeile</t>
        </r>
      </text>
    </comment>
    <comment ref="BO777" authorId="0" shapeId="0" xr:uid="{00000000-0006-0000-0000-000028020000}">
      <text>
        <r>
          <rPr>
            <b/>
            <sz val="9"/>
            <color indexed="81"/>
            <rFont val="Tahoma"/>
            <family val="2"/>
          </rPr>
          <t>hsk:</t>
        </r>
        <r>
          <rPr>
            <sz val="9"/>
            <color indexed="81"/>
            <rFont val="Tahoma"/>
            <family val="2"/>
          </rPr>
          <t xml:space="preserve">
Herleitungs-Zeile</t>
        </r>
      </text>
    </comment>
    <comment ref="BO778" authorId="0" shapeId="0" xr:uid="{00000000-0006-0000-0000-000029020000}">
      <text>
        <r>
          <rPr>
            <b/>
            <sz val="9"/>
            <color indexed="81"/>
            <rFont val="Tahoma"/>
            <family val="2"/>
          </rPr>
          <t>hsk:</t>
        </r>
        <r>
          <rPr>
            <sz val="9"/>
            <color indexed="81"/>
            <rFont val="Tahoma"/>
            <family val="2"/>
          </rPr>
          <t xml:space="preserve">
Herleitungs-Zeile</t>
        </r>
      </text>
    </comment>
    <comment ref="BO779" authorId="0" shapeId="0" xr:uid="{00000000-0006-0000-0000-00002A020000}">
      <text>
        <r>
          <rPr>
            <b/>
            <sz val="9"/>
            <color indexed="81"/>
            <rFont val="Tahoma"/>
            <family val="2"/>
          </rPr>
          <t>hsk:</t>
        </r>
        <r>
          <rPr>
            <sz val="9"/>
            <color indexed="81"/>
            <rFont val="Tahoma"/>
            <family val="2"/>
          </rPr>
          <t xml:space="preserve">
Erläuterungs-Zeile</t>
        </r>
      </text>
    </comment>
    <comment ref="BO781" authorId="0" shapeId="0" xr:uid="{00000000-0006-0000-0000-00002B020000}">
      <text>
        <r>
          <rPr>
            <b/>
            <sz val="9"/>
            <color indexed="81"/>
            <rFont val="Tahoma"/>
            <family val="2"/>
          </rPr>
          <t>hsk:</t>
        </r>
        <r>
          <rPr>
            <sz val="9"/>
            <color indexed="81"/>
            <rFont val="Tahoma"/>
            <family val="2"/>
          </rPr>
          <t xml:space="preserve">
Parameterzeile</t>
        </r>
      </text>
    </comment>
    <comment ref="BO782" authorId="0" shapeId="0" xr:uid="{00000000-0006-0000-0000-00002C020000}">
      <text>
        <r>
          <rPr>
            <b/>
            <sz val="9"/>
            <color indexed="81"/>
            <rFont val="Tahoma"/>
            <family val="2"/>
          </rPr>
          <t>hsk:</t>
        </r>
        <r>
          <rPr>
            <sz val="9"/>
            <color indexed="81"/>
            <rFont val="Tahoma"/>
            <family val="2"/>
          </rPr>
          <t xml:space="preserve">
Herleitungs-Zeile</t>
        </r>
      </text>
    </comment>
    <comment ref="BO784" authorId="0" shapeId="0" xr:uid="{00000000-0006-0000-0000-00002D020000}">
      <text>
        <r>
          <rPr>
            <b/>
            <sz val="9"/>
            <color indexed="81"/>
            <rFont val="Tahoma"/>
            <family val="2"/>
          </rPr>
          <t>hsk:</t>
        </r>
        <r>
          <rPr>
            <sz val="9"/>
            <color indexed="81"/>
            <rFont val="Tahoma"/>
            <family val="2"/>
          </rPr>
          <t xml:space="preserve">
Parameterzeile</t>
        </r>
      </text>
    </comment>
    <comment ref="W785" authorId="1" shapeId="0" xr:uid="{C6830951-00A8-404A-BC62-9C783E2F2069}">
      <text>
        <r>
          <rPr>
            <b/>
            <sz val="9"/>
            <color indexed="81"/>
            <rFont val="Segoe UI"/>
            <family val="2"/>
          </rPr>
          <t>hsk:</t>
        </r>
        <r>
          <rPr>
            <sz val="9"/>
            <color indexed="81"/>
            <rFont val="Segoe UI"/>
            <family val="2"/>
          </rPr>
          <t xml:space="preserve">
Um zu einer realistischen Einschätzung zu kommen, wird die Änderung auf die aktuelle Jahreszahl empfohlen!</t>
        </r>
      </text>
    </comment>
    <comment ref="BO785" authorId="0" shapeId="0" xr:uid="{00000000-0006-0000-0000-00002E020000}">
      <text>
        <r>
          <rPr>
            <b/>
            <sz val="9"/>
            <color indexed="81"/>
            <rFont val="Tahoma"/>
            <family val="2"/>
          </rPr>
          <t>hsk:</t>
        </r>
        <r>
          <rPr>
            <sz val="9"/>
            <color indexed="81"/>
            <rFont val="Tahoma"/>
            <family val="2"/>
          </rPr>
          <t xml:space="preserve">
Statusansatz-Zeile</t>
        </r>
      </text>
    </comment>
    <comment ref="BO787" authorId="0" shapeId="0" xr:uid="{00000000-0006-0000-0000-00002F020000}">
      <text>
        <r>
          <rPr>
            <b/>
            <sz val="9"/>
            <color indexed="81"/>
            <rFont val="Tahoma"/>
            <family val="2"/>
          </rPr>
          <t>hsk:</t>
        </r>
        <r>
          <rPr>
            <sz val="9"/>
            <color indexed="81"/>
            <rFont val="Tahoma"/>
            <family val="2"/>
          </rPr>
          <t xml:space="preserve">
Zielansatz-Zeile</t>
        </r>
      </text>
    </comment>
    <comment ref="BO789" authorId="0" shapeId="0" xr:uid="{00000000-0006-0000-0000-000030020000}">
      <text>
        <r>
          <rPr>
            <b/>
            <sz val="9"/>
            <color indexed="81"/>
            <rFont val="Tahoma"/>
            <family val="2"/>
          </rPr>
          <t>hsk:</t>
        </r>
        <r>
          <rPr>
            <sz val="9"/>
            <color indexed="81"/>
            <rFont val="Tahoma"/>
            <family val="2"/>
          </rPr>
          <t xml:space="preserve">
Parameterzeile</t>
        </r>
      </text>
    </comment>
    <comment ref="BO790" authorId="0" shapeId="0" xr:uid="{00000000-0006-0000-0000-000031020000}">
      <text>
        <r>
          <rPr>
            <b/>
            <sz val="9"/>
            <color indexed="81"/>
            <rFont val="Tahoma"/>
            <family val="2"/>
          </rPr>
          <t>hsk:</t>
        </r>
        <r>
          <rPr>
            <sz val="9"/>
            <color indexed="81"/>
            <rFont val="Tahoma"/>
            <family val="2"/>
          </rPr>
          <t xml:space="preserve">
Statusansatz-Zeile</t>
        </r>
      </text>
    </comment>
    <comment ref="BO792" authorId="0" shapeId="0" xr:uid="{00000000-0006-0000-0000-000032020000}">
      <text>
        <r>
          <rPr>
            <b/>
            <sz val="9"/>
            <color indexed="81"/>
            <rFont val="Tahoma"/>
            <family val="2"/>
          </rPr>
          <t>hsk:</t>
        </r>
        <r>
          <rPr>
            <sz val="9"/>
            <color indexed="81"/>
            <rFont val="Tahoma"/>
            <family val="2"/>
          </rPr>
          <t xml:space="preserve">
Zielansatz-Zeile</t>
        </r>
      </text>
    </comment>
    <comment ref="BO794" authorId="0" shapeId="0" xr:uid="{00000000-0006-0000-0000-000033020000}">
      <text>
        <r>
          <rPr>
            <b/>
            <sz val="9"/>
            <color indexed="81"/>
            <rFont val="Tahoma"/>
            <family val="2"/>
          </rPr>
          <t>hsk:</t>
        </r>
        <r>
          <rPr>
            <sz val="9"/>
            <color indexed="81"/>
            <rFont val="Tahoma"/>
            <family val="2"/>
          </rPr>
          <t xml:space="preserve">
Parameterzeile</t>
        </r>
      </text>
    </comment>
    <comment ref="BO795" authorId="0" shapeId="0" xr:uid="{00000000-0006-0000-0000-000034020000}">
      <text>
        <r>
          <rPr>
            <b/>
            <sz val="9"/>
            <color indexed="81"/>
            <rFont val="Tahoma"/>
            <family val="2"/>
          </rPr>
          <t>hsk:</t>
        </r>
        <r>
          <rPr>
            <sz val="9"/>
            <color indexed="81"/>
            <rFont val="Tahoma"/>
            <family val="2"/>
          </rPr>
          <t xml:space="preserve">
Statusansatz-Zeile</t>
        </r>
      </text>
    </comment>
    <comment ref="BO797" authorId="0" shapeId="0" xr:uid="{00000000-0006-0000-0000-000035020000}">
      <text>
        <r>
          <rPr>
            <b/>
            <sz val="9"/>
            <color indexed="81"/>
            <rFont val="Tahoma"/>
            <family val="2"/>
          </rPr>
          <t>hsk:</t>
        </r>
        <r>
          <rPr>
            <sz val="9"/>
            <color indexed="81"/>
            <rFont val="Tahoma"/>
            <family val="2"/>
          </rPr>
          <t xml:space="preserve">
Zielansatz-Zeile</t>
        </r>
      </text>
    </comment>
    <comment ref="BO799" authorId="0" shapeId="0" xr:uid="{00000000-0006-0000-0000-000036020000}">
      <text>
        <r>
          <rPr>
            <b/>
            <sz val="9"/>
            <color indexed="81"/>
            <rFont val="Tahoma"/>
            <family val="2"/>
          </rPr>
          <t>hsk:</t>
        </r>
        <r>
          <rPr>
            <sz val="9"/>
            <color indexed="81"/>
            <rFont val="Tahoma"/>
            <family val="2"/>
          </rPr>
          <t xml:space="preserve">
Parameterzeile</t>
        </r>
      </text>
    </comment>
    <comment ref="BO800" authorId="0" shapeId="0" xr:uid="{00000000-0006-0000-0000-000037020000}">
      <text>
        <r>
          <rPr>
            <b/>
            <sz val="9"/>
            <color indexed="81"/>
            <rFont val="Tahoma"/>
            <family val="2"/>
          </rPr>
          <t>hsk:</t>
        </r>
        <r>
          <rPr>
            <sz val="9"/>
            <color indexed="81"/>
            <rFont val="Tahoma"/>
            <family val="2"/>
          </rPr>
          <t xml:space="preserve">
Statusansatz-Zeile</t>
        </r>
      </text>
    </comment>
    <comment ref="BO802" authorId="0" shapeId="0" xr:uid="{00000000-0006-0000-0000-000038020000}">
      <text>
        <r>
          <rPr>
            <b/>
            <sz val="9"/>
            <color indexed="81"/>
            <rFont val="Tahoma"/>
            <family val="2"/>
          </rPr>
          <t>hsk:</t>
        </r>
        <r>
          <rPr>
            <sz val="9"/>
            <color indexed="81"/>
            <rFont val="Tahoma"/>
            <family val="2"/>
          </rPr>
          <t xml:space="preserve">
Zielansatz-Zeile</t>
        </r>
      </text>
    </comment>
    <comment ref="BO804" authorId="0" shapeId="0" xr:uid="{00000000-0006-0000-0000-000039020000}">
      <text>
        <r>
          <rPr>
            <b/>
            <sz val="9"/>
            <color indexed="81"/>
            <rFont val="Tahoma"/>
            <family val="2"/>
          </rPr>
          <t>hsk:</t>
        </r>
        <r>
          <rPr>
            <sz val="9"/>
            <color indexed="81"/>
            <rFont val="Tahoma"/>
            <family val="2"/>
          </rPr>
          <t xml:space="preserve">
Parameterzeile</t>
        </r>
      </text>
    </comment>
    <comment ref="BO805" authorId="0" shapeId="0" xr:uid="{00000000-0006-0000-0000-00003A020000}">
      <text>
        <r>
          <rPr>
            <b/>
            <sz val="9"/>
            <color indexed="81"/>
            <rFont val="Tahoma"/>
            <family val="2"/>
          </rPr>
          <t>hsk:</t>
        </r>
        <r>
          <rPr>
            <sz val="9"/>
            <color indexed="81"/>
            <rFont val="Tahoma"/>
            <family val="2"/>
          </rPr>
          <t xml:space="preserve">
Statusansatz-Zeile</t>
        </r>
      </text>
    </comment>
    <comment ref="W807" authorId="0" shapeId="0" xr:uid="{00000000-0006-0000-0000-00003B020000}">
      <text>
        <r>
          <rPr>
            <b/>
            <sz val="9"/>
            <color indexed="81"/>
            <rFont val="Tahoma"/>
            <family val="2"/>
          </rPr>
          <t>hsk 14.09.2016:</t>
        </r>
        <r>
          <rPr>
            <sz val="9"/>
            <color indexed="81"/>
            <rFont val="Tahoma"/>
            <family val="2"/>
          </rPr>
          <t xml:space="preserve">
Abgleich
</t>
        </r>
      </text>
    </comment>
    <comment ref="BO807" authorId="0" shapeId="0" xr:uid="{00000000-0006-0000-0000-00003C020000}">
      <text>
        <r>
          <rPr>
            <b/>
            <sz val="9"/>
            <color indexed="81"/>
            <rFont val="Tahoma"/>
            <family val="2"/>
          </rPr>
          <t>hsk:</t>
        </r>
        <r>
          <rPr>
            <sz val="9"/>
            <color indexed="81"/>
            <rFont val="Tahoma"/>
            <family val="2"/>
          </rPr>
          <t xml:space="preserve">
Zielansatz-Zeile</t>
        </r>
      </text>
    </comment>
    <comment ref="BO808" authorId="0" shapeId="0" xr:uid="{00000000-0006-0000-0000-00003D020000}">
      <text>
        <r>
          <rPr>
            <b/>
            <sz val="9"/>
            <color indexed="81"/>
            <rFont val="Tahoma"/>
            <family val="2"/>
          </rPr>
          <t>hsk:</t>
        </r>
        <r>
          <rPr>
            <sz val="9"/>
            <color indexed="81"/>
            <rFont val="Tahoma"/>
            <family val="2"/>
          </rPr>
          <t xml:space="preserve">
Erläuterungs-Zeile</t>
        </r>
      </text>
    </comment>
    <comment ref="BO810" authorId="0" shapeId="0" xr:uid="{00000000-0006-0000-0000-00003E020000}">
      <text>
        <r>
          <rPr>
            <b/>
            <sz val="9"/>
            <color indexed="81"/>
            <rFont val="Tahoma"/>
            <family val="2"/>
          </rPr>
          <t>hsk:</t>
        </r>
        <r>
          <rPr>
            <sz val="9"/>
            <color indexed="81"/>
            <rFont val="Tahoma"/>
            <family val="2"/>
          </rPr>
          <t xml:space="preserve">
Parameterzeile</t>
        </r>
      </text>
    </comment>
    <comment ref="BO811" authorId="0" shapeId="0" xr:uid="{00000000-0006-0000-0000-00003F020000}">
      <text>
        <r>
          <rPr>
            <b/>
            <sz val="9"/>
            <color indexed="81"/>
            <rFont val="Tahoma"/>
            <family val="2"/>
          </rPr>
          <t>hsk:</t>
        </r>
        <r>
          <rPr>
            <sz val="9"/>
            <color indexed="81"/>
            <rFont val="Tahoma"/>
            <family val="2"/>
          </rPr>
          <t xml:space="preserve">
Statusansatz-Zeile</t>
        </r>
      </text>
    </comment>
    <comment ref="BO813" authorId="0" shapeId="0" xr:uid="{00000000-0006-0000-0000-000040020000}">
      <text>
        <r>
          <rPr>
            <b/>
            <sz val="9"/>
            <color indexed="81"/>
            <rFont val="Tahoma"/>
            <family val="2"/>
          </rPr>
          <t>hsk:</t>
        </r>
        <r>
          <rPr>
            <sz val="9"/>
            <color indexed="81"/>
            <rFont val="Tahoma"/>
            <family val="2"/>
          </rPr>
          <t xml:space="preserve">
Zielansatz-Zeile</t>
        </r>
      </text>
    </comment>
    <comment ref="BO814" authorId="0" shapeId="0" xr:uid="{00000000-0006-0000-0000-000041020000}">
      <text>
        <r>
          <rPr>
            <b/>
            <sz val="9"/>
            <color indexed="81"/>
            <rFont val="Tahoma"/>
            <family val="2"/>
          </rPr>
          <t>hsk:</t>
        </r>
        <r>
          <rPr>
            <sz val="9"/>
            <color indexed="81"/>
            <rFont val="Tahoma"/>
            <family val="2"/>
          </rPr>
          <t xml:space="preserve">
Herleitungs-Zeile</t>
        </r>
      </text>
    </comment>
    <comment ref="BO816" authorId="0" shapeId="0" xr:uid="{00000000-0006-0000-0000-000042020000}">
      <text>
        <r>
          <rPr>
            <b/>
            <sz val="9"/>
            <color indexed="81"/>
            <rFont val="Tahoma"/>
            <family val="2"/>
          </rPr>
          <t>hsk:</t>
        </r>
        <r>
          <rPr>
            <sz val="9"/>
            <color indexed="81"/>
            <rFont val="Tahoma"/>
            <family val="2"/>
          </rPr>
          <t xml:space="preserve">
Parameterzeile</t>
        </r>
      </text>
    </comment>
    <comment ref="BO817" authorId="0" shapeId="0" xr:uid="{00000000-0006-0000-0000-000043020000}">
      <text>
        <r>
          <rPr>
            <b/>
            <sz val="9"/>
            <color indexed="81"/>
            <rFont val="Tahoma"/>
            <family val="2"/>
          </rPr>
          <t>hsk:</t>
        </r>
        <r>
          <rPr>
            <sz val="9"/>
            <color indexed="81"/>
            <rFont val="Tahoma"/>
            <family val="2"/>
          </rPr>
          <t xml:space="preserve">
Statusansatz-Zeile</t>
        </r>
      </text>
    </comment>
    <comment ref="BO819" authorId="0" shapeId="0" xr:uid="{00000000-0006-0000-0000-000044020000}">
      <text>
        <r>
          <rPr>
            <b/>
            <sz val="9"/>
            <color indexed="81"/>
            <rFont val="Tahoma"/>
            <family val="2"/>
          </rPr>
          <t>hsk:</t>
        </r>
        <r>
          <rPr>
            <sz val="9"/>
            <color indexed="81"/>
            <rFont val="Tahoma"/>
            <family val="2"/>
          </rPr>
          <t xml:space="preserve">
Zielansatz-Zeile</t>
        </r>
      </text>
    </comment>
    <comment ref="BO821" authorId="0" shapeId="0" xr:uid="{00000000-0006-0000-0000-000045020000}">
      <text>
        <r>
          <rPr>
            <b/>
            <sz val="9"/>
            <color indexed="81"/>
            <rFont val="Tahoma"/>
            <family val="2"/>
          </rPr>
          <t>hsk:</t>
        </r>
        <r>
          <rPr>
            <sz val="9"/>
            <color indexed="81"/>
            <rFont val="Tahoma"/>
            <family val="2"/>
          </rPr>
          <t xml:space="preserve">
Titelzeile</t>
        </r>
      </text>
    </comment>
    <comment ref="BO823" authorId="0" shapeId="0" xr:uid="{00000000-0006-0000-0000-000046020000}">
      <text>
        <r>
          <rPr>
            <b/>
            <sz val="9"/>
            <color indexed="81"/>
            <rFont val="Tahoma"/>
            <family val="2"/>
          </rPr>
          <t>hsk:</t>
        </r>
        <r>
          <rPr>
            <sz val="9"/>
            <color indexed="81"/>
            <rFont val="Tahoma"/>
            <family val="2"/>
          </rPr>
          <t xml:space="preserve">
Parameterzeile</t>
        </r>
      </text>
    </comment>
    <comment ref="BO824" authorId="0" shapeId="0" xr:uid="{00000000-0006-0000-0000-000047020000}">
      <text>
        <r>
          <rPr>
            <b/>
            <sz val="9"/>
            <color indexed="81"/>
            <rFont val="Tahoma"/>
            <family val="2"/>
          </rPr>
          <t>hsk:</t>
        </r>
        <r>
          <rPr>
            <sz val="9"/>
            <color indexed="81"/>
            <rFont val="Tahoma"/>
            <family val="2"/>
          </rPr>
          <t xml:space="preserve">
Statusansatz-Zeile</t>
        </r>
      </text>
    </comment>
    <comment ref="BO826" authorId="0" shapeId="0" xr:uid="{00000000-0006-0000-0000-000048020000}">
      <text>
        <r>
          <rPr>
            <b/>
            <sz val="9"/>
            <color indexed="81"/>
            <rFont val="Tahoma"/>
            <family val="2"/>
          </rPr>
          <t>hsk:</t>
        </r>
        <r>
          <rPr>
            <sz val="9"/>
            <color indexed="81"/>
            <rFont val="Tahoma"/>
            <family val="2"/>
          </rPr>
          <t xml:space="preserve">
Zielansatz-Zeile</t>
        </r>
      </text>
    </comment>
    <comment ref="BO828" authorId="0" shapeId="0" xr:uid="{00000000-0006-0000-0000-000049020000}">
      <text>
        <r>
          <rPr>
            <b/>
            <sz val="9"/>
            <color indexed="81"/>
            <rFont val="Tahoma"/>
            <family val="2"/>
          </rPr>
          <t>hsk:</t>
        </r>
        <r>
          <rPr>
            <sz val="9"/>
            <color indexed="81"/>
            <rFont val="Tahoma"/>
            <family val="2"/>
          </rPr>
          <t xml:space="preserve">
Parameterzeile</t>
        </r>
      </text>
    </comment>
    <comment ref="BO829" authorId="0" shapeId="0" xr:uid="{00000000-0006-0000-0000-00004A020000}">
      <text>
        <r>
          <rPr>
            <b/>
            <sz val="9"/>
            <color indexed="81"/>
            <rFont val="Tahoma"/>
            <family val="2"/>
          </rPr>
          <t>hsk:</t>
        </r>
        <r>
          <rPr>
            <sz val="9"/>
            <color indexed="81"/>
            <rFont val="Tahoma"/>
            <family val="2"/>
          </rPr>
          <t xml:space="preserve">
Statusansatz-Zeile</t>
        </r>
      </text>
    </comment>
    <comment ref="BO831" authorId="0" shapeId="0" xr:uid="{00000000-0006-0000-0000-00004B020000}">
      <text>
        <r>
          <rPr>
            <b/>
            <sz val="9"/>
            <color indexed="81"/>
            <rFont val="Tahoma"/>
            <family val="2"/>
          </rPr>
          <t>hsk:</t>
        </r>
        <r>
          <rPr>
            <sz val="9"/>
            <color indexed="81"/>
            <rFont val="Tahoma"/>
            <family val="2"/>
          </rPr>
          <t xml:space="preserve">
Zielansatz-Zeile</t>
        </r>
      </text>
    </comment>
    <comment ref="BO833" authorId="0" shapeId="0" xr:uid="{00000000-0006-0000-0000-00004C020000}">
      <text>
        <r>
          <rPr>
            <b/>
            <sz val="9"/>
            <color indexed="81"/>
            <rFont val="Tahoma"/>
            <family val="2"/>
          </rPr>
          <t>hsk:</t>
        </r>
        <r>
          <rPr>
            <sz val="9"/>
            <color indexed="81"/>
            <rFont val="Tahoma"/>
            <family val="2"/>
          </rPr>
          <t xml:space="preserve">
Parameterzeile</t>
        </r>
      </text>
    </comment>
    <comment ref="BO834" authorId="0" shapeId="0" xr:uid="{00000000-0006-0000-0000-00004D020000}">
      <text>
        <r>
          <rPr>
            <b/>
            <sz val="9"/>
            <color indexed="81"/>
            <rFont val="Tahoma"/>
            <family val="2"/>
          </rPr>
          <t>hsk:</t>
        </r>
        <r>
          <rPr>
            <sz val="9"/>
            <color indexed="81"/>
            <rFont val="Tahoma"/>
            <family val="2"/>
          </rPr>
          <t xml:space="preserve">
Statusansatz-Zeile</t>
        </r>
      </text>
    </comment>
    <comment ref="BO836" authorId="0" shapeId="0" xr:uid="{00000000-0006-0000-0000-00004E020000}">
      <text>
        <r>
          <rPr>
            <b/>
            <sz val="9"/>
            <color indexed="81"/>
            <rFont val="Tahoma"/>
            <family val="2"/>
          </rPr>
          <t>hsk:</t>
        </r>
        <r>
          <rPr>
            <sz val="9"/>
            <color indexed="81"/>
            <rFont val="Tahoma"/>
            <family val="2"/>
          </rPr>
          <t xml:space="preserve">
Zielansatz-Zeile</t>
        </r>
      </text>
    </comment>
    <comment ref="BO838" authorId="0" shapeId="0" xr:uid="{00000000-0006-0000-0000-00004F020000}">
      <text>
        <r>
          <rPr>
            <b/>
            <sz val="9"/>
            <color indexed="81"/>
            <rFont val="Tahoma"/>
            <family val="2"/>
          </rPr>
          <t>hsk:</t>
        </r>
        <r>
          <rPr>
            <sz val="9"/>
            <color indexed="81"/>
            <rFont val="Tahoma"/>
            <family val="2"/>
          </rPr>
          <t xml:space="preserve">
Parameterzeile</t>
        </r>
      </text>
    </comment>
    <comment ref="BO839" authorId="0" shapeId="0" xr:uid="{00000000-0006-0000-0000-000050020000}">
      <text>
        <r>
          <rPr>
            <b/>
            <sz val="9"/>
            <color indexed="81"/>
            <rFont val="Tahoma"/>
            <family val="2"/>
          </rPr>
          <t>hsk:</t>
        </r>
        <r>
          <rPr>
            <sz val="9"/>
            <color indexed="81"/>
            <rFont val="Tahoma"/>
            <family val="2"/>
          </rPr>
          <t xml:space="preserve">
Statusansatz-Zeile</t>
        </r>
      </text>
    </comment>
    <comment ref="W841" authorId="0" shapeId="0" xr:uid="{00000000-0006-0000-0000-000051020000}">
      <text>
        <r>
          <rPr>
            <b/>
            <sz val="9"/>
            <color indexed="81"/>
            <rFont val="Tahoma"/>
            <family val="2"/>
          </rPr>
          <t>hsk:</t>
        </r>
        <r>
          <rPr>
            <sz val="9"/>
            <color indexed="81"/>
            <rFont val="Tahoma"/>
            <family val="2"/>
          </rPr>
          <t xml:space="preserve">
aktualisieren
</t>
        </r>
      </text>
    </comment>
    <comment ref="BO841" authorId="0" shapeId="0" xr:uid="{00000000-0006-0000-0000-000052020000}">
      <text>
        <r>
          <rPr>
            <b/>
            <sz val="9"/>
            <color indexed="81"/>
            <rFont val="Tahoma"/>
            <family val="2"/>
          </rPr>
          <t>hsk:</t>
        </r>
        <r>
          <rPr>
            <sz val="9"/>
            <color indexed="81"/>
            <rFont val="Tahoma"/>
            <family val="2"/>
          </rPr>
          <t xml:space="preserve">
Zielansatz-Zeile</t>
        </r>
      </text>
    </comment>
    <comment ref="BO843" authorId="0" shapeId="0" xr:uid="{00000000-0006-0000-0000-000053020000}">
      <text>
        <r>
          <rPr>
            <b/>
            <sz val="9"/>
            <color indexed="81"/>
            <rFont val="Tahoma"/>
            <family val="2"/>
          </rPr>
          <t>hsk:</t>
        </r>
        <r>
          <rPr>
            <sz val="9"/>
            <color indexed="81"/>
            <rFont val="Tahoma"/>
            <family val="2"/>
          </rPr>
          <t xml:space="preserve">
Parameterzeile</t>
        </r>
      </text>
    </comment>
    <comment ref="BO844" authorId="0" shapeId="0" xr:uid="{00000000-0006-0000-0000-000054020000}">
      <text>
        <r>
          <rPr>
            <b/>
            <sz val="9"/>
            <color indexed="81"/>
            <rFont val="Tahoma"/>
            <family val="2"/>
          </rPr>
          <t>hsk:</t>
        </r>
        <r>
          <rPr>
            <sz val="9"/>
            <color indexed="81"/>
            <rFont val="Tahoma"/>
            <family val="2"/>
          </rPr>
          <t xml:space="preserve">
Statusansatz-Zeile</t>
        </r>
      </text>
    </comment>
    <comment ref="BO846" authorId="0" shapeId="0" xr:uid="{00000000-0006-0000-0000-000055020000}">
      <text>
        <r>
          <rPr>
            <b/>
            <sz val="9"/>
            <color indexed="81"/>
            <rFont val="Tahoma"/>
            <family val="2"/>
          </rPr>
          <t>hsk:</t>
        </r>
        <r>
          <rPr>
            <sz val="9"/>
            <color indexed="81"/>
            <rFont val="Tahoma"/>
            <family val="2"/>
          </rPr>
          <t xml:space="preserve">
Zielansatz-Zeile</t>
        </r>
      </text>
    </comment>
    <comment ref="BO847" authorId="0" shapeId="0" xr:uid="{00000000-0006-0000-0000-000056020000}">
      <text>
        <r>
          <rPr>
            <b/>
            <sz val="9"/>
            <color indexed="81"/>
            <rFont val="Tahoma"/>
            <family val="2"/>
          </rPr>
          <t>hsk:</t>
        </r>
        <r>
          <rPr>
            <sz val="9"/>
            <color indexed="81"/>
            <rFont val="Tahoma"/>
            <family val="2"/>
          </rPr>
          <t xml:space="preserve">
Herleitungs-Zeile</t>
        </r>
      </text>
    </comment>
    <comment ref="BO848" authorId="0" shapeId="0" xr:uid="{00000000-0006-0000-0000-000057020000}">
      <text>
        <r>
          <rPr>
            <b/>
            <sz val="9"/>
            <color indexed="81"/>
            <rFont val="Tahoma"/>
            <family val="2"/>
          </rPr>
          <t>hsk:</t>
        </r>
        <r>
          <rPr>
            <sz val="9"/>
            <color indexed="81"/>
            <rFont val="Tahoma"/>
            <family val="2"/>
          </rPr>
          <t xml:space="preserve">
Herleitungs-Zeile</t>
        </r>
      </text>
    </comment>
    <comment ref="BO849" authorId="0" shapeId="0" xr:uid="{00000000-0006-0000-0000-000058020000}">
      <text>
        <r>
          <rPr>
            <b/>
            <sz val="9"/>
            <color indexed="81"/>
            <rFont val="Tahoma"/>
            <family val="2"/>
          </rPr>
          <t>hsk:</t>
        </r>
        <r>
          <rPr>
            <sz val="9"/>
            <color indexed="81"/>
            <rFont val="Tahoma"/>
            <family val="2"/>
          </rPr>
          <t xml:space="preserve">
Herleitungs-Zeile</t>
        </r>
      </text>
    </comment>
    <comment ref="BO850" authorId="0" shapeId="0" xr:uid="{00000000-0006-0000-0000-000059020000}">
      <text>
        <r>
          <rPr>
            <b/>
            <sz val="9"/>
            <color indexed="81"/>
            <rFont val="Tahoma"/>
            <family val="2"/>
          </rPr>
          <t>hsk:</t>
        </r>
        <r>
          <rPr>
            <sz val="9"/>
            <color indexed="81"/>
            <rFont val="Tahoma"/>
            <family val="2"/>
          </rPr>
          <t xml:space="preserve">
Herleitungs-Zeile</t>
        </r>
      </text>
    </comment>
    <comment ref="BO852" authorId="0" shapeId="0" xr:uid="{00000000-0006-0000-0000-00005A020000}">
      <text>
        <r>
          <rPr>
            <b/>
            <sz val="9"/>
            <color indexed="81"/>
            <rFont val="Tahoma"/>
            <family val="2"/>
          </rPr>
          <t>hsk:</t>
        </r>
        <r>
          <rPr>
            <sz val="9"/>
            <color indexed="81"/>
            <rFont val="Tahoma"/>
            <family val="2"/>
          </rPr>
          <t xml:space="preserve">
Parameterzeile</t>
        </r>
      </text>
    </comment>
    <comment ref="BO853" authorId="0" shapeId="0" xr:uid="{00000000-0006-0000-0000-00005B020000}">
      <text>
        <r>
          <rPr>
            <b/>
            <sz val="9"/>
            <color indexed="81"/>
            <rFont val="Tahoma"/>
            <family val="2"/>
          </rPr>
          <t>hsk:</t>
        </r>
        <r>
          <rPr>
            <sz val="9"/>
            <color indexed="81"/>
            <rFont val="Tahoma"/>
            <family val="2"/>
          </rPr>
          <t xml:space="preserve">
Statusansatz-Zeile</t>
        </r>
      </text>
    </comment>
    <comment ref="W855" authorId="0" shapeId="0" xr:uid="{00000000-0006-0000-0000-00005C020000}">
      <text>
        <r>
          <rPr>
            <b/>
            <sz val="9"/>
            <color indexed="81"/>
            <rFont val="Tahoma"/>
            <family val="2"/>
          </rPr>
          <t>hsk 14.09.2016:</t>
        </r>
        <r>
          <rPr>
            <sz val="9"/>
            <color indexed="81"/>
            <rFont val="Tahoma"/>
            <family val="2"/>
          </rPr>
          <t xml:space="preserve">
Abgleich</t>
        </r>
      </text>
    </comment>
    <comment ref="BO855" authorId="0" shapeId="0" xr:uid="{00000000-0006-0000-0000-00005D020000}">
      <text>
        <r>
          <rPr>
            <b/>
            <sz val="9"/>
            <color indexed="81"/>
            <rFont val="Tahoma"/>
            <family val="2"/>
          </rPr>
          <t>hsk:</t>
        </r>
        <r>
          <rPr>
            <sz val="9"/>
            <color indexed="81"/>
            <rFont val="Tahoma"/>
            <family val="2"/>
          </rPr>
          <t xml:space="preserve">
Zielansatz-Zeile</t>
        </r>
      </text>
    </comment>
    <comment ref="BO857" authorId="0" shapeId="0" xr:uid="{00000000-0006-0000-0000-00005E020000}">
      <text>
        <r>
          <rPr>
            <b/>
            <sz val="9"/>
            <color indexed="81"/>
            <rFont val="Tahoma"/>
            <family val="2"/>
          </rPr>
          <t>hsk:</t>
        </r>
        <r>
          <rPr>
            <sz val="9"/>
            <color indexed="81"/>
            <rFont val="Tahoma"/>
            <family val="2"/>
          </rPr>
          <t xml:space="preserve">
Parameterzeile</t>
        </r>
      </text>
    </comment>
    <comment ref="BO858" authorId="0" shapeId="0" xr:uid="{00000000-0006-0000-0000-00005F020000}">
      <text>
        <r>
          <rPr>
            <b/>
            <sz val="9"/>
            <color indexed="81"/>
            <rFont val="Tahoma"/>
            <family val="2"/>
          </rPr>
          <t>hsk:</t>
        </r>
        <r>
          <rPr>
            <sz val="9"/>
            <color indexed="81"/>
            <rFont val="Tahoma"/>
            <family val="2"/>
          </rPr>
          <t xml:space="preserve">
Statusansatz-Zeile</t>
        </r>
      </text>
    </comment>
    <comment ref="BO860" authorId="0" shapeId="0" xr:uid="{00000000-0006-0000-0000-000060020000}">
      <text>
        <r>
          <rPr>
            <b/>
            <sz val="9"/>
            <color indexed="81"/>
            <rFont val="Tahoma"/>
            <family val="2"/>
          </rPr>
          <t>hsk:</t>
        </r>
        <r>
          <rPr>
            <sz val="9"/>
            <color indexed="81"/>
            <rFont val="Tahoma"/>
            <family val="2"/>
          </rPr>
          <t xml:space="preserve">
Zielansatz-Zeile</t>
        </r>
      </text>
    </comment>
    <comment ref="BO862" authorId="0" shapeId="0" xr:uid="{00000000-0006-0000-0000-000061020000}">
      <text>
        <r>
          <rPr>
            <b/>
            <sz val="9"/>
            <color indexed="81"/>
            <rFont val="Tahoma"/>
            <family val="2"/>
          </rPr>
          <t>hsk:</t>
        </r>
        <r>
          <rPr>
            <sz val="9"/>
            <color indexed="81"/>
            <rFont val="Tahoma"/>
            <family val="2"/>
          </rPr>
          <t xml:space="preserve">
Parameterzeile</t>
        </r>
      </text>
    </comment>
    <comment ref="BO863" authorId="0" shapeId="0" xr:uid="{00000000-0006-0000-0000-000062020000}">
      <text>
        <r>
          <rPr>
            <b/>
            <sz val="9"/>
            <color indexed="81"/>
            <rFont val="Tahoma"/>
            <family val="2"/>
          </rPr>
          <t>hsk:</t>
        </r>
        <r>
          <rPr>
            <sz val="9"/>
            <color indexed="81"/>
            <rFont val="Tahoma"/>
            <family val="2"/>
          </rPr>
          <t xml:space="preserve">
Statusansatz-Zeile</t>
        </r>
      </text>
    </comment>
    <comment ref="BO865" authorId="0" shapeId="0" xr:uid="{00000000-0006-0000-0000-000063020000}">
      <text>
        <r>
          <rPr>
            <b/>
            <sz val="9"/>
            <color indexed="81"/>
            <rFont val="Tahoma"/>
            <family val="2"/>
          </rPr>
          <t>hsk:</t>
        </r>
        <r>
          <rPr>
            <sz val="9"/>
            <color indexed="81"/>
            <rFont val="Tahoma"/>
            <family val="2"/>
          </rPr>
          <t xml:space="preserve">
Zielansatz-Zeile</t>
        </r>
      </text>
    </comment>
    <comment ref="BO867" authorId="0" shapeId="0" xr:uid="{00000000-0006-0000-0000-000064020000}">
      <text>
        <r>
          <rPr>
            <b/>
            <sz val="9"/>
            <color indexed="81"/>
            <rFont val="Tahoma"/>
            <family val="2"/>
          </rPr>
          <t>hsk:</t>
        </r>
        <r>
          <rPr>
            <sz val="9"/>
            <color indexed="81"/>
            <rFont val="Tahoma"/>
            <family val="2"/>
          </rPr>
          <t xml:space="preserve">
Parameterzeile</t>
        </r>
      </text>
    </comment>
    <comment ref="BO868" authorId="0" shapeId="0" xr:uid="{00000000-0006-0000-0000-000065020000}">
      <text>
        <r>
          <rPr>
            <b/>
            <sz val="9"/>
            <color indexed="81"/>
            <rFont val="Tahoma"/>
            <family val="2"/>
          </rPr>
          <t>hsk:</t>
        </r>
        <r>
          <rPr>
            <sz val="9"/>
            <color indexed="81"/>
            <rFont val="Tahoma"/>
            <family val="2"/>
          </rPr>
          <t xml:space="preserve">
Statusansatz-Zeile</t>
        </r>
      </text>
    </comment>
    <comment ref="BO870" authorId="0" shapeId="0" xr:uid="{00000000-0006-0000-0000-000066020000}">
      <text>
        <r>
          <rPr>
            <b/>
            <sz val="9"/>
            <color indexed="81"/>
            <rFont val="Tahoma"/>
            <family val="2"/>
          </rPr>
          <t>hsk:</t>
        </r>
        <r>
          <rPr>
            <sz val="9"/>
            <color indexed="81"/>
            <rFont val="Tahoma"/>
            <family val="2"/>
          </rPr>
          <t xml:space="preserve">
Zielansatz-Zeile</t>
        </r>
      </text>
    </comment>
    <comment ref="BO872" authorId="0" shapeId="0" xr:uid="{00000000-0006-0000-0000-000067020000}">
      <text>
        <r>
          <rPr>
            <b/>
            <sz val="9"/>
            <color indexed="81"/>
            <rFont val="Tahoma"/>
            <family val="2"/>
          </rPr>
          <t>hsk:</t>
        </r>
        <r>
          <rPr>
            <sz val="9"/>
            <color indexed="81"/>
            <rFont val="Tahoma"/>
            <family val="2"/>
          </rPr>
          <t xml:space="preserve">
Titelzeile</t>
        </r>
      </text>
    </comment>
    <comment ref="BO874" authorId="0" shapeId="0" xr:uid="{00000000-0006-0000-0000-000068020000}">
      <text>
        <r>
          <rPr>
            <b/>
            <sz val="9"/>
            <color indexed="81"/>
            <rFont val="Tahoma"/>
            <family val="2"/>
          </rPr>
          <t>hsk:</t>
        </r>
        <r>
          <rPr>
            <sz val="9"/>
            <color indexed="81"/>
            <rFont val="Tahoma"/>
            <family val="2"/>
          </rPr>
          <t xml:space="preserve">
Titelzeile</t>
        </r>
      </text>
    </comment>
    <comment ref="BO876" authorId="0" shapeId="0" xr:uid="{00000000-0006-0000-0000-000069020000}">
      <text>
        <r>
          <rPr>
            <b/>
            <sz val="9"/>
            <color indexed="81"/>
            <rFont val="Tahoma"/>
            <family val="2"/>
          </rPr>
          <t>hsk:</t>
        </r>
        <r>
          <rPr>
            <sz val="9"/>
            <color indexed="81"/>
            <rFont val="Tahoma"/>
            <family val="2"/>
          </rPr>
          <t xml:space="preserve">
Parameterzeile</t>
        </r>
      </text>
    </comment>
    <comment ref="BO877" authorId="0" shapeId="0" xr:uid="{00000000-0006-0000-0000-00006A020000}">
      <text>
        <r>
          <rPr>
            <b/>
            <sz val="9"/>
            <color indexed="81"/>
            <rFont val="Tahoma"/>
            <family val="2"/>
          </rPr>
          <t>hsk:</t>
        </r>
        <r>
          <rPr>
            <sz val="9"/>
            <color indexed="81"/>
            <rFont val="Tahoma"/>
            <family val="2"/>
          </rPr>
          <t xml:space="preserve">
Statusansatz-Zeile</t>
        </r>
      </text>
    </comment>
    <comment ref="BO878" authorId="0" shapeId="0" xr:uid="{00000000-0006-0000-0000-00006B020000}">
      <text>
        <r>
          <rPr>
            <b/>
            <sz val="9"/>
            <color indexed="81"/>
            <rFont val="Tahoma"/>
            <family val="2"/>
          </rPr>
          <t>hsk:</t>
        </r>
        <r>
          <rPr>
            <sz val="9"/>
            <color indexed="81"/>
            <rFont val="Tahoma"/>
            <family val="2"/>
          </rPr>
          <t xml:space="preserve">
Herleitungs-Zeile</t>
        </r>
      </text>
    </comment>
    <comment ref="BO880" authorId="0" shapeId="0" xr:uid="{00000000-0006-0000-0000-00006C020000}">
      <text>
        <r>
          <rPr>
            <b/>
            <sz val="9"/>
            <color indexed="81"/>
            <rFont val="Tahoma"/>
            <family val="2"/>
          </rPr>
          <t>hsk:</t>
        </r>
        <r>
          <rPr>
            <sz val="9"/>
            <color indexed="81"/>
            <rFont val="Tahoma"/>
            <family val="2"/>
          </rPr>
          <t xml:space="preserve">
Zielansatz-Zeile</t>
        </r>
      </text>
    </comment>
    <comment ref="BO882" authorId="0" shapeId="0" xr:uid="{00000000-0006-0000-0000-00006D020000}">
      <text>
        <r>
          <rPr>
            <b/>
            <sz val="9"/>
            <color indexed="81"/>
            <rFont val="Tahoma"/>
            <family val="2"/>
          </rPr>
          <t>hsk:</t>
        </r>
        <r>
          <rPr>
            <sz val="9"/>
            <color indexed="81"/>
            <rFont val="Tahoma"/>
            <family val="2"/>
          </rPr>
          <t xml:space="preserve">
Parameterzeile</t>
        </r>
      </text>
    </comment>
    <comment ref="BO883" authorId="0" shapeId="0" xr:uid="{00000000-0006-0000-0000-00006E020000}">
      <text>
        <r>
          <rPr>
            <b/>
            <sz val="9"/>
            <color indexed="81"/>
            <rFont val="Tahoma"/>
            <family val="2"/>
          </rPr>
          <t>hsk:</t>
        </r>
        <r>
          <rPr>
            <sz val="9"/>
            <color indexed="81"/>
            <rFont val="Tahoma"/>
            <family val="2"/>
          </rPr>
          <t xml:space="preserve">
Statusansatz-Zeile</t>
        </r>
      </text>
    </comment>
    <comment ref="BO885" authorId="0" shapeId="0" xr:uid="{00000000-0006-0000-0000-00006F020000}">
      <text>
        <r>
          <rPr>
            <b/>
            <sz val="9"/>
            <color indexed="81"/>
            <rFont val="Tahoma"/>
            <family val="2"/>
          </rPr>
          <t>hsk:</t>
        </r>
        <r>
          <rPr>
            <sz val="9"/>
            <color indexed="81"/>
            <rFont val="Tahoma"/>
            <family val="2"/>
          </rPr>
          <t xml:space="preserve">
Zielansatz-Zeile</t>
        </r>
      </text>
    </comment>
    <comment ref="BO886" authorId="0" shapeId="0" xr:uid="{00000000-0006-0000-0000-000070020000}">
      <text>
        <r>
          <rPr>
            <b/>
            <sz val="9"/>
            <color indexed="81"/>
            <rFont val="Tahoma"/>
            <family val="2"/>
          </rPr>
          <t>hsk:</t>
        </r>
        <r>
          <rPr>
            <sz val="9"/>
            <color indexed="81"/>
            <rFont val="Tahoma"/>
            <family val="2"/>
          </rPr>
          <t xml:space="preserve">
Herleitungs-Zeile</t>
        </r>
      </text>
    </comment>
    <comment ref="BO888" authorId="0" shapeId="0" xr:uid="{00000000-0006-0000-0000-000071020000}">
      <text>
        <r>
          <rPr>
            <b/>
            <sz val="9"/>
            <color indexed="81"/>
            <rFont val="Tahoma"/>
            <family val="2"/>
          </rPr>
          <t>hsk:</t>
        </r>
        <r>
          <rPr>
            <sz val="9"/>
            <color indexed="81"/>
            <rFont val="Tahoma"/>
            <family val="2"/>
          </rPr>
          <t xml:space="preserve">
Parameterzeile</t>
        </r>
      </text>
    </comment>
    <comment ref="BO889" authorId="0" shapeId="0" xr:uid="{00000000-0006-0000-0000-000072020000}">
      <text>
        <r>
          <rPr>
            <b/>
            <sz val="9"/>
            <color indexed="81"/>
            <rFont val="Tahoma"/>
            <family val="2"/>
          </rPr>
          <t>hsk:</t>
        </r>
        <r>
          <rPr>
            <sz val="9"/>
            <color indexed="81"/>
            <rFont val="Tahoma"/>
            <family val="2"/>
          </rPr>
          <t xml:space="preserve">
Statusansatz-Zeile</t>
        </r>
      </text>
    </comment>
    <comment ref="BO890" authorId="0" shapeId="0" xr:uid="{00000000-0006-0000-0000-000073020000}">
      <text>
        <r>
          <rPr>
            <b/>
            <sz val="9"/>
            <color indexed="81"/>
            <rFont val="Tahoma"/>
            <family val="2"/>
          </rPr>
          <t>hsk:</t>
        </r>
        <r>
          <rPr>
            <sz val="9"/>
            <color indexed="81"/>
            <rFont val="Tahoma"/>
            <family val="2"/>
          </rPr>
          <t xml:space="preserve">
Herleitungs-Zeile</t>
        </r>
      </text>
    </comment>
    <comment ref="BO892" authorId="0" shapeId="0" xr:uid="{00000000-0006-0000-0000-000074020000}">
      <text>
        <r>
          <rPr>
            <b/>
            <sz val="9"/>
            <color indexed="81"/>
            <rFont val="Tahoma"/>
            <family val="2"/>
          </rPr>
          <t>hsk:</t>
        </r>
        <r>
          <rPr>
            <sz val="9"/>
            <color indexed="81"/>
            <rFont val="Tahoma"/>
            <family val="2"/>
          </rPr>
          <t xml:space="preserve">
Zielansatz-Zeile</t>
        </r>
      </text>
    </comment>
    <comment ref="BO893" authorId="0" shapeId="0" xr:uid="{00000000-0006-0000-0000-000075020000}">
      <text>
        <r>
          <rPr>
            <b/>
            <sz val="9"/>
            <color indexed="81"/>
            <rFont val="Tahoma"/>
            <family val="2"/>
          </rPr>
          <t>hsk:</t>
        </r>
        <r>
          <rPr>
            <sz val="9"/>
            <color indexed="81"/>
            <rFont val="Tahoma"/>
            <family val="2"/>
          </rPr>
          <t xml:space="preserve">
Herleitungs-Zeile</t>
        </r>
      </text>
    </comment>
    <comment ref="BO894" authorId="0" shapeId="0" xr:uid="{00000000-0006-0000-0000-000076020000}">
      <text>
        <r>
          <rPr>
            <b/>
            <sz val="9"/>
            <color indexed="81"/>
            <rFont val="Tahoma"/>
            <family val="2"/>
          </rPr>
          <t>hsk:</t>
        </r>
        <r>
          <rPr>
            <sz val="9"/>
            <color indexed="81"/>
            <rFont val="Tahoma"/>
            <family val="2"/>
          </rPr>
          <t xml:space="preserve">
Herleitungs-Zeile</t>
        </r>
      </text>
    </comment>
    <comment ref="BO895" authorId="0" shapeId="0" xr:uid="{00000000-0006-0000-0000-000077020000}">
      <text>
        <r>
          <rPr>
            <b/>
            <sz val="9"/>
            <color indexed="81"/>
            <rFont val="Tahoma"/>
            <family val="2"/>
          </rPr>
          <t>hsk:</t>
        </r>
        <r>
          <rPr>
            <sz val="9"/>
            <color indexed="81"/>
            <rFont val="Tahoma"/>
            <family val="2"/>
          </rPr>
          <t xml:space="preserve">
Erläuterungs-Zeile</t>
        </r>
      </text>
    </comment>
    <comment ref="M897" authorId="4" shapeId="0" xr:uid="{8C6E27C8-A9EE-6C4C-B8F6-712896A244F3}">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@INDIREKT($W$1&amp;W897)</t>
      </text>
    </comment>
    <comment ref="BO897" authorId="0" shapeId="0" xr:uid="{00000000-0006-0000-0000-000078020000}">
      <text>
        <r>
          <rPr>
            <b/>
            <sz val="9"/>
            <color indexed="81"/>
            <rFont val="Tahoma"/>
            <family val="2"/>
          </rPr>
          <t>hsk:</t>
        </r>
        <r>
          <rPr>
            <sz val="9"/>
            <color indexed="81"/>
            <rFont val="Tahoma"/>
            <family val="2"/>
          </rPr>
          <t xml:space="preserve">
Parameterzeile</t>
        </r>
      </text>
    </comment>
    <comment ref="BO898" authorId="0" shapeId="0" xr:uid="{00000000-0006-0000-0000-000079020000}">
      <text>
        <r>
          <rPr>
            <b/>
            <sz val="9"/>
            <color indexed="81"/>
            <rFont val="Tahoma"/>
            <family val="2"/>
          </rPr>
          <t>hsk:</t>
        </r>
        <r>
          <rPr>
            <sz val="9"/>
            <color indexed="81"/>
            <rFont val="Tahoma"/>
            <family val="2"/>
          </rPr>
          <t xml:space="preserve">
Statusansatz-Zeile</t>
        </r>
      </text>
    </comment>
    <comment ref="BO899" authorId="0" shapeId="0" xr:uid="{00000000-0006-0000-0000-00007A020000}">
      <text>
        <r>
          <rPr>
            <b/>
            <sz val="9"/>
            <color indexed="81"/>
            <rFont val="Tahoma"/>
            <family val="2"/>
          </rPr>
          <t>hsk:</t>
        </r>
        <r>
          <rPr>
            <sz val="9"/>
            <color indexed="81"/>
            <rFont val="Tahoma"/>
            <family val="2"/>
          </rPr>
          <t xml:space="preserve">
Herleitungs-Zeile</t>
        </r>
      </text>
    </comment>
    <comment ref="W901" authorId="0" shapeId="0" xr:uid="{00000000-0006-0000-0000-00007B020000}">
      <text>
        <r>
          <rPr>
            <b/>
            <sz val="9"/>
            <color indexed="81"/>
            <rFont val="Tahoma"/>
            <family val="2"/>
          </rPr>
          <t>hsk:</t>
        </r>
        <r>
          <rPr>
            <sz val="9"/>
            <color indexed="81"/>
            <rFont val="Tahoma"/>
            <family val="2"/>
          </rPr>
          <t xml:space="preserve">
Aktuell in S.4. aus Abgleich resultierender Wert ist hier zu übernehmen.</t>
        </r>
      </text>
    </comment>
    <comment ref="BO901" authorId="0" shapeId="0" xr:uid="{00000000-0006-0000-0000-00007C020000}">
      <text>
        <r>
          <rPr>
            <b/>
            <sz val="9"/>
            <color indexed="81"/>
            <rFont val="Tahoma"/>
            <family val="2"/>
          </rPr>
          <t>hsk:</t>
        </r>
        <r>
          <rPr>
            <sz val="9"/>
            <color indexed="81"/>
            <rFont val="Tahoma"/>
            <family val="2"/>
          </rPr>
          <t xml:space="preserve">
Zielansatz-Zeile</t>
        </r>
      </text>
    </comment>
    <comment ref="BO902" authorId="0" shapeId="0" xr:uid="{00000000-0006-0000-0000-00007D020000}">
      <text>
        <r>
          <rPr>
            <b/>
            <sz val="9"/>
            <color indexed="81"/>
            <rFont val="Tahoma"/>
            <family val="2"/>
          </rPr>
          <t>hsk:</t>
        </r>
        <r>
          <rPr>
            <sz val="9"/>
            <color indexed="81"/>
            <rFont val="Tahoma"/>
            <family val="2"/>
          </rPr>
          <t xml:space="preserve">
Herleitungs-Zeile</t>
        </r>
      </text>
    </comment>
    <comment ref="BO903" authorId="0" shapeId="0" xr:uid="{00000000-0006-0000-0000-00007E020000}">
      <text>
        <r>
          <rPr>
            <b/>
            <sz val="9"/>
            <color indexed="81"/>
            <rFont val="Tahoma"/>
            <family val="2"/>
          </rPr>
          <t>hsk:</t>
        </r>
        <r>
          <rPr>
            <sz val="9"/>
            <color indexed="81"/>
            <rFont val="Tahoma"/>
            <family val="2"/>
          </rPr>
          <t xml:space="preserve">
Herleitungs-Zeile</t>
        </r>
      </text>
    </comment>
    <comment ref="BO904" authorId="0" shapeId="0" xr:uid="{00000000-0006-0000-0000-00007F020000}">
      <text>
        <r>
          <rPr>
            <b/>
            <sz val="9"/>
            <color indexed="81"/>
            <rFont val="Tahoma"/>
            <family val="2"/>
          </rPr>
          <t>hsk:</t>
        </r>
        <r>
          <rPr>
            <sz val="9"/>
            <color indexed="81"/>
            <rFont val="Tahoma"/>
            <family val="2"/>
          </rPr>
          <t xml:space="preserve">
Erläuterungs-Zeile</t>
        </r>
      </text>
    </comment>
    <comment ref="BO906" authorId="0" shapeId="0" xr:uid="{00000000-0006-0000-0000-000080020000}">
      <text>
        <r>
          <rPr>
            <b/>
            <sz val="9"/>
            <color indexed="81"/>
            <rFont val="Tahoma"/>
            <family val="2"/>
          </rPr>
          <t>hsk:</t>
        </r>
        <r>
          <rPr>
            <sz val="9"/>
            <color indexed="81"/>
            <rFont val="Tahoma"/>
            <family val="2"/>
          </rPr>
          <t xml:space="preserve">
Parameterzeile</t>
        </r>
      </text>
    </comment>
    <comment ref="U907" authorId="0" shapeId="0" xr:uid="{00000000-0006-0000-0000-000081020000}">
      <text>
        <r>
          <rPr>
            <b/>
            <sz val="9"/>
            <color indexed="81"/>
            <rFont val="Tahoma"/>
            <family val="2"/>
          </rPr>
          <t>hsk 14.09.2016:</t>
        </r>
        <r>
          <rPr>
            <sz val="9"/>
            <color indexed="81"/>
            <rFont val="Tahoma"/>
            <family val="2"/>
          </rPr>
          <t xml:space="preserve">
An verfeinerten Algorithmus angepasst.</t>
        </r>
      </text>
    </comment>
    <comment ref="BO907" authorId="0" shapeId="0" xr:uid="{00000000-0006-0000-0000-000082020000}">
      <text>
        <r>
          <rPr>
            <b/>
            <sz val="9"/>
            <color indexed="81"/>
            <rFont val="Tahoma"/>
            <family val="2"/>
          </rPr>
          <t>hsk:</t>
        </r>
        <r>
          <rPr>
            <sz val="9"/>
            <color indexed="81"/>
            <rFont val="Tahoma"/>
            <family val="2"/>
          </rPr>
          <t xml:space="preserve">
Statusansatz-Zeile</t>
        </r>
      </text>
    </comment>
    <comment ref="U909" authorId="0" shapeId="0" xr:uid="{00000000-0006-0000-0000-000083020000}">
      <text>
        <r>
          <rPr>
            <b/>
            <sz val="9"/>
            <color indexed="81"/>
            <rFont val="Tahoma"/>
            <family val="2"/>
          </rPr>
          <t xml:space="preserve">hsk 14.09.2016:
</t>
        </r>
        <r>
          <rPr>
            <sz val="9"/>
            <color indexed="81"/>
            <rFont val="Tahoma"/>
            <family val="2"/>
          </rPr>
          <t>An verfeinerten Algorithmus angepasst.</t>
        </r>
      </text>
    </comment>
    <comment ref="BO909" authorId="0" shapeId="0" xr:uid="{00000000-0006-0000-0000-000084020000}">
      <text>
        <r>
          <rPr>
            <b/>
            <sz val="9"/>
            <color indexed="81"/>
            <rFont val="Tahoma"/>
            <family val="2"/>
          </rPr>
          <t>hsk:</t>
        </r>
        <r>
          <rPr>
            <sz val="9"/>
            <color indexed="81"/>
            <rFont val="Tahoma"/>
            <family val="2"/>
          </rPr>
          <t xml:space="preserve">
Zielansatz-Zeile</t>
        </r>
      </text>
    </comment>
    <comment ref="BO910" authorId="0" shapeId="0" xr:uid="{00000000-0006-0000-0000-000085020000}">
      <text>
        <r>
          <rPr>
            <b/>
            <sz val="9"/>
            <color indexed="81"/>
            <rFont val="Tahoma"/>
            <family val="2"/>
          </rPr>
          <t>hsk:</t>
        </r>
        <r>
          <rPr>
            <sz val="9"/>
            <color indexed="81"/>
            <rFont val="Tahoma"/>
            <family val="2"/>
          </rPr>
          <t xml:space="preserve">
Herleitungs-Zeile</t>
        </r>
      </text>
    </comment>
    <comment ref="BO911" authorId="0" shapeId="0" xr:uid="{00000000-0006-0000-0000-000086020000}">
      <text>
        <r>
          <rPr>
            <b/>
            <sz val="9"/>
            <color indexed="81"/>
            <rFont val="Tahoma"/>
            <family val="2"/>
          </rPr>
          <t>hsk:</t>
        </r>
        <r>
          <rPr>
            <sz val="9"/>
            <color indexed="81"/>
            <rFont val="Tahoma"/>
            <family val="2"/>
          </rPr>
          <t xml:space="preserve">
Herleitungs-Zeile</t>
        </r>
      </text>
    </comment>
    <comment ref="BO913" authorId="0" shapeId="0" xr:uid="{00000000-0006-0000-0000-000087020000}">
      <text>
        <r>
          <rPr>
            <b/>
            <sz val="9"/>
            <color indexed="81"/>
            <rFont val="Tahoma"/>
            <family val="2"/>
          </rPr>
          <t>hsk:</t>
        </r>
        <r>
          <rPr>
            <sz val="9"/>
            <color indexed="81"/>
            <rFont val="Tahoma"/>
            <family val="2"/>
          </rPr>
          <t xml:space="preserve">
Parameterzeile</t>
        </r>
      </text>
    </comment>
    <comment ref="U914" authorId="0" shapeId="0" xr:uid="{00000000-0006-0000-0000-000088020000}">
      <text>
        <r>
          <rPr>
            <b/>
            <sz val="9"/>
            <color indexed="81"/>
            <rFont val="Tahoma"/>
            <family val="2"/>
          </rPr>
          <t>hsk 14.09.2016:</t>
        </r>
        <r>
          <rPr>
            <sz val="9"/>
            <color indexed="81"/>
            <rFont val="Tahoma"/>
            <family val="2"/>
          </rPr>
          <t xml:space="preserve">
An verfeinerten Algorithmus angepasst.</t>
        </r>
      </text>
    </comment>
    <comment ref="BO914" authorId="0" shapeId="0" xr:uid="{00000000-0006-0000-0000-000089020000}">
      <text>
        <r>
          <rPr>
            <b/>
            <sz val="9"/>
            <color indexed="81"/>
            <rFont val="Tahoma"/>
            <family val="2"/>
          </rPr>
          <t>hsk:</t>
        </r>
        <r>
          <rPr>
            <sz val="9"/>
            <color indexed="81"/>
            <rFont val="Tahoma"/>
            <family val="2"/>
          </rPr>
          <t xml:space="preserve">
Statusansatz-Zeile</t>
        </r>
      </text>
    </comment>
    <comment ref="BO916" authorId="0" shapeId="0" xr:uid="{00000000-0006-0000-0000-00008A020000}">
      <text>
        <r>
          <rPr>
            <b/>
            <sz val="9"/>
            <color indexed="81"/>
            <rFont val="Tahoma"/>
            <family val="2"/>
          </rPr>
          <t>hsk:</t>
        </r>
        <r>
          <rPr>
            <sz val="9"/>
            <color indexed="81"/>
            <rFont val="Tahoma"/>
            <family val="2"/>
          </rPr>
          <t xml:space="preserve">
Zielansatz-Zeile</t>
        </r>
      </text>
    </comment>
    <comment ref="BO917" authorId="0" shapeId="0" xr:uid="{00000000-0006-0000-0000-00008B020000}">
      <text>
        <r>
          <rPr>
            <b/>
            <sz val="9"/>
            <color indexed="81"/>
            <rFont val="Tahoma"/>
            <family val="2"/>
          </rPr>
          <t>hsk:</t>
        </r>
        <r>
          <rPr>
            <sz val="9"/>
            <color indexed="81"/>
            <rFont val="Tahoma"/>
            <family val="2"/>
          </rPr>
          <t xml:space="preserve">
Erläuterungs-Zeile</t>
        </r>
      </text>
    </comment>
    <comment ref="BO919" authorId="0" shapeId="0" xr:uid="{00000000-0006-0000-0000-00008C020000}">
      <text>
        <r>
          <rPr>
            <b/>
            <sz val="9"/>
            <color indexed="81"/>
            <rFont val="Tahoma"/>
            <family val="2"/>
          </rPr>
          <t>hsk:</t>
        </r>
        <r>
          <rPr>
            <sz val="9"/>
            <color indexed="81"/>
            <rFont val="Tahoma"/>
            <family val="2"/>
          </rPr>
          <t xml:space="preserve">
Parameterzeile</t>
        </r>
      </text>
    </comment>
    <comment ref="BO920" authorId="0" shapeId="0" xr:uid="{00000000-0006-0000-0000-00008D020000}">
      <text>
        <r>
          <rPr>
            <b/>
            <sz val="9"/>
            <color indexed="81"/>
            <rFont val="Tahoma"/>
            <family val="2"/>
          </rPr>
          <t>hsk:</t>
        </r>
        <r>
          <rPr>
            <sz val="9"/>
            <color indexed="81"/>
            <rFont val="Tahoma"/>
            <family val="2"/>
          </rPr>
          <t xml:space="preserve">
Statusansatz-Zeile</t>
        </r>
      </text>
    </comment>
    <comment ref="BO922" authorId="0" shapeId="0" xr:uid="{00000000-0006-0000-0000-00008E020000}">
      <text>
        <r>
          <rPr>
            <b/>
            <sz val="9"/>
            <color indexed="81"/>
            <rFont val="Tahoma"/>
            <family val="2"/>
          </rPr>
          <t>hsk:</t>
        </r>
        <r>
          <rPr>
            <sz val="9"/>
            <color indexed="81"/>
            <rFont val="Tahoma"/>
            <family val="2"/>
          </rPr>
          <t xml:space="preserve">
Zielansatz-Zeile</t>
        </r>
      </text>
    </comment>
    <comment ref="BO924" authorId="0" shapeId="0" xr:uid="{00000000-0006-0000-0000-00008F020000}">
      <text>
        <r>
          <rPr>
            <b/>
            <sz val="9"/>
            <color indexed="81"/>
            <rFont val="Tahoma"/>
            <family val="2"/>
          </rPr>
          <t>hsk:</t>
        </r>
        <r>
          <rPr>
            <sz val="9"/>
            <color indexed="81"/>
            <rFont val="Tahoma"/>
            <family val="2"/>
          </rPr>
          <t xml:space="preserve">
Parameterzeile</t>
        </r>
      </text>
    </comment>
    <comment ref="U925" authorId="0" shapeId="0" xr:uid="{00000000-0006-0000-0000-000090020000}">
      <text>
        <r>
          <rPr>
            <b/>
            <sz val="9"/>
            <color indexed="81"/>
            <rFont val="Tahoma"/>
            <family val="2"/>
          </rPr>
          <t>hsk 14.09.2016:</t>
        </r>
        <r>
          <rPr>
            <sz val="9"/>
            <color indexed="81"/>
            <rFont val="Tahoma"/>
            <family val="2"/>
          </rPr>
          <t xml:space="preserve">
An verfeinerten Algorithmus angepasst.</t>
        </r>
      </text>
    </comment>
    <comment ref="BO925" authorId="0" shapeId="0" xr:uid="{00000000-0006-0000-0000-000091020000}">
      <text>
        <r>
          <rPr>
            <b/>
            <sz val="9"/>
            <color indexed="81"/>
            <rFont val="Tahoma"/>
            <family val="2"/>
          </rPr>
          <t>hsk:</t>
        </r>
        <r>
          <rPr>
            <sz val="9"/>
            <color indexed="81"/>
            <rFont val="Tahoma"/>
            <family val="2"/>
          </rPr>
          <t xml:space="preserve">
Statusansatz-Zeile</t>
        </r>
      </text>
    </comment>
    <comment ref="BO927" authorId="0" shapeId="0" xr:uid="{00000000-0006-0000-0000-000092020000}">
      <text>
        <r>
          <rPr>
            <b/>
            <sz val="9"/>
            <color indexed="81"/>
            <rFont val="Tahoma"/>
            <family val="2"/>
          </rPr>
          <t>hsk:</t>
        </r>
        <r>
          <rPr>
            <sz val="9"/>
            <color indexed="81"/>
            <rFont val="Tahoma"/>
            <family val="2"/>
          </rPr>
          <t xml:space="preserve">
Zielansatz-Zeile</t>
        </r>
      </text>
    </comment>
    <comment ref="BO928" authorId="0" shapeId="0" xr:uid="{00000000-0006-0000-0000-000093020000}">
      <text>
        <r>
          <rPr>
            <b/>
            <sz val="9"/>
            <color indexed="81"/>
            <rFont val="Tahoma"/>
            <family val="2"/>
          </rPr>
          <t>hsk:</t>
        </r>
        <r>
          <rPr>
            <sz val="9"/>
            <color indexed="81"/>
            <rFont val="Tahoma"/>
            <family val="2"/>
          </rPr>
          <t xml:space="preserve">
Erläuterungs-Zeile</t>
        </r>
      </text>
    </comment>
    <comment ref="BO930" authorId="0" shapeId="0" xr:uid="{00000000-0006-0000-0000-000094020000}">
      <text>
        <r>
          <rPr>
            <b/>
            <sz val="9"/>
            <color indexed="81"/>
            <rFont val="Tahoma"/>
            <family val="2"/>
          </rPr>
          <t>hsk:</t>
        </r>
        <r>
          <rPr>
            <sz val="9"/>
            <color indexed="81"/>
            <rFont val="Tahoma"/>
            <family val="2"/>
          </rPr>
          <t xml:space="preserve">
Parameterzeile</t>
        </r>
      </text>
    </comment>
    <comment ref="BO931" authorId="0" shapeId="0" xr:uid="{00000000-0006-0000-0000-000095020000}">
      <text>
        <r>
          <rPr>
            <b/>
            <sz val="9"/>
            <color indexed="81"/>
            <rFont val="Tahoma"/>
            <family val="2"/>
          </rPr>
          <t>hsk:</t>
        </r>
        <r>
          <rPr>
            <sz val="9"/>
            <color indexed="81"/>
            <rFont val="Tahoma"/>
            <family val="2"/>
          </rPr>
          <t xml:space="preserve">
Statusansatz-Zeile</t>
        </r>
      </text>
    </comment>
    <comment ref="BO933" authorId="0" shapeId="0" xr:uid="{00000000-0006-0000-0000-000096020000}">
      <text>
        <r>
          <rPr>
            <b/>
            <sz val="9"/>
            <color indexed="81"/>
            <rFont val="Tahoma"/>
            <family val="2"/>
          </rPr>
          <t>hsk:</t>
        </r>
        <r>
          <rPr>
            <sz val="9"/>
            <color indexed="81"/>
            <rFont val="Tahoma"/>
            <family val="2"/>
          </rPr>
          <t xml:space="preserve">
Zielansatz-Zeile</t>
        </r>
      </text>
    </comment>
    <comment ref="BO934" authorId="0" shapeId="0" xr:uid="{00000000-0006-0000-0000-000097020000}">
      <text>
        <r>
          <rPr>
            <b/>
            <sz val="9"/>
            <color indexed="81"/>
            <rFont val="Tahoma"/>
            <family val="2"/>
          </rPr>
          <t>hsk:</t>
        </r>
        <r>
          <rPr>
            <sz val="9"/>
            <color indexed="81"/>
            <rFont val="Tahoma"/>
            <family val="2"/>
          </rPr>
          <t xml:space="preserve">
Herleitungs-Zeile</t>
        </r>
      </text>
    </comment>
    <comment ref="BO936" authorId="0" shapeId="0" xr:uid="{00000000-0006-0000-0000-000098020000}">
      <text>
        <r>
          <rPr>
            <b/>
            <sz val="9"/>
            <color indexed="81"/>
            <rFont val="Tahoma"/>
            <family val="2"/>
          </rPr>
          <t>hsk:</t>
        </r>
        <r>
          <rPr>
            <sz val="9"/>
            <color indexed="81"/>
            <rFont val="Tahoma"/>
            <family val="2"/>
          </rPr>
          <t xml:space="preserve">
Parameterzeile</t>
        </r>
      </text>
    </comment>
    <comment ref="BO937" authorId="0" shapeId="0" xr:uid="{00000000-0006-0000-0000-000099020000}">
      <text>
        <r>
          <rPr>
            <b/>
            <sz val="9"/>
            <color indexed="81"/>
            <rFont val="Tahoma"/>
            <family val="2"/>
          </rPr>
          <t>hsk:</t>
        </r>
        <r>
          <rPr>
            <sz val="9"/>
            <color indexed="81"/>
            <rFont val="Tahoma"/>
            <family val="2"/>
          </rPr>
          <t xml:space="preserve">
Statusansatz-Zeile</t>
        </r>
      </text>
    </comment>
    <comment ref="BO938" authorId="0" shapeId="0" xr:uid="{00000000-0006-0000-0000-00009A020000}">
      <text>
        <r>
          <rPr>
            <b/>
            <sz val="9"/>
            <color indexed="81"/>
            <rFont val="Tahoma"/>
            <family val="2"/>
          </rPr>
          <t>hsk:</t>
        </r>
        <r>
          <rPr>
            <sz val="9"/>
            <color indexed="81"/>
            <rFont val="Tahoma"/>
            <family val="2"/>
          </rPr>
          <t xml:space="preserve">
Herleitungs-Zeile</t>
        </r>
      </text>
    </comment>
    <comment ref="BO940" authorId="0" shapeId="0" xr:uid="{00000000-0006-0000-0000-00009B020000}">
      <text>
        <r>
          <rPr>
            <b/>
            <sz val="9"/>
            <color indexed="81"/>
            <rFont val="Tahoma"/>
            <family val="2"/>
          </rPr>
          <t>hsk:</t>
        </r>
        <r>
          <rPr>
            <sz val="9"/>
            <color indexed="81"/>
            <rFont val="Tahoma"/>
            <family val="2"/>
          </rPr>
          <t xml:space="preserve">
Zielansatz-Zeile</t>
        </r>
      </text>
    </comment>
    <comment ref="BO941" authorId="0" shapeId="0" xr:uid="{00000000-0006-0000-0000-00009C020000}">
      <text>
        <r>
          <rPr>
            <b/>
            <sz val="9"/>
            <color indexed="81"/>
            <rFont val="Tahoma"/>
            <family val="2"/>
          </rPr>
          <t>hsk:</t>
        </r>
        <r>
          <rPr>
            <sz val="9"/>
            <color indexed="81"/>
            <rFont val="Tahoma"/>
            <family val="2"/>
          </rPr>
          <t xml:space="preserve">
Herleitungs-Zeile</t>
        </r>
      </text>
    </comment>
    <comment ref="BO942" authorId="0" shapeId="0" xr:uid="{00000000-0006-0000-0000-00009D020000}">
      <text>
        <r>
          <rPr>
            <b/>
            <sz val="9"/>
            <color indexed="81"/>
            <rFont val="Tahoma"/>
            <family val="2"/>
          </rPr>
          <t>hsk:</t>
        </r>
        <r>
          <rPr>
            <sz val="9"/>
            <color indexed="81"/>
            <rFont val="Tahoma"/>
            <family val="2"/>
          </rPr>
          <t xml:space="preserve">
Herleitungs-Zeile</t>
        </r>
      </text>
    </comment>
    <comment ref="BO943" authorId="0" shapeId="0" xr:uid="{00000000-0006-0000-0000-00009E020000}">
      <text>
        <r>
          <rPr>
            <b/>
            <sz val="9"/>
            <color indexed="81"/>
            <rFont val="Tahoma"/>
            <family val="2"/>
          </rPr>
          <t>hsk:</t>
        </r>
        <r>
          <rPr>
            <sz val="9"/>
            <color indexed="81"/>
            <rFont val="Tahoma"/>
            <family val="2"/>
          </rPr>
          <t xml:space="preserve">
Erläuterungs-Zeile</t>
        </r>
      </text>
    </comment>
    <comment ref="M945" authorId="5" shapeId="0" xr:uid="{D2C56D69-7415-2F42-9419-EBDD1A35D89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@INDIREKT($W$1&amp;W945)</t>
      </text>
    </comment>
    <comment ref="BO945" authorId="0" shapeId="0" xr:uid="{00000000-0006-0000-0000-00009F020000}">
      <text>
        <r>
          <rPr>
            <b/>
            <sz val="9"/>
            <color indexed="81"/>
            <rFont val="Tahoma"/>
            <family val="2"/>
          </rPr>
          <t>hsk:</t>
        </r>
        <r>
          <rPr>
            <sz val="9"/>
            <color indexed="81"/>
            <rFont val="Tahoma"/>
            <family val="2"/>
          </rPr>
          <t xml:space="preserve">
Parameterzeile</t>
        </r>
      </text>
    </comment>
    <comment ref="BO946" authorId="0" shapeId="0" xr:uid="{00000000-0006-0000-0000-0000A0020000}">
      <text>
        <r>
          <rPr>
            <b/>
            <sz val="9"/>
            <color indexed="81"/>
            <rFont val="Tahoma"/>
            <family val="2"/>
          </rPr>
          <t>hsk:</t>
        </r>
        <r>
          <rPr>
            <sz val="9"/>
            <color indexed="81"/>
            <rFont val="Tahoma"/>
            <family val="2"/>
          </rPr>
          <t xml:space="preserve">
Statusansatz-Zeile</t>
        </r>
      </text>
    </comment>
    <comment ref="BO947" authorId="0" shapeId="0" xr:uid="{00000000-0006-0000-0000-0000A1020000}">
      <text>
        <r>
          <rPr>
            <b/>
            <sz val="9"/>
            <color indexed="81"/>
            <rFont val="Tahoma"/>
            <family val="2"/>
          </rPr>
          <t>hsk:</t>
        </r>
        <r>
          <rPr>
            <sz val="9"/>
            <color indexed="81"/>
            <rFont val="Tahoma"/>
            <family val="2"/>
          </rPr>
          <t xml:space="preserve">
Herleitungs-Zeile</t>
        </r>
      </text>
    </comment>
    <comment ref="W949" authorId="0" shapeId="0" xr:uid="{00000000-0006-0000-0000-0000A2020000}">
      <text>
        <r>
          <rPr>
            <b/>
            <sz val="9"/>
            <color indexed="81"/>
            <rFont val="Tahoma"/>
            <family val="2"/>
          </rPr>
          <t>hsk 14.09.2016:</t>
        </r>
        <r>
          <rPr>
            <sz val="9"/>
            <color indexed="81"/>
            <rFont val="Tahoma"/>
            <family val="2"/>
          </rPr>
          <t xml:space="preserve">
Wahl eines runden Wertes für den Endverbrauchsanteil der Elektrotraktion. 
Daraus resultiert in etwa der Wert für Nutzenergieverbrauch im Gutachten, der dort fälschlicherweise als Endenergieverbrauch ausgewiesen worden war.</t>
        </r>
      </text>
    </comment>
    <comment ref="BO949" authorId="0" shapeId="0" xr:uid="{00000000-0006-0000-0000-0000A3020000}">
      <text>
        <r>
          <rPr>
            <b/>
            <sz val="9"/>
            <color indexed="81"/>
            <rFont val="Tahoma"/>
            <family val="2"/>
          </rPr>
          <t>hsk:</t>
        </r>
        <r>
          <rPr>
            <sz val="9"/>
            <color indexed="81"/>
            <rFont val="Tahoma"/>
            <family val="2"/>
          </rPr>
          <t xml:space="preserve">
Zielansatz-Zeile</t>
        </r>
      </text>
    </comment>
    <comment ref="BO950" authorId="0" shapeId="0" xr:uid="{00000000-0006-0000-0000-0000A4020000}">
      <text>
        <r>
          <rPr>
            <b/>
            <sz val="9"/>
            <color indexed="81"/>
            <rFont val="Tahoma"/>
            <family val="2"/>
          </rPr>
          <t>hsk:</t>
        </r>
        <r>
          <rPr>
            <sz val="9"/>
            <color indexed="81"/>
            <rFont val="Tahoma"/>
            <family val="2"/>
          </rPr>
          <t xml:space="preserve">
Herleitungs-Zeile</t>
        </r>
      </text>
    </comment>
    <comment ref="BO951" authorId="0" shapeId="0" xr:uid="{00000000-0006-0000-0000-0000A5020000}">
      <text>
        <r>
          <rPr>
            <b/>
            <sz val="9"/>
            <color indexed="81"/>
            <rFont val="Tahoma"/>
            <family val="2"/>
          </rPr>
          <t>hsk:</t>
        </r>
        <r>
          <rPr>
            <sz val="9"/>
            <color indexed="81"/>
            <rFont val="Tahoma"/>
            <family val="2"/>
          </rPr>
          <t xml:space="preserve">
Herleitungs-Zeile</t>
        </r>
      </text>
    </comment>
    <comment ref="BO952" authorId="0" shapeId="0" xr:uid="{00000000-0006-0000-0000-0000A6020000}">
      <text>
        <r>
          <rPr>
            <b/>
            <sz val="9"/>
            <color indexed="81"/>
            <rFont val="Tahoma"/>
            <family val="2"/>
          </rPr>
          <t>hsk:</t>
        </r>
        <r>
          <rPr>
            <sz val="9"/>
            <color indexed="81"/>
            <rFont val="Tahoma"/>
            <family val="2"/>
          </rPr>
          <t xml:space="preserve">
Erläuterungs-Zeile</t>
        </r>
      </text>
    </comment>
    <comment ref="BO954" authorId="0" shapeId="0" xr:uid="{00000000-0006-0000-0000-0000A7020000}">
      <text>
        <r>
          <rPr>
            <b/>
            <sz val="9"/>
            <color indexed="81"/>
            <rFont val="Tahoma"/>
            <family val="2"/>
          </rPr>
          <t>hsk:</t>
        </r>
        <r>
          <rPr>
            <sz val="9"/>
            <color indexed="81"/>
            <rFont val="Tahoma"/>
            <family val="2"/>
          </rPr>
          <t xml:space="preserve">
Parameterzeile</t>
        </r>
      </text>
    </comment>
    <comment ref="U955" authorId="0" shapeId="0" xr:uid="{00000000-0006-0000-0000-0000A8020000}">
      <text>
        <r>
          <rPr>
            <b/>
            <sz val="9"/>
            <color indexed="81"/>
            <rFont val="Tahoma"/>
            <family val="2"/>
          </rPr>
          <t>hsk 14.09.2016:</t>
        </r>
        <r>
          <rPr>
            <sz val="9"/>
            <color indexed="81"/>
            <rFont val="Tahoma"/>
            <family val="2"/>
          </rPr>
          <t xml:space="preserve">
An verfeinerten Algorithmus angepasst.</t>
        </r>
      </text>
    </comment>
    <comment ref="BO955" authorId="0" shapeId="0" xr:uid="{00000000-0006-0000-0000-0000A9020000}">
      <text>
        <r>
          <rPr>
            <b/>
            <sz val="9"/>
            <color indexed="81"/>
            <rFont val="Tahoma"/>
            <family val="2"/>
          </rPr>
          <t>hsk:</t>
        </r>
        <r>
          <rPr>
            <sz val="9"/>
            <color indexed="81"/>
            <rFont val="Tahoma"/>
            <family val="2"/>
          </rPr>
          <t xml:space="preserve">
Statusansatz-Zeile</t>
        </r>
      </text>
    </comment>
    <comment ref="U957" authorId="0" shapeId="0" xr:uid="{00000000-0006-0000-0000-0000AA020000}">
      <text>
        <r>
          <rPr>
            <b/>
            <sz val="9"/>
            <color indexed="81"/>
            <rFont val="Tahoma"/>
            <family val="2"/>
          </rPr>
          <t>hsk 14.09.2016:</t>
        </r>
        <r>
          <rPr>
            <sz val="9"/>
            <color indexed="81"/>
            <rFont val="Tahoma"/>
            <family val="2"/>
          </rPr>
          <t xml:space="preserve">
An verfeinerten Algorithmus angepasst.</t>
        </r>
      </text>
    </comment>
    <comment ref="BO957" authorId="0" shapeId="0" xr:uid="{00000000-0006-0000-0000-0000AB020000}">
      <text>
        <r>
          <rPr>
            <b/>
            <sz val="9"/>
            <color indexed="81"/>
            <rFont val="Tahoma"/>
            <family val="2"/>
          </rPr>
          <t>hsk:</t>
        </r>
        <r>
          <rPr>
            <sz val="9"/>
            <color indexed="81"/>
            <rFont val="Tahoma"/>
            <family val="2"/>
          </rPr>
          <t xml:space="preserve">
Zielansatz-Zeile</t>
        </r>
      </text>
    </comment>
    <comment ref="BO958" authorId="0" shapeId="0" xr:uid="{00000000-0006-0000-0000-0000AC020000}">
      <text>
        <r>
          <rPr>
            <b/>
            <sz val="9"/>
            <color indexed="81"/>
            <rFont val="Tahoma"/>
            <family val="2"/>
          </rPr>
          <t>hsk:</t>
        </r>
        <r>
          <rPr>
            <sz val="9"/>
            <color indexed="81"/>
            <rFont val="Tahoma"/>
            <family val="2"/>
          </rPr>
          <t xml:space="preserve">
Herleitungs-Zeile</t>
        </r>
      </text>
    </comment>
    <comment ref="BO959" authorId="0" shapeId="0" xr:uid="{00000000-0006-0000-0000-0000AD020000}">
      <text>
        <r>
          <rPr>
            <b/>
            <sz val="9"/>
            <color indexed="81"/>
            <rFont val="Tahoma"/>
            <family val="2"/>
          </rPr>
          <t>hsk:</t>
        </r>
        <r>
          <rPr>
            <sz val="9"/>
            <color indexed="81"/>
            <rFont val="Tahoma"/>
            <family val="2"/>
          </rPr>
          <t xml:space="preserve">
Herleitungs-Zeile</t>
        </r>
      </text>
    </comment>
    <comment ref="BO961" authorId="0" shapeId="0" xr:uid="{00000000-0006-0000-0000-0000AE020000}">
      <text>
        <r>
          <rPr>
            <b/>
            <sz val="9"/>
            <color indexed="81"/>
            <rFont val="Tahoma"/>
            <family val="2"/>
          </rPr>
          <t>hsk:</t>
        </r>
        <r>
          <rPr>
            <sz val="9"/>
            <color indexed="81"/>
            <rFont val="Tahoma"/>
            <family val="2"/>
          </rPr>
          <t xml:space="preserve">
Parameterzeile</t>
        </r>
      </text>
    </comment>
    <comment ref="U962" authorId="0" shapeId="0" xr:uid="{00000000-0006-0000-0000-0000AF020000}">
      <text>
        <r>
          <rPr>
            <b/>
            <sz val="9"/>
            <color indexed="81"/>
            <rFont val="Tahoma"/>
            <family val="2"/>
          </rPr>
          <t>hsk 14.09.2016:</t>
        </r>
        <r>
          <rPr>
            <sz val="9"/>
            <color indexed="81"/>
            <rFont val="Tahoma"/>
            <family val="2"/>
          </rPr>
          <t xml:space="preserve">
An verfeinerten Algorithmus angepasst.</t>
        </r>
      </text>
    </comment>
    <comment ref="BO962" authorId="0" shapeId="0" xr:uid="{00000000-0006-0000-0000-0000B0020000}">
      <text>
        <r>
          <rPr>
            <b/>
            <sz val="9"/>
            <color indexed="81"/>
            <rFont val="Tahoma"/>
            <family val="2"/>
          </rPr>
          <t>hsk:</t>
        </r>
        <r>
          <rPr>
            <sz val="9"/>
            <color indexed="81"/>
            <rFont val="Tahoma"/>
            <family val="2"/>
          </rPr>
          <t xml:space="preserve">
Statusansatz-Zeile</t>
        </r>
      </text>
    </comment>
    <comment ref="BO964" authorId="0" shapeId="0" xr:uid="{00000000-0006-0000-0000-0000B1020000}">
      <text>
        <r>
          <rPr>
            <b/>
            <sz val="9"/>
            <color indexed="81"/>
            <rFont val="Tahoma"/>
            <family val="2"/>
          </rPr>
          <t>hsk:</t>
        </r>
        <r>
          <rPr>
            <sz val="9"/>
            <color indexed="81"/>
            <rFont val="Tahoma"/>
            <family val="2"/>
          </rPr>
          <t xml:space="preserve">
Zielansatz-Zeile</t>
        </r>
      </text>
    </comment>
    <comment ref="BO966" authorId="0" shapeId="0" xr:uid="{00000000-0006-0000-0000-0000B2020000}">
      <text>
        <r>
          <rPr>
            <b/>
            <sz val="9"/>
            <color indexed="81"/>
            <rFont val="Tahoma"/>
            <family val="2"/>
          </rPr>
          <t>hsk:</t>
        </r>
        <r>
          <rPr>
            <sz val="9"/>
            <color indexed="81"/>
            <rFont val="Tahoma"/>
            <family val="2"/>
          </rPr>
          <t xml:space="preserve">
Titelzeile</t>
        </r>
      </text>
    </comment>
    <comment ref="BO968" authorId="0" shapeId="0" xr:uid="{00000000-0006-0000-0000-0000B3020000}">
      <text>
        <r>
          <rPr>
            <b/>
            <sz val="9"/>
            <color indexed="81"/>
            <rFont val="Tahoma"/>
            <family val="2"/>
          </rPr>
          <t>hsk:</t>
        </r>
        <r>
          <rPr>
            <sz val="9"/>
            <color indexed="81"/>
            <rFont val="Tahoma"/>
            <family val="2"/>
          </rPr>
          <t xml:space="preserve">
Parameterzeile</t>
        </r>
      </text>
    </comment>
    <comment ref="BO969" authorId="0" shapeId="0" xr:uid="{00000000-0006-0000-0000-0000B4020000}">
      <text>
        <r>
          <rPr>
            <b/>
            <sz val="9"/>
            <color indexed="81"/>
            <rFont val="Tahoma"/>
            <family val="2"/>
          </rPr>
          <t>hsk:</t>
        </r>
        <r>
          <rPr>
            <sz val="9"/>
            <color indexed="81"/>
            <rFont val="Tahoma"/>
            <family val="2"/>
          </rPr>
          <t xml:space="preserve">
Statusansatz-Zeile</t>
        </r>
      </text>
    </comment>
    <comment ref="BO971" authorId="0" shapeId="0" xr:uid="{00000000-0006-0000-0000-0000B5020000}">
      <text>
        <r>
          <rPr>
            <b/>
            <sz val="9"/>
            <color indexed="81"/>
            <rFont val="Tahoma"/>
            <family val="2"/>
          </rPr>
          <t>hsk:</t>
        </r>
        <r>
          <rPr>
            <sz val="9"/>
            <color indexed="81"/>
            <rFont val="Tahoma"/>
            <family val="2"/>
          </rPr>
          <t xml:space="preserve">
Zielansatz-Zeile</t>
        </r>
      </text>
    </comment>
    <comment ref="BO973" authorId="0" shapeId="0" xr:uid="{00000000-0006-0000-0000-0000B6020000}">
      <text>
        <r>
          <rPr>
            <b/>
            <sz val="9"/>
            <color indexed="81"/>
            <rFont val="Tahoma"/>
            <family val="2"/>
          </rPr>
          <t>hsk:</t>
        </r>
        <r>
          <rPr>
            <sz val="9"/>
            <color indexed="81"/>
            <rFont val="Tahoma"/>
            <family val="2"/>
          </rPr>
          <t xml:space="preserve">
Parameterzeile</t>
        </r>
      </text>
    </comment>
    <comment ref="BO974" authorId="0" shapeId="0" xr:uid="{00000000-0006-0000-0000-0000B7020000}">
      <text>
        <r>
          <rPr>
            <b/>
            <sz val="9"/>
            <color indexed="81"/>
            <rFont val="Tahoma"/>
            <family val="2"/>
          </rPr>
          <t>hsk:</t>
        </r>
        <r>
          <rPr>
            <sz val="9"/>
            <color indexed="81"/>
            <rFont val="Tahoma"/>
            <family val="2"/>
          </rPr>
          <t xml:space="preserve">
Statusansatz-Zeile</t>
        </r>
      </text>
    </comment>
    <comment ref="BO976" authorId="0" shapeId="0" xr:uid="{00000000-0006-0000-0000-0000B8020000}">
      <text>
        <r>
          <rPr>
            <b/>
            <sz val="9"/>
            <color indexed="81"/>
            <rFont val="Tahoma"/>
            <family val="2"/>
          </rPr>
          <t>hsk:</t>
        </r>
        <r>
          <rPr>
            <sz val="9"/>
            <color indexed="81"/>
            <rFont val="Tahoma"/>
            <family val="2"/>
          </rPr>
          <t xml:space="preserve">
Zielansatz-Zeile</t>
        </r>
      </text>
    </comment>
    <comment ref="BO977" authorId="0" shapeId="0" xr:uid="{00000000-0006-0000-0000-0000B9020000}">
      <text>
        <r>
          <rPr>
            <b/>
            <sz val="9"/>
            <color indexed="81"/>
            <rFont val="Tahoma"/>
            <family val="2"/>
          </rPr>
          <t>hsk:</t>
        </r>
        <r>
          <rPr>
            <sz val="9"/>
            <color indexed="81"/>
            <rFont val="Tahoma"/>
            <family val="2"/>
          </rPr>
          <t xml:space="preserve">
Erläuterungs-Zeile</t>
        </r>
      </text>
    </comment>
    <comment ref="BO979" authorId="0" shapeId="0" xr:uid="{2D6FC257-BC76-4765-BD20-1A4A01A24B71}">
      <text>
        <r>
          <rPr>
            <b/>
            <sz val="9"/>
            <color indexed="81"/>
            <rFont val="Tahoma"/>
            <family val="2"/>
          </rPr>
          <t>hsk:</t>
        </r>
        <r>
          <rPr>
            <sz val="9"/>
            <color indexed="81"/>
            <rFont val="Tahoma"/>
            <family val="2"/>
          </rPr>
          <t xml:space="preserve">
Titelzeile</t>
        </r>
      </text>
    </comment>
    <comment ref="BO981" authorId="0" shapeId="0" xr:uid="{181747C4-442D-4721-95A3-3F18EDAF5D4F}">
      <text>
        <r>
          <rPr>
            <b/>
            <sz val="9"/>
            <color indexed="81"/>
            <rFont val="Tahoma"/>
            <family val="2"/>
          </rPr>
          <t>hsk:</t>
        </r>
        <r>
          <rPr>
            <sz val="9"/>
            <color indexed="81"/>
            <rFont val="Tahoma"/>
            <family val="2"/>
          </rPr>
          <t xml:space="preserve">
Parameterzeile</t>
        </r>
      </text>
    </comment>
    <comment ref="BO982" authorId="0" shapeId="0" xr:uid="{9FBBA3B0-F8E8-4573-8E90-989B6DA678AA}">
      <text>
        <r>
          <rPr>
            <b/>
            <sz val="9"/>
            <color indexed="81"/>
            <rFont val="Tahoma"/>
            <family val="2"/>
          </rPr>
          <t>hsk:</t>
        </r>
        <r>
          <rPr>
            <sz val="9"/>
            <color indexed="81"/>
            <rFont val="Tahoma"/>
            <family val="2"/>
          </rPr>
          <t xml:space="preserve">
Statusansatz-Zeile</t>
        </r>
      </text>
    </comment>
    <comment ref="BO984" authorId="0" shapeId="0" xr:uid="{7F5D3E7D-60FC-4FFB-84DA-EAB0DABC63DF}">
      <text>
        <r>
          <rPr>
            <b/>
            <sz val="9"/>
            <color indexed="81"/>
            <rFont val="Tahoma"/>
            <family val="2"/>
          </rPr>
          <t>hsk:</t>
        </r>
        <r>
          <rPr>
            <sz val="9"/>
            <color indexed="81"/>
            <rFont val="Tahoma"/>
            <family val="2"/>
          </rPr>
          <t xml:space="preserve">
Zielansatz-Zeile</t>
        </r>
      </text>
    </comment>
    <comment ref="BO985" authorId="0" shapeId="0" xr:uid="{7E506E87-93A4-42DE-82AB-3FEFD17F2FC4}">
      <text>
        <r>
          <rPr>
            <b/>
            <sz val="9"/>
            <color indexed="81"/>
            <rFont val="Tahoma"/>
            <family val="2"/>
          </rPr>
          <t>hsk:</t>
        </r>
        <r>
          <rPr>
            <sz val="9"/>
            <color indexed="81"/>
            <rFont val="Tahoma"/>
            <family val="2"/>
          </rPr>
          <t xml:space="preserve">
Herleitungs-Zeile</t>
        </r>
      </text>
    </comment>
    <comment ref="BO2000" authorId="0" shapeId="0" xr:uid="{E11F99E7-0EA0-4537-96AE-EBFA1C7F2E0C}">
      <text>
        <r>
          <rPr>
            <b/>
            <sz val="9"/>
            <color indexed="81"/>
            <rFont val="Tahoma"/>
            <family val="2"/>
          </rPr>
          <t>hsk:</t>
        </r>
        <r>
          <rPr>
            <sz val="9"/>
            <color indexed="81"/>
            <rFont val="Tahoma"/>
            <family val="2"/>
          </rPr>
          <t xml:space="preserve">
Titelzeile</t>
        </r>
      </text>
    </comment>
    <comment ref="BO2002" authorId="0" shapeId="0" xr:uid="{4AABD8BC-F992-4594-BAC1-53271D6915CA}">
      <text>
        <r>
          <rPr>
            <b/>
            <sz val="9"/>
            <color indexed="81"/>
            <rFont val="Tahoma"/>
            <family val="2"/>
          </rPr>
          <t>hsk:</t>
        </r>
        <r>
          <rPr>
            <sz val="9"/>
            <color indexed="81"/>
            <rFont val="Tahoma"/>
            <family val="2"/>
          </rPr>
          <t xml:space="preserve">
Herleitungs-Zeile</t>
        </r>
      </text>
    </comment>
    <comment ref="BO2003" authorId="0" shapeId="0" xr:uid="{D49B1784-D22B-4475-9CF2-A78B254F12EF}">
      <text>
        <r>
          <rPr>
            <b/>
            <sz val="9"/>
            <color indexed="81"/>
            <rFont val="Tahoma"/>
            <family val="2"/>
          </rPr>
          <t>hsk:</t>
        </r>
        <r>
          <rPr>
            <sz val="9"/>
            <color indexed="81"/>
            <rFont val="Tahoma"/>
            <family val="2"/>
          </rPr>
          <t xml:space="preserve">
Statusansatz-Zeile</t>
        </r>
      </text>
    </comment>
    <comment ref="BO2004" authorId="0" shapeId="0" xr:uid="{86DBC889-E9B4-4F11-B955-733D904FF949}">
      <text>
        <r>
          <rPr>
            <b/>
            <sz val="9"/>
            <color indexed="81"/>
            <rFont val="Tahoma"/>
            <family val="2"/>
          </rPr>
          <t>hsk:</t>
        </r>
        <r>
          <rPr>
            <sz val="9"/>
            <color indexed="81"/>
            <rFont val="Tahoma"/>
            <family val="2"/>
          </rPr>
          <t xml:space="preserve">
Herleitungs-Zeile</t>
        </r>
      </text>
    </comment>
    <comment ref="BO2005" authorId="0" shapeId="0" xr:uid="{4D04493D-EA58-480C-9A45-C70204909D85}">
      <text>
        <r>
          <rPr>
            <b/>
            <sz val="9"/>
            <color indexed="81"/>
            <rFont val="Tahoma"/>
            <family val="2"/>
          </rPr>
          <t>hsk:</t>
        </r>
        <r>
          <rPr>
            <sz val="9"/>
            <color indexed="81"/>
            <rFont val="Tahoma"/>
            <family val="2"/>
          </rPr>
          <t xml:space="preserve">
Herleitungs-Zeile</t>
        </r>
      </text>
    </comment>
    <comment ref="BO2006" authorId="0" shapeId="0" xr:uid="{6EB1E1D0-76E6-4EE0-8F0B-1AC3EB8360CD}">
      <text>
        <r>
          <rPr>
            <b/>
            <sz val="9"/>
            <color indexed="81"/>
            <rFont val="Tahoma"/>
            <family val="2"/>
          </rPr>
          <t>hsk:</t>
        </r>
        <r>
          <rPr>
            <sz val="9"/>
            <color indexed="81"/>
            <rFont val="Tahoma"/>
            <family val="2"/>
          </rPr>
          <t xml:space="preserve">
Herleitungs-Zeile</t>
        </r>
      </text>
    </comment>
    <comment ref="BO2008" authorId="0" shapeId="0" xr:uid="{5584AA2B-C3C1-46EB-B1AB-ED860A135D4A}">
      <text>
        <r>
          <rPr>
            <b/>
            <sz val="9"/>
            <color indexed="81"/>
            <rFont val="Tahoma"/>
            <family val="2"/>
          </rPr>
          <t>hsk:</t>
        </r>
        <r>
          <rPr>
            <sz val="9"/>
            <color indexed="81"/>
            <rFont val="Tahoma"/>
            <family val="2"/>
          </rPr>
          <t xml:space="preserve">
Titelzeile</t>
        </r>
      </text>
    </comment>
    <comment ref="BO2010" authorId="0" shapeId="0" xr:uid="{33DC0EEF-1E01-400A-BC7F-A49149F798C5}">
      <text>
        <r>
          <rPr>
            <b/>
            <sz val="9"/>
            <color indexed="81"/>
            <rFont val="Tahoma"/>
            <family val="2"/>
          </rPr>
          <t>hsk:</t>
        </r>
        <r>
          <rPr>
            <sz val="9"/>
            <color indexed="81"/>
            <rFont val="Tahoma"/>
            <family val="2"/>
          </rPr>
          <t xml:space="preserve">
Parameterzeile</t>
        </r>
      </text>
    </comment>
    <comment ref="BO2012" authorId="0" shapeId="0" xr:uid="{001CE3EF-0CD0-4260-904D-5B724EC298A3}">
      <text>
        <r>
          <rPr>
            <b/>
            <sz val="9"/>
            <color indexed="81"/>
            <rFont val="Tahoma"/>
            <family val="2"/>
          </rPr>
          <t>hsk:</t>
        </r>
        <r>
          <rPr>
            <sz val="9"/>
            <color indexed="81"/>
            <rFont val="Tahoma"/>
            <family val="2"/>
          </rPr>
          <t xml:space="preserve">
Statusansatz-Zeile</t>
        </r>
      </text>
    </comment>
    <comment ref="BO2014" authorId="0" shapeId="0" xr:uid="{B8E1BF49-38EC-46CA-99E9-56C3C8E46BF2}">
      <text>
        <r>
          <rPr>
            <b/>
            <sz val="9"/>
            <color indexed="81"/>
            <rFont val="Tahoma"/>
            <family val="2"/>
          </rPr>
          <t>hsk:</t>
        </r>
        <r>
          <rPr>
            <sz val="9"/>
            <color indexed="81"/>
            <rFont val="Tahoma"/>
            <family val="2"/>
          </rPr>
          <t xml:space="preserve">
Herleitungs-Zeile</t>
        </r>
      </text>
    </comment>
    <comment ref="BO2016" authorId="0" shapeId="0" xr:uid="{CB885E7C-B3E9-4958-B152-15FC36F86E85}">
      <text>
        <r>
          <rPr>
            <b/>
            <sz val="9"/>
            <color indexed="81"/>
            <rFont val="Tahoma"/>
            <family val="2"/>
          </rPr>
          <t>hsk:</t>
        </r>
        <r>
          <rPr>
            <sz val="9"/>
            <color indexed="81"/>
            <rFont val="Tahoma"/>
            <family val="2"/>
          </rPr>
          <t xml:space="preserve">
Herleitungs-Zeile</t>
        </r>
      </text>
    </comment>
    <comment ref="BO2018" authorId="0" shapeId="0" xr:uid="{A70C7A83-6928-4967-AFF8-C0214A1DAF08}">
      <text>
        <r>
          <rPr>
            <b/>
            <sz val="9"/>
            <color indexed="81"/>
            <rFont val="Tahoma"/>
            <family val="2"/>
          </rPr>
          <t>hsk:</t>
        </r>
        <r>
          <rPr>
            <sz val="9"/>
            <color indexed="81"/>
            <rFont val="Tahoma"/>
            <family val="2"/>
          </rPr>
          <t xml:space="preserve">
Herleitungs-Zeile</t>
        </r>
      </text>
    </comment>
    <comment ref="BO2020" authorId="0" shapeId="0" xr:uid="{CBFE5916-8F9B-45E8-B02F-145C09CE6801}">
      <text>
        <r>
          <rPr>
            <b/>
            <sz val="9"/>
            <color indexed="81"/>
            <rFont val="Tahoma"/>
            <family val="2"/>
          </rPr>
          <t>hsk:</t>
        </r>
        <r>
          <rPr>
            <sz val="9"/>
            <color indexed="81"/>
            <rFont val="Tahoma"/>
            <family val="2"/>
          </rPr>
          <t xml:space="preserve">
Parameterzeile</t>
        </r>
      </text>
    </comment>
    <comment ref="BO2021" authorId="0" shapeId="0" xr:uid="{5C455284-CAE4-4C29-93F3-37C47F6E33D7}">
      <text>
        <r>
          <rPr>
            <b/>
            <sz val="9"/>
            <color indexed="81"/>
            <rFont val="Tahoma"/>
            <family val="2"/>
          </rPr>
          <t>hsk:</t>
        </r>
        <r>
          <rPr>
            <sz val="9"/>
            <color indexed="81"/>
            <rFont val="Tahoma"/>
            <family val="2"/>
          </rPr>
          <t xml:space="preserve">
Herleitungs-Zeile</t>
        </r>
      </text>
    </comment>
    <comment ref="BO2023" authorId="0" shapeId="0" xr:uid="{B0BBF335-BC11-4ADF-BCE2-AA6769CA4F42}">
      <text>
        <r>
          <rPr>
            <b/>
            <sz val="9"/>
            <color indexed="81"/>
            <rFont val="Tahoma"/>
            <family val="2"/>
          </rPr>
          <t>hsk:</t>
        </r>
        <r>
          <rPr>
            <sz val="9"/>
            <color indexed="81"/>
            <rFont val="Tahoma"/>
            <family val="2"/>
          </rPr>
          <t xml:space="preserve">
Statusansatz-Zeile</t>
        </r>
      </text>
    </comment>
    <comment ref="BO2025" authorId="0" shapeId="0" xr:uid="{6A06E168-72C9-4251-B794-E824C4750C31}">
      <text>
        <r>
          <rPr>
            <b/>
            <sz val="9"/>
            <color indexed="81"/>
            <rFont val="Tahoma"/>
            <family val="2"/>
          </rPr>
          <t>hsk:</t>
        </r>
        <r>
          <rPr>
            <sz val="9"/>
            <color indexed="81"/>
            <rFont val="Tahoma"/>
            <family val="2"/>
          </rPr>
          <t xml:space="preserve">
Zielansatz-Zeile</t>
        </r>
      </text>
    </comment>
    <comment ref="BO2027" authorId="0" shapeId="0" xr:uid="{A166E57B-BDEF-495B-9E26-44D1A73F8A67}">
      <text>
        <r>
          <rPr>
            <b/>
            <sz val="9"/>
            <color indexed="81"/>
            <rFont val="Tahoma"/>
            <family val="2"/>
          </rPr>
          <t>hsk:</t>
        </r>
        <r>
          <rPr>
            <sz val="9"/>
            <color indexed="81"/>
            <rFont val="Tahoma"/>
            <family val="2"/>
          </rPr>
          <t xml:space="preserve">
Titelzeile</t>
        </r>
      </text>
    </comment>
    <comment ref="BO2029" authorId="0" shapeId="0" xr:uid="{723423B6-CB96-4B76-82C6-81E01DCB3197}">
      <text>
        <r>
          <rPr>
            <b/>
            <sz val="9"/>
            <color indexed="81"/>
            <rFont val="Tahoma"/>
            <family val="2"/>
          </rPr>
          <t>hsk:</t>
        </r>
        <r>
          <rPr>
            <sz val="9"/>
            <color indexed="81"/>
            <rFont val="Tahoma"/>
            <family val="2"/>
          </rPr>
          <t xml:space="preserve">
Parameterzeile</t>
        </r>
      </text>
    </comment>
    <comment ref="BO2031" authorId="0" shapeId="0" xr:uid="{FEF68C55-F4F4-4738-A303-7A4DE5CC4B49}">
      <text>
        <r>
          <rPr>
            <b/>
            <sz val="9"/>
            <color indexed="81"/>
            <rFont val="Tahoma"/>
            <family val="2"/>
          </rPr>
          <t>hsk:</t>
        </r>
        <r>
          <rPr>
            <sz val="9"/>
            <color indexed="81"/>
            <rFont val="Tahoma"/>
            <family val="2"/>
          </rPr>
          <t xml:space="preserve">
Statusansatz-Zeile</t>
        </r>
      </text>
    </comment>
    <comment ref="BO2033" authorId="0" shapeId="0" xr:uid="{FF28DC19-B188-48FE-9E76-ACE445E18CC6}">
      <text>
        <r>
          <rPr>
            <b/>
            <sz val="9"/>
            <color indexed="81"/>
            <rFont val="Tahoma"/>
            <family val="2"/>
          </rPr>
          <t>hsk:</t>
        </r>
        <r>
          <rPr>
            <sz val="9"/>
            <color indexed="81"/>
            <rFont val="Tahoma"/>
            <family val="2"/>
          </rPr>
          <t xml:space="preserve">
Herleitungs-Zeile</t>
        </r>
      </text>
    </comment>
    <comment ref="BO2035" authorId="0" shapeId="0" xr:uid="{1FFFF2A1-8E54-42B8-A86B-B172444281F4}">
      <text>
        <r>
          <rPr>
            <b/>
            <sz val="9"/>
            <color indexed="81"/>
            <rFont val="Tahoma"/>
            <family val="2"/>
          </rPr>
          <t>hsk:</t>
        </r>
        <r>
          <rPr>
            <sz val="9"/>
            <color indexed="81"/>
            <rFont val="Tahoma"/>
            <family val="2"/>
          </rPr>
          <t xml:space="preserve">
Herleitungs-Zeile</t>
        </r>
      </text>
    </comment>
    <comment ref="BO2037" authorId="0" shapeId="0" xr:uid="{9B2B60FC-1A45-4107-A3D0-5882F94791A2}">
      <text>
        <r>
          <rPr>
            <b/>
            <sz val="9"/>
            <color indexed="81"/>
            <rFont val="Tahoma"/>
            <family val="2"/>
          </rPr>
          <t>hsk:</t>
        </r>
        <r>
          <rPr>
            <sz val="9"/>
            <color indexed="81"/>
            <rFont val="Tahoma"/>
            <family val="2"/>
          </rPr>
          <t xml:space="preserve">
Herleitungs-Zeile</t>
        </r>
      </text>
    </comment>
    <comment ref="BO2039" authorId="0" shapeId="0" xr:uid="{0DD5B6AC-634A-458B-9AFE-299AEBF17C28}">
      <text>
        <r>
          <rPr>
            <b/>
            <sz val="9"/>
            <color indexed="81"/>
            <rFont val="Tahoma"/>
            <family val="2"/>
          </rPr>
          <t>hsk:</t>
        </r>
        <r>
          <rPr>
            <sz val="9"/>
            <color indexed="81"/>
            <rFont val="Tahoma"/>
            <family val="2"/>
          </rPr>
          <t xml:space="preserve">
Parameterzeile</t>
        </r>
      </text>
    </comment>
    <comment ref="BO2040" authorId="0" shapeId="0" xr:uid="{E88F9786-3D32-4441-8C13-7351C0908A3D}">
      <text>
        <r>
          <rPr>
            <b/>
            <sz val="9"/>
            <color indexed="81"/>
            <rFont val="Tahoma"/>
            <family val="2"/>
          </rPr>
          <t>hsk:</t>
        </r>
        <r>
          <rPr>
            <sz val="9"/>
            <color indexed="81"/>
            <rFont val="Tahoma"/>
            <family val="2"/>
          </rPr>
          <t xml:space="preserve">
Herleitungs-Zeile</t>
        </r>
      </text>
    </comment>
    <comment ref="BO2042" authorId="0" shapeId="0" xr:uid="{1D65633B-4033-43DA-A35D-538A37CA8638}">
      <text>
        <r>
          <rPr>
            <b/>
            <sz val="9"/>
            <color indexed="81"/>
            <rFont val="Tahoma"/>
            <family val="2"/>
          </rPr>
          <t>hsk:</t>
        </r>
        <r>
          <rPr>
            <sz val="9"/>
            <color indexed="81"/>
            <rFont val="Tahoma"/>
            <family val="2"/>
          </rPr>
          <t xml:space="preserve">
Statusansatz-Zeile</t>
        </r>
      </text>
    </comment>
    <comment ref="BO2044" authorId="0" shapeId="0" xr:uid="{0705D6FE-2789-4554-8526-9AC0EB0D0FBA}">
      <text>
        <r>
          <rPr>
            <b/>
            <sz val="9"/>
            <color indexed="81"/>
            <rFont val="Tahoma"/>
            <family val="2"/>
          </rPr>
          <t>hsk:</t>
        </r>
        <r>
          <rPr>
            <sz val="9"/>
            <color indexed="81"/>
            <rFont val="Tahoma"/>
            <family val="2"/>
          </rPr>
          <t xml:space="preserve">
Zielansatz-Zeile</t>
        </r>
      </text>
    </comment>
    <comment ref="BO2046" authorId="0" shapeId="0" xr:uid="{6787408E-91FA-4ACC-B2AA-AB8C104D1925}">
      <text>
        <r>
          <rPr>
            <b/>
            <sz val="9"/>
            <color indexed="81"/>
            <rFont val="Tahoma"/>
            <family val="2"/>
          </rPr>
          <t>hsk:</t>
        </r>
        <r>
          <rPr>
            <sz val="9"/>
            <color indexed="81"/>
            <rFont val="Tahoma"/>
            <family val="2"/>
          </rPr>
          <t xml:space="preserve">
Titelzeile</t>
        </r>
      </text>
    </comment>
    <comment ref="BO2048" authorId="0" shapeId="0" xr:uid="{B8E077CF-C894-490A-BC22-75F00CAF7D8B}">
      <text>
        <r>
          <rPr>
            <b/>
            <sz val="9"/>
            <color indexed="81"/>
            <rFont val="Tahoma"/>
            <family val="2"/>
          </rPr>
          <t>hsk:</t>
        </r>
        <r>
          <rPr>
            <sz val="9"/>
            <color indexed="81"/>
            <rFont val="Tahoma"/>
            <family val="2"/>
          </rPr>
          <t xml:space="preserve">
Parameterzeile</t>
        </r>
      </text>
    </comment>
    <comment ref="BO2050" authorId="0" shapeId="0" xr:uid="{0C4B42D5-2399-4CE3-BA84-001B08B36316}">
      <text>
        <r>
          <rPr>
            <b/>
            <sz val="9"/>
            <color indexed="81"/>
            <rFont val="Tahoma"/>
            <family val="2"/>
          </rPr>
          <t>hsk:</t>
        </r>
        <r>
          <rPr>
            <sz val="9"/>
            <color indexed="81"/>
            <rFont val="Tahoma"/>
            <family val="2"/>
          </rPr>
          <t xml:space="preserve">
Statusansatz-Zeile</t>
        </r>
      </text>
    </comment>
    <comment ref="BO2052" authorId="0" shapeId="0" xr:uid="{647773FD-24F4-42A8-8E0C-A0FF21C1C1D7}">
      <text>
        <r>
          <rPr>
            <b/>
            <sz val="9"/>
            <color indexed="81"/>
            <rFont val="Tahoma"/>
            <family val="2"/>
          </rPr>
          <t>hsk:</t>
        </r>
        <r>
          <rPr>
            <sz val="9"/>
            <color indexed="81"/>
            <rFont val="Tahoma"/>
            <family val="2"/>
          </rPr>
          <t xml:space="preserve">
Herleitungs-Zeile</t>
        </r>
      </text>
    </comment>
    <comment ref="BO2054" authorId="0" shapeId="0" xr:uid="{42081F46-BD64-45F9-AC61-E8C3C7DBD799}">
      <text>
        <r>
          <rPr>
            <b/>
            <sz val="9"/>
            <color indexed="81"/>
            <rFont val="Tahoma"/>
            <family val="2"/>
          </rPr>
          <t>hsk:</t>
        </r>
        <r>
          <rPr>
            <sz val="9"/>
            <color indexed="81"/>
            <rFont val="Tahoma"/>
            <family val="2"/>
          </rPr>
          <t xml:space="preserve">
Herleitungs-Zeile</t>
        </r>
      </text>
    </comment>
    <comment ref="BO2055" authorId="0" shapeId="0" xr:uid="{1D601802-0A45-44AE-AE7B-59B66EF339AD}">
      <text>
        <r>
          <rPr>
            <b/>
            <sz val="9"/>
            <color indexed="81"/>
            <rFont val="Tahoma"/>
            <family val="2"/>
          </rPr>
          <t>hsk:</t>
        </r>
        <r>
          <rPr>
            <sz val="9"/>
            <color indexed="81"/>
            <rFont val="Tahoma"/>
            <family val="2"/>
          </rPr>
          <t xml:space="preserve">
Herleitungs-Zeile</t>
        </r>
      </text>
    </comment>
    <comment ref="BO2057" authorId="0" shapeId="0" xr:uid="{BB727732-C94E-404A-AF75-D4A8C9967200}">
      <text>
        <r>
          <rPr>
            <b/>
            <sz val="9"/>
            <color indexed="81"/>
            <rFont val="Tahoma"/>
            <family val="2"/>
          </rPr>
          <t>hsk:</t>
        </r>
        <r>
          <rPr>
            <sz val="9"/>
            <color indexed="81"/>
            <rFont val="Tahoma"/>
            <family val="2"/>
          </rPr>
          <t xml:space="preserve">
Herleitungs-Zeile</t>
        </r>
      </text>
    </comment>
    <comment ref="BO2059" authorId="0" shapeId="0" xr:uid="{22E3C85B-55A2-454C-B89D-014E26FF9FBF}">
      <text>
        <r>
          <rPr>
            <b/>
            <sz val="9"/>
            <color indexed="81"/>
            <rFont val="Tahoma"/>
            <family val="2"/>
          </rPr>
          <t>hsk:</t>
        </r>
        <r>
          <rPr>
            <sz val="9"/>
            <color indexed="81"/>
            <rFont val="Tahoma"/>
            <family val="2"/>
          </rPr>
          <t xml:space="preserve">
Titelzeile</t>
        </r>
      </text>
    </comment>
    <comment ref="BO2061" authorId="0" shapeId="0" xr:uid="{82C32FDD-2AC5-41E0-A37D-DDA7C029001E}">
      <text>
        <r>
          <rPr>
            <b/>
            <sz val="9"/>
            <color indexed="81"/>
            <rFont val="Tahoma"/>
            <family val="2"/>
          </rPr>
          <t>hsk:</t>
        </r>
        <r>
          <rPr>
            <sz val="9"/>
            <color indexed="81"/>
            <rFont val="Tahoma"/>
            <family val="2"/>
          </rPr>
          <t xml:space="preserve">
Parameterzeile</t>
        </r>
      </text>
    </comment>
    <comment ref="BO2063" authorId="0" shapeId="0" xr:uid="{007153AF-250F-4585-A222-0866997E1D25}">
      <text>
        <r>
          <rPr>
            <b/>
            <sz val="9"/>
            <color indexed="81"/>
            <rFont val="Tahoma"/>
            <family val="2"/>
          </rPr>
          <t>hsk:</t>
        </r>
        <r>
          <rPr>
            <sz val="9"/>
            <color indexed="81"/>
            <rFont val="Tahoma"/>
            <family val="2"/>
          </rPr>
          <t xml:space="preserve">
Herleitungs-Zeile</t>
        </r>
      </text>
    </comment>
    <comment ref="BO2065" authorId="0" shapeId="0" xr:uid="{4C13E22D-1148-4BFA-AB1E-EE605379315A}">
      <text>
        <r>
          <rPr>
            <b/>
            <sz val="9"/>
            <color indexed="81"/>
            <rFont val="Tahoma"/>
            <family val="2"/>
          </rPr>
          <t>hsk:</t>
        </r>
        <r>
          <rPr>
            <sz val="9"/>
            <color indexed="81"/>
            <rFont val="Tahoma"/>
            <family val="2"/>
          </rPr>
          <t xml:space="preserve">
Statusansatz-Zeile</t>
        </r>
      </text>
    </comment>
    <comment ref="BO2066" authorId="0" shapeId="0" xr:uid="{DB6F0498-476C-4EB4-8797-020A079DAC3B}">
      <text>
        <r>
          <rPr>
            <b/>
            <sz val="9"/>
            <color indexed="81"/>
            <rFont val="Tahoma"/>
            <family val="2"/>
          </rPr>
          <t>hsk:</t>
        </r>
        <r>
          <rPr>
            <sz val="9"/>
            <color indexed="81"/>
            <rFont val="Tahoma"/>
            <family val="2"/>
          </rPr>
          <t xml:space="preserve">
Herleitungs-Zeile</t>
        </r>
      </text>
    </comment>
    <comment ref="BO2068" authorId="0" shapeId="0" xr:uid="{638B4877-38FA-4DFD-9BE8-C6402FD909EA}">
      <text>
        <r>
          <rPr>
            <b/>
            <sz val="9"/>
            <color indexed="81"/>
            <rFont val="Tahoma"/>
            <family val="2"/>
          </rPr>
          <t>hsk:</t>
        </r>
        <r>
          <rPr>
            <sz val="9"/>
            <color indexed="81"/>
            <rFont val="Tahoma"/>
            <family val="2"/>
          </rPr>
          <t xml:space="preserve">
Herleitungs-Zeile</t>
        </r>
      </text>
    </comment>
    <comment ref="BO2070" authorId="0" shapeId="0" xr:uid="{77537E6E-25C5-41C4-A743-4B67CFAD74FF}">
      <text>
        <r>
          <rPr>
            <b/>
            <sz val="9"/>
            <color indexed="81"/>
            <rFont val="Tahoma"/>
            <family val="2"/>
          </rPr>
          <t>hsk:</t>
        </r>
        <r>
          <rPr>
            <sz val="9"/>
            <color indexed="81"/>
            <rFont val="Tahoma"/>
            <family val="2"/>
          </rPr>
          <t xml:space="preserve">
Herleitungs-Zeile</t>
        </r>
      </text>
    </comment>
    <comment ref="BO2071" authorId="0" shapeId="0" xr:uid="{199E29AD-3483-4E02-B093-6B962E092CBF}">
      <text>
        <r>
          <rPr>
            <b/>
            <sz val="9"/>
            <color indexed="81"/>
            <rFont val="Tahoma"/>
            <family val="2"/>
          </rPr>
          <t>hsk:</t>
        </r>
        <r>
          <rPr>
            <sz val="9"/>
            <color indexed="81"/>
            <rFont val="Tahoma"/>
            <family val="2"/>
          </rPr>
          <t xml:space="preserve">
Herleitungs-Zeile</t>
        </r>
      </text>
    </comment>
    <comment ref="BO2073" authorId="0" shapeId="0" xr:uid="{812D65AF-B846-461F-B4BD-8E68A8AB4034}">
      <text>
        <r>
          <rPr>
            <b/>
            <sz val="9"/>
            <color indexed="81"/>
            <rFont val="Tahoma"/>
            <family val="2"/>
          </rPr>
          <t>hsk:</t>
        </r>
        <r>
          <rPr>
            <sz val="9"/>
            <color indexed="81"/>
            <rFont val="Tahoma"/>
            <family val="2"/>
          </rPr>
          <t xml:space="preserve">
Herleitungs-Zeile</t>
        </r>
      </text>
    </comment>
    <comment ref="BO2075" authorId="0" shapeId="0" xr:uid="{DABAF3F0-34A1-4107-824A-DB579CA74413}">
      <text>
        <r>
          <rPr>
            <b/>
            <sz val="9"/>
            <color indexed="81"/>
            <rFont val="Tahoma"/>
            <family val="2"/>
          </rPr>
          <t>hsk:</t>
        </r>
        <r>
          <rPr>
            <sz val="9"/>
            <color indexed="81"/>
            <rFont val="Tahoma"/>
            <family val="2"/>
          </rPr>
          <t xml:space="preserve">
Titelzeile</t>
        </r>
      </text>
    </comment>
    <comment ref="BO2077" authorId="0" shapeId="0" xr:uid="{451294B2-62B4-4ED8-AB3F-B2E1CD293A01}">
      <text>
        <r>
          <rPr>
            <b/>
            <sz val="9"/>
            <color indexed="81"/>
            <rFont val="Tahoma"/>
            <family val="2"/>
          </rPr>
          <t>hsk:</t>
        </r>
        <r>
          <rPr>
            <sz val="9"/>
            <color indexed="81"/>
            <rFont val="Tahoma"/>
            <family val="2"/>
          </rPr>
          <t xml:space="preserve">
Parameterzeile</t>
        </r>
      </text>
    </comment>
    <comment ref="BO2079" authorId="0" shapeId="0" xr:uid="{7709FF16-4A2C-4868-A37B-368DA476D05B}">
      <text>
        <r>
          <rPr>
            <b/>
            <sz val="9"/>
            <color indexed="81"/>
            <rFont val="Tahoma"/>
            <family val="2"/>
          </rPr>
          <t>hsk:</t>
        </r>
        <r>
          <rPr>
            <sz val="9"/>
            <color indexed="81"/>
            <rFont val="Tahoma"/>
            <family val="2"/>
          </rPr>
          <t xml:space="preserve">
Statusansatz-Zeile</t>
        </r>
      </text>
    </comment>
    <comment ref="BO2081" authorId="0" shapeId="0" xr:uid="{4587C091-F203-49DC-BF8E-83CC09204C44}">
      <text>
        <r>
          <rPr>
            <b/>
            <sz val="9"/>
            <color indexed="81"/>
            <rFont val="Tahoma"/>
            <family val="2"/>
          </rPr>
          <t>hsk:</t>
        </r>
        <r>
          <rPr>
            <sz val="9"/>
            <color indexed="81"/>
            <rFont val="Tahoma"/>
            <family val="2"/>
          </rPr>
          <t xml:space="preserve">
Herleitungs-Zeile</t>
        </r>
      </text>
    </comment>
    <comment ref="BO2083" authorId="0" shapeId="0" xr:uid="{7C65BB79-07FA-4820-9DEE-1EE3927A5022}">
      <text>
        <r>
          <rPr>
            <b/>
            <sz val="9"/>
            <color indexed="81"/>
            <rFont val="Tahoma"/>
            <family val="2"/>
          </rPr>
          <t>hsk:</t>
        </r>
        <r>
          <rPr>
            <sz val="9"/>
            <color indexed="81"/>
            <rFont val="Tahoma"/>
            <family val="2"/>
          </rPr>
          <t xml:space="preserve">
Herleitungs-Zeile</t>
        </r>
      </text>
    </comment>
    <comment ref="BO2085" authorId="0" shapeId="0" xr:uid="{E5CD926C-B899-4B79-A111-0ED1245B27C8}">
      <text>
        <r>
          <rPr>
            <b/>
            <sz val="9"/>
            <color indexed="81"/>
            <rFont val="Tahoma"/>
            <family val="2"/>
          </rPr>
          <t>hsk:</t>
        </r>
        <r>
          <rPr>
            <sz val="9"/>
            <color indexed="81"/>
            <rFont val="Tahoma"/>
            <family val="2"/>
          </rPr>
          <t xml:space="preserve">
Herleitungs-Zeile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hsk</author>
  </authors>
  <commentList>
    <comment ref="AB1" authorId="0" shapeId="0" xr:uid="{00000000-0006-0000-0100-000001000000}">
      <text>
        <r>
          <rPr>
            <b/>
            <sz val="9"/>
            <color indexed="81"/>
            <rFont val="Tahoma"/>
            <family val="2"/>
          </rPr>
          <t>hsk: Arbeitsblattbezeichnung</t>
        </r>
      </text>
    </comment>
    <comment ref="AE1" authorId="0" shapeId="0" xr:uid="{00000000-0006-0000-0100-000002000000}">
      <text>
        <r>
          <rPr>
            <b/>
            <sz val="9"/>
            <color indexed="81"/>
            <rFont val="Tahoma"/>
            <family val="2"/>
          </rPr>
          <t>hsk: Arbeitsblattbezeichnung</t>
        </r>
      </text>
    </comment>
    <comment ref="BN1" authorId="1" shapeId="0" xr:uid="{00000000-0006-0000-0100-000003000000}">
      <text>
        <r>
          <rPr>
            <b/>
            <sz val="9"/>
            <color indexed="81"/>
            <rFont val="Tahoma"/>
            <family val="2"/>
          </rPr>
          <t>hsk: 06.01.2015</t>
        </r>
        <r>
          <rPr>
            <sz val="9"/>
            <color indexed="81"/>
            <rFont val="Tahoma"/>
            <family val="2"/>
          </rPr>
          <t xml:space="preserve">
Entscheidung: Datenmodell-Datei trägt den Dateinamen "D", ggf. ohne Trennzeichen gefolgt von einer Versionskennung. 
Voranstellung von _ ist nur bei der Szenario-Datei sinnvoll, da diese grundsätzlich den Einstieg bildet. 
Im Kopfzeilen-Titel wird nur der erste Buchstabe des Dateinamens "D" extrahiert, gefolgt von einem . und der Abschnittsnummer mit .
</t>
        </r>
      </text>
    </comment>
    <comment ref="BP1" authorId="0" shapeId="0" xr:uid="{00000000-0006-0000-0100-000004000000}">
      <text>
        <r>
          <rPr>
            <b/>
            <sz val="9"/>
            <color indexed="81"/>
            <rFont val="Tahoma"/>
            <family val="2"/>
          </rPr>
          <t>hsk: Dateiname</t>
        </r>
      </text>
    </comment>
    <comment ref="BQ1" authorId="0" shapeId="0" xr:uid="{00000000-0006-0000-0100-000005000000}">
      <text>
        <r>
          <rPr>
            <b/>
            <sz val="9"/>
            <color indexed="81"/>
            <rFont val="Tahoma"/>
            <family val="2"/>
          </rPr>
          <t>hsk: Arbeitsblattbezeichnung bis zum Punkt</t>
        </r>
      </text>
    </comment>
    <comment ref="BR1" authorId="0" shapeId="0" xr:uid="{00000000-0006-0000-0100-000006000000}">
      <text>
        <r>
          <rPr>
            <b/>
            <sz val="9"/>
            <color indexed="81"/>
            <rFont val="Tahoma"/>
            <family val="2"/>
          </rPr>
          <t>hsk: Arbeitsblattbezeichnung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Autor</author>
    <author>hsk</author>
  </authors>
  <commentList>
    <comment ref="AB1" authorId="0" shapeId="0" xr:uid="{00000000-0006-0000-0200-000001000000}">
      <text>
        <r>
          <rPr>
            <b/>
            <sz val="9"/>
            <color indexed="81"/>
            <rFont val="Tahoma"/>
            <family val="2"/>
          </rPr>
          <t>hsk: Arbeitsblattbezeichnung</t>
        </r>
      </text>
    </comment>
    <comment ref="AE1" authorId="0" shapeId="0" xr:uid="{00000000-0006-0000-0200-000002000000}">
      <text>
        <r>
          <rPr>
            <b/>
            <sz val="9"/>
            <color indexed="81"/>
            <rFont val="Tahoma"/>
            <family val="2"/>
          </rPr>
          <t>hsk: Arbeitsblattbezeichnung</t>
        </r>
      </text>
    </comment>
    <comment ref="BN1" authorId="1" shapeId="0" xr:uid="{00000000-0006-0000-0200-000003000000}">
      <text>
        <r>
          <rPr>
            <b/>
            <sz val="9"/>
            <color indexed="81"/>
            <rFont val="Tahoma"/>
            <family val="2"/>
          </rPr>
          <t>hsk: 06.01.2015</t>
        </r>
        <r>
          <rPr>
            <sz val="9"/>
            <color indexed="81"/>
            <rFont val="Tahoma"/>
            <family val="2"/>
          </rPr>
          <t xml:space="preserve">
Entscheidung: Datenmodell-Datei trägt den Dateinamen "D", ggf. ohne Trennzeichen gefolgt von einer Versionskennung. 
Voranstellung von _ ist nur bei der Szenario-Datei sinnvoll, da diese grundsätzlich den Einstieg bildet. 
Im Kopfzeilen-Titel wird nur der erste Buchstabe des Dateinamens "D" extrahiert, gefolgt von einem . und der Abschnittsnummer mit .
</t>
        </r>
      </text>
    </comment>
    <comment ref="BP1" authorId="0" shapeId="0" xr:uid="{00000000-0006-0000-0200-000004000000}">
      <text>
        <r>
          <rPr>
            <b/>
            <sz val="9"/>
            <color indexed="81"/>
            <rFont val="Tahoma"/>
            <family val="2"/>
          </rPr>
          <t>hsk: Dateiname</t>
        </r>
      </text>
    </comment>
    <comment ref="BQ1" authorId="0" shapeId="0" xr:uid="{00000000-0006-0000-0200-000005000000}">
      <text>
        <r>
          <rPr>
            <b/>
            <sz val="9"/>
            <color indexed="81"/>
            <rFont val="Tahoma"/>
            <family val="2"/>
          </rPr>
          <t>hsk: Arbeitsblattbezeichnung bis zum Punkt</t>
        </r>
      </text>
    </comment>
    <comment ref="BR1" authorId="0" shapeId="0" xr:uid="{00000000-0006-0000-0200-000006000000}">
      <text>
        <r>
          <rPr>
            <b/>
            <sz val="9"/>
            <color indexed="81"/>
            <rFont val="Tahoma"/>
            <family val="2"/>
          </rPr>
          <t>hsk: Arbeitsblattbezeichnung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hsk</author>
    <author>Autor</author>
  </authors>
  <commentList>
    <comment ref="AB1" authorId="0" shapeId="0" xr:uid="{00000000-0006-0000-0300-000001000000}">
      <text>
        <r>
          <rPr>
            <b/>
            <sz val="9"/>
            <color indexed="81"/>
            <rFont val="Tahoma"/>
            <family val="2"/>
          </rPr>
          <t>hsk: 06.01.2015</t>
        </r>
        <r>
          <rPr>
            <sz val="9"/>
            <color indexed="81"/>
            <rFont val="Tahoma"/>
            <family val="2"/>
          </rPr>
          <t xml:space="preserve">
Entscheidung: Datenmodell-Datei trägt den Dateinamen "D", ggf. ohne Trennzeichen gefolgt von einer Versionskennung. 
Voranstellung von _ ist nur bei der Szenario-Datei sinnvoll, da diese grundsätzlich den Einstieg bildet. 
Im Kopfzeilen-Titel wird nur der erste Buchstabe des Dateinamens "D" extrahiert, gefolgt von einem . und der Abschnittsnummer mit .
</t>
        </r>
      </text>
    </comment>
    <comment ref="AD1" authorId="1" shapeId="0" xr:uid="{00000000-0006-0000-0300-000002000000}">
      <text>
        <r>
          <rPr>
            <b/>
            <sz val="9"/>
            <color indexed="81"/>
            <rFont val="Tahoma"/>
            <family val="2"/>
          </rPr>
          <t>hsk: Dateiname</t>
        </r>
      </text>
    </comment>
    <comment ref="AE1" authorId="1" shapeId="0" xr:uid="{00000000-0006-0000-0300-000003000000}">
      <text>
        <r>
          <rPr>
            <b/>
            <sz val="9"/>
            <color indexed="81"/>
            <rFont val="Tahoma"/>
            <family val="2"/>
          </rPr>
          <t>hsk: Arbeitsblattbezeichnung bis zum Punkt</t>
        </r>
      </text>
    </comment>
    <comment ref="AF1" authorId="1" shapeId="0" xr:uid="{00000000-0006-0000-0300-000004000000}">
      <text>
        <r>
          <rPr>
            <b/>
            <sz val="9"/>
            <color indexed="81"/>
            <rFont val="Tahoma"/>
            <family val="2"/>
          </rPr>
          <t>hsk: Arbeitsblattbezeichnung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hsk</author>
  </authors>
  <commentList>
    <comment ref="X5" authorId="0" shapeId="0" xr:uid="{00000000-0006-0000-0600-000001000000}">
      <text>
        <r>
          <rPr>
            <b/>
            <sz val="9"/>
            <color indexed="81"/>
            <rFont val="Tahoma"/>
            <family val="2"/>
          </rPr>
          <t>hsk:</t>
        </r>
        <r>
          <rPr>
            <sz val="9"/>
            <color indexed="81"/>
            <rFont val="Tahoma"/>
            <family val="2"/>
          </rPr>
          <t xml:space="preserve">
Aus Diagramm herausgemessen</t>
        </r>
      </text>
    </comment>
    <comment ref="I8" authorId="0" shapeId="0" xr:uid="{00000000-0006-0000-0600-000002000000}">
      <text>
        <r>
          <rPr>
            <b/>
            <sz val="9"/>
            <color indexed="81"/>
            <rFont val="Tahoma"/>
            <family val="2"/>
          </rPr>
          <t>hsk:</t>
        </r>
        <r>
          <rPr>
            <sz val="9"/>
            <color indexed="81"/>
            <rFont val="Tahoma"/>
            <family val="2"/>
          </rPr>
          <t xml:space="preserve">
Annahme: 
Rohbraunkohle</t>
        </r>
      </text>
    </comment>
    <comment ref="I9" authorId="0" shapeId="0" xr:uid="{00000000-0006-0000-0600-000003000000}">
      <text>
        <r>
          <rPr>
            <b/>
            <sz val="9"/>
            <color indexed="81"/>
            <rFont val="Tahoma"/>
            <family val="2"/>
          </rPr>
          <t>hsk:</t>
        </r>
        <r>
          <rPr>
            <sz val="9"/>
            <color indexed="81"/>
            <rFont val="Tahoma"/>
            <family val="2"/>
          </rPr>
          <t xml:space="preserve">
Annahme: 
Rohsteinkohle</t>
        </r>
      </text>
    </comment>
    <comment ref="I13" authorId="0" shapeId="0" xr:uid="{00000000-0006-0000-0600-000004000000}">
      <text>
        <r>
          <rPr>
            <b/>
            <sz val="9"/>
            <color indexed="81"/>
            <rFont val="Tahoma"/>
            <family val="2"/>
          </rPr>
          <t>hsk:</t>
        </r>
        <r>
          <rPr>
            <sz val="9"/>
            <color indexed="81"/>
            <rFont val="Tahoma"/>
            <family val="2"/>
          </rPr>
          <t xml:space="preserve">
Annahme: Abfallaufbereitung in NV+/UE enthalten.</t>
        </r>
      </text>
    </comment>
    <comment ref="R33" authorId="0" shapeId="0" xr:uid="{00000000-0006-0000-0600-000005000000}">
      <text>
        <r>
          <rPr>
            <b/>
            <sz val="9"/>
            <color indexed="81"/>
            <rFont val="Tahoma"/>
            <family val="2"/>
          </rPr>
          <t>hsk:</t>
        </r>
        <r>
          <rPr>
            <sz val="9"/>
            <color indexed="81"/>
            <rFont val="Tahoma"/>
            <family val="2"/>
          </rPr>
          <t xml:space="preserve">
Summe 2294 entspricht Anwendungsbilanzen, liegt aber 109 PJ höher, als EV Energiebilanzen. 
Möglicher Grund: Anwendungsbilanzen auf Basis vorläufiger Energiebilanz.
</t>
        </r>
      </text>
    </comment>
    <comment ref="W39" authorId="0" shapeId="0" xr:uid="{00000000-0006-0000-0600-000006000000}">
      <text>
        <r>
          <rPr>
            <b/>
            <sz val="9"/>
            <color indexed="81"/>
            <rFont val="Tahoma"/>
            <family val="2"/>
          </rPr>
          <t>hsk:</t>
        </r>
        <r>
          <rPr>
            <sz val="9"/>
            <color indexed="81"/>
            <rFont val="Tahoma"/>
            <family val="2"/>
          </rPr>
          <t xml:space="preserve">
Niedriger als 685 gem. EB wegen herausgerechnetem Strom-Nettoexport</t>
        </r>
      </text>
    </comment>
    <comment ref="W55" authorId="0" shapeId="0" xr:uid="{00000000-0006-0000-0600-000007000000}">
      <text>
        <r>
          <rPr>
            <b/>
            <sz val="9"/>
            <color indexed="81"/>
            <rFont val="Tahoma"/>
            <family val="2"/>
          </rPr>
          <t>hsk:</t>
        </r>
        <r>
          <rPr>
            <sz val="9"/>
            <color indexed="81"/>
            <rFont val="Tahoma"/>
            <family val="2"/>
          </rPr>
          <t xml:space="preserve">
Niedriger als 685 gem. EB wegen herausgerechnetem Strom-Nettoexport</t>
        </r>
      </text>
    </comment>
    <comment ref="K78" authorId="0" shapeId="0" xr:uid="{00000000-0006-0000-0600-000008000000}">
      <text>
        <r>
          <rPr>
            <b/>
            <sz val="9"/>
            <color indexed="81"/>
            <rFont val="Tahoma"/>
            <family val="2"/>
          </rPr>
          <t>hsk:</t>
        </r>
        <r>
          <rPr>
            <sz val="9"/>
            <color indexed="81"/>
            <rFont val="Tahoma"/>
            <family val="2"/>
          </rPr>
          <t xml:space="preserve">
Aufsplittung Steinkohle/Braunkohle nicht realisiert.
</t>
        </r>
      </text>
    </comment>
    <comment ref="W78" authorId="0" shapeId="0" xr:uid="{00000000-0006-0000-0600-000009000000}">
      <text>
        <r>
          <rPr>
            <b/>
            <sz val="9"/>
            <color indexed="81"/>
            <rFont val="Tahoma"/>
            <family val="2"/>
          </rPr>
          <t>hsk:</t>
        </r>
        <r>
          <rPr>
            <sz val="9"/>
            <color indexed="81"/>
            <rFont val="Tahoma"/>
            <family val="2"/>
          </rPr>
          <t xml:space="preserve">
Niedriger als 685 gem. EB wegen herausgerechnetem Strom-Nettoexport</t>
        </r>
      </text>
    </comment>
    <comment ref="K90" authorId="0" shapeId="0" xr:uid="{00000000-0006-0000-0600-00000A000000}">
      <text>
        <r>
          <rPr>
            <b/>
            <sz val="9"/>
            <color indexed="81"/>
            <rFont val="Tahoma"/>
            <family val="2"/>
          </rPr>
          <t>hsk:</t>
        </r>
        <r>
          <rPr>
            <sz val="9"/>
            <color indexed="81"/>
            <rFont val="Tahoma"/>
            <family val="2"/>
          </rPr>
          <t xml:space="preserve">
Aufsplittung Steinkohle/Braunkohle nicht realisiert.
</t>
        </r>
      </text>
    </comment>
    <comment ref="W90" authorId="0" shapeId="0" xr:uid="{00000000-0006-0000-0600-00000B000000}">
      <text>
        <r>
          <rPr>
            <b/>
            <sz val="9"/>
            <color indexed="81"/>
            <rFont val="Tahoma"/>
            <family val="2"/>
          </rPr>
          <t>hsk:</t>
        </r>
        <r>
          <rPr>
            <sz val="9"/>
            <color indexed="81"/>
            <rFont val="Tahoma"/>
            <family val="2"/>
          </rPr>
          <t xml:space="preserve">
Niedriger als 685 gem. EB wegen herausgerechnetem Strom-Nettoexport</t>
        </r>
      </text>
    </comment>
    <comment ref="I100" authorId="0" shapeId="0" xr:uid="{00000000-0006-0000-0600-00000C000000}">
      <text>
        <r>
          <rPr>
            <b/>
            <sz val="9"/>
            <color indexed="81"/>
            <rFont val="Tahoma"/>
            <family val="2"/>
          </rPr>
          <t>hsk:</t>
        </r>
        <r>
          <rPr>
            <sz val="9"/>
            <color indexed="81"/>
            <rFont val="Tahoma"/>
            <family val="2"/>
          </rPr>
          <t xml:space="preserve">
Annahme: 
Rohbraunkohle</t>
        </r>
      </text>
    </comment>
    <comment ref="I101" authorId="0" shapeId="0" xr:uid="{00000000-0006-0000-0600-00000D000000}">
      <text>
        <r>
          <rPr>
            <b/>
            <sz val="9"/>
            <color indexed="81"/>
            <rFont val="Tahoma"/>
            <family val="2"/>
          </rPr>
          <t>hsk:</t>
        </r>
        <r>
          <rPr>
            <sz val="9"/>
            <color indexed="81"/>
            <rFont val="Tahoma"/>
            <family val="2"/>
          </rPr>
          <t xml:space="preserve">
Annahme: 
Rohsteinkohle</t>
        </r>
      </text>
    </comment>
    <comment ref="I104" authorId="0" shapeId="0" xr:uid="{00000000-0006-0000-0600-00000E000000}">
      <text>
        <r>
          <rPr>
            <b/>
            <sz val="9"/>
            <color indexed="81"/>
            <rFont val="Tahoma"/>
            <family val="2"/>
          </rPr>
          <t>hsk:</t>
        </r>
        <r>
          <rPr>
            <sz val="9"/>
            <color indexed="81"/>
            <rFont val="Tahoma"/>
            <family val="2"/>
          </rPr>
          <t xml:space="preserve">
Annahme: Abfallaufbereitung in NV+/UE enthalten.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Hans-Heinrich Schmidt-Kanefendt</author>
    <author>hsk</author>
  </authors>
  <commentList>
    <comment ref="K1" authorId="0" shapeId="0" xr:uid="{00000000-0006-0000-0700-000001000000}">
      <text>
        <r>
          <rPr>
            <b/>
            <sz val="8"/>
            <color indexed="81"/>
            <rFont val="Tahoma"/>
            <family val="2"/>
          </rPr>
          <t>Hans-Heinrich Schmidt-Kanefendt:</t>
        </r>
        <r>
          <rPr>
            <sz val="8"/>
            <color indexed="81"/>
            <rFont val="Tahoma"/>
            <family val="2"/>
          </rPr>
          <t xml:space="preserve">
Name der Modellierungs-datei (ehemals 'Region').</t>
        </r>
      </text>
    </comment>
    <comment ref="C20" authorId="0" shapeId="0" xr:uid="{00000000-0006-0000-0700-000002000000}">
      <text>
        <r>
          <rPr>
            <b/>
            <sz val="8"/>
            <color indexed="81"/>
            <rFont val="Tahoma"/>
            <family val="2"/>
          </rPr>
          <t>Hans-Heinrich Schmidt-Kanefendt:</t>
        </r>
        <r>
          <rPr>
            <sz val="8"/>
            <color indexed="81"/>
            <rFont val="Tahoma"/>
            <family val="2"/>
          </rPr>
          <t xml:space="preserve">
Formel: Abschaltung nach Ablauf der Befristung.</t>
        </r>
      </text>
    </comment>
    <comment ref="A31" authorId="1" shapeId="0" xr:uid="{00000000-0006-0000-0700-000003000000}">
      <text>
        <r>
          <rPr>
            <b/>
            <sz val="9"/>
            <color indexed="81"/>
            <rFont val="Tahoma"/>
            <family val="2"/>
          </rPr>
          <t>hsk:</t>
        </r>
        <r>
          <rPr>
            <sz val="9"/>
            <color indexed="81"/>
            <rFont val="Tahoma"/>
            <family val="2"/>
          </rPr>
          <t xml:space="preserve">
Überbestimmt, bleibt ungenutzt
</t>
        </r>
      </text>
    </comment>
    <comment ref="A75" authorId="1" shapeId="0" xr:uid="{00000000-0006-0000-0700-000004000000}">
      <text>
        <r>
          <rPr>
            <b/>
            <sz val="9"/>
            <color indexed="81"/>
            <rFont val="Tahoma"/>
            <family val="2"/>
          </rPr>
          <t>hsk:</t>
        </r>
        <r>
          <rPr>
            <sz val="9"/>
            <color indexed="81"/>
            <rFont val="Tahoma"/>
            <family val="2"/>
          </rPr>
          <t xml:space="preserve">
Ist stattdessen in Zeile 198 eingefügt</t>
        </r>
      </text>
    </comment>
    <comment ref="A87" authorId="1" shapeId="0" xr:uid="{00000000-0006-0000-0700-000005000000}">
      <text>
        <r>
          <rPr>
            <b/>
            <sz val="9"/>
            <color indexed="81"/>
            <rFont val="Tahoma"/>
            <family val="2"/>
          </rPr>
          <t>hsk:</t>
        </r>
        <r>
          <rPr>
            <sz val="9"/>
            <color indexed="81"/>
            <rFont val="Tahoma"/>
            <family val="2"/>
          </rPr>
          <t xml:space="preserve">
Ist in Region ausgeblendet, ungenutzt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hsk</author>
    <author>Autor</author>
  </authors>
  <commentList>
    <comment ref="S1" authorId="0" shapeId="0" xr:uid="{00000000-0006-0000-0B00-000001000000}">
      <text>
        <r>
          <rPr>
            <b/>
            <sz val="9"/>
            <color indexed="81"/>
            <rFont val="Tahoma"/>
            <family val="2"/>
          </rPr>
          <t>hsk: 06.01.2015</t>
        </r>
        <r>
          <rPr>
            <sz val="9"/>
            <color indexed="81"/>
            <rFont val="Tahoma"/>
            <family val="2"/>
          </rPr>
          <t xml:space="preserve">
Entscheidung: Datenmodell-Datei trägt den Dateinamen "D", ggf. ohne Trennzeichen gefolgt von einer Versionskennung. 
Voranstellung von _ ist nur bei der Szenario-Datei sinnvoll, da diese grundsätzlich den Einstieg bildet. 
Im Kopfzeilen-Titel wird nur der erste Buchstabe des Dateinamens "D" extrahiert, gefolgt von einem . und der Abschnittsnummer mit .
</t>
        </r>
      </text>
    </comment>
    <comment ref="U1" authorId="1" shapeId="0" xr:uid="{00000000-0006-0000-0B00-000002000000}">
      <text>
        <r>
          <rPr>
            <b/>
            <sz val="9"/>
            <color indexed="81"/>
            <rFont val="Tahoma"/>
            <family val="2"/>
          </rPr>
          <t>hsk: Dateiname</t>
        </r>
      </text>
    </comment>
    <comment ref="W1" authorId="1" shapeId="0" xr:uid="{00000000-0006-0000-0B00-000003000000}">
      <text>
        <r>
          <rPr>
            <b/>
            <sz val="9"/>
            <color indexed="81"/>
            <rFont val="Tahoma"/>
            <family val="2"/>
          </rPr>
          <t>hsk: Arbeitsblattbezeichnung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Autor</author>
    <author>hsk</author>
  </authors>
  <commentList>
    <comment ref="A2" authorId="0" shapeId="0" xr:uid="{00000000-0006-0000-0D00-000001000000}">
      <text>
        <r>
          <rPr>
            <b/>
            <sz val="9"/>
            <color indexed="81"/>
            <rFont val="Tahoma"/>
            <family val="2"/>
          </rPr>
          <t>hsk: Dateiname</t>
        </r>
      </text>
    </comment>
    <comment ref="A11" authorId="1" shapeId="0" xr:uid="{00000000-0006-0000-0D00-000002000000}">
      <text>
        <r>
          <rPr>
            <b/>
            <sz val="9"/>
            <color indexed="81"/>
            <rFont val="Tahoma"/>
            <family val="2"/>
          </rPr>
          <t>hsk:</t>
        </r>
        <r>
          <rPr>
            <sz val="9"/>
            <color indexed="81"/>
            <rFont val="Tahoma"/>
            <family val="2"/>
          </rPr>
          <t xml:space="preserve">
Zur Versorgung der Arbeitsblätter-Kopfzeilen (gedoppelt aus historischen Gründen)</t>
        </r>
      </text>
    </comment>
    <comment ref="A18" authorId="1" shapeId="0" xr:uid="{00000000-0006-0000-0D00-000003000000}">
      <text>
        <r>
          <rPr>
            <b/>
            <sz val="9"/>
            <color indexed="81"/>
            <rFont val="Tahoma"/>
            <family val="2"/>
          </rPr>
          <t>hsk:</t>
        </r>
        <r>
          <rPr>
            <sz val="9"/>
            <color indexed="81"/>
            <rFont val="Tahoma"/>
            <family val="2"/>
          </rPr>
          <t xml:space="preserve">
Autor der Ursprungsversion (fix).</t>
        </r>
      </text>
    </comment>
  </commentList>
</comments>
</file>

<file path=xl/sharedStrings.xml><?xml version="1.0" encoding="utf-8"?>
<sst xmlns="http://schemas.openxmlformats.org/spreadsheetml/2006/main" count="6402" uniqueCount="1892">
  <si>
    <t>von BS.xlsx übernommen:</t>
  </si>
  <si>
    <t>Angaben in GWh</t>
  </si>
  <si>
    <t>kWh/GWh</t>
  </si>
  <si>
    <t>Energieverbraucher in der Zielregion</t>
  </si>
  <si>
    <t>PJ</t>
  </si>
  <si>
    <t>Strom</t>
  </si>
  <si>
    <t>Photovoltaik</t>
  </si>
  <si>
    <t>Biogas</t>
  </si>
  <si>
    <t>Wärme</t>
  </si>
  <si>
    <t>Pflanzenöl</t>
  </si>
  <si>
    <t>Laufwasser</t>
  </si>
  <si>
    <t>Holz</t>
  </si>
  <si>
    <t>Stroh</t>
  </si>
  <si>
    <t>Quelle</t>
  </si>
  <si>
    <t>Anteil WW</t>
  </si>
  <si>
    <t>Endenergie in GWh</t>
  </si>
  <si>
    <t>Endenergieverbrauch Zielregion Status (2012) nach Standardverteilung</t>
  </si>
  <si>
    <t>Wärme-Endverbrauch Zielregion Status (2012) nach Standardverteilung</t>
  </si>
  <si>
    <t>Nutzenergie:</t>
  </si>
  <si>
    <t>in GWh</t>
  </si>
  <si>
    <t>Endenergieverbrauch Zielregion Status (2012) mit Wärme regional</t>
  </si>
  <si>
    <t>GWh</t>
  </si>
  <si>
    <t>Leitungsverluste</t>
  </si>
  <si>
    <t>Fossil/atomar</t>
  </si>
  <si>
    <t>Braunkohle</t>
  </si>
  <si>
    <t>Steinkohle</t>
  </si>
  <si>
    <t>Kernenergie</t>
  </si>
  <si>
    <t>Mineralölprodukte</t>
  </si>
  <si>
    <t>Abfall u.sonst.</t>
  </si>
  <si>
    <t>(GWh)</t>
  </si>
  <si>
    <t>(%)</t>
  </si>
  <si>
    <t>(PJ)</t>
  </si>
  <si>
    <t>(t CO2/TJ)</t>
  </si>
  <si>
    <t>Mt CO2</t>
  </si>
  <si>
    <t>t CO2/Einw.</t>
  </si>
  <si>
    <t>Einsatz fossiler/atomarer Brennstoffe zur Deckung Inlands-Stromverbrauch</t>
  </si>
  <si>
    <t xml:space="preserve">climate-change_24_2014_nationaler_inventarbericht </t>
  </si>
  <si>
    <t>Seite #156</t>
  </si>
  <si>
    <t>%</t>
  </si>
  <si>
    <t>PEV</t>
  </si>
  <si>
    <t>Netto-Verbrauch+ fossil =Netto-Verbrauch fossil [] + Verbrauch im Umwandlungsbereich [B1.7].</t>
  </si>
  <si>
    <t>NV+</t>
  </si>
  <si>
    <t>VU</t>
  </si>
  <si>
    <t>KLIK</t>
  </si>
  <si>
    <t>GW</t>
  </si>
  <si>
    <t>MA</t>
  </si>
  <si>
    <t>PW</t>
  </si>
  <si>
    <t>EV Brennst.gasf.</t>
  </si>
  <si>
    <t>dav.ern.b.gedeckt</t>
  </si>
  <si>
    <t>-</t>
  </si>
  <si>
    <t>dav.fossil gedeckt</t>
  </si>
  <si>
    <t>Stromerz.</t>
  </si>
  <si>
    <t>Fernw.erz.</t>
  </si>
  <si>
    <t>NV+/UE</t>
  </si>
  <si>
    <t>UE KW</t>
  </si>
  <si>
    <t>UE foss.Brennst.gasf.</t>
  </si>
  <si>
    <t>Nicht-energ.</t>
  </si>
  <si>
    <t>FV</t>
  </si>
  <si>
    <t>Ang. In PJ</t>
  </si>
  <si>
    <t>NV+ &gt;</t>
  </si>
  <si>
    <t>NV.fos Brennst.gasf.</t>
  </si>
  <si>
    <t>NV+.fos Brennst.gasf.</t>
  </si>
  <si>
    <t>NV+.fos/UE.fos</t>
  </si>
  <si>
    <t>PEV.fos Brennst.gasf.</t>
  </si>
  <si>
    <t>Nicht-en.</t>
  </si>
  <si>
    <t>Faktor</t>
  </si>
  <si>
    <t>Naturgase</t>
  </si>
  <si>
    <t>EV Brennst.flüssig.</t>
  </si>
  <si>
    <t>EV, NV &gt;</t>
  </si>
  <si>
    <t>NV.fos Brennst.flüssig</t>
  </si>
  <si>
    <t>NV+.fos Brennst.flüssig</t>
  </si>
  <si>
    <t>PEV.fos Brennst.flüssig</t>
  </si>
  <si>
    <t>UE.fos Brennst.flüssig</t>
  </si>
  <si>
    <t>FV Brennst.gasf.</t>
  </si>
  <si>
    <t>VU Brenst.gasf.</t>
  </si>
  <si>
    <t>FV Brennst.flüssig</t>
  </si>
  <si>
    <t>VU Brenst.flüssig</t>
  </si>
  <si>
    <t>Mix Str.V.</t>
  </si>
  <si>
    <t>Fernheizwerke</t>
  </si>
  <si>
    <t>Einsatz fossiler Brennstoffe in Fernheizwerken</t>
  </si>
  <si>
    <t>% v.EV</t>
  </si>
  <si>
    <t>%v.NV.fos</t>
  </si>
  <si>
    <t>Verbrauch im Umwandlungsbereich (größtenteils fossil, relativ zum fossilen Netto-Verbrauch)</t>
  </si>
  <si>
    <t>UE</t>
  </si>
  <si>
    <t>Mix FHW</t>
  </si>
  <si>
    <t>Wärme-Endverbrauch von Fernheizwerken gesamt</t>
  </si>
  <si>
    <t>erneuerbarer Anteil am Wärme-Endverbrauch von Fernheizwerken</t>
  </si>
  <si>
    <t>EV Brennst.fest</t>
  </si>
  <si>
    <t>NV.fos Brennst.fest</t>
  </si>
  <si>
    <t>davon Braunkohleprod.</t>
  </si>
  <si>
    <t>davon Steinkohleprod.</t>
  </si>
  <si>
    <t>Kohlen</t>
  </si>
  <si>
    <t>UE.Braunkohle</t>
  </si>
  <si>
    <t>NV+ Braunkohle</t>
  </si>
  <si>
    <t>NV+/PEV</t>
  </si>
  <si>
    <t>PEV.Steinkohle</t>
  </si>
  <si>
    <t>NV+.Steinkohle</t>
  </si>
  <si>
    <t>UE.Steinkohle</t>
  </si>
  <si>
    <t>VU.Steinkohle</t>
  </si>
  <si>
    <t>FV.Steinkohle</t>
  </si>
  <si>
    <t>NV+.Braunkohle</t>
  </si>
  <si>
    <t>VU.Braunkohle</t>
  </si>
  <si>
    <t>FV.Braunkohle</t>
  </si>
  <si>
    <t>NV.Braunkohleprod.</t>
  </si>
  <si>
    <t>NV.Steinkohleprod.</t>
  </si>
  <si>
    <t>UE/PEV</t>
  </si>
  <si>
    <t>- Braunkohle</t>
  </si>
  <si>
    <t>- Steinkohle</t>
  </si>
  <si>
    <t>NV+ GW</t>
  </si>
  <si>
    <t>NV+ PW</t>
  </si>
  <si>
    <t>Abw.&gt;GW</t>
  </si>
  <si>
    <t>Abw.&gt;PW</t>
  </si>
  <si>
    <t>LV</t>
  </si>
  <si>
    <t>EV &gt;</t>
  </si>
  <si>
    <t>NV &gt;</t>
  </si>
  <si>
    <t>NV.Strom</t>
  </si>
  <si>
    <t>EV.Strom</t>
  </si>
  <si>
    <t>LV.Strom</t>
  </si>
  <si>
    <t>NV+.Strom</t>
  </si>
  <si>
    <t>VU.Strom</t>
  </si>
  <si>
    <t>Angaben in PJ</t>
  </si>
  <si>
    <t>S</t>
  </si>
  <si>
    <t>Bodenfläche gesamt</t>
  </si>
  <si>
    <t>Ackerland</t>
  </si>
  <si>
    <t>Getreide (Stroh)</t>
  </si>
  <si>
    <t>Waldfläche</t>
  </si>
  <si>
    <t xml:space="preserve"> </t>
  </si>
  <si>
    <t>Status</t>
  </si>
  <si>
    <t>Ziel</t>
  </si>
  <si>
    <t>Re</t>
  </si>
  <si>
    <t>Region</t>
  </si>
  <si>
    <t>beanspruchte Anbaufläche pro Einwohner für Strom aus Ölpflanzen in Deutschland</t>
  </si>
  <si>
    <t>beanspruchte Anbaufläche pro Einwohner für Kraftstoff aus Ölpflanzen in Deutschl.</t>
  </si>
  <si>
    <t>Herleitung</t>
  </si>
  <si>
    <t>ReZeile</t>
  </si>
  <si>
    <t>Zeile</t>
  </si>
  <si>
    <t>Übernahme-Titel</t>
  </si>
  <si>
    <t>Übergabe-Titel</t>
  </si>
  <si>
    <t>Statuswert</t>
  </si>
  <si>
    <t>Zielwert</t>
  </si>
  <si>
    <t>Verkehrs-Anteil an Energiebedarf</t>
  </si>
  <si>
    <t>Fehler nicht erkannt für die Wahl des richtigen Arbeitsblattes</t>
  </si>
  <si>
    <t>Treibstoff für Verkehr - Nutzanteil</t>
  </si>
  <si>
    <t>Treibstoff für Verkehr - Wirkungsgrad</t>
  </si>
  <si>
    <t>Brennstoff für Prozessw. - Nutzanteil</t>
  </si>
  <si>
    <t>Brennstoff für Prozessw. - Wirkungsgrad</t>
  </si>
  <si>
    <t>Methan für stoffl.Verw. - Nutzanteil</t>
  </si>
  <si>
    <t>Methan für stoffl.Verw. - Wirkungsgrad</t>
  </si>
  <si>
    <t>Haushalte</t>
  </si>
  <si>
    <t>Haushalte &amp; GHD</t>
  </si>
  <si>
    <t>Haushalte &amp; GHD &amp; Industrie</t>
  </si>
  <si>
    <t>Haush.&amp;GHD&amp;Ind.&amp;Verkehr</t>
  </si>
  <si>
    <t>StromHaushalte</t>
  </si>
  <si>
    <t>StromHaushalte &amp; GHD</t>
  </si>
  <si>
    <t>StromHaushalte &amp; GHD &amp; Industrie</t>
  </si>
  <si>
    <t>StromHaush.&amp;GHD&amp;Ind.&amp;Verkehr</t>
  </si>
  <si>
    <t>WärmeHaushalte</t>
  </si>
  <si>
    <t>WärmeHaushalte &amp; GHD</t>
  </si>
  <si>
    <t>WärmeHaushalte &amp; GHD &amp; Industrie</t>
  </si>
  <si>
    <t>WärmeHaush.&amp;GHD&amp;Ind.&amp;Verkehr</t>
  </si>
  <si>
    <t>Einwohner tatsächlich</t>
  </si>
  <si>
    <t>Gebäude-&amp;
Freiflächen</t>
  </si>
  <si>
    <t>Agrar-Flächen</t>
  </si>
  <si>
    <t xml:space="preserve"> FL3</t>
  </si>
  <si>
    <t>Solar-Dachflächen</t>
  </si>
  <si>
    <t>Solar-Freiflächen</t>
  </si>
  <si>
    <t>Energie-Pfl.
Biogas</t>
  </si>
  <si>
    <t>Öl- &amp;Ethanol-
Pfl. (energet.)</t>
  </si>
  <si>
    <t>Windpark-Fl.
Onshore</t>
  </si>
  <si>
    <t>Waldfl. ohne
forstwirt. Nutz.</t>
  </si>
  <si>
    <t>Forst-
wirtschaft</t>
  </si>
  <si>
    <t>Wasserkraft,
Geothermie</t>
  </si>
  <si>
    <t>Energieverbraucher zu versorgen*</t>
  </si>
  <si>
    <t>Solar-
strahlung</t>
  </si>
  <si>
    <t>Flachkollekt.</t>
  </si>
  <si>
    <t>Wind Onshore
&amp;Offshore-Äquiv.</t>
  </si>
  <si>
    <t>Windenerg.-
Anlage</t>
  </si>
  <si>
    <t>Wasser-
Kraftwerk</t>
  </si>
  <si>
    <t>Brennstoffgew.
 für Heizung</t>
  </si>
  <si>
    <t>Kraftwerk</t>
  </si>
  <si>
    <t>Brennstoffgew.
für Prozesse</t>
  </si>
  <si>
    <t>Energie-
Pflanzen 
&amp;
Abfall-/Rest-
stoffe (Äquiv.)</t>
  </si>
  <si>
    <t>Biogas direkt
 für Prozesse</t>
  </si>
  <si>
    <t>Destillation</t>
  </si>
  <si>
    <t>Ethanol</t>
  </si>
  <si>
    <t>Verflüssig.</t>
  </si>
  <si>
    <t>Treibstoff</t>
  </si>
  <si>
    <t>Ölpflanzen
&amp;
Ethanol-Pfl.</t>
  </si>
  <si>
    <t>Ölmühle</t>
  </si>
  <si>
    <t>Umgebungs-Wärme</t>
  </si>
  <si>
    <t>Wärme-
pumpe</t>
  </si>
  <si>
    <t>Tiefen-Geothermie</t>
  </si>
  <si>
    <t>Direktnutz.</t>
  </si>
  <si>
    <t>Windpark-Fl.
Offshore [2]</t>
  </si>
  <si>
    <t>Äquiv.Fl.Rest-
Stoffe Biogas [1]</t>
  </si>
  <si>
    <t xml:space="preserve">- STATUS-Ansatz: </t>
  </si>
  <si>
    <t xml:space="preserve">- ZIEL-Ansatz: </t>
  </si>
  <si>
    <t>[</t>
  </si>
  <si>
    <t>]</t>
  </si>
  <si>
    <t>Einheit</t>
  </si>
  <si>
    <t>STATUS</t>
  </si>
  <si>
    <t>ZIEL</t>
  </si>
  <si>
    <t>STANDARD1</t>
  </si>
  <si>
    <t>STANDARD2</t>
  </si>
  <si>
    <t>STANDARD3</t>
  </si>
  <si>
    <t>Datensatz: Benennung</t>
  </si>
  <si>
    <t>Oputput&gt;&gt;&gt;</t>
  </si>
  <si>
    <t>Zeilenhöhe&gt;&gt;&gt;</t>
  </si>
  <si>
    <t>Struktur&gt;&gt;&gt;</t>
  </si>
  <si>
    <t>Vorlagen&gt;&gt;&gt;</t>
  </si>
  <si>
    <t>Basisdaten&gt;&gt;&gt;</t>
  </si>
  <si>
    <t>z</t>
  </si>
  <si>
    <t>s</t>
  </si>
  <si>
    <t>Quellen</t>
  </si>
  <si>
    <t>&lt;druckbar</t>
  </si>
  <si>
    <t>Verweis</t>
  </si>
  <si>
    <t>Text</t>
  </si>
  <si>
    <t>Statusurspr.</t>
  </si>
  <si>
    <t>Zielurspr.</t>
  </si>
  <si>
    <t>http://skn.privat.t-online.de/wattweg/media/files/Ho130306.pdf</t>
  </si>
  <si>
    <t>Quellen-Zeile</t>
  </si>
  <si>
    <t>Ansatzwert</t>
  </si>
  <si>
    <t>A</t>
  </si>
  <si>
    <t>B</t>
  </si>
  <si>
    <t>C</t>
  </si>
  <si>
    <t>D</t>
  </si>
  <si>
    <t>E</t>
  </si>
  <si>
    <t>F</t>
  </si>
  <si>
    <t>G</t>
  </si>
  <si>
    <t>H</t>
  </si>
  <si>
    <t>I</t>
  </si>
  <si>
    <t>J</t>
  </si>
  <si>
    <t>K</t>
  </si>
  <si>
    <t>I_Region!</t>
  </si>
  <si>
    <t>L</t>
  </si>
  <si>
    <t>M</t>
  </si>
  <si>
    <t>N</t>
  </si>
  <si>
    <t>O</t>
  </si>
  <si>
    <t>P</t>
  </si>
  <si>
    <t>Q</t>
  </si>
  <si>
    <t>R</t>
  </si>
  <si>
    <t>T</t>
  </si>
  <si>
    <t>I_Region&gt;&gt;&gt;</t>
  </si>
  <si>
    <t>I_Basisdaten!</t>
  </si>
  <si>
    <t>Region:</t>
  </si>
  <si>
    <t>Basisdaten:</t>
  </si>
  <si>
    <t>Quelle/Verw.&gt;</t>
  </si>
  <si>
    <t>Standard-Text&gt;</t>
  </si>
  <si>
    <t>Eingabeber.&gt;&gt;&gt;</t>
  </si>
  <si>
    <t>&lt;sichtbar</t>
  </si>
  <si>
    <t>t</t>
  </si>
  <si>
    <t>p</t>
  </si>
  <si>
    <t>h</t>
  </si>
  <si>
    <t>k2</t>
  </si>
  <si>
    <t>k1</t>
  </si>
  <si>
    <t>Szenario-Grunddaten</t>
  </si>
  <si>
    <t>l</t>
  </si>
  <si>
    <t>Regions-Kennung</t>
  </si>
  <si>
    <t>Datenmodell</t>
  </si>
  <si>
    <t>e</t>
  </si>
  <si>
    <t>Erster Entwurf.</t>
  </si>
  <si>
    <t>Grundlegendes Layout und Verweiskonzept geklärt und als Muster realisiert, Start mit dem Aufbau der   Übernahmestruktur der Altdaten aus Region.xls und Basisdaten.xls.</t>
  </si>
  <si>
    <t>Betrachtungszeitpunkte</t>
  </si>
  <si>
    <t>Jahr:</t>
  </si>
  <si>
    <t>Regions-Grunddaten</t>
  </si>
  <si>
    <t xml:space="preserve">https://www.regionalstatistik.de/genesis/online/logon </t>
  </si>
  <si>
    <t>Versionen</t>
  </si>
  <si>
    <t>449-01-5</t>
  </si>
  <si>
    <t>Einwohner
=Energieverbraucher nach Verursacher-Prinzip</t>
  </si>
  <si>
    <t>Energieverbraucher nach Solidar-Prinzip</t>
  </si>
  <si>
    <t>Verursacher-Prinzip</t>
  </si>
  <si>
    <t>Solidar-Prinzip</t>
  </si>
  <si>
    <t xml:space="preserve">ha </t>
  </si>
  <si>
    <t>Die Bodenfläche der Region bildet einen zentralen Bezugsrahmen, aus methodischen Gründen ist die Ziel-Fläche identisch mit der Status-Fläche.</t>
  </si>
  <si>
    <t>STATISTISCHE ÄMTER DES BUNDES UND DER LÄNDER: "Regionaldatenbank Deutschland"; Online-Angebot GENESIS.</t>
  </si>
  <si>
    <t>SCHMIDT-KANEFENDT, HANS-HEINRICH  (2013): "Holz - Basisdaten für 100%-Szenarien" (130306).</t>
  </si>
  <si>
    <t xml:space="preserve"> 449-01-5</t>
  </si>
  <si>
    <t>Solarenergie</t>
  </si>
  <si>
    <t>Solar genutzte Freiflächen</t>
  </si>
  <si>
    <t>Energieverbrauch ermittelt gemäß:</t>
  </si>
  <si>
    <t>MWh/ha/a</t>
  </si>
  <si>
    <t>Wasserkraft (ohne Pumpspeicher)</t>
  </si>
  <si>
    <t>Strom - Energieertrag</t>
  </si>
  <si>
    <t>Nutzanteil am technische Potenzial</t>
  </si>
  <si>
    <t>Energieholz (Forst)</t>
  </si>
  <si>
    <t>Stroh, energetische Nutzung</t>
  </si>
  <si>
    <t>AEE</t>
  </si>
  <si>
    <t>AGEB</t>
  </si>
  <si>
    <t xml:space="preserve"> GWh/a</t>
  </si>
  <si>
    <t xml:space="preserve"> ha</t>
  </si>
  <si>
    <t>ENERGIEAGENTUR NRW: "Online-Rechner Photovoltaik"; Zugriff am 30.01.2015.</t>
  </si>
  <si>
    <t xml:space="preserve">http://www.energieagentur.nrw.de/photovoltaik/themen/online-rechner-photovoltaik-15111.asp </t>
  </si>
  <si>
    <t xml:space="preserve"> kWh/kWp</t>
  </si>
  <si>
    <t xml:space="preserve"> MWp</t>
  </si>
  <si>
    <t xml:space="preserve"> m2/kWp </t>
  </si>
  <si>
    <t>WIRTH, Dr. Harry, FRAUNHOFER ISE (2012): "Aktuelle Fakten zur Photovoltaik in Deutschland".</t>
  </si>
  <si>
    <t xml:space="preserve">http://www.zsd-solar.de/wp-content/uploads/2013/02/Fakten-zur-PV-Fraunhofer-ISE-120202.pdf  </t>
  </si>
  <si>
    <t>ISE</t>
  </si>
  <si>
    <t>Seite 23</t>
  </si>
  <si>
    <t xml:space="preserve"> kWh/qm</t>
  </si>
  <si>
    <t xml:space="preserve"> qm/kWp</t>
  </si>
  <si>
    <t>Backup: 120854_bsw_studie_st</t>
  </si>
  <si>
    <t>Solare Absorberfläche auf Dächern</t>
  </si>
  <si>
    <t xml:space="preserve">http://www.solardachkataster-lkos.de/#!menubar/stats.html </t>
  </si>
  <si>
    <t>LANDKREIS OSNABRÜCK (2012): "Solardachkataster"; Zugriff am 24.10.2014.</t>
  </si>
  <si>
    <t>Photovoltaik - Energieertrag (Modulfläche)</t>
  </si>
  <si>
    <t>Photovoltaik - Energieertrag (Freifläche)</t>
  </si>
  <si>
    <t>Solarthermie - Nutzanteil an Dach-Absorberflächen</t>
  </si>
  <si>
    <t>Photovoltaik - Nutzanteil an Dach-Absorberflächen</t>
  </si>
  <si>
    <t>Solarthermie - Energieertrag (Kollektorfläche)</t>
  </si>
  <si>
    <t>Dauergrünland</t>
  </si>
  <si>
    <t>MELV</t>
  </si>
  <si>
    <t>X</t>
  </si>
  <si>
    <t>Getreide-Anbaufl. (Stroh)</t>
  </si>
  <si>
    <t>???</t>
  </si>
  <si>
    <t>Dateiname Datenmodell</t>
  </si>
  <si>
    <t>Am Beispiel Solarenergie Funktionsfähigkeit hergestellt und erprobt.</t>
  </si>
  <si>
    <t xml:space="preserve">Layout sichtbarer Bereich angepasst, Automatisierung der Spaltenerkennung </t>
  </si>
  <si>
    <t>Output-Schnittstelle Erneuerbar vervollständigt.</t>
  </si>
  <si>
    <t xml:space="preserve">MW </t>
  </si>
  <si>
    <t>h/a</t>
  </si>
  <si>
    <t xml:space="preserve">http://www.erneuerbare-energien.de/EE/Redaktion/DE/Downloads/erneuerbare-energien-in-zahlen.pdf?__blob=publicationFile&amp;v=5 </t>
  </si>
  <si>
    <t>BUNDESMINISTERIUM FÜR WIRTSCHAFT UND ENERGIE (2014): "Erneuerbare Energien in Zahlen - Nationale und Internationale Entwicklung 2013". Zugriff am 05.02.2015.</t>
  </si>
  <si>
    <t>BMWI</t>
  </si>
  <si>
    <t xml:space="preserve"> MW</t>
  </si>
  <si>
    <t xml:space="preserve"> GWh</t>
  </si>
  <si>
    <t xml:space="preserve"> h/a</t>
  </si>
  <si>
    <t xml:space="preserve"> MW Ende 2013</t>
  </si>
  <si>
    <t>MW Zubau</t>
  </si>
  <si>
    <t xml:space="preserve"> MW im Jahresmittel</t>
  </si>
  <si>
    <t>DEUTSCHE WINDGUARD (2014): "Ausbau der Offshore-Windenergie in Deutschland - in 2013 gehen 240 MW ans Netz"; Pressemitteilung vom 29.1.2014, Zugriff am 05.02.2015.</t>
  </si>
  <si>
    <t xml:space="preserve">http://www.windguard.de/_Resources/Persistent/2a1574c37ee9b45a46c5755a5d3b0e18c19242cd/Pressemitteilung-Status-Offshore-2013-2014-01-29.pdf </t>
  </si>
  <si>
    <t>Offshore Deutschland: Leistung am Netz</t>
  </si>
  <si>
    <t>S. 10</t>
  </si>
  <si>
    <t xml:space="preserve">https://www.fraunhofer.de/content/dam/zv/de/forschungsthemen/energie/Energiewirtschaftliche-Bedeutung-von-Offshore-Windenergie.pdf </t>
  </si>
  <si>
    <t>IWES</t>
  </si>
  <si>
    <t>S. 13</t>
  </si>
  <si>
    <t>S. 3</t>
  </si>
  <si>
    <t>AGENTUR FÜR ERNEUERBARE ENERGIEN (2013): "Forschungsradar Erneuerbare Energien - Studienvergleich: Die Auslastung von Kraftwerken im Zuge der Energiewende"; Zugriff 05.02.2015.</t>
  </si>
  <si>
    <t>http://www.forschungsradar.de/uploads/media/AEE_Dossier_Studienvergleich_Volllaststunden_juli13.pdf</t>
  </si>
  <si>
    <t>Einwohner Deutschlands (Referenz)</t>
  </si>
  <si>
    <t xml:space="preserve"> GW</t>
  </si>
  <si>
    <t>S. 8</t>
  </si>
  <si>
    <t>Kommentare</t>
  </si>
  <si>
    <t>Offshore auf neue Darstellung (Leistung / Ausnutzungsdauer) umgestellt inklusive Quellenrecherche. PV um Ausnutzungsdauer ergänzt.</t>
  </si>
  <si>
    <t>Windenergie Offshore</t>
  </si>
  <si>
    <t>Windenergie Onshore</t>
  </si>
  <si>
    <t xml:space="preserve">Belegung (Potenzialflächen) </t>
  </si>
  <si>
    <t>Windenergie Flächenpotenzial</t>
  </si>
  <si>
    <t xml:space="preserve"> qkm</t>
  </si>
  <si>
    <t xml:space="preserve">http://www.wind-energie.de/shop-potenzial-der-windenergienutzung-land </t>
  </si>
  <si>
    <t>BUNDESVERBAND WINDENERGIE e. V. / FRAUNHOFER IWES (2011): "Potenzial der Windenergienutzung an Land"; Langfassung; ISBN: 978 3 94257993.</t>
  </si>
  <si>
    <t>S. 76</t>
  </si>
  <si>
    <t>BWE/IWES</t>
  </si>
  <si>
    <t xml:space="preserve"> TWh/a</t>
  </si>
  <si>
    <t>S. 77</t>
  </si>
  <si>
    <t>S. 12</t>
  </si>
  <si>
    <t>S. 13, 15</t>
  </si>
  <si>
    <t>n.r.</t>
  </si>
  <si>
    <t>S. 38</t>
  </si>
  <si>
    <t>ha</t>
  </si>
  <si>
    <t>GWh/a</t>
  </si>
  <si>
    <t>S. 21</t>
  </si>
  <si>
    <t xml:space="preserve"> ha/MW</t>
  </si>
  <si>
    <t xml:space="preserve"> m Rotordurchmesser</t>
  </si>
  <si>
    <t xml:space="preserve"> m2 Rotorfläche</t>
  </si>
  <si>
    <t xml:space="preserve"> ha Anlagen-Erntefläche</t>
  </si>
  <si>
    <t xml:space="preserve"> ha/MW spezifische Erntefläche</t>
  </si>
  <si>
    <t xml:space="preserve"> MW Nennleistung, </t>
  </si>
  <si>
    <t xml:space="preserve"> m Nabenhöhe, </t>
  </si>
  <si>
    <t>alter Ansatz</t>
  </si>
  <si>
    <t xml:space="preserve"> MW installierte Leistung</t>
  </si>
  <si>
    <t xml:space="preserve"> ha Erntefläche </t>
  </si>
  <si>
    <t xml:space="preserve"> ha/MW spezifische Erntefläche </t>
  </si>
  <si>
    <t>alter Wert</t>
  </si>
  <si>
    <t>ha/MW</t>
  </si>
  <si>
    <t xml:space="preserve"> GWh/a Energiegewinn </t>
  </si>
  <si>
    <t xml:space="preserve"> qm/kW</t>
  </si>
  <si>
    <t xml:space="preserve"> MW </t>
  </si>
  <si>
    <t xml:space="preserve"> qm </t>
  </si>
  <si>
    <t xml:space="preserve"> m </t>
  </si>
  <si>
    <t>Alt-Wert</t>
  </si>
  <si>
    <t xml:space="preserve"> ha </t>
  </si>
  <si>
    <t xml:space="preserve"> ha/MW </t>
  </si>
  <si>
    <t xml:space="preserve"> GWh </t>
  </si>
  <si>
    <t xml:space="preserve"> GWh/a </t>
  </si>
  <si>
    <t xml:space="preserve"> MWh/ha/a</t>
  </si>
  <si>
    <t>Altwert</t>
  </si>
  <si>
    <t>Windenergie Onshore fertig gestellt, Wasserkraft fertiggestellt.</t>
  </si>
  <si>
    <t>Energetisch genutzter Anteil am Zuwachs</t>
  </si>
  <si>
    <t xml:space="preserve">Energieholz (Forst) - Energieertrag </t>
  </si>
  <si>
    <t>Energieholz (Acker) - Energieertrag</t>
  </si>
  <si>
    <t>Energieholz-Anteil für Gebäudewärme</t>
  </si>
  <si>
    <t>Energieholz gesamt</t>
  </si>
  <si>
    <t>Energieholzanteil für Prozesswärme</t>
  </si>
  <si>
    <t>Energieholzanteil für Verstromung</t>
  </si>
  <si>
    <t>Energetisch genutzter Anteil am Strohanfall</t>
  </si>
  <si>
    <t xml:space="preserve">Getreidestroh - Energieertrag </t>
  </si>
  <si>
    <t>Energiestrohanteil für Gebäudewärme</t>
  </si>
  <si>
    <t>Energiestrohanteil für Prozesswärme</t>
  </si>
  <si>
    <t xml:space="preserve">Energiestrohanteil für Verstromung </t>
  </si>
  <si>
    <t>Abwärme aus Verstromung - Nutzungsgrad</t>
  </si>
  <si>
    <t>Strom aus Brennstoffen (fest) - Nutzungsgrad</t>
  </si>
  <si>
    <t>Biogene Brennstoffe (fest) strukturiert und mit S verbunden. Arbeitsstand 150212e für Joure fixe bereit gestellt.</t>
  </si>
  <si>
    <t>Verstromung biogene Brennstoffe (fest)</t>
  </si>
  <si>
    <t>Strom aus Abfallstoffen (fest)</t>
  </si>
  <si>
    <t>Energieholzanteil für Wärmenetze</t>
  </si>
  <si>
    <t>Energiestrohanteil für Wärmenetze</t>
  </si>
  <si>
    <t>Biogene Brennstoffe (fest) für Wärmenetze</t>
  </si>
  <si>
    <t>Heizwerke/Wärmenetze - Nutzungsgrad</t>
  </si>
  <si>
    <t xml:space="preserve"> MWh/ha/a </t>
  </si>
  <si>
    <t>Anteil an deutscher Waldfläche</t>
  </si>
  <si>
    <t>Status-Ansatz wird beibehalten, da keine gravierenden Veränderungen zu erwarten sind.</t>
  </si>
  <si>
    <t>S. 9</t>
  </si>
  <si>
    <t>S. 9, 13</t>
  </si>
  <si>
    <t>Enegieholz Forst nahezu fertig.</t>
  </si>
  <si>
    <t>Energieholz (Acker, inkl. Miscanthus)</t>
  </si>
  <si>
    <t>Energieholz (Acker) - Anbaufläche</t>
  </si>
  <si>
    <t>S. 16</t>
  </si>
  <si>
    <t>http://mediathek.fnr.de/media/downloadable/files/samples/b/a/basisdaten_9x16_2014_web_v02.pdf</t>
  </si>
  <si>
    <t>FNR</t>
  </si>
  <si>
    <t>FACHAGENTUR NACHWACHSENDE ROHSTOFFE e. V. (2014): "Basisdaten Bioenergie Deutschland 2014". Zugriff 15.02.2015.</t>
  </si>
  <si>
    <t xml:space="preserve"> t/ha/a</t>
  </si>
  <si>
    <t xml:space="preserve"> GJ/ha/a</t>
  </si>
  <si>
    <t>RÜTHER B. et.al., NORDWESTDEUTSCHE FORSTLICHE VERSUCHSANSTALT (2007):  "Clusterstudie Forst und Holz Niedersachsen". Zugriff 15.02.2015.</t>
  </si>
  <si>
    <t>http://www.ml.niedersachsen.de/download/3458</t>
  </si>
  <si>
    <t>Energieholz Forst inklusive Zielansätze und Energieholz Acker komplett fertig mit stabilen Herleitungen.</t>
  </si>
  <si>
    <t>JOHANN HEINRICH VON THÜNEN-INSTITUT (2012): "Kurzumtriebsplantagen aus ökologischer und ökonomischer Sicht". Zugriff 16.02.2015.</t>
  </si>
  <si>
    <t xml:space="preserve">http://literatur.ti.bund.de/digbib_extern/bitv/dn050857.pdf </t>
  </si>
  <si>
    <t>HORLACHER Prof. H.-B. (2003): "Globale Potenziale der Wasserkraft" - Externe Expertise für das WBGU-Hauptgutachten 2003 'Welt im Wandel: Energiewende zur Nachhaltigkeit'"; Zugriff am 11.02.2015.</t>
  </si>
  <si>
    <t>S. 4</t>
  </si>
  <si>
    <t xml:space="preserve">http://www.ifeu.de/landwirtschaft/pdf/IFEU%20-%20Positionspapier%20Stroh.pdf </t>
  </si>
  <si>
    <t>IFEU - INSTITUT FÜR ENERGIIE- UND UMWELTFORSCHUNG (2008): "Nachhaltig nutzbares Getreidestroh in Deutschland". Zugriff 16.02.2015.</t>
  </si>
  <si>
    <t>IFEU</t>
  </si>
  <si>
    <t>Ho69</t>
  </si>
  <si>
    <t>% therm.</t>
  </si>
  <si>
    <t xml:space="preserve">http://www.holzlogistik.iff.fraunhofer.de/media/pdf/2009/4.pdf </t>
  </si>
  <si>
    <t>S. 11</t>
  </si>
  <si>
    <t>STADTWERKE LEIPZIG (2009): "Holzlogistik - Transport von Energieholz bei den Stadtwerken Leipzig". Zugriff 16.02.2015.</t>
  </si>
  <si>
    <t>% el.</t>
  </si>
  <si>
    <t xml:space="preserve"> GWh/a el.</t>
  </si>
  <si>
    <t xml:space="preserve"> GWh/a th.</t>
  </si>
  <si>
    <t>Energieholz Acker Fläche Status und Ziel fertig, Anteile an Anwendung von Holzenergie fertig. Stroh bis auf Zielansätze der Anwendungen fertig, Verstromung feste Brennstoffe bis auf Zielansatz Nutzungsgrad fertg, aber wegen Mangel an Datenquellen weit her geholt.</t>
  </si>
  <si>
    <t>Gesamtverantwortlich</t>
  </si>
  <si>
    <t>Wirtschaftliche Entwicklung</t>
  </si>
  <si>
    <t>Betrachteter Zeitraum</t>
  </si>
  <si>
    <t>Kal.-Jahr</t>
  </si>
  <si>
    <t>Anteil Industrie und Gewerbe an PW</t>
  </si>
  <si>
    <t>Anteil Strom an PW</t>
  </si>
  <si>
    <t>Anteil Wärme (Hoch-Temp.) an PW</t>
  </si>
  <si>
    <t>Anteil Brenstoffe an PW</t>
  </si>
  <si>
    <t>Nutzungsgrad Endanwend. Brennstoffe für PW</t>
  </si>
  <si>
    <t>Wirtschaftliche Entwicklung und Prozesswärme aufgebaut, mit S über Schnittstelle verbunden.</t>
  </si>
  <si>
    <t>[BS.xls]</t>
  </si>
  <si>
    <t>2.'!</t>
  </si>
  <si>
    <t>Anzahl Energieverbraucher:</t>
  </si>
  <si>
    <t xml:space="preserve">Endenergieverbrauch Zielregion Status (2012) </t>
  </si>
  <si>
    <t>Sektoren</t>
  </si>
  <si>
    <t>Anwendung</t>
  </si>
  <si>
    <t>Kraft/Licht/
IKT/Kälte</t>
  </si>
  <si>
    <t>Gebäudewärme</t>
  </si>
  <si>
    <t>Prozess-
wärme</t>
  </si>
  <si>
    <t>Mobile Anwend.</t>
  </si>
  <si>
    <t>Raumw.</t>
  </si>
  <si>
    <t>Warmwas.</t>
  </si>
  <si>
    <t>Boden+</t>
  </si>
  <si>
    <t>Luft</t>
  </si>
  <si>
    <t>http://www.ag-energiebilanzen.de/index.php?article_id=29&amp;fileName=ageb_endbericht_anwendungsbilanzen_2011-2012_endg.pdf</t>
  </si>
  <si>
    <t>Repräsentiert den Status der Energieintensität (Prozesswärmebedarf pro Güterproduktion) im Durchschnitt über alle industriellen und gewerblichen Prozesse. Dient als Referenz für den im Ziel durch Effizienzsteigerung gesenkten Energiebedarf.</t>
  </si>
  <si>
    <t xml:space="preserve">http://www.prognos.com/fileadmin/pdf/publikationsdatenbank/prognos_Effizienzpotenzial_070915_final.pdf </t>
  </si>
  <si>
    <t>PROGNOS, SEEFELD F. et al (2007).; "Endbericht 18/06 - Potenziale für Energieeinsparung und Energieeffizienz im Lichte aktueller Preisentwicklungen"; Forschungsbericht für das Bundesministerium für Wirtschaft und Technologie von prognos, progtrans und basics; 31.08.2007. Zugriff am 24.02.2015.</t>
  </si>
  <si>
    <t xml:space="preserve">http://skn.privat.t-online.de/wattweg/media/files/BA130306.pdf </t>
  </si>
  <si>
    <t>S. 54</t>
  </si>
  <si>
    <t>Brennstoffe</t>
  </si>
  <si>
    <t>Gesamt</t>
  </si>
  <si>
    <t>% von Anwendungsber.</t>
  </si>
  <si>
    <t>Energieträger</t>
  </si>
  <si>
    <t>Anwendungsbereich</t>
  </si>
  <si>
    <t>100prosim Ba</t>
  </si>
  <si>
    <t>&gt;</t>
  </si>
  <si>
    <t>S. 120</t>
  </si>
  <si>
    <t>Schätzwert für den durchschnittlichen Nutzungsgrad aller mit Brennstoff befeuerten Industrieöfen und gewerblichen Verbrennungsprozesse (Nutzenergie / Heizwert). Dient dazu, reduzierte Wandlungsverluste und damit die Bedarfsminderung bei der Endenergie für Prozesswärme zu ermitteln, die durch Effizienzgewinne und durch Verschiebung des Energiemix auf die verlustarm zu nutzenden Energieträger Strom und Wärme zu erreichen ist.</t>
  </si>
  <si>
    <t xml:space="preserve">Annahme einer leichten Verbesserung durch Effizienzsteigerung bei den Industrieöfen, der durch hohe Temperaturen und unvermeidliche Rauchgas-Verluste allerdings enge technische Grenzen gesetzt sind. Die zusätzliche Abwärmenutzung, z. B. für Gebäudewärme, ist nicht in diesem Wert enthalten, sie wird unter Wärmequellen gesondert erfasst. </t>
  </si>
  <si>
    <t>Schnittstelle zu BS hergestelt, PW-Statusansätze verknüpft, PW-Ansätze erläutert.</t>
  </si>
  <si>
    <t>JOHANN HEINRICH VON THÜNEN-INSTITUT (Hg. 2012): "Thünen-Report 17 - Berechnung von gas- und partikelförmigen Emissionen aus der deutschen Landwirtschaft 1990 - 2012". Zugriff 25.02.2015.</t>
  </si>
  <si>
    <t xml:space="preserve">http://www.ti.bund.de/media/publikationen/thuenen-report/Thuenen-Report_17.pdf </t>
  </si>
  <si>
    <t>THÜNEN</t>
  </si>
  <si>
    <t>Anteil Haushalte an PW</t>
  </si>
  <si>
    <t>Prozesswärme-Endenergieverbrauch (PW)</t>
  </si>
  <si>
    <t>Zieleinfluss Prozess-Effizienz Ind./Gew. auf PW</t>
  </si>
  <si>
    <t>Zieleinfluss Anwendungs-Effiz. Haushalte auf PW</t>
  </si>
  <si>
    <t>Kraft, Licht, Inform./Komm., Kälte-Endenergieverbr. (KLIK)</t>
  </si>
  <si>
    <t>Anteil Haushalte an KLIK</t>
  </si>
  <si>
    <t>Zieleinfluss Endgeräte-Effizienz Haushalte auf KLIK</t>
  </si>
  <si>
    <t>Zieleinfluss Prozess-Effizienz Dienstleist. auf KLIK</t>
  </si>
  <si>
    <t>Thünen-Report 17 aufgenommen, Ackerland (Status), Getreide (Status, Zielgrundlage), Dauergrünland (Status, Zielgrundlage) aktualisiert. KLIK-Ansätze strukturiert und teilweise erläutert.</t>
  </si>
  <si>
    <t>Landwirtschaftsfläche (LF)</t>
  </si>
  <si>
    <t xml:space="preserve">http://www.ml.niedersachsen.de/download/91912/Die_niedersaechsische_Landwirtschaft_in_Zahlen_2014.pdf </t>
  </si>
  <si>
    <t>NIEDERSÄCHSISCHES MINISTERIUM FÜR ERNÄHRUNG, LANDWIRTSCHAFT UND VERBRAUCHERSCHUTZ (November 2014): "Die niedersächsische Landwirtschaft in Zahlen 2014". Zugriff am 27.02.2015.</t>
  </si>
  <si>
    <t>(2012)</t>
  </si>
  <si>
    <t>S. 47</t>
  </si>
  <si>
    <t>Biodiesel (inkl. Pflanzenöl)</t>
  </si>
  <si>
    <t>Biodiesel - Anbaufläche</t>
  </si>
  <si>
    <t>Bioethanol</t>
  </si>
  <si>
    <t>Bioethanol - Anbaufläche</t>
  </si>
  <si>
    <t>KLIK-Ansätze fertig gestellt bis auf Zielansatz-Erläuterung. Zwischenstand für Team bereitgestellt.</t>
  </si>
  <si>
    <t>Landwirtschaftsfläche auf Quelle MELV Landwirtschaft in Zahlen 2014 umgestellt, damit auch Ackerbau, Dauergrünland, Getreideanbau, Biogas, Biodiesel, Bioethanol (aus flüssige Biokraftstoffe herausgelöst), Verbindung über Schnittstelle zu S. Screenshot Solare Absorberflächen auf Dächern und Quellen für Joure fixe.
9.Quellen auf Schriftart Arial formatiert (vorher Calibri, bei dieser Schriftart funktionieren die Links nach dem Druck in pdf nicht mehr, weil z. B. Bindestriche nicht mehr als solche erkannt werden).
Review Solar von Gottfried Römer soweit relevant eingearbeitet.</t>
  </si>
  <si>
    <t>(resultiert)</t>
  </si>
  <si>
    <t>Anteil Handel/Dienstleistungen an KLIK</t>
  </si>
  <si>
    <t>Anteil Industrie + produzierendes Gewerbe an KLIK</t>
  </si>
  <si>
    <t xml:space="preserve"> Sektoren-Differenzierung geändert nach Handel/Dienstleistungen (ohne prod. Gewerbe) und Industrie+prod.Gewerbe. </t>
  </si>
  <si>
    <t xml:space="preserve">http://de.statista.com/statistik/daten/studie/1252/umfrage/entwicklung-des-bruttoinlandsprodukts-je-einwohner-seit-1991/ </t>
  </si>
  <si>
    <t>STATISTA - STATISTIKPORTAL (2015): "Bruttoinlandsprodukt (BIP) je Einwohner in Deutschland von 1991 bis 2014". Zugriff am 01.03.2015.</t>
  </si>
  <si>
    <t>STATISTA - STATISTIKPORTAL (2015): "Anteil der Wirtschaftsbereiche am Bruttoinlandsprodukt (BIP)* in Deutschland im Jahr 2014 ". Zugriff am 01.03.2015.</t>
  </si>
  <si>
    <t xml:space="preserve">http://de.statista.com/statistik/daten/studie/36846/umfrage/anteil-der-wirtschaftsbereiche-am-bruttoinlandsprodukt/ </t>
  </si>
  <si>
    <t>STATISTA</t>
  </si>
  <si>
    <t xml:space="preserve">http://en-q.de/media/links/VDE_Effizienz-_und_Einsparpotentiale_in_Deutschland.pdf  </t>
  </si>
  <si>
    <t>VDE (2008): „Effizienz- und Einsparpotentiale elektrischer Energie in Deutschland“.</t>
  </si>
  <si>
    <t>VDE</t>
  </si>
  <si>
    <t>S. 72</t>
  </si>
  <si>
    <t>Ba72</t>
  </si>
  <si>
    <t>Photovoltaik - Vollbetriebsstunden jährlich</t>
  </si>
  <si>
    <t>Onshore: Vollbetriebstunden jährlich</t>
  </si>
  <si>
    <t>Offshore Deutschl.: Vollbetriebsstunden jährlich</t>
  </si>
  <si>
    <t>Biogas aus Abfall-/Reststoffverwertung</t>
  </si>
  <si>
    <t>Biogas-Anteil für Prozesswärme</t>
  </si>
  <si>
    <t>Biogas-Anteil für Verstromung</t>
  </si>
  <si>
    <t>Biogasverstromung - Nutzungsgrad</t>
  </si>
  <si>
    <t>Wirtschaftliche Entwicklung, KLIK und PW fertig ausgearbeitet.
Biogas-Struktur aufgebaut und mit Schnittstelle verbunden.</t>
  </si>
  <si>
    <t>S. 37</t>
  </si>
  <si>
    <t>S. 41</t>
  </si>
  <si>
    <t xml:space="preserve"> % </t>
  </si>
  <si>
    <t>3N</t>
  </si>
  <si>
    <t>3N KOMPETENZZENTRUM (2014): "Biogas in Niedersachsen - Inventur 2014". Zugriff am 03.03.2015.</t>
  </si>
  <si>
    <t xml:space="preserve">http://www.3-n.info/download.php?file=pdf_files/InfomaterialDownloadsBiogas/biogasinventur_niedersachsen_2014.pdf </t>
  </si>
  <si>
    <t>Gase aus Deponien und Kläranlagen</t>
  </si>
  <si>
    <t xml:space="preserve"> kWh </t>
  </si>
  <si>
    <t xml:space="preserve"> DEUTSCHE GESELLSCHAFT FÜR SOLARENERGIE DGS, Online-Portal ENERGYMAP (2015): "Niedersachsen". Zugriff am 03.03.2015.</t>
  </si>
  <si>
    <t xml:space="preserve">http://www.energymap.info/energieregionen/DE/105/116.html </t>
  </si>
  <si>
    <t>EnergyMap</t>
  </si>
  <si>
    <t>S. 17</t>
  </si>
  <si>
    <t>% Kraftstoff</t>
  </si>
  <si>
    <t>TRETTER H. (2010): "Schweden - Biogas als leitungsbebundener Energieträger und Kraftstoff für Fahrzeuge". Zugriff am 11.03.2010.</t>
  </si>
  <si>
    <t>BAYRISCHE LANDESANSTALT FÜR WEINBAU UND GARTENBAU (2013): "Wildpflanzen als Biogassubstrat"; Fachvortrag Dr. Birgitt Vollrath zum Projekt 'Energie aus Wildpflanzen'. Zugriff am 13.02.2014.</t>
  </si>
  <si>
    <t xml:space="preserve">http://www.bioenergie-wendland-elbetal.de/fileadmin/bilder/Vortr%C3%A4ge/Retmar_Vollrath_09.08.2013_Kurzversionpdf.pdf </t>
  </si>
  <si>
    <t>S. 24</t>
  </si>
  <si>
    <t>Biogas - Methanertrag</t>
  </si>
  <si>
    <t xml:space="preserve"> Personen</t>
  </si>
  <si>
    <t xml:space="preserve"> Personen </t>
  </si>
  <si>
    <t xml:space="preserve"> Einwohner </t>
  </si>
  <si>
    <t>Biogene Abfallstoffe (fest)</t>
  </si>
  <si>
    <t>Wärme aus  Abfallstoffen (fest)</t>
  </si>
  <si>
    <t>Biogas komplett ausgearbeitet, Biogene Abfallstoffe fertig gestellt.</t>
  </si>
  <si>
    <t>Biodiesel aus Import (+) / Export (-)</t>
  </si>
  <si>
    <t xml:space="preserve">Biodiesel - Energieertrag </t>
  </si>
  <si>
    <t>Biodiesel - Anteil für Mobile Anwendungen</t>
  </si>
  <si>
    <t xml:space="preserve">Biodiesel - Anteil für Verstromung </t>
  </si>
  <si>
    <t>Biogasverstr. - Nutzungsgrad KWK-Abwärme effektiv</t>
  </si>
  <si>
    <t>Biodiesel-Verstromung - Nutzungsgrad</t>
  </si>
  <si>
    <t>Biodiesel-Verstr. - Nutzungsg. KWK-Abwärme eff.</t>
  </si>
  <si>
    <t xml:space="preserve"> l/ha/a </t>
  </si>
  <si>
    <t xml:space="preserve"> MJ/l </t>
  </si>
  <si>
    <t xml:space="preserve"> MJ/ha/a </t>
  </si>
  <si>
    <t>S. 22</t>
  </si>
  <si>
    <t>S. 26</t>
  </si>
  <si>
    <t>AIRBUS OPERATIONS (Hrsg.), 3N-KOMPETENZZENTRUM, KRALEMANN M. (2014): "Nachhaltige Biokerosin-Produktion auf Basis von Biogas aus unterschiedlichen Quellen in der südlichen Metropolregion Hamburg/Niedersachsen (Biogas-to-Kerosene).</t>
  </si>
  <si>
    <t>Pflanzenöl komplett ausgearbeitet</t>
  </si>
  <si>
    <t xml:space="preserve">https://www.destatis.de/DE/ZahlenFakten/GesellschaftStaat/Bevoelkerung/Bevoelkerungsvorausberechnung/Bevoelkerungsvorausberechnung.html </t>
  </si>
  <si>
    <t>DESTATIS</t>
  </si>
  <si>
    <t>GENESIS</t>
  </si>
  <si>
    <t xml:space="preserve">http://de.statista.com/statistik/daten/studie/1717/umfrage/prognose-zur-entwicklung-der-weltbevoelkerung/ </t>
  </si>
  <si>
    <t xml:space="preserve">Energieverbraucher </t>
  </si>
  <si>
    <t>Einw.D</t>
  </si>
  <si>
    <t>ha Nds.</t>
  </si>
  <si>
    <t>ha D</t>
  </si>
  <si>
    <t>€</t>
  </si>
  <si>
    <t>Bioethanol - Energieertrag (brutto)</t>
  </si>
  <si>
    <t>S. 27</t>
  </si>
  <si>
    <t xml:space="preserve"> t </t>
  </si>
  <si>
    <t>WIRTSCHAFTLICHE VEREINIGUNG ZUCKER (2015): "Biokraftstoff Ethanol". Zugriff am 06.03.2015.</t>
  </si>
  <si>
    <t>http://www.zuckerverbaende.de/ruebe-zucker/bioethanol.html</t>
  </si>
  <si>
    <t xml:space="preserve"> l/ha/a</t>
  </si>
  <si>
    <t>Bioethanol aus Import (+) / Export (-)</t>
  </si>
  <si>
    <t>Ein Import von Bioethanol bzw. dessen Ausgangsprodukten für energetische Zwecke ist nicht mehr vorgesehen. Vor dem Hintergrund gravierender globaler Probleme erscheint die Inanspruchnahme von Anbauflächen im Ausland nicht sinnvoll: Welthungerproblem in Verbindung mit globalem Bevölkerungswachstum, Wüstenbildung.</t>
  </si>
  <si>
    <t xml:space="preserve">Einwohnerzahlen und Bedarfs-Prinzip fetig ausgearbeitet. Zwischenstand erzeugt. Biodiesel Import von Energieverbraucherzahl nach gewähltem Prinzip abhängig gemacht. </t>
  </si>
  <si>
    <t>Bioethanol komplett ausgearbeitet.</t>
  </si>
  <si>
    <t xml:space="preserve">http://asue.de/cms/upload/broschueren/2011/bhkw-kenndaten/asue-bhkw-kenndaten-0311.pdf </t>
  </si>
  <si>
    <t>ARBEITSGEMEINSCHAFT FÜR SPARSAMEN UND UMWELTFREUNDLICHEN ENERGIEVERBRAUCH e. V. (2011): "BHKW-Kenndaten 2011". Zugriff am 06.03.2015."</t>
  </si>
  <si>
    <t>ASUE</t>
  </si>
  <si>
    <t>Umgebungswärme (Wärmepumpe)</t>
  </si>
  <si>
    <t>Wärmep. - Anteil Anlagen mit Luftkopplung</t>
  </si>
  <si>
    <t>Wärmep. Luftkopplung - Jahresarbeitszahl</t>
  </si>
  <si>
    <t>Wärmep. Erdreich-/Wasserk. - Jahresarbeitszahl</t>
  </si>
  <si>
    <t>Wärmeertrag Erdreich/Grundwasser (oberflächennah)</t>
  </si>
  <si>
    <t>Umgebungswärme fertig strukturiert und mit Schnittstelle verbunden.</t>
  </si>
  <si>
    <t>NIEDERSÄCHSISCHES MINISTERIUM FÜR UMWELT, ENERGIE UND KLIMASCHUTZ (2014): Online-Portal "Umweltbericht - Erneuerbare Energien". Zugriff am 07.03.2015.</t>
  </si>
  <si>
    <t xml:space="preserve">http://www.umwelt.niedersachsen.de/umweltbericht/nutzungsfelder/energie/stand_und_entwicklung/erneuerbare_energien/erneuerbare-energien--89139.html </t>
  </si>
  <si>
    <t>MU</t>
  </si>
  <si>
    <t xml:space="preserve"> h/a </t>
  </si>
  <si>
    <t>BUNDESVERBAND WÄRMEPUMPE e. V. (2014) Online-Portal: "Immer mehr Bauherren setzen auf Wärmepumpen". Zugriff am 07.03.2015.</t>
  </si>
  <si>
    <t xml:space="preserve">http://www.waermepumpe.de/presse/pressemitteilungen/pressemitteilung/article/immer-mehr-bauherren-setzen-auf-waermepumpe.html </t>
  </si>
  <si>
    <t>S. 32</t>
  </si>
  <si>
    <t>KALTSCHMITT M., STREICHER W., WIESE A. (2006): "Erneuerbare Energien. Systemtechnik, Wirtschaftlichkeit, Umweltaspekte".</t>
  </si>
  <si>
    <t>S. 410</t>
  </si>
  <si>
    <t xml:space="preserve"> MJ/qm </t>
  </si>
  <si>
    <t xml:space="preserve"> kWh/qm </t>
  </si>
  <si>
    <t xml:space="preserve"> MWh/ha</t>
  </si>
  <si>
    <t>Status-Wert wird übernommen, da der Wärmeertrag von der Bodenbeschaffenheit abhängt, die als konstant vorausgesetzt werden kann.</t>
  </si>
  <si>
    <t>MW</t>
  </si>
  <si>
    <t>Tiefen-Geoth. - Vollbetriebsstunden (Stromerzeug.)</t>
  </si>
  <si>
    <t>Tiefen-Geoth. - Nutzungsgrad (elektrisch)</t>
  </si>
  <si>
    <t>Tiefen-Geoth. - Netzanschlussleistung (elektrisch)</t>
  </si>
  <si>
    <t>(n.r.)</t>
  </si>
  <si>
    <t>TWh</t>
  </si>
  <si>
    <t>Tiefen-Geoth. - Technisches Gesamtpot.Nds.</t>
  </si>
  <si>
    <t>Tiefen-Geoth. - eff.Nutzungsgrad KWK-Abwärme</t>
  </si>
  <si>
    <t>AGENTUR FÜR ERNEUERBARE ENERGIEN: "föderal erneuerbar - Datenblatt Geothermie Niedersachsen"; Zugriff am 08.03.2015.</t>
  </si>
  <si>
    <t>http://www.foederal-erneuerbar.de/landesinfo/bundesland/NI/kategorie/erdwaerme/ausgabe/download</t>
  </si>
  <si>
    <t>http://www.geothermie.de/fileadmin/useruploads/Service/Publikationen/Tab84.pdf</t>
  </si>
  <si>
    <t>TAB - BÜRO FÜR TECHNOLOGIEFOLGEN-ABSCHÄTZUNG BEIM DEUTSCHEN BUNDESTAG (Hrg.), PASCHEN H., OERTEL D., GRÜNWALD R. (2003): "Möglichkeiten geothermischer Stromerzeugung in Deutschland". TAB-Bericht 84. Zugriff am 08.03.2015.</t>
  </si>
  <si>
    <t>TAB</t>
  </si>
  <si>
    <t>S. 52</t>
  </si>
  <si>
    <t xml:space="preserve"> EJ </t>
  </si>
  <si>
    <t xml:space="preserve"> TWh/EJ </t>
  </si>
  <si>
    <t xml:space="preserve"> TWh </t>
  </si>
  <si>
    <t>S. 35</t>
  </si>
  <si>
    <t>S. 51</t>
  </si>
  <si>
    <t xml:space="preserve"> Jahre </t>
  </si>
  <si>
    <t>S. 55</t>
  </si>
  <si>
    <t>Tiefengeothermie fertig ausgearbeitet.</t>
  </si>
  <si>
    <t>Umgebungswärme fertig ausformuliert. Tiefengeothermie fertig strukturiert und mit Schnittstelle verbunden, von Erdwärmestrom auf Nutzungszeitraum bis zur Erschöpfung umgestellt, bis auf die beiden letzten Parameter vfertig ausgearbeitet.</t>
  </si>
  <si>
    <t>Wasserstofferzeugung (als Brennstoff, für Kraftstoff- und Grundstoffsynthese)</t>
  </si>
  <si>
    <t>Langzeitspeicherung Strom</t>
  </si>
  <si>
    <t>Wasserelektrolyse - Nutzungsgrad</t>
  </si>
  <si>
    <t>Nach WS:</t>
  </si>
  <si>
    <t>Szenario:</t>
  </si>
  <si>
    <t>Strom-Endverbrauch (provisorisch mit festen Werten)</t>
  </si>
  <si>
    <t>Provisorisch feste Werte eingetragen</t>
  </si>
  <si>
    <t>Von WS</t>
  </si>
  <si>
    <t>Szenario 'Niedersachsen' (150313)</t>
  </si>
  <si>
    <t>Bruttostromerzeugung aus Erneuerbaren Energien gesamt (inklusive Abregelung)</t>
  </si>
  <si>
    <t>&gt; aus Windenergie</t>
  </si>
  <si>
    <t>&gt; aus Solarenergie (Photovoltaik)</t>
  </si>
  <si>
    <t>&gt; aus Wasserkraft + Tiefengeothermie</t>
  </si>
  <si>
    <t>&gt; aus Biobrennstoffen</t>
  </si>
  <si>
    <t>Wasserstofferzeugung (als Brennstoff, für Kraftstoff- und Grundstoff-Synthese)</t>
  </si>
  <si>
    <t>Stromeinsatz Wassereleketrolyse</t>
  </si>
  <si>
    <t>von WS:</t>
  </si>
  <si>
    <t>Kraftstoffsynthese - Nutzungsgrad</t>
  </si>
  <si>
    <t>Wasserstoff-Methanisierung - Nutzungsgrad</t>
  </si>
  <si>
    <t>Langzeitspeicherung - Stromaufnahme</t>
  </si>
  <si>
    <t>Stromspeicherung gesamt - Nutzungsgrad</t>
  </si>
  <si>
    <t>Stromspeicherung - Gasspeicherkapazität min.</t>
  </si>
  <si>
    <t>Stromspeicher. Abwärme KWK - Nutzanteil eff.</t>
  </si>
  <si>
    <t xml:space="preserve">GWh </t>
  </si>
  <si>
    <t>Abregelung von Wind- und Solarstrom</t>
  </si>
  <si>
    <t>Stromübertragung</t>
  </si>
  <si>
    <t>Stromeinfuhr (Erneuerbar) in Solidarbereich</t>
  </si>
  <si>
    <t>Wasserstofferzeugung und Stromspeicherung fertig strukturiert und über Schnittstellen mit S und WS verbunden, mit Ausarbeitung begonnen.</t>
  </si>
  <si>
    <t>Übertragungsverluste Stromnetz</t>
  </si>
  <si>
    <t>Übernommen aus:</t>
  </si>
  <si>
    <t>http://www.ag-energiebilanzen.de/index.php?article_id=29&amp;fileName=bilanz12d.xlsx</t>
  </si>
  <si>
    <t>AGEB - ARBEITSGEMEINSCHAFT ENERGIEBILANZEN e. V. (2014): "Energiebilanz der Bundesrepublik Deutschland 2012". Stand 12.07.2014.</t>
  </si>
  <si>
    <t>AGEB - ARBEITSGEMEINSCHAFT ENERGIEBILANZEN e. V. (November 2013): "Anwendungsbilanzen für die Energiesektoren in Deutschland in den Jahren 2011 und 2012 mit Zeitreihen von 2008 bis 2012".</t>
  </si>
  <si>
    <t>&gt;8</t>
  </si>
  <si>
    <t>Die Einfuhr von Strom aus erneuerbaren Quellen von außerhalb Deutschlands ist zurzeit nicht relevant. Sie wird als Zukunftsoption diskutiert, beispielsweise aus Solarthermischen Kraftwerken in der Sahara.</t>
  </si>
  <si>
    <t xml:space="preserve">Die Einfuhr von Strom aus erneuerbaren Quellen von außerhalb Deutschlands wird hier nicht vorgesehen. Einer möglichen Entlastung der eigenen energetischen Flächenbeanspruchung stehen andere Aspekte entgegen, beispiesweise steigende Risiken für die Versorgungssicherheit oder der durch wirksamen Klimaschutz stark wachsende Bedarf an erneuerbaren Energien weltweit. </t>
  </si>
  <si>
    <t>Schnittstelle zu BS Kennzahlen hergestellt, dafür Verbrauch Status von 8. auf 7. umnummeriert, dafür 8.Kennzahlen eingeführt. Hyperlink-Mechanismus für Verweis auf 8.Kennzahlen bei Stromnetzverluste entwickelt. Stromnetzverluste fertig ausformuliert. Für Arbeitstreffen konfektioniert Version 150313.</t>
  </si>
  <si>
    <t xml:space="preserve">http://www.dlr.de/dlr/Portaldata/1/Resources/bilder/portal/portal_2012_1/leitstudie2011_bf.pdf </t>
  </si>
  <si>
    <t>S. 39</t>
  </si>
  <si>
    <t>%H2 2020 (Annahme)</t>
  </si>
  <si>
    <t>% CH4 (2020)</t>
  </si>
  <si>
    <t>Wasserstofferzeugung fertig ausgearbeitet. Kurzzeitspeicherung recherchiert, in Übertragungsverluste Stromnetz integriert und fertig ausgearbeitet.</t>
  </si>
  <si>
    <t>Gebäudewärme-Endenergieverbrauch (GW)</t>
  </si>
  <si>
    <t>Anteil Haushalte an GW</t>
  </si>
  <si>
    <t>Wohnfläche pro Person</t>
  </si>
  <si>
    <t>qm/Person</t>
  </si>
  <si>
    <t>Anteil GHD + Industrie an GW</t>
  </si>
  <si>
    <t>Anteil Raumwärme an GW</t>
  </si>
  <si>
    <t>Anteil Warmwasser an GW</t>
  </si>
  <si>
    <t>kWh/qm/a</t>
  </si>
  <si>
    <t>Gebäude-Sanierungs-/Ersatzrate</t>
  </si>
  <si>
    <t>Gebäudesanierungs-Zeitraum</t>
  </si>
  <si>
    <t>Zieleinfluss Verwend.-/Proz.Effizienz Warmwasser</t>
  </si>
  <si>
    <t>Anteil Strom an GW</t>
  </si>
  <si>
    <t>Anteil Wärme an GW</t>
  </si>
  <si>
    <t>Anteil Brenstoffe an GW</t>
  </si>
  <si>
    <t>Nutzungsgrad Endanwend. Brennstoffe für GW</t>
  </si>
  <si>
    <t>Endverbrauch Anteile Energieträger je Anwendungsbereich</t>
  </si>
  <si>
    <t>JAHNKE K., CO2ONLINE (2014): "Trendreport Energie 1". Zugriff am 15.03.2015.</t>
  </si>
  <si>
    <t xml:space="preserve">http://www.co2online.de/service/publikationen/trendreport-energie/heizenergieverbrauch/ </t>
  </si>
  <si>
    <t>S. 2</t>
  </si>
  <si>
    <t xml:space="preserve"> kWh/qm/a </t>
  </si>
  <si>
    <t xml:space="preserve">kWh/qm/a </t>
  </si>
  <si>
    <t xml:space="preserve"> kWh/qm/a</t>
  </si>
  <si>
    <t xml:space="preserve"> PJ </t>
  </si>
  <si>
    <t>Spez. Raumwärmeverbrauch</t>
  </si>
  <si>
    <t>Ba95</t>
  </si>
  <si>
    <t>Repräsentiert den Status als Bezug für den künftig gesenkten Energiebedarf durch Effizienzsteigerung im Bereich der Warmwasser-Verwendung in Haushalten (z. B. Sparbrause) und verringerten Warmwasserbedarf durch optimierte Prozesse im gewerblichen und Dienstleistungsbereich.</t>
  </si>
  <si>
    <t>(resultierend)</t>
  </si>
  <si>
    <t>Gebäudewärme strukturiert und über Schnittstelle mit S verbunden. Ausarbeitung bis zur Wärmepumpe.</t>
  </si>
  <si>
    <t>Die Strom-Anteile bei GW, PW und Stromaufnahme WP als nicht relevant gekennzeichnet.</t>
  </si>
  <si>
    <t>Mobile Anwendungen (MA)</t>
  </si>
  <si>
    <t>MA am Boden</t>
  </si>
  <si>
    <t>Anteil Elektrotraktion am Endverbrauch im PVk</t>
  </si>
  <si>
    <t>Zieleinfluss Entwicklung PVk</t>
  </si>
  <si>
    <t>Zieleinfluss Entwicklung Güterverkehr (GVk)</t>
  </si>
  <si>
    <t>Anteil Elektrotraktion am Endverbrauch im GVk</t>
  </si>
  <si>
    <t>Zieleinfluss Luftverkehrs-Entwicklung</t>
  </si>
  <si>
    <t>Zieleinfl.Luftverkehrs-Effizienz auf Krafstoffverbr.</t>
  </si>
  <si>
    <t>MA Luftverkehr</t>
  </si>
  <si>
    <t>Mobile Anwendungen strukturiert, Daten aus 'Verkehr', Version 19.03.2015, hinterlegt und über Schnittstelle mit S verbunden. Als Version 150320 für Arbeitssitzung am 20.03.2015 vorbereitet.</t>
  </si>
  <si>
    <t xml:space="preserve"> ha  </t>
  </si>
  <si>
    <t>Steuerbarkeit Ziel-Windflächen von Ernteflächen aus mit Errechnung der Potenzialflächen eingebaut.</t>
  </si>
  <si>
    <t>Wärmepumpen - Stromverbrauch jährlich</t>
  </si>
  <si>
    <t>Biogas-Anteil als Biomethan für Mobile Antriebe</t>
  </si>
  <si>
    <t>Biogas zu Biomethan-Kraftstoff - Nutzungsgrad</t>
  </si>
  <si>
    <t>Biogas zu Flüssigkraftstoff - Nutzungsgrad</t>
  </si>
  <si>
    <t>Bislang keine Erzeugung von Flüssigkraftstoffen aus Biogas.</t>
  </si>
  <si>
    <t>Wärmepumpen-Abgleich vereinfacht durch Eliminierung von installierter Leistung und Volllaststundenzahl (wird im Text zur Stromaufnahme angegeben). Biogas: Flüssigkraftstoff und Biomethan differenziert inkl Schnittstelle zu D.</t>
  </si>
  <si>
    <t>Reviewanmerkungen zu Wind und Wasser eingearbeitet.</t>
  </si>
  <si>
    <t>Für Arbeitssitzung (Bedienungseinführung) konfektioniert.</t>
  </si>
  <si>
    <t>Durchschnittliche Jahresrate BIP/Kopf</t>
  </si>
  <si>
    <t>Zieleinfl.Handels-/Dienstleist.-Vol./Pers.auf KLIK</t>
  </si>
  <si>
    <t>Zieleinfl.Materialdurchsatz/Pers.auf KLIK</t>
  </si>
  <si>
    <t>neu</t>
  </si>
  <si>
    <t>Zieleinfl.Materialdurchsatz/Pers.auf PW</t>
  </si>
  <si>
    <t>Zieleinfluss Erwerbstätigkeit auf GW</t>
  </si>
  <si>
    <t>Techn. Aquifer-Pot. Norddeutsches Becken</t>
  </si>
  <si>
    <t xml:space="preserve"> ha/d </t>
  </si>
  <si>
    <t>Abb. 2, S. 5</t>
  </si>
  <si>
    <t>NIEDERSÄCHSISCHES MINISTERIUM FÜR UMWELT UND KLIMASCHUTZ (2011): Online-Portal "Abschlussbericht des Arbeitskreises Flächenverbrauch und Bodenschutz". Zugriff am 07.03.2015.</t>
  </si>
  <si>
    <t xml:space="preserve">http://www.umwelt.niedersachsen.de/download/62952/Abschlussbericht_Flaechenverbrauch_und_Bodenschutz_Dez._2011_.pdf </t>
  </si>
  <si>
    <t xml:space="preserve"> ha pro Tag </t>
  </si>
  <si>
    <t>Tab. AC1002.x</t>
  </si>
  <si>
    <t>Tiefengeothermie entsprechend der Anmerkungen von Hr. Mattioli geändert: Norddeutsches Becken ohne Melasse, Niedersachsen nimmt nur 1/3 der Fläche ein, konreter Bezug auf das kristalline Potenzial des Nordeutschen Beckens. Gebäude-&amp;Freifläche, Dauergrünland, ausgearbeitet</t>
  </si>
  <si>
    <t>S. 291 ff.</t>
  </si>
  <si>
    <t xml:space="preserve">http://www.umweltbundesamt.de/publikationen/treibhausgasneutrales-deutschland-im-jahr-2050-0 </t>
  </si>
  <si>
    <t>UMWELTBUNDESAMT (2014): "Treibhausgasneutrales Deutschland im Jahr 2050". Zugriff am 29.03.2015.</t>
  </si>
  <si>
    <t>UBA</t>
  </si>
  <si>
    <t>S. 44</t>
  </si>
  <si>
    <t>S. 6</t>
  </si>
  <si>
    <t>FRAUNHOFER IWES (2013): "Energiewirtschaftliche Bedeutung der Offshore-Windenergie"; Zugriff am 05.02.2015.</t>
  </si>
  <si>
    <t xml:space="preserve"> Mio. ha </t>
  </si>
  <si>
    <t>S. 44, 70</t>
  </si>
  <si>
    <t>Repräsentative Statistikdaten zum thermischen Jahresnutzungsgrad des tatsächlich als Gebäudewärme verwerteten Abwärmeanteils liegen nicht vor. Er dürfte wegen der meist stromgeführten Betriebsweise auch in Zeiten mit geringer Wärmenachfrage erheblich unter dem thermischen BHKW-Wirkungsgrad liegen. Hier wird eine vor diesem Hintergrund optimistische Annahme getroffen.</t>
  </si>
  <si>
    <t>Es ist davon auszugehen, dass bei der heutigen Blockheizkraftwerk-Technologie die Effizienzpotenziale weitgehend ausgeschöpft sind. Daher wird der Statuswert als Ziel übernommen.</t>
  </si>
  <si>
    <t>Biogas-Anteil als Flüssigkraftst.für Mobile Antriebe</t>
  </si>
  <si>
    <t>S. 305</t>
  </si>
  <si>
    <t>BUNDESMINISTERIUM FÜR UMWELT, NATURSHUTZ UND REAKTORSICHERHEIT BMU (2007) "Nationale Strategie zur biologischen Vielfalt". Zugriff am 29.03.2015.</t>
  </si>
  <si>
    <t xml:space="preserve">http://www.biologischevielfalt.de/fileadmin/NBS/documents/broschuere_biolog_vielfalt_strategie_bf.pdf </t>
  </si>
  <si>
    <t>BMU</t>
  </si>
  <si>
    <t>S. 28, 31</t>
  </si>
  <si>
    <t>Potenzial forstwirtschaftlich nutzbarer Waldfläche</t>
  </si>
  <si>
    <t>NIEDERSÄCHSISCHE LANDESFORSTEN (201?) "Waldschutz in niedersächsischen Wäldern - Naturwälder". Online-Veröffentlichung, Zugriff am 29.03.2015.</t>
  </si>
  <si>
    <t xml:space="preserve">http://www.landesforsten.de/Naturwaelder.2131.98.html </t>
  </si>
  <si>
    <t>NIEDERSÄCHSISCHES MINISTERIUM FÜR ERNÄHRUNG, LANDWIRTSCHAFT UND VERBRAUCHERSCHUTZ (November 2013): "Bundesziel wird derzeit verfehlt - Beitrag für biologische Vielfalt". Zugriff am 29.03.2015.</t>
  </si>
  <si>
    <t>http://www.ml.niedersachsen.de/portal/live.php?navigation_id=1810&amp;article_id=118824&amp;_psmand=7</t>
  </si>
  <si>
    <t>Landwirtschaftsfläche, Ackerland, Dauergrünland, Getreideanbaufläche, Biogasfl., Biodieselfl., Waldfl., Forstfl. fertig ausgearbeitet.</t>
  </si>
  <si>
    <t>S. 29</t>
  </si>
  <si>
    <t xml:space="preserve">WWF DEUTSCHLAND (Hrg.), ÖKO-INSTITUT, PROGNOS (2009): "Modell Deutschland - Klimaschutz bis 2050: Vom Ziel her denken". </t>
  </si>
  <si>
    <t>WWF</t>
  </si>
  <si>
    <t>http://www.wwf.de/fileadmin/fm-wwf/Publikationen-PDF/WWF_Modell_Deutschland_Endbericht.pdf</t>
  </si>
  <si>
    <t>BUNDESMINISTERIUM FÜR UMWELT, NATURSHUTZ UND REAKTORSICHERHEIT BMU  (Hrg.), DLR, FRAUNHOFER IWES, IFNE (2012) "Langfristszenarien und Strategien für den Ausbau der erneuerbaren Energien in Deutschland bei Berücksichtigung der Entwicklung in Europa und global" (Leitstudie 2011 - Schlussbericht an das BMU).  Zugriff am 29.03.2015.</t>
  </si>
  <si>
    <t>BIP pro Kopf</t>
  </si>
  <si>
    <t>Anteil Dienstleistungsbereiche an BIP/Kopf</t>
  </si>
  <si>
    <t>Dient der Abschätzung der wirtschaftlichen Entwicklung und des daraus resultierenden Energiebedarfe differenziert für den Industrie- und Dienstleistungsbereich. Er ist orientiert an folgender Überlegung: Einerseits war in der Vergangenheit eine Verschiebung vom Produzierenden bzw. verarbeitenden Gewerbe zu Handel/Dienstleistungen zu verzeichnen. Andererseits ist davon auszugehen, dass dieser Trend in Deutschland als Industrie- und Exportnation sich nicht beliebig fortsetzt. Hier wird von einem gleichbleibenden Anteil ausgegangen.</t>
  </si>
  <si>
    <t xml:space="preserve"> qm/Kopf </t>
  </si>
  <si>
    <t>S.47</t>
  </si>
  <si>
    <t>S. 63</t>
  </si>
  <si>
    <t>S. 14</t>
  </si>
  <si>
    <t>http://www.energie.fraunhofer.de/de/bildmaterial/pdf/studie-geschaeftsmodell-energiewende.pdf</t>
  </si>
  <si>
    <t>FRAUNHOFER IWES (2013): "Geschäftsmodell Energiewende"; Zugriff am 30.03.2015.</t>
  </si>
  <si>
    <t>Mitwirkungsliste gemäß aktuellem Zwischenberichts-Entwurf. Ausarbeitung und Belege Kapitel Wirtschaftliche Entwicklung, Verfeinerung KLIK, teilweise GW.</t>
  </si>
  <si>
    <t>Repräsentiert den Status des spezifischen Stromverbrauchs für Kraft, Licht, Informations- und Kommunikaionstechnologien, Kälte im Durchschnitt über alle Prozesse produzierenden Gewerbe (Sektor 'Industrie') plus dem gewerblichen Anteil des Sektors 'Gewerbe/Handel/Dienstleistungen'. Dient als Referenz für den im Ziel durch Effizienzsteigerung gesenkten Energiebedarf bei gleichem Leistungsumfang.</t>
  </si>
  <si>
    <t>Zieleinfluss Prozess-Effiz.prod.Gewerbe auf KLIK</t>
  </si>
  <si>
    <t>Repräsentiert den Status des spezifischen Bedarfs an Gebäudewärme in gewerblich genutzten Gebäuden. Dient als Referenz für den im Ziel durch Entwicklung der Erwerbstätigkeit veränderten Energiebedarf.</t>
  </si>
  <si>
    <t>Dient als Berechnungsgrundlage für das (fiktive) künftige Bedarfsniveau im Anwendungsbereich Gebäudewärme im Sektor Haushalte, das sich ohne Volumen-, Effizienz-und Energiemix-Änderungen einstellen würde. Der Status-Ansatz wird methodisch bedingt unverändert übernommen.</t>
  </si>
  <si>
    <t>Dient als Berechnungsgrundlage für das (fiktive) künftige Bedarfsniveau im Anwendungsbereich 'Kraft, Licht, Informations-/Kommunikations-Technolgien, Kälte'  im Sektor Haushalte, das sich ohne Volumen-, Effizienz-und Energiemix-Änderungen einstellen würde. Der Status-Ansatz wird methodisch bedingt unverändert übernommen.</t>
  </si>
  <si>
    <t>Dient als Berechnungsgrundlage für das (fiktive) künftige Bedarfsniveau im Anwendungsbereich Kraft/Licht/Informations-u.Kommunikationstechnologien/Kälte im Sektor Gewerbe/Handel/Dienstleistungen, das sich ohne Volumen-, Effizienz-und Energiemix-Änderungen einstellen würde. Der Status-Ansatz wird methodisch bedingt unverändert übernommen.</t>
  </si>
  <si>
    <t>Dient als Berechnungsgrundlage für das (fiktive) künftige Bedarfsniveau im Anwendungsbereich Prozesswärme im Sektor Industrie, das sich ohne Volumen-, Effizienz-und Energiemix-Änderungen einstellen würde. Der Status-Ansatz wird methodisch bedingt unverändert übernommen.</t>
  </si>
  <si>
    <t>Dient als Berechnungsgrundlage für das (fiktive) künftige Bedarfsniveau im Anwendungsbereich Prozesswärme im Sektor Haushalte, das sich ohne Volumen-, Effizienz-und Energiemix-Änderungen einstellen würde. Der Status-Ansatz wird methodisch bedingt unverändert übernommen.</t>
  </si>
  <si>
    <t>Dient als Berechnungsgrundlage für das (fiktive) künftige Bedarfsniveau im Anwendungsbereich Prozesswärme in den Sektoren Industrie und Gewerbe, das sich ohne Volumen-, Effizienz-und Energiemix-Änderungen einstellen würde. Der Status-Ansatz wird methodisch bedingt unverändert übernommen.</t>
  </si>
  <si>
    <t xml:space="preserve">Pauschale Annahme für die Senkung des Energiebedarfs für Warmwasser durch effiziente Anwendung in Haushalten (z. B. Sparbrause), Wärmerückgewinnung und Wassersparende Prozesse im gewerblichen Bereich. </t>
  </si>
  <si>
    <t xml:space="preserve">Annahme einer leichten Verbesserung durch Effizienzsteigerung bei Heizungskesseln und Öfen, der durch hohe Temperaturen und unvermeidliche Rauchgas-Verluste allerdings enge technische Grenzen gesetzt sind. </t>
  </si>
  <si>
    <t>Aufgrund folgender Überlegung: Die Nutzung von Abwärme als Prozesswärme ist grundsatzlich sinnvoll und lässt sich vermutlich noch ausweiten. Im Gegensatz zur Anwendung im Gebäudebereich dürfte das noch ungenutzte Potenzial wegen des höheren Temperaturniveaus allerdings überschaubar sein.  Andere Quellen (z. B. Solarthermie mit Konzentratoren) erscheinen in Deutschland wenig aussichtsreich.</t>
  </si>
  <si>
    <t>VERBAND DEUTSCHER VERKEHRSUNTERNEHMEN e.V. (2014): "2013 Statistik"; Zugriff 23.02.2015.</t>
  </si>
  <si>
    <t>https://www.vdv.de/statistik-2013.pdfx?forced=true</t>
  </si>
  <si>
    <t>S. 13, 10</t>
  </si>
  <si>
    <t xml:space="preserve"> TWh</t>
  </si>
  <si>
    <t>Anteil Personenverkehr (PVk) am EEV MA Boden</t>
  </si>
  <si>
    <t xml:space="preserve"> pkm/Kopf </t>
  </si>
  <si>
    <t>S. 114</t>
  </si>
  <si>
    <t>S. 19</t>
  </si>
  <si>
    <t>IFEU, FRAUNHOFER ISI, GWS, PROGNOS (2009): "Potenziale und volkswirtschaftliche Effekte einer ambitionierten Energieeffizienzstrategie für Deutschland". Gefördert durch BMU.</t>
  </si>
  <si>
    <t xml:space="preserve"> PJ</t>
  </si>
  <si>
    <t>Repräsentiert den Status der Energieintensität (Energiebedarf pro Personenkilometer) im Durchschnitt über die Luftfahrzeuge. Dient als Referenz für den im Ziel durch Effizienzsteigerung gesenkten Energiebedarf.</t>
  </si>
  <si>
    <t>S. 57</t>
  </si>
  <si>
    <t>l/100km2007</t>
  </si>
  <si>
    <t>l/100km2015</t>
  </si>
  <si>
    <t>l/100km2026</t>
  </si>
  <si>
    <t>l/100km2012</t>
  </si>
  <si>
    <t xml:space="preserve">http://www.bmub.bund.de/fileadmin/Daten_BMU/Download_PDF/Verkehr/workshop_effizienz_flugverk_studie.pdf </t>
  </si>
  <si>
    <t>GMELIN T. C., HÜTTING G., LEHMANN O. (2008): "Zusammenfassende Darstellung der Effizienzpotenziale bei Flugzeugen unter besonderer Berücksichtigung der aktuellen Triebwerkstechnik sowie der absehbaren mittelfristigen Entwicklungen". Im Auftrag des Bundesministeriums für Umwelt, Naturschutz und Reaktorsicherheit. Zugriff am 01.04.2015.</t>
  </si>
  <si>
    <t xml:space="preserve"> tkm/Kopf </t>
  </si>
  <si>
    <t>Wirtschaftliche Entwicklung, KLIK, GW und PW überprüft, Mobilität komplett ausgearbeitet, bis auf die Begründung der Verschiebung zur E-Mobilität.</t>
  </si>
  <si>
    <t>https://www.vde.com/de/regionalorganisation/bezirksvereine/suedbayern/facharbeit%20regional/akenergietechnik/documents/vortrag%2015112012%20elektromobilit%C3%A4t%20und%20energieeffizienz.pdf</t>
  </si>
  <si>
    <t>WAGNER U., DEUTSCHES ZENTRUM FÜR LUFT- UND RAUMFAHRT e. V. / TU MÜNCHEN  (2012): "Energieeffizienz durch Elektromobilität". Zugriff am 02.04.2015.</t>
  </si>
  <si>
    <t>Zieleinfluss Elektrotraktion im Personen- und Güterverkehr komplett ausgearbeitet.</t>
  </si>
  <si>
    <t>NETZ-TRANSPARENZ.DE (Internetplattform der deutschen Übertragungsnetzbeteriber: 50HERTZ, AMPRION, TENNET, TRANSNET BW) (2015): "EEG-Anlagenstammdaten Gesamtdeutschland zur Jahresabrechnung 2013". Zugriff am 02.04.2015.</t>
  </si>
  <si>
    <t xml:space="preserve">http://www.netztransparenz.de/de/Anlagenstammdaten.htm </t>
  </si>
  <si>
    <t>Da keine geeigneten Belege verfügbar waren, wurde eine eigene Einschätzung getroffen.</t>
  </si>
  <si>
    <t>Es erscheint als unwahrscheinlich, das der heute vernachlässigbare Anteil an der Energieversorgung um Größenordnungen gesteigert werden kann. Daher wurde hier vereinfachend der Statuswert fortgeschrieben.</t>
  </si>
  <si>
    <t>Aus S übernehmen</t>
  </si>
  <si>
    <t>Die stark schwankende Einspeisung von Wind- und Solarstrom kann bislang vollständig durch entsprechende Regelung der Pumpspeicher- und fossilen Kraftwerke ausgeglichen werden. Die Speicherung von Stromüberschüssen zum Ausgleich von Mangelphasen über Tage und Wochen hinweg ist daher noch nicht erforderlich geworden.</t>
  </si>
  <si>
    <t>Die stoffliche Speicherung von Strom ist vor allem durch Elektrolyse und Rückverstromung mit hohen Wandlungsverlusten verbunden, die durch entsprechend erhöhte Wind- und Solarstromeinspeisung ausgeglichen werden müssen. Im Interesse einer Minimierung der Wandlungsverluste wird auf eine zusätzliche Methanisierung des Wasserstoffs verzichtet und dafür ein wegen unterschiedlicher Energiedichte 3,3-faches Speichervolumen in Kauf genommen.</t>
  </si>
  <si>
    <t>WS</t>
  </si>
  <si>
    <t xml:space="preserve">Zur Schaffung der großen dafür erforderlichen Speicherkapazitäten kommt aus heutiger Sicht in Deutschland nur die stoffliche Speicherung in Form von Gas in Frage. Dazu wird überschüssiger Strom durch Wasser-Elektrolyse in Wasserstoff gewandelt, unter Druck in unterirdische Kavernen und Porenspeicher gepresst (in gleicher Weise wie heute Erdgas und Erdöl) und in Mangelphasen in Blockheizkraftwerken (durch Verbrennungsmotoren oder Brennstoffzellen) wieder rückverstromt. </t>
  </si>
  <si>
    <t>Quellverweise überprüft und korrigiert. Stromspeicherung ausgearbeitet, Elektrolyse-Wirkungsgrad gesenkt (70&gt;65%), Szenario neu abgeglichen.</t>
  </si>
  <si>
    <t>Vorgabe:</t>
  </si>
  <si>
    <t>Stromspeicherung komplett ausgearbeitet, Rückverstromungs-Wirkungsgrad von 55 auf 58,5% hochgesetzt gemäß Leitstudie, allerdings Abwärme wegen 50% KWK von 20 auf 12,7% heruntergesetzt, neu abgeglichen.</t>
  </si>
  <si>
    <t>Zielregion / Szenario</t>
  </si>
  <si>
    <t>Titelzeile: 100%EE ergänzt, formatiert</t>
  </si>
  <si>
    <t>Modellversion 150409 für Arbeitssitzung konfektioniert.</t>
  </si>
  <si>
    <t>SCHMIDT-KANEFENDT, H.-H. (2013): "Basisdaten allgemein  für 100%-Szenarien".</t>
  </si>
  <si>
    <t>S. 48, Tab.6-11</t>
  </si>
  <si>
    <t>S. 96, Tab.8-11</t>
  </si>
  <si>
    <t>-fache MF</t>
  </si>
  <si>
    <t>kWh/kWp</t>
  </si>
  <si>
    <t>3-62</t>
  </si>
  <si>
    <t>FORSCHUNGSVEREINIGUNG VERBRENNUNGSKRAFTMASCHINEN e. V. (2013): "Zukünftige Kraftstoffe für Verbrennungsmotoren und Gasturbinen". Zugriff am 13.04.2015.</t>
  </si>
  <si>
    <t xml:space="preserve">http://www.fvv-net.de/cms/upload/Download/FVV-Kraftstoffstudie_LBST_2013-10-30.pdf </t>
  </si>
  <si>
    <t>FVV</t>
  </si>
  <si>
    <t xml:space="preserve"> Energieverbr.</t>
  </si>
  <si>
    <t xml:space="preserve"> Einw.Nds.</t>
  </si>
  <si>
    <t xml:space="preserve">% </t>
  </si>
  <si>
    <t>% el. Brutto</t>
  </si>
  <si>
    <t>% th.</t>
  </si>
  <si>
    <t>% Prozessw.</t>
  </si>
  <si>
    <t>Windparkfläche</t>
  </si>
  <si>
    <t xml:space="preserve"> GW </t>
  </si>
  <si>
    <t xml:space="preserve"> TWh/a </t>
  </si>
  <si>
    <t>x</t>
  </si>
  <si>
    <t>Wind Onshore vereinfacht (nur eine Flächenangabe) und spezifischer Flächenbedarf statt Energieertrag.</t>
  </si>
  <si>
    <t>AGORA ENERGIEWENDE (2013): "Entwicklung der Windenergie in Deutschland". Studiendurchführung Fraunhofer IWES. Zugriff am 23.04.2015</t>
  </si>
  <si>
    <t xml:space="preserve">http://www.agora-energiewende.de/service/publikationen/publikation/pub-action/show/pub-title/entwicklung-der-windenergie-in-deutschland/ </t>
  </si>
  <si>
    <t>FÖRDERGESELLSCHAFT WINDENERGIE UND ANDERE ERNEUERBARE ENERGIEN FGW e. V. (2015): "Veröffentlichung der EEG-Referenzerträge". Exemplarisch wurde die Tabelle der ENERCON-Anlagen genutzt. Zugriff am 23.04.2015.</t>
  </si>
  <si>
    <t>http://www.wind-fgw.de/eeg_referenzertrag.htm</t>
  </si>
  <si>
    <t xml:space="preserve">FGW </t>
  </si>
  <si>
    <t xml:space="preserve"> MW (2012) - </t>
  </si>
  <si>
    <t xml:space="preserve"> MW (2013)</t>
  </si>
  <si>
    <t xml:space="preserve"> GWh 2013</t>
  </si>
  <si>
    <t>irrelevant</t>
  </si>
  <si>
    <t>Spezifischer Flächenbedarf Onshore-Windenergie</t>
  </si>
  <si>
    <t>100prosim Softwareversion</t>
  </si>
  <si>
    <t>100prosim  -   
100-Prozent-Erneuerbare-Enerigen-Simulationssystem 
von Hans-Heinrich Schmidt-Kanefendt</t>
  </si>
  <si>
    <t>UNITED NATIONS (DEPARTMENT OF ECONOMIC AND SOCIAL AFFAIRS, POPULATION DIVISION 2013): "Prognose zur Entwicklung der Weltbevölkerung bis 2100". Zugriff über Portal 'statista' am 20.02.2015.</t>
  </si>
  <si>
    <t>STATISTISCHES BUNDESAMT (2015): "12. koordinierte Bevölkerungsvorausberechnung".   
Zugriff am 13.02.2015.</t>
  </si>
  <si>
    <t>Notizen</t>
  </si>
  <si>
    <t/>
  </si>
  <si>
    <t>abc</t>
  </si>
  <si>
    <t>Alt-Nr.für Spalte O&gt;</t>
  </si>
  <si>
    <t>D.1 Spalte O für Anzeige der Zeilennummern in der Vorversion und Datenaufbereitung in Spalte EV eingeführt (wegen der zeilenabhängigen Hyperlinks ist die Beibehaltung der Altnummern bei Ergänzungen nicht möglich).</t>
  </si>
  <si>
    <t>NIEDERSÄCHSISCHES MINISTERIUM FÜR UMWELT, ENERGIE UND KLIMASCHUTZ (2015):  "Stellungnahmen und Anmerkungen der Mitglieder des Runden Tisches zum Szenario 1 des Gutachtens Energieszenarien 2050". Online-Portal, Zugriff 11.08.2015.</t>
  </si>
  <si>
    <t>http://www.umwelt.niedersachsen.de/energie/rundertisch/dokumente/stellungnahmen-135092.html</t>
  </si>
  <si>
    <t xml:space="preserve">Stelllungnahme zum 
1.Runden Tisch 
Nr. 20, S. 5 </t>
  </si>
  <si>
    <t xml:space="preserve">Stelllungnahme zum 
1.Runden Tisch 
Nr. 20, S. 3 </t>
  </si>
  <si>
    <t>NIEDERSÄCHSISCHES MINISTERIUM FÜR ERNÄHRUNG, LANDWIRTSCHAFT UND VERBRAUCHERSCHUTZ (2014): "Der Wald in Niedersachsen - Ergebnisse der Bundeswaldinventur 3". Zugriff am 15.02.2015.</t>
  </si>
  <si>
    <t>http://www.ml.niedersachsen.de/download/90884/Download_Broschuere_Der_Wald_in_Niedersachsen_Ergebnisse_der_Bundeswaldinventur_3.pdf</t>
  </si>
  <si>
    <t>S. 7</t>
  </si>
  <si>
    <t>BUNDESMINISTERIUM FÜR ERNÄHRUNG UND LANDWIRTSCHAFT BMEL (Oktober 2014): "Der Wald in Deutschland - Ausgewählte Ergebnisse der dritten Bundeswaldinventur". Zugriff 11.08.2015.</t>
  </si>
  <si>
    <t>BMEL</t>
  </si>
  <si>
    <t>https://bundeswaldinventur.de/fileadmin/SITE_MASTER/content/Dokumente/Downloads/BMEL_Wald_Broschuere.pdf</t>
  </si>
  <si>
    <t>3N KOMPETENZZENTRUM (2014): "Feuerstättenzählung Niedersachsen 2013". Zugriff am 10.08.2015.</t>
  </si>
  <si>
    <t>http://www.3-n.info/download.php?file=pdf_files/InfomaterialDownloadsFestbrennstoffe/feuerstaettenzaehlung_niedersachsen_2013.pdf</t>
  </si>
  <si>
    <t>S. 18</t>
  </si>
  <si>
    <t xml:space="preserve"> Mio. Fm/a</t>
  </si>
  <si>
    <t xml:space="preserve"> MWh/Fm</t>
  </si>
  <si>
    <t xml:space="preserve"> Mio. MWh</t>
  </si>
  <si>
    <t xml:space="preserve"> Mio. Efm</t>
  </si>
  <si>
    <t xml:space="preserve"> MWh/Fm </t>
  </si>
  <si>
    <t xml:space="preserve"> Mio.  MWh</t>
  </si>
  <si>
    <t xml:space="preserve"> Vfm/ha/a </t>
  </si>
  <si>
    <t xml:space="preserve">   MWh/Fm  </t>
  </si>
  <si>
    <t xml:space="preserve"> Vfm/ha/a  </t>
  </si>
  <si>
    <t xml:space="preserve">  Vfm/ha/a  </t>
  </si>
  <si>
    <t xml:space="preserve"> Efm/ha/a</t>
  </si>
  <si>
    <t xml:space="preserve">NIEDERSÄCHSISCHES MINISTERIUM FÜR ERNÄHRUNG, LANDWIRTSCHAFT UND VERBRAUCHERSCHUTZ (06.08.2015): Hinweise Herr Dr. Höher. </t>
  </si>
  <si>
    <t xml:space="preserve">  Mio. ha</t>
  </si>
  <si>
    <t xml:space="preserve"> MWh/ha </t>
  </si>
  <si>
    <t>FRAUNHOFER ISE (2011) "Wärmepumpen Effizienz - Messtechnische Untersuchung von Wärmepumpenanlagen zur Anlalyse und Bewertung der Effizienz im realen Betrieb". Kurzfassung.</t>
  </si>
  <si>
    <t xml:space="preserve">http://wp-effizienz.ise.fraunhofer.de/download/wp_effizienz_endbericht_kurzfassung.pdf </t>
  </si>
  <si>
    <t>S. 30, Bild 19</t>
  </si>
  <si>
    <t xml:space="preserve">http://www.isi.fraunhofer.de/isi-wAssets/docs/e/de/publikationen/Klimaschutz_Energieeffizienz_undBeschaeftigung.pdf </t>
  </si>
  <si>
    <t>https://www.ifeu.de/energie/pdf/NKI_Endbericht_2011.pdf</t>
  </si>
  <si>
    <t>IFEU, FRAUNHOFER, ISI, PROGNOS, GWS et al. (2011): "Energieeffizienz: Potenziale, volkswirtschaftliche Effekte und innovative Handlungs- und Förderfelder für die Nationale Klimaschutzinitiative". Endbericht. Gefördert durch BMU.</t>
  </si>
  <si>
    <t>Textänderung in 150811 versäumt, in 150812 nachgeholt.</t>
  </si>
  <si>
    <t>Textergänzung in 150811 versäumt, in 150812 nachgeholt.</t>
  </si>
  <si>
    <t>https://www.netztransparenz.de/de/file/r2b_EEG_Mittelfristprognose_11112013.pdf</t>
  </si>
  <si>
    <t>R2B ENERGY CONSULTING GMBH (2013): "Jahresprognose 2014 und Mittelfristprognose bis 2018
zur deutschlandweiten Stromerzeugung aus EEG geförderten Kraftwerken"</t>
  </si>
  <si>
    <t>S. 106 (Trendszenario)</t>
  </si>
  <si>
    <t>http://www.alpha-ventus.de/fileadmin/user_upload/av_Factsheet_de_Dez2012_2.pdf</t>
  </si>
  <si>
    <t>ALPHA VENTUS (2012): "FACT-SHEET alpha ventus".</t>
  </si>
  <si>
    <t xml:space="preserve">Einschätzung (Potenzial, Prognose, z. B. Bevölkerung, erreichbare Effizienz) </t>
  </si>
  <si>
    <t>resultierend</t>
  </si>
  <si>
    <t>Gestaltung vorrangig (z. B. Flächennutzung, Energiedienstleistungsumfang)</t>
  </si>
  <si>
    <t>06.08.2016: 44,1 ersetzt durch 38,325. Grund: Anpassung des Algorithmus unter Konstanthaltung der Endenergie Brennstoffe.</t>
  </si>
  <si>
    <t>07.08.2016: Verfeinerter Algorithmus GW erforderte Neuabgleich wegen geänderter Bedeutung des Parameters (100% umfasst auch Einsparungen). Text unverändert.</t>
  </si>
  <si>
    <t>07.08.2016: Verfeinerter Algorithmus GW umfasst beim Bedarfsniveau auch die Einsparungen aus Verminderung der Wandlungsverluste.</t>
  </si>
  <si>
    <t>07.08.2016: Text offensichtlich auf PW bezogen.</t>
  </si>
  <si>
    <t>Nutzungsgrad Elektrotraktion PVk</t>
  </si>
  <si>
    <t>Nutzungsgrad Kraftstofftraktion PVk</t>
  </si>
  <si>
    <t>Nutzungsgrad Elektrotraktion GVk</t>
  </si>
  <si>
    <t>Nutzungsgrad Kraftstofftraktion GVk</t>
  </si>
  <si>
    <t>Kraftstoff (flüssig) aus Wasserstoff für MA</t>
  </si>
  <si>
    <t>Die elektrolytische Erzeugung von Wasserstoff aus Wind- und Solarstrom ist eine Zukunftsoption zur Substitution der heute verwendeten fossilen Brennstoffe.</t>
  </si>
  <si>
    <t>Die elektrolytische Erzeugung von Wasserstoff aus Wind- und Solarstrom ist eine Zukunftsoption zur Substitution der heute verwendeten fossilen Kraftstoffe.</t>
  </si>
  <si>
    <t>Wasserstoff als Brennstoff für Prozesswärme</t>
  </si>
  <si>
    <t xml:space="preserve"> kWh jährlich pro Person</t>
  </si>
  <si>
    <t>150826'</t>
  </si>
  <si>
    <r>
      <t>Verfeinerter Algorithmus für GW und PW erforderte Textanpassungen in D.1.796 und D.1.864.</t>
    </r>
    <r>
      <rPr>
        <sz val="8"/>
        <color rgb="FFFF0000"/>
        <rFont val="Arial"/>
        <family val="2"/>
      </rPr>
      <t/>
    </r>
  </si>
  <si>
    <t>D.1 Formale Korrekturen in 421, 500, 509 und 519.
Anpassung der Beschreibungen an verfeinerten Algorithmus in D.1.811, 892, 894, 899, 901, 923.</t>
  </si>
  <si>
    <t>Szenario Version</t>
  </si>
  <si>
    <t xml:space="preserve">http://www.umwelt.niedersachsen.de/themen/energie/rundertisch/runder-tisch-142928.html </t>
  </si>
  <si>
    <t>FAULSTICH, Prof. Dr.-Ing. Martin, et. al. (2016): "Szenarien zur Energieversorgung in Niedersachsen im Jahr 2050". Gutachten im Auftrag NIEDERSÄCHSISCHES MINISTERIUM FÜR
UMWELT, ENERGIE UND KLIMASCHUTZ.</t>
  </si>
  <si>
    <t>Szenario-Realisierung</t>
  </si>
  <si>
    <t>Anhang D</t>
  </si>
  <si>
    <t>31.12.2012:</t>
  </si>
  <si>
    <t>31.12.2015:</t>
  </si>
  <si>
    <t>12411-01-01-4</t>
  </si>
  <si>
    <t>80.523.746</t>
  </si>
  <si>
    <t>STATISTISCHES BUNDESAMT (2015): "13. koordinierte Bevölkerungsvorausberechnung - aktualisierte Variante 2-A (Basis 2015) ".   
Zugriff am 28.02.2018.</t>
  </si>
  <si>
    <t xml:space="preserve">https://www.destatis.de/DE/ZahlenFakten/GesellschaftStaat/Bevoelkerung/Bevoelkerungsvorausberechnung/Tabellen/2015_2A_AltersgruppenBis2060_.html </t>
  </si>
  <si>
    <t>33111-01-02-4</t>
  </si>
  <si>
    <t>31.12.2016</t>
  </si>
  <si>
    <t>31.12.2012</t>
  </si>
  <si>
    <t>35.716.858</t>
  </si>
  <si>
    <t>2.486.929</t>
  </si>
  <si>
    <t>Siedlung (Gebäude- &amp; Freifläche)</t>
  </si>
  <si>
    <t>18.498.220</t>
  </si>
  <si>
    <t>10.890.859</t>
  </si>
  <si>
    <t>bleibt relevant</t>
  </si>
  <si>
    <t>2016</t>
  </si>
  <si>
    <t>2010</t>
  </si>
  <si>
    <t>11.846.665</t>
  </si>
  <si>
    <t>6.595.447</t>
  </si>
  <si>
    <t>DE0103</t>
  </si>
  <si>
    <t xml:space="preserve">https://www.destatis.de/DE/ZahlenFakten/Wirtschaftsbereiche/LandForstwirtschaftFischerei/FeldfruechteGruenland/FeldfruechteGruenland.html#Tabellen </t>
  </si>
  <si>
    <t>Statistisches Bundesamt (DESTATIS); Land- und Forstwirtschaft, Fischerei - Bodennutzung der Betriebe 2017. Fachserie 3 Reihe 2.1.2. 20.11.2017.</t>
  </si>
  <si>
    <t>2017</t>
  </si>
  <si>
    <t>BWI3 2012</t>
  </si>
  <si>
    <t xml:space="preserve">https://bwi.info/inhalt1.3.aspx?Text=1.01%20Waldspezifikation&amp;prRolle=public&amp;prInv=BWI2012&amp;prKapitel=1.01 </t>
  </si>
  <si>
    <t>%nicht erwartbar</t>
  </si>
  <si>
    <t>% 2/3 erwart b.</t>
  </si>
  <si>
    <t>% 1/3 erwartb.</t>
  </si>
  <si>
    <t>%Nutzfläche</t>
  </si>
  <si>
    <t>https://bwi.info/inhalt1.3.aspx?Text=1.11%20Nutzungseinschr%C3%A4nkung&amp;prRolle=public&amp;prInv=BWI2012&amp;prKapitel=1.11</t>
  </si>
  <si>
    <t xml:space="preserve">https://bwi.info/inhalt1.3.aspx?Text=5.01%20Eigentumsart&amp;prRolle=public&amp;prInv=BWI2012&amp;prKapitel=5.01 </t>
  </si>
  <si>
    <t xml:space="preserve">Johann Heinrich von Thünen-Institut; Dritte Bundeswaldinventur (2012) - Online-Datenbank. Zugriff: März 2018. </t>
  </si>
  <si>
    <t xml:space="preserve">https://bwi.info/start.aspx </t>
  </si>
  <si>
    <t>Tab. 5.01</t>
  </si>
  <si>
    <t xml:space="preserve"> Fm/ha/a</t>
  </si>
  <si>
    <t>S. 67 ff</t>
  </si>
  <si>
    <t>S. 67 ff.</t>
  </si>
  <si>
    <t>2016/17</t>
  </si>
  <si>
    <t xml:space="preserve"> ha incl.KUMP</t>
  </si>
  <si>
    <t>33111-01-02-3</t>
  </si>
  <si>
    <t>Tab. DE0103</t>
  </si>
  <si>
    <t>Bundesanstalt für Landwirtschaft und Ernährung; Datenbank Naturwaldreservate - Übersicht über die Flächen. Stand 26.02.2018. Zugriff: 02.03.2018.</t>
  </si>
  <si>
    <t xml:space="preserve">https://www.naturwaelder.de/index.php?tpl=nwr_flaechen </t>
  </si>
  <si>
    <t xml:space="preserve">http://docplayer.org/13519950-Natuerliche-waldentwicklung-in-deutschland.html </t>
  </si>
  <si>
    <t xml:space="preserve">Krug Andreas, Klittig Hagen; Natürliche Waldentwicklung in Deutschland - Ziele und Instrumente. Präsentation. Ebrach, 29.-30.06.2012. </t>
  </si>
  <si>
    <t xml:space="preserve"> %</t>
  </si>
  <si>
    <t>https://www.foederal-erneuerbar.de/landesinfo/bundesland/D/kategorie/solar/ausgabe/download</t>
  </si>
  <si>
    <t>AGENTUR FÜR ERNEUERBARE ENERGIEN: "föderal erneuerbar - Datenblatt Solar Deutschland"; Zugriff 02.03.2018</t>
  </si>
  <si>
    <t>Zeile 350</t>
  </si>
  <si>
    <t>Zeile 70</t>
  </si>
  <si>
    <t>33.033</t>
  </si>
  <si>
    <t>Bundesministerium für Wirtschaft und Energie; Marktanalyse Photovoltaik-Dachanlagen. 04.02.2015. Zugriff am 02.03.2018.</t>
  </si>
  <si>
    <t xml:space="preserve">https://www.bmwi.de/Redaktion/DE/Downloads/M-O/marktanalyse-photovoltaik-dachanlagen.html </t>
  </si>
  <si>
    <t xml:space="preserve">'2012: </t>
  </si>
  <si>
    <t xml:space="preserve"> MWp </t>
  </si>
  <si>
    <t>Zeile 332</t>
  </si>
  <si>
    <t>(2015)</t>
  </si>
  <si>
    <t>Zeile 115</t>
  </si>
  <si>
    <t xml:space="preserve"> S. 13, 15</t>
  </si>
  <si>
    <t>Schmidt-Kanefendt Hans-Heinrich, Struktur des Windenergie-Anlagenbestandes. Online gestellt am 03.03.2018.</t>
  </si>
  <si>
    <t xml:space="preserve">http://skn.privat.t-online.de/wattweg/media/files/StrukturWindenergieAnlagenbestand.pdf </t>
  </si>
  <si>
    <t>AGENTUR FÜR ERNEUERBARE ENERGIEN: "föderal erneuerbar - Datenblatt Wind Deutschland"; Zugriff 03.03.2018.</t>
  </si>
  <si>
    <t>Zeile 164</t>
  </si>
  <si>
    <t>S. 33</t>
  </si>
  <si>
    <t>Zeile 79</t>
  </si>
  <si>
    <t>Zeile 23</t>
  </si>
  <si>
    <t>S. 31</t>
  </si>
  <si>
    <t>Deutsche WINDGUARD: "STATUS DES OFFSHORE-WINDENERGIEAUSBAUS IN DEUTSCHLAND"; Varel, 2017, Zugriff am 03.03.2018.</t>
  </si>
  <si>
    <t xml:space="preserve">https://www.wind-energie.de/sites/default/files/attachments/page/offshore/20180117-factsheet-status-offshore-windenergieausbau-2017.pdf </t>
  </si>
  <si>
    <t>Abb. 1</t>
  </si>
  <si>
    <t>Zubau 2015</t>
  </si>
  <si>
    <t>AGENTUR FÜR ERNEUERBARE ENERGIEN: "föderal erneuerbar - Datenblatt Wasserkraft Niedersachsen"; Zugriff 03.03.2018.</t>
  </si>
  <si>
    <t xml:space="preserve">https://www.foederal-erneuerbar.de/landesinfo/bundesland/D/kategorie/wind/ausgabe/download </t>
  </si>
  <si>
    <t xml:space="preserve">https://www.foederal-erneuerbar.de/landesinfo/bundesland/D/kategorie/wasser/ausgabe/download </t>
  </si>
  <si>
    <t>Zeile 12</t>
  </si>
  <si>
    <t xml:space="preserve"> GWh/a 
2008-2015</t>
  </si>
  <si>
    <t xml:space="preserve">http://www.wbgu.de/fileadmin/user_upload/wbgu.de/templates/dateien/veroeffentlichungen/hauptgutachten/jg2003/wbgu_jg2003_ex03.pdf </t>
  </si>
  <si>
    <t>Zeile 41</t>
  </si>
  <si>
    <t xml:space="preserve">https://www.foederal-erneuerbar.de/landesinfo/bundesland/D/kategorie/bioenergie/ausgabe/download </t>
  </si>
  <si>
    <t>AGENTUR FÜR ERNEUERBARE ENERGIEN: "föderal erneuerbar - Datenblatt Bioenergie Niedersachsen"; Zugriff am 03.03.2018.</t>
  </si>
  <si>
    <t xml:space="preserve">http://www.bioenergie-emsland.de/index.php/bioenergiekraftwerk/kenndaten </t>
  </si>
  <si>
    <t>BEKW Bioenergiekraftwerk Emsland GmbH, Bioenergiekraftwerk - Kenndaten. Internetauftritt, Zugriff am 03.03.2018.</t>
  </si>
  <si>
    <t xml:space="preserve"> t/a</t>
  </si>
  <si>
    <t xml:space="preserve"> MJ/kg</t>
  </si>
  <si>
    <t>https://www.bmwi.de/Redaktion/DE/Publikationen/Energie/erneuerbare-energien-in-zahlen-2016.pdf?__blob=publicationFile&amp;v=8</t>
  </si>
  <si>
    <t>FACHAGENTUR NACHWACHSENDE ROHSTOFFE e. V. (2017): "Basisdaten Bioenergie Deutschland 2017". Zugriff 10.03.2018.</t>
  </si>
  <si>
    <t xml:space="preserve">http://www.fnr.de/fileadmin/allgemein/pdf/broschueren/broschuere_basisdaten_bioenergie_2017_2.pdf </t>
  </si>
  <si>
    <t>BUNDESMINISTERIUM FÜR WIRTSCHAFT UND ENERGIE (September 2017): "Erneuerbare Energien in Zahlen - Nationale und Internationale Entwicklung 2016". Zugriff am 10.03.2018.</t>
  </si>
  <si>
    <t xml:space="preserve"> Mio t FM </t>
  </si>
  <si>
    <t xml:space="preserve"> Mio t FM</t>
  </si>
  <si>
    <t xml:space="preserve"> t FM/ha</t>
  </si>
  <si>
    <t>Biogas - NAWARO-Anbau</t>
  </si>
  <si>
    <t>S. 5</t>
  </si>
  <si>
    <t>S. 40</t>
  </si>
  <si>
    <t>S. 46</t>
  </si>
  <si>
    <t xml:space="preserve"> Mrd. l</t>
  </si>
  <si>
    <t xml:space="preserve"> kWh/l</t>
  </si>
  <si>
    <t xml:space="preserve"> l/ha</t>
  </si>
  <si>
    <t xml:space="preserve"> MJ/l</t>
  </si>
  <si>
    <t xml:space="preserve"> MJ/kWh</t>
  </si>
  <si>
    <t>S. 28</t>
  </si>
  <si>
    <t>S. 30</t>
  </si>
  <si>
    <t xml:space="preserve"> Mrd. kWh</t>
  </si>
  <si>
    <t xml:space="preserve"> Mio. kW</t>
  </si>
  <si>
    <t xml:space="preserve">Bundesministerium für Wirtschaft und Energie; Entwicklung der erneuerbaren Energien 
in Deutschland im Jahr 2016. Grafiken und Diagramme unter Verwendung aktueller Daten 
der Arbeitsgruppe Erneuerbare Energien-Statistik (AGEE-Stat), Stand Februar 2017. </t>
  </si>
  <si>
    <t xml:space="preserve">https://www.bundesverband-bioenergie.de/application/files/8714/9129/3591/entwicklung_der_erneuerbaren_energien_in_deutschland_im_jahr_2016.pdf </t>
  </si>
  <si>
    <t>Müller-Syring Gert et. al; Metastudie zur Untersuchung der Potenziale von Wasserstoff für die Integration von Verkehrs- und Energiewirtschaft. DVGW Deutscher Verein des Gas- und Wasserfaches e. V. Bonn, Oktober 2015.</t>
  </si>
  <si>
    <t xml:space="preserve">https://www.dvgw.de/medien/dvgw/leistungen/forschung/berichte/g201415.pdf </t>
  </si>
  <si>
    <t>Abgleich</t>
  </si>
  <si>
    <t>entscheiden!</t>
  </si>
  <si>
    <t>Repräsentiert den Status der Energieintensität (Strombedarf pro erbrachte Dienstleistung) der elektrischen Geräte in Haushalten für Kraft=Mechanische Energie, Licht=Beleuchtung, Informations-/Kommunikations-Kommunikations-Technolgien, Kälte (kurz 'KLIK', Geräte für Gebäudewärme- und Prozesswärme-Bereitstellung sind unter GW bzw. PW gefasst und bleiben hier ausgespart). Dient als Referenz für den im Ziel durch Effizienzsteigerung gesenkten Energiebedarf.</t>
  </si>
  <si>
    <t>Repräsentiert den Status des spezifischen Stromverbrauchs für Kraft, Licht, Informations- und Kommunikaionstechnologien, Kälte im Durchschnitt über alle Prozesse im Dienstleistungsbereich (kurz 'KLIK', Sektor 'Gewerbe/Handel/Dienstleistungen' ohne den gewerblichen Anteil). Dient als Referenz für den im Ziel durch wirtschaftliche Entwicklung veränderten Energiebedarf.</t>
  </si>
  <si>
    <t>Repräsentiert den Status des spezifischen Stromverbrauchs  für Kraft, Licht, Informations- und Kommunikaionstechnologien, Kälte im Durchschnitt über alle Prozesse im Dienstleistungsbereich (kurz 'KLIK', Sektor 'Gewerbe/Handel/Dienstleistungen' ohne den gewerblichen Anteil). Dient als Referenz für den im Ziel durch Effizienzsteigerung gesenkten Energiebedarf bei gleichem Leistungsumfang.</t>
  </si>
  <si>
    <t>Repräsentiert den Status des spezifischen Stromverbrauchs für Kraft, Licht, Informations- und Kommunikaionstechnologien, Kälte im Durchschnitt über alle Prozesse im produzierenden Gewerbe (kurz 'KLIK', Sektoren Industrie einschließlich Baugewerbe als Teil des Sektors 'Gewerbe/Handel/Dienstleistungen'). Dient als Referenz für den im Ziel durch wirtschaftliche Entwicklung veränderten Energiebedarf.</t>
  </si>
  <si>
    <t>Repräsentiert den Status der Energieintensität (Prozesswärmebedarf pro erbrachte Prozessleistung) der thermischen Prozesse in Haushalten (Wäsche trocknen, Wäsche waschen, Kochen, Backen usw). Dient als Referenz für den im Ziel durch Effizienzsteigerung gesenkten Energiebedarf.</t>
  </si>
  <si>
    <t>Repräsentiert den Status des spezifischen Prozesswärmeverbrauchs pro Person im Durchschnitt über alle Prozesse im produzierenden Gewerbe (Sektoren Industrie einschließlich Baugewerbe als Teil des Sektors 'Gewerbe/Handel/Dienstleistungen'). Dient als Referenz für den im Ziel durch wirtschaftliche Entwicklung veränderten Energiebedarf.</t>
  </si>
  <si>
    <t>Repräsentiert den Status der Güterverkehrsleistung (Personenkilometer pro Einwohner) im Durchschnitt der Luftfahrzeuge. Dient als Referenz für Veränderung der Luftverkehrsleistung zum Zieljahr.</t>
  </si>
  <si>
    <t>Repräsentiert den Status der Güterverkehrsleistung (Tonnenkilometer pro Einwohner) im Durchschnitt über die verbrennungsmotorisch betriebenen Güterverkehrsmittel. Dient als Referenz für Veränderung der Güterverkehrsleistung zum Zieljahr.</t>
  </si>
  <si>
    <t>Repräsentiert den Status der Personenverkehrsleistung pro Einwohner im Durchschnitt über den Modal-Mix der Personenverkehrsmittel. Dient als Referenz für die Veränderung der Personenverkehrsleistung zum Zieljahr.</t>
  </si>
  <si>
    <t xml:space="preserve"> ha (gerundet)</t>
  </si>
  <si>
    <t>% v. AF</t>
  </si>
  <si>
    <t xml:space="preserve"> % v. LF</t>
  </si>
  <si>
    <t>Annahme in Anlehnung an Niedersachsen</t>
  </si>
  <si>
    <t>D.1.14 und D.1.18 in O_.6 übernommen. (Versionsbeschreibung)</t>
  </si>
  <si>
    <t>HINWEIS im Nds-Szenario: Der Nachweis einer umweltverträglichen und versorgungssicheren Energieversorgung mit 100% Erneuerbaren Energien (Zielprämissen) unter Fortschreibung des Wirtschaftswachstums wird mit diesem Szenario für das Jahr 2050 erbracht. Dazu wurden die vertretbaren bzw. zumutbaren Flächenpotenziale für Energiegewinnung und die Effizienzpotenziale weitgehend ausgeschöpft, ein über 2050 hinaus weiter steigender Energiebedarf wäre unter Einhaltung der Zielprämissen von der Fläche der betrachteten Region  nicht zu decken. Voraussetzung für weiteres Wirtschaftswachstum ist somit entweder eine vollständige Entkopplung des Energieverbrauchs oder der Import regenerativer Energien vom Weltmarkt, der prinzipiell allerdings ebenfalls begrenzt ist.</t>
  </si>
  <si>
    <t>Am 28.03.2018 von 0,1 auf 0,01% reduziert.</t>
  </si>
  <si>
    <t>kWh/a/Pers.</t>
  </si>
  <si>
    <t>Grundstoffe für die Chemieindustrie</t>
  </si>
  <si>
    <t>Wasserstoff tankfähig- Nutzungsgrad</t>
  </si>
  <si>
    <t>Scharpf, Thomas, Energiebetrachtung zu Brennstoffzellen und Wasserstoff. IFEU Interessengemeinschaft zur Förderung der Elektromobilität im Unterallgäu. 1. November 2017.</t>
  </si>
  <si>
    <t xml:space="preserve">http://www.i-feu.de/I-FEU/Podcast/5B301566-15A0-460E-9BF0-71A5C655BBB4.html </t>
  </si>
  <si>
    <t>Kap. 2</t>
  </si>
  <si>
    <t>Nutzungsgrad Brennstoffzellen-Traktion (FC)</t>
  </si>
  <si>
    <t>Kap. 3</t>
  </si>
  <si>
    <t>Vorgabe: Anteil Elektrotraktion an PVk-Leistung</t>
  </si>
  <si>
    <t>Anhang D, [D.1.882]</t>
  </si>
  <si>
    <t>Vorgabe: Anteil Elektrotraktion an GVk-Leistung</t>
  </si>
  <si>
    <t>Anhang D, [D.1.910]</t>
  </si>
  <si>
    <t>(n. r.)</t>
  </si>
  <si>
    <t>(Passiv)</t>
  </si>
  <si>
    <t>Aktiv</t>
  </si>
  <si>
    <t>Brennstoffzellen-Traktio (FC) statt Verbrenner</t>
  </si>
  <si>
    <t>Schmidt-Kanefendt Hans-Heinrich, Struktur der Biogasgewinnung. Online gestellt am 03.03.2018.</t>
  </si>
  <si>
    <t>für BAG-Konvent fixiert.</t>
  </si>
  <si>
    <t xml:space="preserve">Softwarestand aktuell: </t>
  </si>
  <si>
    <t>Zeitstempel</t>
  </si>
  <si>
    <t>Kürzel</t>
  </si>
  <si>
    <t>Software-Änderungsbeschreibung (Wer? Wo? Was? Wie?)</t>
  </si>
  <si>
    <t>190916.1818</t>
  </si>
  <si>
    <t xml:space="preserve">Diese Fuktionszeile sollte wieder ausgeblendet werden (Höhe =0). </t>
  </si>
  <si>
    <t>hhsk</t>
  </si>
  <si>
    <t>Hans-Heinrich Schmidt-Kanefendt; BAUSTELLE! geöffnet - ACHTUNG: Formeln ungeschützt!</t>
  </si>
  <si>
    <t>Hans-Heinrich Schmidt-Kanefendt; BAUSTELLE geschlossen</t>
  </si>
  <si>
    <t>Versionen: neues Tabellenformat eingeführt. Copyright und Baustellenverwaltung eingeführt.</t>
  </si>
  <si>
    <t>190116,0000</t>
  </si>
  <si>
    <t>1. fälschlicherweise absolute Links auf 9.Quellen (mit gesamten Dateipfad) wieder relativ auf eigene Datei zurückgeführt in den Zeilen 1.621, 1.892, 1.894 (korrigiert auf 1.189), 1.940, 1.942.</t>
  </si>
  <si>
    <t>181005,0000</t>
  </si>
  <si>
    <t>1. 100prosim in Kopfzeile um 06.02 ergänzt.</t>
  </si>
  <si>
    <t>180521,0000</t>
  </si>
  <si>
    <t>180421,0000</t>
  </si>
  <si>
    <t>160914,0000</t>
  </si>
  <si>
    <t>160807,0000</t>
  </si>
  <si>
    <t>150805,0000</t>
  </si>
  <si>
    <t>150420,0000</t>
  </si>
  <si>
    <t>150409,0000</t>
  </si>
  <si>
    <t>150406,0000</t>
  </si>
  <si>
    <t>150404,0000</t>
  </si>
  <si>
    <t>150403,0000</t>
  </si>
  <si>
    <t>150402,0000</t>
  </si>
  <si>
    <t>150401,0000</t>
  </si>
  <si>
    <t>150330,0000</t>
  </si>
  <si>
    <t>150329,0000</t>
  </si>
  <si>
    <t>150328,0000</t>
  </si>
  <si>
    <t>150325,0000</t>
  </si>
  <si>
    <t>150324,0000</t>
  </si>
  <si>
    <t>150322,0000</t>
  </si>
  <si>
    <t>150321,0000</t>
  </si>
  <si>
    <t>150319,0000</t>
  </si>
  <si>
    <t>150317,0000</t>
  </si>
  <si>
    <t>150315,0000</t>
  </si>
  <si>
    <t>150314,0000</t>
  </si>
  <si>
    <t>150312,0000</t>
  </si>
  <si>
    <t>150311,0000</t>
  </si>
  <si>
    <t>150309,0000</t>
  </si>
  <si>
    <t>150308,0000</t>
  </si>
  <si>
    <t>150307,0000</t>
  </si>
  <si>
    <t>150306,0000</t>
  </si>
  <si>
    <t>150305,0000</t>
  </si>
  <si>
    <t>150304,0000</t>
  </si>
  <si>
    <t>150303,0000</t>
  </si>
  <si>
    <t>150302,0000</t>
  </si>
  <si>
    <t>150301,0000</t>
  </si>
  <si>
    <t>150228,0000</t>
  </si>
  <si>
    <t>150226,0000</t>
  </si>
  <si>
    <t>150225,0000</t>
  </si>
  <si>
    <t>150224,0000</t>
  </si>
  <si>
    <t>150223,0000</t>
  </si>
  <si>
    <t>150216,0000</t>
  </si>
  <si>
    <t>150215,0000</t>
  </si>
  <si>
    <t>150214,0000</t>
  </si>
  <si>
    <t>150213,0000</t>
  </si>
  <si>
    <t>150211,0000</t>
  </si>
  <si>
    <t>150205,0000</t>
  </si>
  <si>
    <t>150204,0000</t>
  </si>
  <si>
    <t>150203,0000</t>
  </si>
  <si>
    <t>150131,0000</t>
  </si>
  <si>
    <t>150126,0000</t>
  </si>
  <si>
    <t>150101,0000</t>
  </si>
  <si>
    <t>190916.1833</t>
  </si>
  <si>
    <t>180327,0000</t>
  </si>
  <si>
    <t>100prosim (</t>
  </si>
  <si>
    <t xml:space="preserve">xlsx, </t>
  </si>
  <si>
    <t>)</t>
  </si>
  <si>
    <t>Hans-Heinrich Schmidt-Kanefendt</t>
  </si>
  <si>
    <t>Masteransicht, bis hier ausblenden und Arbeitsblatt schützen!</t>
  </si>
  <si>
    <t>Vor BAUSTELLE schließen dieses Arbeitsblatt ausblenden!</t>
  </si>
  <si>
    <t>Dieses Arbeitsblatt dient der automatisierten Versionsführung.</t>
  </si>
  <si>
    <t>Es ist nicht für Veränderungen freigegeben.</t>
  </si>
  <si>
    <t>Copyright</t>
  </si>
  <si>
    <t>100prosim</t>
  </si>
  <si>
    <r>
      <rPr>
        <sz val="11"/>
        <color theme="3" tint="0.39997558519241921"/>
        <rFont val="Wingdings"/>
        <charset val="2"/>
      </rPr>
      <t>è</t>
    </r>
    <r>
      <rPr>
        <sz val="11"/>
        <color theme="3" tint="0.39997558519241921"/>
        <rFont val="Calibri"/>
        <family val="2"/>
        <scheme val="minor"/>
      </rPr>
      <t>Erläuterungen siehe unten</t>
    </r>
  </si>
  <si>
    <r>
      <t>100-Pro</t>
    </r>
    <r>
      <rPr>
        <sz val="11"/>
        <color theme="1"/>
        <rFont val="Calibri"/>
        <family val="2"/>
        <scheme val="minor"/>
      </rPr>
      <t>zent-Erneuerbare-Energien-</t>
    </r>
    <r>
      <rPr>
        <b/>
        <sz val="11"/>
        <color theme="1"/>
        <rFont val="Calibri"/>
        <family val="2"/>
        <scheme val="minor"/>
      </rPr>
      <t>Sim</t>
    </r>
    <r>
      <rPr>
        <sz val="11"/>
        <color theme="1"/>
        <rFont val="Calibri"/>
        <family val="2"/>
        <scheme val="minor"/>
      </rPr>
      <t>ulationssoftware*</t>
    </r>
  </si>
  <si>
    <r>
      <rPr>
        <sz val="11"/>
        <color theme="1"/>
        <rFont val="Calibri"/>
        <family val="2"/>
        <scheme val="minor"/>
      </rPr>
      <t>Komponente '</t>
    </r>
    <r>
      <rPr>
        <b/>
        <sz val="11"/>
        <color theme="1"/>
        <rFont val="Calibri"/>
        <family val="2"/>
        <scheme val="minor"/>
      </rPr>
      <t>Datenmodell</t>
    </r>
    <r>
      <rPr>
        <sz val="11"/>
        <color theme="1"/>
        <rFont val="Calibri"/>
        <family val="2"/>
        <scheme val="minor"/>
      </rPr>
      <t>'</t>
    </r>
  </si>
  <si>
    <r>
      <rPr>
        <b/>
        <sz val="14"/>
        <color theme="1"/>
        <rFont val="Calibri"/>
        <family val="2"/>
        <scheme val="minor"/>
      </rPr>
      <t>als freie Software lizensiert</t>
    </r>
    <r>
      <rPr>
        <sz val="11"/>
        <color theme="1"/>
        <rFont val="Calibri"/>
        <family val="2"/>
        <scheme val="minor"/>
      </rPr>
      <t xml:space="preserve">*, damit frei verfügbar für eigene Zwecke:
    </t>
    </r>
  </si>
  <si>
    <t xml:space="preserve">https://www.gnu.org/licenses/ </t>
  </si>
  <si>
    <t xml:space="preserve">Lizenzgeber der aktuellen Version: </t>
  </si>
  <si>
    <t xml:space="preserve">Bei Interesse Kontakt: </t>
  </si>
  <si>
    <t xml:space="preserve">Zum Trägerverein ErnES: </t>
  </si>
  <si>
    <t>http://ErnES.de/kontakt.html</t>
  </si>
  <si>
    <t xml:space="preserve">Autor der Ursprungsversion: </t>
  </si>
  <si>
    <t xml:space="preserve">*) Unter diese Software-Lizenz fällt die in den Arbeitsblättern enthaltene Funktionalität (Berechnungs-Formeln), die Tabellenstruktur und die Darstellungsform. Sämtliche Anwendungsspezifischen Daten fallen dagegen nicht unter die Lizenz.
    </t>
  </si>
  <si>
    <t>GNU General Public License (GPL) - Rechte und Pflichten</t>
  </si>
  <si>
    <t>Vier Freiheiten*:</t>
  </si>
  <si>
    <t>• „Freiheit 0“: Die Freiheit, das Programm auszuführen, wie man möchte, für jeden Zweck.
• „Freiheit 1“: Die Freiheit, die Funktionsweise des Programms zu untersuchen und eigenen Bedürfnissen der Datenverarbeitung anzupassen.
• „Freiheit 2“: Die Freiheit, das Programm weiterzuverbreiten und damit seinen Mitmenschen zu helfen.
• „Freiheit 3“: Die Freiheit, das Programm zu verbessern und diese Verbesserungen der Öffentlichkeit freizugeben, damit die gesamte Gemeinschaft davon profitiert.</t>
  </si>
  <si>
    <t>Verpflichtung aus dem "Copyleft"-Prinzip*:</t>
  </si>
  <si>
    <t xml:space="preserve">Jeder, der GPL-lizensierte Software verändert,  ist verpflichtet, sie  wieder als freie Software unter GNU GPL zu stellen; damit wäre es ein einklagbarer Rechtsverstoß, wenn sich jemand die Software schützen lässt. </t>
  </si>
  <si>
    <t>*) Vgl. Erläuterungen zum GNU Betriebssystem (jüngster Zugriff am 29.05.2019):</t>
  </si>
  <si>
    <t xml:space="preserve">https://www.gnu.org/philosophy/free-sw.de.html </t>
  </si>
  <si>
    <t>Software - Anwendung, Veränderung, Weitergabe</t>
  </si>
  <si>
    <t>Anwendung (Freiheitsgrad 0)</t>
  </si>
  <si>
    <t>Voraussetzungen für die ordnungsgemäße Funktion: 
- Die Dateien der verschiedenen Komponenten müssen in einem gemeinsamen Arbeitsverzeichnis liegen, der Schreibschutz muss ausgeschaltet sein.
- Die Dateinamen der Haupt- und Nebenkomponenten müssen unverändert bleiben.</t>
  </si>
  <si>
    <t xml:space="preserve">Funktionalität (in Gestalt der hinterlegten Formeln) und Darstellungsform (Tabellen-Layout) sind gegen unbeabsichtigte Veränderungen geschützt. Bestimmte Zellen sind für die Eingabe von anwendungsspezifischen Daten freigegeben, sie sind gelb bzw. orange hinterlegt. </t>
  </si>
  <si>
    <t>Funktionsweise untersuchen (Freiheitsgrad 1)</t>
  </si>
  <si>
    <t>Die in der Tabelle hinterlegten Kalkulationsformeln werden bei Auswahl der jeweiligen Zelle in der Excel-Bearbeitunsleiste oben angezeigt.</t>
  </si>
  <si>
    <t>Weitergabe / Veröffentlichung (Freiheitsgrad 2, 3)</t>
  </si>
  <si>
    <t>Die Weitergabe einer übernommenen oder die Weitergabe bzw. Veröffentlichung einer selbst veränderten Software-Version sollte immer das gesamte Dateipaket betreffen. Bis auf den Fall einer Entwicklungs-Zusammenarbeit sollten nur für Anwendung gesicherte Dateien weitergegeben bzw. veröffentlicht werden.</t>
  </si>
  <si>
    <t>Funktionalität / Darstellungsform verändern (Freiheitsgrad 1, 3)</t>
  </si>
  <si>
    <t>Zur Veränderung von Funktionalität bzw. Drastellungsform kann der Blattschutz derjenigen Arbeitsblätter dieser Datei , die im Arbeitsblatt "Arbeitsblätter" gelistet sind, vorügergehend aufgehoben werden. Diesem Zweck dient die Datei KS.xlsm, die zusätzlich zu dieser Datei D.xlsx in Excel zu öffnen ist. Im Arbeitsblatt Key_S, Komponente D.xlsx führt der Klick auf den Button 'Öffnen' zur automatischen Aufhebung des Blattschutzes der relevanten Arbeitsblätter in D.xlsx.</t>
  </si>
  <si>
    <t>Voraussetzung für die Ausführung der Aktion ist, dass die Angaben zur Identität der aktuellen Bearbeiterin bzw. des aktuellen Bearbeiters in Key_S eingetragen sind. Die Erfassung dieser Daten ist für die Sicherstellung einer nachvollziehbaren Versions-Chronolgie notwendig und ermöglicht eine konstruktive Beteiligung mehrerer Autor_innen an der Weiterentwicklung  der Software.</t>
  </si>
  <si>
    <t>Nach erfolgtem Öffnen erscheint das Arbeitsblatt 'Versionen' im aktiven Excel-Fenster. Dort wird in der zweiten Datenzeile von oben der Eintrag der aktuell erfolgten Öffnungs-Aktion angezeigt,  die erste Datenzeile wurde eingefügt und zum Beschreiben freigegeben (gelb hinterlegte Zellen). Vor dem Schließen der Baustelle ist hier die durchgeführte Änderung zu beschreiben.</t>
  </si>
  <si>
    <t>ACHTUNG! Nun ist der Blattschutz der Arbeitsblätter aufgehoben und sämtliche Inhalte sind ungeschützt, die Gesamtfunktionalität des Arbeiststandes ist nicht gewährleistet. Als Warnhinweis erscheint in der Kopfzeile sämtlicher Arbeitsblätter der Hinweis BAUSTELLE!.</t>
  </si>
  <si>
    <t>Datei nach Veränderung wieder für Anwendung sichern (Freiheitsgrade 1, 3)</t>
  </si>
  <si>
    <t>Über die Angabe der Bearbeiter_in-Identität hinaus (siehe oben) ist Voraussetzung für die Ausführung der Aktion, dass die Beschreibung der vorgenommenen Veränderungen von Funktionalität bzw. Darstellungsform im Arbeitsblatt Versionen, oberste Datenzeile, erfolgt ist. Dies ist für die Sicherstellung einer nachvollziehbaren Versions-Chronolgie notwendig und ermöglicht eine konstruktive Beteiligung mehrerer Autor_innen an der Weiterentwicklung  der Software.</t>
  </si>
  <si>
    <t>Nach erfolgtem Schließen erscheint das Arbeitsblatt 'Versionen' im aktiven Excel-Fenster. Dort wird in der ersten Datenzeile von oben "BAUSTELLE geschlossen" eingetragen. Der Blattschutz in sämtlichen Arbeitsblättern ist wieder gesetzt. Aus den Kopfzeilen sämtlicher Arbeitsblätter ist der Warnhinweis BAUSTELLE! wieder entfernt.</t>
  </si>
  <si>
    <t>ACHTUNG!</t>
  </si>
  <si>
    <t>Max:</t>
  </si>
  <si>
    <t>Änderungen in diesem Bereich führen zur Fehlfunktion!</t>
  </si>
  <si>
    <t>Zähler:</t>
  </si>
  <si>
    <t>Empfehlung: Die obersten 4 Zeilen markieren und ausblenden.</t>
  </si>
  <si>
    <t>Aktuelles AB</t>
  </si>
  <si>
    <t>Arbeitsblätter</t>
  </si>
  <si>
    <t>Arbeitsblätter muss in der Liste bleiben</t>
  </si>
  <si>
    <t>EingabeEinAus</t>
  </si>
  <si>
    <t>Arbeitsblattname Datenmodell</t>
  </si>
  <si>
    <t>U:Z</t>
  </si>
  <si>
    <t>Eingabespaltenbereich 1</t>
  </si>
  <si>
    <t>AD:AV</t>
  </si>
  <si>
    <t>Eingabespaltenbereich 2</t>
  </si>
  <si>
    <t>S:S</t>
  </si>
  <si>
    <t>Notizbereich</t>
  </si>
  <si>
    <t>Arbeitsblattname Quellenverzeichnis</t>
  </si>
  <si>
    <t>H1</t>
  </si>
  <si>
    <t>Vorgabe für Warnhinweis Ein/Aus</t>
  </si>
  <si>
    <t>D:D</t>
  </si>
  <si>
    <t xml:space="preserve">Eingabespaltenbereich </t>
  </si>
  <si>
    <t>D3</t>
  </si>
  <si>
    <t>Quellverzeichnis Anfang</t>
  </si>
  <si>
    <t>D215</t>
  </si>
  <si>
    <t>Erste freie Zeile nach Quellverzeichnisende</t>
  </si>
  <si>
    <t>Zeitstempel funktionsfähig gemacht.</t>
  </si>
  <si>
    <t>190916.2023</t>
  </si>
  <si>
    <t xml:space="preserve">Hans-Heinrich Schmidt-Kanefendt
</t>
  </si>
  <si>
    <t>190916.2033</t>
  </si>
  <si>
    <t>Arbeitsblätter sortiert</t>
  </si>
  <si>
    <t>190916.2034</t>
  </si>
  <si>
    <t>hsk@ernes.de</t>
  </si>
  <si>
    <t>Fehlversuch</t>
  </si>
  <si>
    <t>191007.1201</t>
  </si>
  <si>
    <t>; BAUSTELLE geschlossen</t>
  </si>
  <si>
    <t>191007.1202</t>
  </si>
  <si>
    <t>; BAUSTELLE! geöffnet - ACHTUNG: Formeln ungeschützt!</t>
  </si>
  <si>
    <t>1. Q18 fehlende Übernahmeformel ergänzt.</t>
  </si>
  <si>
    <t>191007.1204</t>
  </si>
  <si>
    <t>191007.1207</t>
  </si>
  <si>
    <t>1. W22 fehlende Übernahme Software-Version von Stempel ergänzt.</t>
  </si>
  <si>
    <t>191007.1223</t>
  </si>
  <si>
    <t>hsk</t>
  </si>
  <si>
    <t>200706.1730</t>
  </si>
  <si>
    <t>Anteil aus Wasserstoff synthetisierter Grundstoffe</t>
  </si>
  <si>
    <t>KLASSE 0 &gt;</t>
  </si>
  <si>
    <t>KLASSE 1 &gt;</t>
  </si>
  <si>
    <t>KLASSE 2 &gt;</t>
  </si>
  <si>
    <t>Anzeige bis &gt;</t>
  </si>
  <si>
    <t>Potenziale</t>
  </si>
  <si>
    <t>Windpark-Flächenpotenzial onshore</t>
  </si>
  <si>
    <t>% v. Bodenfläche:</t>
  </si>
  <si>
    <t xml:space="preserve"> % v. BF</t>
  </si>
  <si>
    <t>S. 23</t>
  </si>
  <si>
    <t xml:space="preserve">Deutschland </t>
  </si>
  <si>
    <t>Windleistungspotenzial offshore (Deutschland gesamt)</t>
  </si>
  <si>
    <t>GW install. Leistung:</t>
  </si>
  <si>
    <t>Mai 2018</t>
  </si>
  <si>
    <t xml:space="preserve"> GW am Netz</t>
  </si>
  <si>
    <t xml:space="preserve"> GW im Bau</t>
  </si>
  <si>
    <t xml:space="preserve"> GW genehmigt</t>
  </si>
  <si>
    <t xml:space="preserve"> GW beantragt</t>
  </si>
  <si>
    <t xml:space="preserve"> GW Ziel 2030</t>
  </si>
  <si>
    <t>Solar geeignetes Dachflächenpotenzial</t>
  </si>
  <si>
    <t>% v. Siedlungsfläche:</t>
  </si>
  <si>
    <t>Jahr 2017</t>
  </si>
  <si>
    <t>% der Siedlungsfläche</t>
  </si>
  <si>
    <t>S. 273, Tab 5.6</t>
  </si>
  <si>
    <t xml:space="preserve"> Mio. m2 </t>
  </si>
  <si>
    <t>Energetisch genutzte Landwirtschaftsfläche (Solar, Energiepflanzenanbau)</t>
  </si>
  <si>
    <t>% v. Landwirtsch.fläche:</t>
  </si>
  <si>
    <t>S. 45</t>
  </si>
  <si>
    <t>% der Landwirtschaftsfläche</t>
  </si>
  <si>
    <t xml:space="preserve"> Mio. ha</t>
  </si>
  <si>
    <t>1, Zeilen 979 - 2073 ergänzt aus 190823, Test mit AH.xlsm Stand 12.06.2020 erfolgreich.</t>
  </si>
  <si>
    <t>200706.1747</t>
  </si>
  <si>
    <t>200708.1422</t>
  </si>
  <si>
    <t>_O 210, 211 ergänzt und damit Kunststoffrecycling-Ergänzung in _S mit Parameter versorgt, erfolgreich getestet.</t>
  </si>
  <si>
    <t>200708.1446</t>
  </si>
  <si>
    <t>ACHTUNG! Bestehende Nebenrechnungen zum Datenmodell ungeschützt!</t>
  </si>
  <si>
    <t>Datenmodell ungeschützt!</t>
  </si>
  <si>
    <t>200727.1613</t>
  </si>
  <si>
    <t>H2-Speicherkapazität Salzkavernen</t>
  </si>
  <si>
    <t>TWh:</t>
  </si>
  <si>
    <t xml:space="preserve"> kWh/Nm3</t>
  </si>
  <si>
    <t xml:space="preserve"> Mrd. Nm3 </t>
  </si>
  <si>
    <t>Jahr 2019</t>
  </si>
  <si>
    <t xml:space="preserve">Bundesverband Erdgas, Erdöl und Geoenergie e. V. BVEG. Zahlen und Fakten - Arbeitsgasvolumen in Erdgasspeichern 2019. Internetauftritt, Zugriff am 27.07.2020. </t>
  </si>
  <si>
    <t>https://www.bveg.de/Erdgas/Zahlen-und-Fakten</t>
  </si>
  <si>
    <t>Bundesamt für Naturschutz. Offshore-windenergie in der AWZ - Ausbauziele und aktueller Stand. Zugriff am 16.03.2020.</t>
  </si>
  <si>
    <t xml:space="preserve">https://www.bfn.de/themen/awz-zulassungen-in-nord-und-ostsee/offshore-windparks.html#c214742 </t>
  </si>
  <si>
    <t>-fache</t>
  </si>
  <si>
    <t xml:space="preserve">-fache </t>
  </si>
  <si>
    <t xml:space="preserve">https://www.efzn.de/fileadmin/documents/Niedersaechsische_Energietage/Vortr%C3%A4ge/2016/FF3-Boor.pdf </t>
  </si>
  <si>
    <t>KBB UNDERGROUND TECHNOLOGIES, Dipl,-Ing. Sebastian Boor. Notwendigkeit &amp; Potenzials der geologischen Speicherung Erneuerbarer Energien in Deutschland. Präsentation zu 9. Niedersächsische Energietage, Goslar, 1. &amp; 2. November 2016. Internetauftritt, Zugriff am 27.07.2020.</t>
  </si>
  <si>
    <t>-fachen</t>
  </si>
  <si>
    <t>1.2074 - 2085 Potenzial Kavernenspeicher ergänzt, 
Verlinkung im Potenzialbereich auf Quellen in D.9. korrigiert.</t>
  </si>
  <si>
    <t>200728.1513</t>
  </si>
  <si>
    <t>200731.1704</t>
  </si>
  <si>
    <t>1. Arbeitsbereiche ausgeblendet</t>
  </si>
  <si>
    <t>200731.1708</t>
  </si>
  <si>
    <t>200731.1808</t>
  </si>
  <si>
    <t>Deutschland</t>
  </si>
  <si>
    <t>D.1.629 - 657: Links auf die Stelle in WS.xlsm anstatt auf WS.pdf. 
1.AC1 und AC2: Kommentare zur Bedeutung von Salte und Zelle einfeführt.</t>
  </si>
  <si>
    <t>200803.1212</t>
  </si>
  <si>
    <t>200803.1217</t>
  </si>
  <si>
    <t>Maßstab für Deckungsgrad</t>
  </si>
  <si>
    <t>#</t>
  </si>
  <si>
    <t xml:space="preserve"> 85</t>
  </si>
  <si>
    <t>Ba41</t>
  </si>
  <si>
    <t>Gesamtbedarf Haushalte</t>
  </si>
  <si>
    <t>Ba46</t>
  </si>
  <si>
    <t>Gesamtbedarf Haushalte &amp; GHD</t>
  </si>
  <si>
    <t>Ba47</t>
  </si>
  <si>
    <t>Gesamtbedarf Haushalte &amp; GHD &amp; Industrie</t>
  </si>
  <si>
    <t>Ba48</t>
  </si>
  <si>
    <t>Gesamtbedarf Haushalte &amp; GHD &amp; Industrie &amp; Verkehr</t>
  </si>
  <si>
    <t>Ba49</t>
  </si>
  <si>
    <t>Stromanteil Haushalte</t>
  </si>
  <si>
    <t>Stromanteil Haushalte &amp; GHD</t>
  </si>
  <si>
    <t>Stromanteil Haushalte &amp; GHD &amp; Industrie</t>
  </si>
  <si>
    <t>Stromanteil Haushalte &amp; GHD &amp; Industrie &amp; Verkehr</t>
  </si>
  <si>
    <t>Wärmeanteil Haushalte</t>
  </si>
  <si>
    <t>Wärmeanteil Haushalte &amp; GHD</t>
  </si>
  <si>
    <t>Wärmeanteil Haushalte &amp; GHD &amp; Industrie</t>
  </si>
  <si>
    <t>Wärmeanteil Haushalte &amp; GHD &amp; Industrie &amp; Verkehr</t>
  </si>
  <si>
    <t>Zielregion</t>
  </si>
  <si>
    <t>Niedersachsen</t>
  </si>
  <si>
    <t xml:space="preserve"> 4</t>
  </si>
  <si>
    <t>Ba221</t>
  </si>
  <si>
    <t>Regionskennung, z. B. KFZ-Kennzeichen</t>
  </si>
  <si>
    <t>Nds.</t>
  </si>
  <si>
    <t xml:space="preserve"> 5</t>
  </si>
  <si>
    <t>Ba278</t>
  </si>
  <si>
    <t>Regionaldaten Version(Status) / Software-Version (Ziel)</t>
  </si>
  <si>
    <t>150116</t>
  </si>
  <si>
    <t>131030e</t>
  </si>
  <si>
    <t xml:space="preserve"> 6</t>
  </si>
  <si>
    <t>Ba271</t>
  </si>
  <si>
    <t xml:space="preserve">Anzahl Einwohner  </t>
  </si>
  <si>
    <t xml:space="preserve"> 9</t>
  </si>
  <si>
    <t xml:space="preserve"> 10</t>
  </si>
  <si>
    <t>Ba56</t>
  </si>
  <si>
    <t>Ba63</t>
  </si>
  <si>
    <t xml:space="preserve">2. Gesamtfläche </t>
  </si>
  <si>
    <t xml:space="preserve"> 18</t>
  </si>
  <si>
    <t xml:space="preserve"> 19</t>
  </si>
  <si>
    <t>Ba222</t>
  </si>
  <si>
    <t>Ba223</t>
  </si>
  <si>
    <t>2.1 Gebäude- und Freiflächen</t>
  </si>
  <si>
    <t xml:space="preserve"> 22</t>
  </si>
  <si>
    <t xml:space="preserve"> 23</t>
  </si>
  <si>
    <t>Ba228</t>
  </si>
  <si>
    <t>Ba230</t>
  </si>
  <si>
    <t>2.1. Agrarfläche insgesamt</t>
  </si>
  <si>
    <t xml:space="preserve"> 34</t>
  </si>
  <si>
    <t xml:space="preserve"> 35</t>
  </si>
  <si>
    <t>Ba235</t>
  </si>
  <si>
    <t>Ba237</t>
  </si>
  <si>
    <t>2.2. Waldflächen</t>
  </si>
  <si>
    <t xml:space="preserve"> 72</t>
  </si>
  <si>
    <t xml:space="preserve"> 73</t>
  </si>
  <si>
    <t>Ba244</t>
  </si>
  <si>
    <t>Ba246</t>
  </si>
  <si>
    <t>Solar genutzte Dachflächen</t>
  </si>
  <si>
    <t xml:space="preserve"> 27</t>
  </si>
  <si>
    <t xml:space="preserve"> 30</t>
  </si>
  <si>
    <t xml:space="preserve">So60 </t>
  </si>
  <si>
    <t xml:space="preserve">So24 </t>
  </si>
  <si>
    <t xml:space="preserve">2.1.2 Solar genutzte Freiflächen </t>
  </si>
  <si>
    <t xml:space="preserve"> 31</t>
  </si>
  <si>
    <t xml:space="preserve"> 33</t>
  </si>
  <si>
    <t xml:space="preserve">So36 </t>
  </si>
  <si>
    <t>2.1.1 Für Getreidenabau genutzte Flächen</t>
  </si>
  <si>
    <t xml:space="preserve"> 36</t>
  </si>
  <si>
    <t xml:space="preserve"> 37</t>
  </si>
  <si>
    <t>SR24</t>
  </si>
  <si>
    <t>SR22</t>
  </si>
  <si>
    <t>2.1.2 Für Biogasgewinnung in Zielregion genutzte Anbauflächen</t>
  </si>
  <si>
    <t xml:space="preserve"> 41</t>
  </si>
  <si>
    <t xml:space="preserve"> 44</t>
  </si>
  <si>
    <t>EP23</t>
  </si>
  <si>
    <t>EP45</t>
  </si>
  <si>
    <t>2.1.3 Für Biodieselgewinnung in Zielregion genutzte Anbauflächen</t>
  </si>
  <si>
    <t xml:space="preserve"> 48</t>
  </si>
  <si>
    <t xml:space="preserve"> 51</t>
  </si>
  <si>
    <t>EP33</t>
  </si>
  <si>
    <t>2.1.5 Für Windparks genutzte Abstands-Flächen (Onshore)</t>
  </si>
  <si>
    <t xml:space="preserve"> 191</t>
  </si>
  <si>
    <t xml:space="preserve"> 59</t>
  </si>
  <si>
    <t>Wi20</t>
  </si>
  <si>
    <t>Wi40</t>
  </si>
  <si>
    <t>2.2.1 Flächen ohne forstwirtschaftliche Nutzung (z. B. Schutzflächen)</t>
  </si>
  <si>
    <t xml:space="preserve"> 76</t>
  </si>
  <si>
    <t xml:space="preserve"> 77</t>
  </si>
  <si>
    <t>Ba249</t>
  </si>
  <si>
    <t>Ba255</t>
  </si>
  <si>
    <t>2.2.2 Forstwirtschaftlich genutzte Waldflächen</t>
  </si>
  <si>
    <t xml:space="preserve"> 80</t>
  </si>
  <si>
    <t xml:space="preserve"> 81</t>
  </si>
  <si>
    <t>Ba250</t>
  </si>
  <si>
    <t>Ba256</t>
  </si>
  <si>
    <t>Energieverbraucher bei Bevölkerungsdichte nach deutschem Durchschnitt</t>
  </si>
  <si>
    <t xml:space="preserve"> 12</t>
  </si>
  <si>
    <t xml:space="preserve"> 13</t>
  </si>
  <si>
    <t>Autor der Festlegungen für die Zielregion in dieser Tabelle als Urheber des Szenarios.</t>
  </si>
  <si>
    <t>Hans-H. Schmidt-Kanefendt</t>
  </si>
  <si>
    <t xml:space="preserve"> 3</t>
  </si>
  <si>
    <t>Ba270</t>
  </si>
  <si>
    <t>1.1 Basisjahr</t>
  </si>
  <si>
    <t>2012/ 2013</t>
  </si>
  <si>
    <t>(k.A.)</t>
  </si>
  <si>
    <t xml:space="preserve"> 15</t>
  </si>
  <si>
    <t xml:space="preserve"> 17</t>
  </si>
  <si>
    <t>Ba15</t>
  </si>
  <si>
    <t>Ba9</t>
  </si>
  <si>
    <t>Nutzanteil Solarwärme 
=  Flächenanteil Solarwärmenutzung</t>
  </si>
  <si>
    <t xml:space="preserve"> 146</t>
  </si>
  <si>
    <t xml:space="preserve"> 147</t>
  </si>
  <si>
    <t xml:space="preserve">So65 </t>
  </si>
  <si>
    <t xml:space="preserve">So30 </t>
  </si>
  <si>
    <t>3. Energieertrag Solarwärme</t>
  </si>
  <si>
    <t xml:space="preserve"> 153</t>
  </si>
  <si>
    <t xml:space="preserve"> 154</t>
  </si>
  <si>
    <t xml:space="preserve">So44 </t>
  </si>
  <si>
    <t xml:space="preserve">So46 </t>
  </si>
  <si>
    <t>Nutz-Anteil Solarstrom 
= Flächenanteil für Solarstromnutzung</t>
  </si>
  <si>
    <t xml:space="preserve"> 163</t>
  </si>
  <si>
    <t xml:space="preserve"> 164</t>
  </si>
  <si>
    <t xml:space="preserve">So66 </t>
  </si>
  <si>
    <t xml:space="preserve">So31 </t>
  </si>
  <si>
    <t>3. Energieertrag Solarstrom</t>
  </si>
  <si>
    <t xml:space="preserve"> 170</t>
  </si>
  <si>
    <t xml:space="preserve"> 171</t>
  </si>
  <si>
    <t xml:space="preserve">So57 </t>
  </si>
  <si>
    <t xml:space="preserve">So56 </t>
  </si>
  <si>
    <t xml:space="preserve">1. Nutz-Anteil Windkraft </t>
  </si>
  <si>
    <t xml:space="preserve"> 174</t>
  </si>
  <si>
    <t xml:space="preserve"> 175</t>
  </si>
  <si>
    <t>Wi43</t>
  </si>
  <si>
    <t>Energieertrag Windkraft</t>
  </si>
  <si>
    <t xml:space="preserve"> 183</t>
  </si>
  <si>
    <t xml:space="preserve"> 184</t>
  </si>
  <si>
    <t>Wi51</t>
  </si>
  <si>
    <t>Wi56</t>
  </si>
  <si>
    <t>1. Nutz-Anteil Wasserkraft = Nutzungsgrad des technischen Potenzials</t>
  </si>
  <si>
    <t xml:space="preserve"> 199</t>
  </si>
  <si>
    <t xml:space="preserve"> 200</t>
  </si>
  <si>
    <t xml:space="preserve">Wa19 </t>
  </si>
  <si>
    <t xml:space="preserve">Wa20 </t>
  </si>
  <si>
    <t xml:space="preserve">2. Energieertrag Wasserkraft </t>
  </si>
  <si>
    <t xml:space="preserve"> 204</t>
  </si>
  <si>
    <t xml:space="preserve"> 205</t>
  </si>
  <si>
    <t xml:space="preserve">Wa5 </t>
  </si>
  <si>
    <t xml:space="preserve"> 225</t>
  </si>
  <si>
    <t xml:space="preserve"> 226</t>
  </si>
  <si>
    <t>Ho98</t>
  </si>
  <si>
    <t>Ho36</t>
  </si>
  <si>
    <t>Energieertrag Holz Heizungs-Wärme</t>
  </si>
  <si>
    <t xml:space="preserve"> 231</t>
  </si>
  <si>
    <t xml:space="preserve"> 232</t>
  </si>
  <si>
    <t>Ho54</t>
  </si>
  <si>
    <t>Ho55</t>
  </si>
  <si>
    <t xml:space="preserve"> 245</t>
  </si>
  <si>
    <t xml:space="preserve"> 246</t>
  </si>
  <si>
    <t>Ho97</t>
  </si>
  <si>
    <t>3.2.1 Energieertrag Strom aus Holz</t>
  </si>
  <si>
    <t xml:space="preserve"> 251</t>
  </si>
  <si>
    <t xml:space="preserve"> 252</t>
  </si>
  <si>
    <t>Ho71</t>
  </si>
  <si>
    <t>Ho81</t>
  </si>
  <si>
    <t>3.2.2 Energieertrag Nutzwärme aus Holzverstromung</t>
  </si>
  <si>
    <t xml:space="preserve"> 257</t>
  </si>
  <si>
    <t xml:space="preserve"> 258</t>
  </si>
  <si>
    <t>Ho74</t>
  </si>
  <si>
    <t>Ho82</t>
  </si>
  <si>
    <t xml:space="preserve"> 235</t>
  </si>
  <si>
    <t xml:space="preserve"> 236</t>
  </si>
  <si>
    <t>Ho99</t>
  </si>
  <si>
    <t>Energieertrag Holz Prozesswärme</t>
  </si>
  <si>
    <t xml:space="preserve"> 241</t>
  </si>
  <si>
    <t xml:space="preserve"> 242</t>
  </si>
  <si>
    <t>Ho60</t>
  </si>
  <si>
    <t>Vertretbarer Nutz-Anteil = Empfehlung für maximal energetisch nutzbaren Anteil am Strohertrag aus Getreideanbau</t>
  </si>
  <si>
    <t xml:space="preserve"> 261</t>
  </si>
  <si>
    <t>SR33</t>
  </si>
  <si>
    <t>1.1 Nutz-Anteil Stroh-Ofen (Heizung) = genutzer Anteil der jährlichen Erntemenge</t>
  </si>
  <si>
    <t xml:space="preserve"> 266</t>
  </si>
  <si>
    <t xml:space="preserve"> 267</t>
  </si>
  <si>
    <t>SR30</t>
  </si>
  <si>
    <t>1.2 Energieertrag Stroh-Ofen Heizung netto</t>
  </si>
  <si>
    <t xml:space="preserve"> 270</t>
  </si>
  <si>
    <t xml:space="preserve"> 271</t>
  </si>
  <si>
    <t>SR50</t>
  </si>
  <si>
    <t>3.1 Nutz-Anteil Stroh für Heizkraftwerke = genutzer Anteil der jährlichen Erntemenge</t>
  </si>
  <si>
    <t xml:space="preserve"> 282</t>
  </si>
  <si>
    <t xml:space="preserve"> 283</t>
  </si>
  <si>
    <t>3.2.1 Energieertrag Strom aus Stroh</t>
  </si>
  <si>
    <t xml:space="preserve"> 286</t>
  </si>
  <si>
    <t xml:space="preserve"> 287</t>
  </si>
  <si>
    <t>SR51</t>
  </si>
  <si>
    <t>3.2.2 Energieertrag Nutzwärme aus Stroh-Verstromung</t>
  </si>
  <si>
    <t xml:space="preserve"> 290</t>
  </si>
  <si>
    <t xml:space="preserve"> 291</t>
  </si>
  <si>
    <t>2.1 Nutz-Anteil Stroh-Ofen (Prozesse) = genutzer Anteil der jährlichen Erntemenge</t>
  </si>
  <si>
    <t xml:space="preserve"> 274</t>
  </si>
  <si>
    <t xml:space="preserve"> 275</t>
  </si>
  <si>
    <t>2.2 Energieertrag Stroh-Ofen (Prozesse)</t>
  </si>
  <si>
    <t xml:space="preserve"> 278</t>
  </si>
  <si>
    <t xml:space="preserve"> 279</t>
  </si>
  <si>
    <t>SR53</t>
  </si>
  <si>
    <t>1.1.1 Nutz-Anteil Biogas direkt  = Anteil an der Energiepflanzen-Anbaufläche</t>
  </si>
  <si>
    <t xml:space="preserve"> 299</t>
  </si>
  <si>
    <t xml:space="preserve"> 300</t>
  </si>
  <si>
    <t>EP80</t>
  </si>
  <si>
    <t>EP79</t>
  </si>
  <si>
    <t>1.1.2 Energieertrag Biogas direkt</t>
  </si>
  <si>
    <t xml:space="preserve"> 303</t>
  </si>
  <si>
    <t xml:space="preserve"> 304</t>
  </si>
  <si>
    <t>EP68</t>
  </si>
  <si>
    <t>1.2.1 Nutz-Anteil Biogasverstromung  = Anteil an der Energiepflanzen-Anbaufläche</t>
  </si>
  <si>
    <t xml:space="preserve"> 307</t>
  </si>
  <si>
    <t xml:space="preserve"> 308</t>
  </si>
  <si>
    <t>1.2.2.1 Energieertrag Strom aus Biogas</t>
  </si>
  <si>
    <t xml:space="preserve"> 311</t>
  </si>
  <si>
    <t xml:space="preserve"> 312</t>
  </si>
  <si>
    <t>EP72</t>
  </si>
  <si>
    <t>EP73</t>
  </si>
  <si>
    <t>1.2.2.2 Energieertrag Nutzwärme aus Biogas-Verstromung</t>
  </si>
  <si>
    <t xml:space="preserve"> 315</t>
  </si>
  <si>
    <t xml:space="preserve"> 316</t>
  </si>
  <si>
    <t>1.3.1 Nutz-Anteil Biogas komprimiert  = Anteil an der Energiepflanzen-Anbaufläche</t>
  </si>
  <si>
    <t xml:space="preserve"> 319</t>
  </si>
  <si>
    <t xml:space="preserve"> 320</t>
  </si>
  <si>
    <t>1.3.2 Energieertrag Biogas komprimiert</t>
  </si>
  <si>
    <t xml:space="preserve"> 323</t>
  </si>
  <si>
    <t xml:space="preserve"> 324</t>
  </si>
  <si>
    <t>EP76</t>
  </si>
  <si>
    <t>2.1 Nutz-Anteil Alkoholgewinnung = Anteil an der Energiepflanzen-Anbaufläche</t>
  </si>
  <si>
    <t xml:space="preserve"> 326</t>
  </si>
  <si>
    <t xml:space="preserve"> 327</t>
  </si>
  <si>
    <t xml:space="preserve">1.3.2 Energieertrag Alkoholgewinnung </t>
  </si>
  <si>
    <t xml:space="preserve"> 330</t>
  </si>
  <si>
    <t xml:space="preserve"> 331</t>
  </si>
  <si>
    <t>3.1 Nutz-Anteil für BTL-Gewinnung = Anteil an der Energiepflanzen-Anbaufläche</t>
  </si>
  <si>
    <t xml:space="preserve"> 333</t>
  </si>
  <si>
    <t xml:space="preserve"> 334</t>
  </si>
  <si>
    <t>3.2 Energieertrag Biomasse-Verflüssigung</t>
  </si>
  <si>
    <t xml:space="preserve"> 337</t>
  </si>
  <si>
    <t xml:space="preserve"> 338</t>
  </si>
  <si>
    <t>1.1 Nutz-Anteil Pflanzenöl direkt  = Anteil an der Ölpflanzen-Anbaufläche</t>
  </si>
  <si>
    <t xml:space="preserve"> 349</t>
  </si>
  <si>
    <t xml:space="preserve"> 350</t>
  </si>
  <si>
    <t>EP101</t>
  </si>
  <si>
    <t>1.2 Energieertrag Pflanzenöl direkt</t>
  </si>
  <si>
    <t xml:space="preserve"> 353</t>
  </si>
  <si>
    <t xml:space="preserve"> 354</t>
  </si>
  <si>
    <t>EP92</t>
  </si>
  <si>
    <t>1.2.1 Nutz-Anteil Pflanzenöl-Verstromung  = Anteil an der Ölpflanzen-Anbaufläche</t>
  </si>
  <si>
    <t xml:space="preserve"> 359</t>
  </si>
  <si>
    <t xml:space="preserve"> 360</t>
  </si>
  <si>
    <t>1.2.2.1 Energieertrag Strom aus Pflanzenöl</t>
  </si>
  <si>
    <t xml:space="preserve"> 363</t>
  </si>
  <si>
    <t xml:space="preserve"> 364</t>
  </si>
  <si>
    <t>EP95</t>
  </si>
  <si>
    <t>1.2.2.2 Energieertrag Nutzwärme aus PFlanzenöl-Verstromung</t>
  </si>
  <si>
    <t xml:space="preserve"> 367</t>
  </si>
  <si>
    <t xml:space="preserve"> 368</t>
  </si>
  <si>
    <t>EP96</t>
  </si>
  <si>
    <t>1. Nutz-Anteil Umgebungswärme-Gewinnung = Anteil der beanspruchten Freifläche</t>
  </si>
  <si>
    <t xml:space="preserve"> 373</t>
  </si>
  <si>
    <t xml:space="preserve"> 374</t>
  </si>
  <si>
    <t>UG28</t>
  </si>
  <si>
    <t>UG31</t>
  </si>
  <si>
    <t>2. Energieertrag Umgebungswärme</t>
  </si>
  <si>
    <t xml:space="preserve"> 385</t>
  </si>
  <si>
    <t xml:space="preserve"> 386</t>
  </si>
  <si>
    <t>UG40</t>
  </si>
  <si>
    <t>UG44</t>
  </si>
  <si>
    <t>3. Energieertrag Strom für Wärmepumpen-Antrieb</t>
  </si>
  <si>
    <t xml:space="preserve"> 389</t>
  </si>
  <si>
    <t xml:space="preserve"> 390</t>
  </si>
  <si>
    <t>1.1 Nutzanteil TG für reine Wärmegewinnung</t>
  </si>
  <si>
    <t xml:space="preserve"> 400</t>
  </si>
  <si>
    <t xml:space="preserve"> 401</t>
  </si>
  <si>
    <t>1.2 Energieertrag bei Wärmenutzung der Tiefen-Geothermie</t>
  </si>
  <si>
    <t xml:space="preserve"> 404</t>
  </si>
  <si>
    <t xml:space="preserve"> 405</t>
  </si>
  <si>
    <t>UG93</t>
  </si>
  <si>
    <t>2.1 Nutzanteil TG Stromgewinnung mit Abwärmenutzung</t>
  </si>
  <si>
    <t xml:space="preserve"> 406</t>
  </si>
  <si>
    <t xml:space="preserve"> 407</t>
  </si>
  <si>
    <t>2.2.1 Energieertrag Strom aus Tiefen-Geothermie</t>
  </si>
  <si>
    <t xml:space="preserve"> 410</t>
  </si>
  <si>
    <t xml:space="preserve"> 411</t>
  </si>
  <si>
    <t>UG98</t>
  </si>
  <si>
    <t>2.2.2 Energieertrag Abwärme aus Verstromung von Tiefen-Geothermie</t>
  </si>
  <si>
    <t xml:space="preserve"> 414</t>
  </si>
  <si>
    <t xml:space="preserve"> 415</t>
  </si>
  <si>
    <t>UG99</t>
  </si>
  <si>
    <t>Nutzanteil: Zum Ausgleich der Produktionsschwankungen erforderlicher Anteil zu speichernden Stroms an der Stromproduktion</t>
  </si>
  <si>
    <t xml:space="preserve"> 420</t>
  </si>
  <si>
    <t xml:space="preserve"> 421</t>
  </si>
  <si>
    <t>SW52</t>
  </si>
  <si>
    <t>SW60</t>
  </si>
  <si>
    <t xml:space="preserve">Wirkungsgrad der Stromspeicherung durchschnittlich </t>
  </si>
  <si>
    <t xml:space="preserve"> 424</t>
  </si>
  <si>
    <t xml:space="preserve"> 425</t>
  </si>
  <si>
    <t>SW66</t>
  </si>
  <si>
    <t>Wirkungsgrad der Nutzbaren Abwärme bei der Stromspeicherung</t>
  </si>
  <si>
    <t xml:space="preserve"> 428</t>
  </si>
  <si>
    <t xml:space="preserve"> 429</t>
  </si>
  <si>
    <t>SW75</t>
  </si>
  <si>
    <t>Nutzanteil: Für Fahrzeugbatterien genutzter Anteil des Stroms aus EE</t>
  </si>
  <si>
    <t xml:space="preserve"> 434</t>
  </si>
  <si>
    <t xml:space="preserve"> 435</t>
  </si>
  <si>
    <t>SW85</t>
  </si>
  <si>
    <t>SW88</t>
  </si>
  <si>
    <t>System-Wirkungsgrad Elektrofahrzeuge relativ zu Akkufahrzeugen</t>
  </si>
  <si>
    <t xml:space="preserve"> 438</t>
  </si>
  <si>
    <t xml:space="preserve"> 439</t>
  </si>
  <si>
    <t>SW93</t>
  </si>
  <si>
    <t>Nutzanteil: Für Prozesswärme zusätzlich zu heute genutzter Anteil des Stroms aus EE</t>
  </si>
  <si>
    <t xml:space="preserve"> 444</t>
  </si>
  <si>
    <t xml:space="preserve"> 445</t>
  </si>
  <si>
    <t>SW115</t>
  </si>
  <si>
    <t>SW120</t>
  </si>
  <si>
    <t>Wirkungsgrad für die Wandlung von Strom in Prozesswärme:</t>
  </si>
  <si>
    <t xml:space="preserve"> 448</t>
  </si>
  <si>
    <t xml:space="preserve"> 449</t>
  </si>
  <si>
    <t>SW111</t>
  </si>
  <si>
    <t>Nutzanteil: Verminderung des Strombedarfs gegenüber heute durch Ersatz elektr. Raumheizungen und Warmwasserbereiter</t>
  </si>
  <si>
    <t xml:space="preserve"> 454</t>
  </si>
  <si>
    <t xml:space="preserve"> 455</t>
  </si>
  <si>
    <t>SW141</t>
  </si>
  <si>
    <t>SW145</t>
  </si>
  <si>
    <t>Wirkungsgrad der Ladung / Entladung von Fahrzeugbatterien (Strom - Strom)</t>
  </si>
  <si>
    <t xml:space="preserve"> 458</t>
  </si>
  <si>
    <t xml:space="preserve"> 459</t>
  </si>
  <si>
    <t>SW132</t>
  </si>
  <si>
    <t xml:space="preserve">Für die Erschließung des Offshore-Potenzials erforderliche Onshore-Äquivalenz-Fläche </t>
  </si>
  <si>
    <t xml:space="preserve"> 60</t>
  </si>
  <si>
    <t xml:space="preserve"> 70</t>
  </si>
  <si>
    <t>Wi61</t>
  </si>
  <si>
    <t>Wi70</t>
  </si>
  <si>
    <t>NT-Wärmeanteil Haushalte</t>
  </si>
  <si>
    <t>NT-Wärmeanteil Haushalte &amp; GHD</t>
  </si>
  <si>
    <t>NT-Wärmeanteil Haushalte &amp; GHD &amp; Industrie</t>
  </si>
  <si>
    <t>NT-Wärmeanteil Haushalte &amp; GHD &amp; Industrie &amp; Verkehr</t>
  </si>
  <si>
    <t>Prozess-Wärmeanteil Haushalte</t>
  </si>
  <si>
    <t>Prozess-Wärmeanteil Haushalte &amp; GHD</t>
  </si>
  <si>
    <t>Prozess-Wärmeanteil Haushalte &amp; GHD &amp; Industrie</t>
  </si>
  <si>
    <t>Prozess-Wärmeanteil Haushalte &amp; GHD &amp; Industrie &amp; Verkehr</t>
  </si>
  <si>
    <t xml:space="preserve">Stromverbrauch als Maßstab für Deckungsgrad  </t>
  </si>
  <si>
    <t xml:space="preserve"> 88</t>
  </si>
  <si>
    <t xml:space="preserve">Niedertemperatur-Wärme als Maßstab für Deckungsgrad </t>
  </si>
  <si>
    <t xml:space="preserve"> 89</t>
  </si>
  <si>
    <t>Prozesswärme als Maßstab für Deckungsgrad</t>
  </si>
  <si>
    <t xml:space="preserve"> 90</t>
  </si>
  <si>
    <t xml:space="preserve">Antriebsenergie (Verkehr) Maßstab für Deckungsgrad </t>
  </si>
  <si>
    <t xml:space="preserve"> 91</t>
  </si>
  <si>
    <t>Anteil Industrie+Gewerbe am Stromverbrauch</t>
  </si>
  <si>
    <t xml:space="preserve"> 92</t>
  </si>
  <si>
    <t>Ba80</t>
  </si>
  <si>
    <t>Anwendungs-Effizienz im Strombereich: Energieeinsatz gegenüber heute</t>
  </si>
  <si>
    <t xml:space="preserve"> 94</t>
  </si>
  <si>
    <t>Nutzungsdauer/Nutzungsgrad/Suffizienz: Stromeinsatz Güterbereich gegenüber heute</t>
  </si>
  <si>
    <t xml:space="preserve"> 96</t>
  </si>
  <si>
    <t>Ba78</t>
  </si>
  <si>
    <t>spez. Heizenergiebedarf Gebäudebestand heute</t>
  </si>
  <si>
    <t xml:space="preserve"> 97</t>
  </si>
  <si>
    <t>Ba87</t>
  </si>
  <si>
    <t>Anteil Raumwärme an Niedertemperaturwärme heute</t>
  </si>
  <si>
    <t xml:space="preserve"> 98</t>
  </si>
  <si>
    <t>Ba88</t>
  </si>
  <si>
    <t>spez. Heizenergiebedarf Neubauten</t>
  </si>
  <si>
    <t xml:space="preserve"> 100</t>
  </si>
  <si>
    <t>spez. Warmwasserbedarf Neubauten</t>
  </si>
  <si>
    <t xml:space="preserve"> 102</t>
  </si>
  <si>
    <t>Ba98</t>
  </si>
  <si>
    <t>spez. Heizenergiebedarf energet.sanierte Bestandsgebäude</t>
  </si>
  <si>
    <t xml:space="preserve"> 104</t>
  </si>
  <si>
    <t>Ba104</t>
  </si>
  <si>
    <t>Beheizte Flächen relativ zu heute</t>
  </si>
  <si>
    <t xml:space="preserve"> 106</t>
  </si>
  <si>
    <t>Ba113</t>
  </si>
  <si>
    <t>Jährliche energetische Sanierungsrate</t>
  </si>
  <si>
    <t xml:space="preserve"> 108</t>
  </si>
  <si>
    <t>Ba123</t>
  </si>
  <si>
    <t>Jährl. Neubaurate zum Ersatz von Bestandsgebäuden</t>
  </si>
  <si>
    <t xml:space="preserve"> 110</t>
  </si>
  <si>
    <t>Ba124</t>
  </si>
  <si>
    <t>Anteil Industrie+Gewerbe am Prozesswärmeverbrauch heute</t>
  </si>
  <si>
    <t xml:space="preserve"> 115</t>
  </si>
  <si>
    <t>Ba158</t>
  </si>
  <si>
    <t>Anwendungs-Effizienz Prozesswärme: Energieeinsatz gegenüber heute</t>
  </si>
  <si>
    <t xml:space="preserve"> 117</t>
  </si>
  <si>
    <t>Ba147</t>
  </si>
  <si>
    <t>Anteil Diesel-/Otto-Kraftst.im Straßen-/Schienenverkehr am Endenergieverbrauch im deutschen Verkehr heute</t>
  </si>
  <si>
    <t xml:space="preserve"> 118</t>
  </si>
  <si>
    <t>Ba163</t>
  </si>
  <si>
    <t>Anteil Elektrotraktion im Straßen-/Schienenverkehr am Endenergieverbrauch im deutschen Verkehr heute</t>
  </si>
  <si>
    <t xml:space="preserve"> 119</t>
  </si>
  <si>
    <t>Ba165</t>
  </si>
  <si>
    <t xml:space="preserve">Wirkungsgrad Kraftstoff-betriebener Fahrzeuge </t>
  </si>
  <si>
    <t xml:space="preserve"> 120</t>
  </si>
  <si>
    <t xml:space="preserve"> 122</t>
  </si>
  <si>
    <t>Ba177</t>
  </si>
  <si>
    <t>Ba181</t>
  </si>
  <si>
    <t>Wirkungsgrad Elektro-Fahrzeuge</t>
  </si>
  <si>
    <t xml:space="preserve"> 124</t>
  </si>
  <si>
    <t>Ba174</t>
  </si>
  <si>
    <t>Verkehrsleistung Straße/Schiene gegenüber heute</t>
  </si>
  <si>
    <t xml:space="preserve"> 126</t>
  </si>
  <si>
    <t>Ba189</t>
  </si>
  <si>
    <t xml:space="preserve">Anteil Elektrotraktion an Verkehrsleistung im Straßen-/Schienenverkehr </t>
  </si>
  <si>
    <t xml:space="preserve"> 127</t>
  </si>
  <si>
    <t xml:space="preserve"> 129</t>
  </si>
  <si>
    <t>Ba191</t>
  </si>
  <si>
    <t>Ba194</t>
  </si>
  <si>
    <t>spez. Energieverbrauch in Luftverkehr gegenüber heute</t>
  </si>
  <si>
    <t xml:space="preserve"> 131</t>
  </si>
  <si>
    <t>Ba205</t>
  </si>
  <si>
    <t>Verkehrsleistung in Luftverkehr gegenüber heute</t>
  </si>
  <si>
    <t xml:space="preserve"> 133</t>
  </si>
  <si>
    <t>Ba209</t>
  </si>
  <si>
    <t>Strom aus erneuerbaren Energien EnergyMap</t>
  </si>
  <si>
    <t>Ba266</t>
  </si>
  <si>
    <t>Durchschnittlicher Jahresnutzungsgrad über alle Heizungsanlagen</t>
  </si>
  <si>
    <t xml:space="preserve"> 112</t>
  </si>
  <si>
    <t>Ba142</t>
  </si>
  <si>
    <t>Ba134</t>
  </si>
  <si>
    <t>Durchschnittlicher Jahresnutzungsgrad der verlustbehafteten Heizungsanlagen</t>
  </si>
  <si>
    <t xml:space="preserve"> 114</t>
  </si>
  <si>
    <t>Ba146</t>
  </si>
  <si>
    <t>Maßstab-Stufe für Deckungsbeiträge, Mindest-Empfehlung</t>
  </si>
  <si>
    <t xml:space="preserve">Zielregion </t>
  </si>
  <si>
    <t>Kennung Zielregion</t>
  </si>
  <si>
    <t>Regionaldaten-Version</t>
  </si>
  <si>
    <t>Einwohnerzahl</t>
  </si>
  <si>
    <t>Gebäude- und Freiflächen</t>
  </si>
  <si>
    <t>Landwirtschaftsflächen</t>
  </si>
  <si>
    <t>Waldflächen</t>
  </si>
  <si>
    <t>Anteil Solar-geeigneter Dachflächen an Gebäude- und Freiflächen, 
   Beispiel Landkreis Konstanz</t>
  </si>
  <si>
    <t xml:space="preserve">So23 </t>
  </si>
  <si>
    <t>Für Getreideanbau genutzte Flächen</t>
  </si>
  <si>
    <t>Waldanteil ohne Forstwirtsch. Nutzung</t>
  </si>
  <si>
    <t>Forstwirtschaftlich genutzte Waldanteil</t>
  </si>
  <si>
    <t>Bevölkerungsdichte Deutschland</t>
  </si>
  <si>
    <t>Ba37</t>
  </si>
  <si>
    <t>Autor</t>
  </si>
  <si>
    <t>2010/ 2011</t>
  </si>
  <si>
    <t>Solarstrom-Ertrag in Referenzregion Landkreis Konstanz als Bezugsmaß für die Strahlungsintensität</t>
  </si>
  <si>
    <t xml:space="preserve">So13 </t>
  </si>
  <si>
    <t>Beispielansatz für Flächenanteil Wärmegewinnung in Potenzialstudie für den Landkreis Konstanz</t>
  </si>
  <si>
    <t>Energieertrag Solarwärme in Referenzregion Landkreis Konstanz</t>
  </si>
  <si>
    <t>Sonne - Basisdaten für 100%-Szenarien</t>
  </si>
  <si>
    <t>110526</t>
  </si>
  <si>
    <t xml:space="preserve">So3 </t>
  </si>
  <si>
    <t>Beispielansatz für Flächenanteil Stromgewinnung in Potenzialstudie für den Landkreis Konstanz</t>
  </si>
  <si>
    <t>Energieertrag Photovoltaik in Referenzregion Landkreis Konstanz</t>
  </si>
  <si>
    <t>Wind - Basisdaten für 100%-Szenarien</t>
  </si>
  <si>
    <t>Wi5</t>
  </si>
  <si>
    <t>Windgeschwindigkeit im überwiegenden Teil der Referenzregion Landkreis Nienburg in 120m Höhe</t>
  </si>
  <si>
    <t>Wi12</t>
  </si>
  <si>
    <t>Nutzanteil Windstrom auf Windparkflächen (wegen fehlender Nutzungskonkurrenz immer 100%).</t>
  </si>
  <si>
    <t>Energieertrag von Windparks in Referenzregion Landkreis Nienburg bezogen auf einen Hektar Vorrangfläche</t>
  </si>
  <si>
    <t>Ansatz für Anteil solar-geeigneter Dachflächen an Gebäude- &amp; Freiflächen</t>
  </si>
  <si>
    <t>Wasser - Basisdaten für 100%-Szenarien</t>
  </si>
  <si>
    <t>Heutiger Ausbaugrad der Wasserkraft in den Bundesländern als Anteil vom technischen Potenzial (Nutzanteil)</t>
  </si>
  <si>
    <t>(extra Tabelle)</t>
  </si>
  <si>
    <t>Technisches Wasserkraft-Potenzial der Bundesländer: Durchsschnittlicher jährlicher Energieertrag pro Hektar Landesfläche</t>
  </si>
  <si>
    <t>Holz - Basisdaten für 100%-Szenarien</t>
  </si>
  <si>
    <t>130306</t>
  </si>
  <si>
    <t>Ho5</t>
  </si>
  <si>
    <t>Vertretbarer Nutz-Anteil = Empfehlung für energetisch nutzbaren Anteil am Holzzuwachs in deutschen Wäldern</t>
  </si>
  <si>
    <t>Nutzanteil Heizungs-Wärme am Holzzuwachs in deutschen Wäldern</t>
  </si>
  <si>
    <t>Energieertrag Holz (brutto) Deutschland</t>
  </si>
  <si>
    <t>Massezuwachs des Vorrats in deutschen Wäldern durchschnittlich</t>
  </si>
  <si>
    <t>Ho18</t>
  </si>
  <si>
    <t>Nutzanteil Holzverstromung am Holzzuwachs in deutschen Wäldern</t>
  </si>
  <si>
    <t>Energieertrag Holzverstromung Deutschland</t>
  </si>
  <si>
    <t>Energieertrag an genutzer Abwärme aus Holzverstromung Deutschland</t>
  </si>
  <si>
    <t>Nutzanteil Prozess-Wärme am Holzzuwachs in deutschen Wäldern</t>
  </si>
  <si>
    <t>Energieertrag Holzbrennstoffe Prozess-Wärme Deutschland</t>
  </si>
  <si>
    <t>Stroh &amp; Reststoffe - Basisdaten für 100%-Szenarien</t>
  </si>
  <si>
    <t>110413</t>
  </si>
  <si>
    <t>SR5</t>
  </si>
  <si>
    <t>Nutz-Anteil Wärmeproduktion am jährlichen Strohertrag in Deutschland</t>
  </si>
  <si>
    <t>Energieertrag Stroh Ofen (Prozesswärme) Deutschland</t>
  </si>
  <si>
    <t>Nutz-Anteil Stromproduktion am jährlichen Strohertrag in Deutschland</t>
  </si>
  <si>
    <t>Energieertrag Stroh Kraftwerk (Strom) Deutschland</t>
  </si>
  <si>
    <t>Energieertrag Stroh Kraftwerk (Abwärmenutzung) Deutschland</t>
  </si>
  <si>
    <t>SR52</t>
  </si>
  <si>
    <t>Nutz-Anteil Kraftstoffgewinnung aus Stroh am jährlichen Strohertrag in Deutschland</t>
  </si>
  <si>
    <t>Energieertrag Stroh Pyrolyse (Treibstoff) Deutschland</t>
  </si>
  <si>
    <t xml:space="preserve">Summe der Nutz-Anteile Energie-&amp;Ölpflanzen (muss bei 100% liegen). </t>
  </si>
  <si>
    <t>Energie- &amp; Ölpflanzen - Basisdaten für 100%-Szenarien</t>
  </si>
  <si>
    <t>EP5</t>
  </si>
  <si>
    <t>Nutz-Anteil direkt eingespeisten Biogases für Prozesswärme am jährlichen Gesamtaufkommen in Deutschland</t>
  </si>
  <si>
    <t>Energieertrag Biogas Ofen (Prozesswärme) Deutschland</t>
  </si>
  <si>
    <t>Nutz-Anteil verstromten Biogases am jährlichen Gesamtaufkommen in Deutschland</t>
  </si>
  <si>
    <t>Energieertrag Biogas Kraftwerk (Strom) Deutschland</t>
  </si>
  <si>
    <t>Energieertrag Biogas Kraftwerk (Abwärmenutzung) Deutschland</t>
  </si>
  <si>
    <t>Nutz-Anteil Biogas als Kraftstoff am jährlichen Gesamtaufkommen in Deutschland</t>
  </si>
  <si>
    <t>Energieertrag Biogas komprimiert (Treibstoff) Deutschland</t>
  </si>
  <si>
    <t>Für Silomais-Anbau genutzte Flächen</t>
  </si>
  <si>
    <t>EP25</t>
  </si>
  <si>
    <t>Für Ethanol z. Zt. keine Vorgabewerte verfügbar.</t>
  </si>
  <si>
    <t>EP10</t>
  </si>
  <si>
    <t>Für BTL z. Zt. keine Vorgabewerte verfügbar.</t>
  </si>
  <si>
    <t>Für Winterraps-Anbau genutzte Flächen</t>
  </si>
  <si>
    <t>EP35</t>
  </si>
  <si>
    <t xml:space="preserve">Summe der Nutz-Anteile bei Ölpflanzen (muss künftig bei 100% liegen). </t>
  </si>
  <si>
    <t>EP99</t>
  </si>
  <si>
    <t>Nutz-Anteil direkt (Treibstoff) am jährlichen Pflanzenöl-Gesamtaufkommen in Deutschland</t>
  </si>
  <si>
    <t>Energieertrag Pflanzenöl direkt (Treibstoff) Deutschland</t>
  </si>
  <si>
    <t>Nutz-Anteil verstromten Pflanzenöls am jährlichen Gesamtaufkommen in Deutschland</t>
  </si>
  <si>
    <t>Energieertrag Pflanzenöl Kraftwerk (Strom) Deutschland</t>
  </si>
  <si>
    <t>Energieertrag Pflanzenöl Kraftwerk (Abwärmenutzung) Deutschland</t>
  </si>
  <si>
    <t>Umgebungswärme &amp; Geothermie - 
Basisdaten für 100%-Szenarien</t>
  </si>
  <si>
    <t>110301</t>
  </si>
  <si>
    <t>UG5</t>
  </si>
  <si>
    <t>Vertretbarer Nutzanteil = Empfehlung für maximalen Anteil der Umgebungswärme-Gewinnung an Gebäude- und Freiflächen</t>
  </si>
  <si>
    <t>Nutz-Anteil Umweltwärme = Anteil der tatsächlich beanspruchten Gebäude- und Freiflächen in Deutschland</t>
  </si>
  <si>
    <t>Energieertrag Umgebungswärme-Gewinnung im deutschen Durchschnitt (Strombetriebene Erdwärmepumpen)</t>
  </si>
  <si>
    <t>Ertrag Strom (negativ, da Aufwand für Wärmepumpen-Antrieb).</t>
  </si>
  <si>
    <t>Maximaler Nutzanteil = Gesamtfläche der Region (theoretisch)</t>
  </si>
  <si>
    <t>UG85</t>
  </si>
  <si>
    <t>Nutz-Anteil Geothermie = Anteil der tatsächlich beanspruchten Fläche</t>
  </si>
  <si>
    <t>UG81</t>
  </si>
  <si>
    <t>1. Energieertrag Tiefen-Geothermie regenerativ, reine Wärmenutzung in deutschen Regionen.</t>
  </si>
  <si>
    <t>2.1 Energieertrag Tiefen-Geothermie regenerativ, Stromgewinnung in deutschen Regionen.</t>
  </si>
  <si>
    <t>2.2 Energieertrag Tiefen-Geothermie regenerativ, Abwärmentuzung bei Stromgewinnung in deutschen Regionen.</t>
  </si>
  <si>
    <t>Ansatz für solar genutzte Freiflächen bezogen auf Gebäude- &amp; Freiflächen</t>
  </si>
  <si>
    <t>Bereits solar genutzte Flächen an Gebäude- &amp; Freiflächen</t>
  </si>
  <si>
    <t>Anteil bereits solar genutzter Flächen an Gebäude- &amp; Freiflächen in Deutschland</t>
  </si>
  <si>
    <t xml:space="preserve">So67 </t>
  </si>
  <si>
    <t>Flächenanteil Wärmegewinnung an gesamter Solarnutzung auf deutschen Dächern</t>
  </si>
  <si>
    <t>Flächenanteil Stromgewinnung an gesamter Solarnutzung auf deutschen Dächern</t>
  </si>
  <si>
    <t>Jahres-Volllaststunden im Anlagenmittel in der Referenzregion Landkreis Nienburg</t>
  </si>
  <si>
    <t>Wi22</t>
  </si>
  <si>
    <t xml:space="preserve">Anteil der Windparkflächen in 
Deutschland an der Gesamtfläche </t>
  </si>
  <si>
    <t>Wi27</t>
  </si>
  <si>
    <t>Anteil Energiepflanzenanbau (überwiegend Silomais) für Biogasgewinnung an Landwirtschaftsfläche in Deutschland</t>
  </si>
  <si>
    <t>Für Biogasgewinnung beanspruchter Flächenanteil an der gesamten Silomais-Anbaufläche in Deutschland</t>
  </si>
  <si>
    <t>Für Biodiesel (für Verkehr und Strom) beanspruchter Anteil an Winterraps-Anbaufläche in Deutschland</t>
  </si>
  <si>
    <t>Anteil Ölpflanzenanbau (überwiegend Winterraps) für Biodiesel an Landwirtschaftsfläche in Deutschland</t>
  </si>
  <si>
    <t>Beanspruchte Anbaufläche pro Einwohner für den aus Pflanzenöl erzeugten Strom (bei Ölpflanzenanbau komplett in Deutschland)</t>
  </si>
  <si>
    <t>EP102</t>
  </si>
  <si>
    <t>Beanspruchte Anbaufläche pro Einwohner für den verbrauchten Biodiesel (bei Ölpflanzenanbau komplett in Deutschland)</t>
  </si>
  <si>
    <t>Strom-Wandlung - Basisdaten für 100%-Szenarien</t>
  </si>
  <si>
    <t>120802</t>
  </si>
  <si>
    <t>SW5</t>
  </si>
  <si>
    <t>Anteil Ladestrom für Langzeit-Stromspeicher (bezogen auf regenrativ erzeugte Strommenge).</t>
  </si>
  <si>
    <t>Wirkungsgrad für Langzeit-Stromspeicherung im Mittel</t>
  </si>
  <si>
    <t>Nutzungsgrad Abwärme bei Langzeit-Stromspeicherung im Mittel</t>
  </si>
  <si>
    <t>Anteil Ladestrom für Akku-betriebene Fahrzeuge (bezogen auf regenrativ erzeugte Strommenge).</t>
  </si>
  <si>
    <t>Wirkungsgrad Ladung und Entladung von Akkumulatoren in Elektrofahrzeugen.</t>
  </si>
  <si>
    <t>Anteil Strom zur Substitution bisher eingesetzter Brennstoffe (bezogen auf regenerativ erzeugte Strommenge).</t>
  </si>
  <si>
    <t>Wirkungsgrad der Wandlung von Strom in Prozesswärme.</t>
  </si>
  <si>
    <t>Anteil Strom für Niedertemperatur-Wärme (bezogen auf konvent. Stromverbrauch).</t>
  </si>
  <si>
    <t>Wirkungsgrad der solarthermischen Bereitstellung relativ zur elektrischen Erzeugung.</t>
  </si>
  <si>
    <t>Offshore-Windpark-Flächen (Onshore-Äquivalent)</t>
  </si>
  <si>
    <t>Dichte Laubholz durchschnittlich</t>
  </si>
  <si>
    <t>Ho16</t>
  </si>
  <si>
    <t>Dichte Nadelholz durchschnittlich</t>
  </si>
  <si>
    <t>Ho17</t>
  </si>
  <si>
    <t>Massenzuwachs von Holz im Referenz-Bundesland relativ zu deutschen Wäldern</t>
  </si>
  <si>
    <t>Ho23</t>
  </si>
  <si>
    <t>Hilfsmodul 'Basisdaten'</t>
  </si>
  <si>
    <t>Basisdaten</t>
  </si>
  <si>
    <t>Basisdaten allgemein für 100%-Szenarien</t>
  </si>
  <si>
    <t>Ba5</t>
  </si>
  <si>
    <t>Einwohnerzahl Deutschland</t>
  </si>
  <si>
    <t>Anteil der Windparkflächen an Bodenfläche der Region (Orientierungswert LK Nienburg)</t>
  </si>
  <si>
    <t>Jahresenergieproduktion</t>
  </si>
  <si>
    <t>Installierte Gesamtleistung (falls Jahresenergieproduktion nicht verfügbar)</t>
  </si>
  <si>
    <t>Wi21</t>
  </si>
  <si>
    <t>Windgeschwindigkeit im überwiegenden Teil der Zielregion in 120m Höhe</t>
  </si>
  <si>
    <t>Wi14</t>
  </si>
  <si>
    <t>Umrechnung der Offshore-Fläche in Onshore-Äquivalentfläche</t>
  </si>
  <si>
    <t>Wi64</t>
  </si>
  <si>
    <t>Offshore-Angebots-Potenzial in deutschen Gewässern (Vorlage)</t>
  </si>
  <si>
    <t>Wi69</t>
  </si>
  <si>
    <t>Volllaststundenzahl Offshore (Vorlage)</t>
  </si>
  <si>
    <t>Wi67</t>
  </si>
  <si>
    <t>Der Zielregion zustehender Anteil am Offshore-Potenzial</t>
  </si>
  <si>
    <t>Verknüpfungen bereinigt.Region.xls und Basisdaten.xls gelöscht</t>
  </si>
  <si>
    <t>200803.1313</t>
  </si>
  <si>
    <t>200803.1314</t>
  </si>
  <si>
    <t>Verknüpfung D_Vorlage und _S Niedersachsen bereinigt (weitere Verknüpfung zu _S Niedersachsen ließ sich nicht bereinigen).</t>
  </si>
  <si>
    <t>200803.1325</t>
  </si>
  <si>
    <t>200805.1249</t>
  </si>
  <si>
    <t>9264:Neue Quelle aufgenommen "Plastik-Atlas".</t>
  </si>
  <si>
    <t>HEINRICH BÖLL STIFTUNG, BUND FÜR UMWELT UND NATURSCHUTZ DEUTSCHLAND (BUND), Lili Fuhr, et al. PLASTIKATLAS - Daten und Fakten über eine Welt voller Kunststoff 2019. 4. Auflage Februar 2020.</t>
  </si>
  <si>
    <t xml:space="preserve">https://www.boell.de/de/2019/05/14/plastikatlas?dimension1=ds_plastikatlas </t>
  </si>
  <si>
    <t>200805.1300</t>
  </si>
  <si>
    <t>200818.2119</t>
  </si>
  <si>
    <t>D.1.979 Schreibfehler korrigiert.</t>
  </si>
  <si>
    <t>Wasserstofferzeugung (Ergänzung zur Grundstoffsynthese)</t>
  </si>
  <si>
    <t>200818.2120</t>
  </si>
  <si>
    <t>100prosim (D.xlsx, 200818.2120_hsk)</t>
  </si>
  <si>
    <t xml:space="preserve"> Verbrauchsdaten</t>
  </si>
  <si>
    <t>Schmidt-Kanefendt Hans-Heinrich. Zukunft Kunststoff. 11.08.2011. Letzter Zugriff am 22.08.2020.</t>
  </si>
  <si>
    <t xml:space="preserve">https://scilogs.spektrum.de/klimalounge/wie-viel-co2-kann-deutschland-noch-ausstossen/ </t>
  </si>
  <si>
    <t>RAHMSTORF, STEFAN. Wie viel CO2 kann Deutschland noch ausstoßen? 28.03.2019 online. Letzter Zugriff am 22.08.2020.</t>
  </si>
  <si>
    <t>Grafik</t>
  </si>
  <si>
    <t>200822</t>
  </si>
  <si>
    <t>Ergebnisse</t>
  </si>
  <si>
    <t xml:space="preserve">https://wattweg.net/media/files/zukunft-kunststoff-200811.pdf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</si>
</sst>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_-* #,##0.00&quot; €&quot;_-;\-* #,##0.00&quot; €&quot;_-;_-* \-??&quot; €&quot;_-;_-@_-"/>
    <numFmt numFmtId="166" formatCode="0.0"/>
    <numFmt numFmtId="167" formatCode="0.0%"/>
    <numFmt numFmtId="168" formatCode="yymmdd"/>
    <numFmt numFmtId="169" formatCode="#,##0.000"/>
    <numFmt numFmtId="170" formatCode="0.0000"/>
  </numFmts>
  <fonts count="195">
    <font>
      <sz val="11"/>
      <color theme="1"/>
      <name val="Calibri"/>
      <family val="2"/>
      <scheme val="minor"/>
    </font>
    <font>
      <sz val="11"/>
      <color theme="1"/>
      <name val="Calibri"/>
      <family val="2"/>
      <scheme val="minor"/>
    </font>
    <font>
      <b/>
      <sz val="11"/>
      <color theme="1"/>
      <name val="Calibri"/>
      <family val="2"/>
      <scheme val="minor"/>
    </font>
    <font>
      <sz val="8"/>
      <color theme="6" tint="-0.499984740745262"/>
      <name val="Arial"/>
      <family val="2"/>
    </font>
    <font>
      <sz val="8"/>
      <color indexed="55"/>
      <name val="Arial"/>
      <family val="2"/>
    </font>
    <font>
      <b/>
      <sz val="14"/>
      <color theme="1"/>
      <name val="Calibri"/>
      <family val="2"/>
      <scheme val="minor"/>
    </font>
    <font>
      <sz val="10"/>
      <color theme="1"/>
      <name val="Calibri"/>
      <family val="2"/>
      <scheme val="minor"/>
    </font>
    <font>
      <b/>
      <sz val="10"/>
      <color theme="1"/>
      <name val="Calibri"/>
      <family val="2"/>
      <scheme val="minor"/>
    </font>
    <font>
      <sz val="10"/>
      <color theme="1"/>
      <name val="Arial Narrow"/>
      <family val="2"/>
    </font>
    <font>
      <sz val="9"/>
      <color theme="1"/>
      <name val="Calibri"/>
      <family val="2"/>
      <scheme val="minor"/>
    </font>
    <font>
      <sz val="9"/>
      <name val="Arial"/>
      <family val="2"/>
    </font>
    <font>
      <sz val="9"/>
      <color theme="1"/>
      <name val="Arial"/>
      <family val="2"/>
    </font>
    <font>
      <sz val="8"/>
      <color theme="1"/>
      <name val="Calibri"/>
      <family val="2"/>
      <scheme val="minor"/>
    </font>
    <font>
      <sz val="11"/>
      <color theme="1"/>
      <name val="Arial"/>
      <family val="2"/>
    </font>
    <font>
      <sz val="9"/>
      <color theme="1" tint="0.499984740745262"/>
      <name val="Calibri"/>
      <family val="2"/>
      <scheme val="minor"/>
    </font>
    <font>
      <b/>
      <sz val="9"/>
      <color theme="1"/>
      <name val="Arial"/>
      <family val="2"/>
    </font>
    <font>
      <sz val="9"/>
      <color indexed="81"/>
      <name val="Tahoma"/>
      <family val="2"/>
    </font>
    <font>
      <b/>
      <sz val="9"/>
      <color indexed="81"/>
      <name val="Tahoma"/>
      <family val="2"/>
    </font>
    <font>
      <b/>
      <sz val="11"/>
      <color theme="1"/>
      <name val="Arial Narrow"/>
      <family val="2"/>
    </font>
    <font>
      <u/>
      <sz val="11"/>
      <color theme="10"/>
      <name val="Calibri"/>
      <family val="2"/>
      <scheme val="minor"/>
    </font>
    <font>
      <sz val="10"/>
      <name val="Arial"/>
      <family val="2"/>
    </font>
    <font>
      <sz val="10"/>
      <name val="MS Sans Serif"/>
      <family val="2"/>
    </font>
    <font>
      <u/>
      <sz val="8.5"/>
      <color indexed="12"/>
      <name val="Arial"/>
      <family val="2"/>
    </font>
    <font>
      <sz val="11"/>
      <name val="Calibri"/>
      <family val="2"/>
      <scheme val="minor"/>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1"/>
      <name val="Calibri"/>
      <family val="2"/>
      <scheme val="minor"/>
    </font>
    <font>
      <b/>
      <sz val="14"/>
      <name val="Calibri"/>
      <family val="2"/>
      <scheme val="minor"/>
    </font>
    <font>
      <sz val="10"/>
      <name val="Calibri"/>
      <family val="2"/>
      <scheme val="minor"/>
    </font>
    <font>
      <b/>
      <sz val="10"/>
      <name val="Calibri"/>
      <family val="2"/>
      <scheme val="minor"/>
    </font>
    <font>
      <sz val="10"/>
      <name val="Arial Narrow"/>
      <family val="2"/>
    </font>
    <font>
      <sz val="9"/>
      <name val="Calibri"/>
      <family val="2"/>
      <scheme val="minor"/>
    </font>
    <font>
      <sz val="11"/>
      <color theme="0" tint="-0.499984740745262"/>
      <name val="Calibri"/>
      <family val="2"/>
      <scheme val="minor"/>
    </font>
    <font>
      <b/>
      <sz val="10"/>
      <name val="Arial"/>
      <family val="2"/>
    </font>
    <font>
      <b/>
      <sz val="9"/>
      <name val="Arial"/>
      <family val="2"/>
    </font>
    <font>
      <b/>
      <sz val="11"/>
      <color theme="0" tint="-0.499984740745262"/>
      <name val="Calibri"/>
      <family val="2"/>
      <scheme val="minor"/>
    </font>
    <font>
      <b/>
      <u/>
      <sz val="18"/>
      <color theme="1"/>
      <name val="Calibri"/>
      <family val="2"/>
      <scheme val="minor"/>
    </font>
    <font>
      <b/>
      <u/>
      <sz val="16"/>
      <color theme="1"/>
      <name val="Calibri"/>
      <family val="2"/>
      <scheme val="minor"/>
    </font>
    <font>
      <sz val="11"/>
      <name val="Arial Narrow"/>
      <family val="2"/>
    </font>
    <font>
      <sz val="11"/>
      <color rgb="FFFF0000"/>
      <name val="Calibri"/>
      <family val="2"/>
      <scheme val="minor"/>
    </font>
    <font>
      <sz val="1"/>
      <color theme="1"/>
      <name val="Arial"/>
      <family val="2"/>
    </font>
    <font>
      <sz val="8"/>
      <color theme="1"/>
      <name val="Arial"/>
      <family val="2"/>
    </font>
    <font>
      <sz val="10"/>
      <color theme="1"/>
      <name val="Arial"/>
      <family val="2"/>
    </font>
    <font>
      <sz val="8"/>
      <color indexed="17"/>
      <name val="Arial"/>
      <family val="2"/>
    </font>
    <font>
      <sz val="10"/>
      <color indexed="17"/>
      <name val="Arial"/>
      <family val="2"/>
    </font>
    <font>
      <sz val="10"/>
      <color indexed="57"/>
      <name val="Arial"/>
      <family val="2"/>
    </font>
    <font>
      <b/>
      <sz val="8"/>
      <color indexed="81"/>
      <name val="Tahoma"/>
      <family val="2"/>
    </font>
    <font>
      <sz val="8"/>
      <color indexed="81"/>
      <name val="Tahoma"/>
      <family val="2"/>
    </font>
    <font>
      <sz val="9"/>
      <color rgb="FF00B050"/>
      <name val="Arial"/>
      <family val="2"/>
    </font>
    <font>
      <sz val="1"/>
      <color theme="6" tint="-0.499984740745262"/>
      <name val="Arial"/>
      <family val="2"/>
    </font>
    <font>
      <sz val="10"/>
      <color rgb="FF00B050"/>
      <name val="Arial"/>
      <family val="2"/>
    </font>
    <font>
      <b/>
      <sz val="10"/>
      <color theme="1"/>
      <name val="Arial"/>
      <family val="2"/>
    </font>
    <font>
      <sz val="10"/>
      <color theme="1" tint="0.34998626667073579"/>
      <name val="Arial"/>
      <family val="2"/>
    </font>
    <font>
      <sz val="8"/>
      <color theme="1" tint="0.34998626667073579"/>
      <name val="Arial"/>
      <family val="2"/>
    </font>
    <font>
      <b/>
      <sz val="10"/>
      <color rgb="FF9900FF"/>
      <name val="Arial"/>
      <family val="2"/>
    </font>
    <font>
      <b/>
      <sz val="1"/>
      <color theme="1"/>
      <name val="Arial"/>
      <family val="2"/>
    </font>
    <font>
      <b/>
      <sz val="9"/>
      <color theme="1"/>
      <name val="Calibri"/>
      <family val="2"/>
      <scheme val="minor"/>
    </font>
    <font>
      <sz val="8"/>
      <name val="Arial"/>
      <family val="2"/>
    </font>
    <font>
      <u/>
      <sz val="8"/>
      <color theme="10"/>
      <name val="Calibri"/>
      <family val="2"/>
      <scheme val="minor"/>
    </font>
    <font>
      <sz val="10"/>
      <color rgb="FFFF0000"/>
      <name val="Arial"/>
      <family val="2"/>
    </font>
    <font>
      <sz val="1"/>
      <color theme="0"/>
      <name val="Arial"/>
      <family val="2"/>
    </font>
    <font>
      <sz val="8"/>
      <color rgb="FFFF000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0"/>
      <color theme="0" tint="-0.499984740745262"/>
      <name val="Arial"/>
      <family val="2"/>
    </font>
    <font>
      <sz val="10"/>
      <color theme="0" tint="-0.499984740745262"/>
      <name val="Arial"/>
      <family val="2"/>
    </font>
    <font>
      <b/>
      <sz val="9"/>
      <color theme="0" tint="-0.499984740745262"/>
      <name val="Arial"/>
      <family val="2"/>
    </font>
    <font>
      <i/>
      <sz val="11"/>
      <color rgb="FF0000FF"/>
      <name val="Calibri"/>
      <family val="2"/>
      <scheme val="minor"/>
    </font>
    <font>
      <sz val="11"/>
      <color theme="0" tint="-0.14999847407452621"/>
      <name val="Calibri"/>
      <family val="2"/>
      <scheme val="minor"/>
    </font>
    <font>
      <sz val="8"/>
      <color theme="0" tint="-0.249977111117893"/>
      <name val="Arial"/>
      <family val="2"/>
    </font>
    <font>
      <sz val="11"/>
      <color theme="0" tint="-0.249977111117893"/>
      <name val="Calibri"/>
      <family val="2"/>
      <scheme val="minor"/>
    </font>
    <font>
      <sz val="10"/>
      <color rgb="FFC00000"/>
      <name val="Arial"/>
      <family val="2"/>
    </font>
    <font>
      <sz val="9"/>
      <color theme="6" tint="-0.499984740745262"/>
      <name val="Arial"/>
      <family val="2"/>
    </font>
    <font>
      <sz val="9"/>
      <color theme="1" tint="0.34998626667073579"/>
      <name val="Arial"/>
      <family val="2"/>
    </font>
    <font>
      <b/>
      <sz val="10"/>
      <color rgb="FF7030A0"/>
      <name val="Arial"/>
      <family val="2"/>
    </font>
    <font>
      <sz val="8"/>
      <color rgb="FF00B050"/>
      <name val="Arial"/>
      <family val="2"/>
    </font>
    <font>
      <b/>
      <sz val="10"/>
      <color rgb="FF00B050"/>
      <name val="Arial"/>
      <family val="2"/>
    </font>
    <font>
      <sz val="11"/>
      <color theme="0" tint="-0.499984740745262"/>
      <name val="Arial"/>
      <family val="2"/>
    </font>
    <font>
      <sz val="11"/>
      <color theme="1" tint="0.249977111117893"/>
      <name val="Arial"/>
      <family val="2"/>
    </font>
    <font>
      <sz val="9"/>
      <color theme="1" tint="0.34998626667073579"/>
      <name val="Calibri"/>
      <family val="2"/>
      <scheme val="minor"/>
    </font>
    <font>
      <sz val="11"/>
      <color theme="0" tint="-4.9989318521683403E-2"/>
      <name val="Calibri"/>
      <family val="2"/>
      <scheme val="minor"/>
    </font>
    <font>
      <u/>
      <sz val="7"/>
      <color indexed="12"/>
      <name val="Arial"/>
      <family val="2"/>
    </font>
    <font>
      <b/>
      <sz val="10"/>
      <color theme="1"/>
      <name val="Arial Narrow"/>
      <family val="2"/>
    </font>
    <font>
      <b/>
      <sz val="12"/>
      <name val="Times New Roman"/>
      <family val="1"/>
    </font>
    <font>
      <sz val="12"/>
      <color indexed="8"/>
      <name val="Times New Roman"/>
      <family val="1"/>
    </font>
    <font>
      <sz val="10"/>
      <name val="Helv"/>
    </font>
    <font>
      <sz val="10"/>
      <name val="Arial Cyr"/>
      <charset val="204"/>
    </font>
    <font>
      <b/>
      <sz val="9"/>
      <name val="Times New Roman"/>
      <family val="1"/>
    </font>
    <font>
      <sz val="9"/>
      <name val="Times New Roman"/>
      <family val="1"/>
    </font>
    <font>
      <sz val="9"/>
      <color indexed="8"/>
      <name val="Times New Roman"/>
      <family val="1"/>
    </font>
    <font>
      <b/>
      <sz val="12"/>
      <color indexed="8"/>
      <name val="Times New Roman"/>
      <family val="1"/>
    </font>
    <font>
      <u/>
      <sz val="10"/>
      <color indexed="12"/>
      <name val="Times New Roman"/>
      <family val="1"/>
    </font>
    <font>
      <u/>
      <sz val="8"/>
      <color theme="10"/>
      <name val="Arial"/>
      <family val="2"/>
    </font>
    <font>
      <u/>
      <sz val="6"/>
      <color theme="10"/>
      <name val="Arial"/>
      <family val="2"/>
    </font>
    <font>
      <u/>
      <sz val="5"/>
      <color theme="10"/>
      <name val="Arial"/>
      <family val="2"/>
    </font>
    <font>
      <u/>
      <sz val="7"/>
      <color theme="10"/>
      <name val="Arial"/>
      <family val="2"/>
    </font>
    <font>
      <sz val="10"/>
      <color rgb="FF9900FF"/>
      <name val="Arial"/>
      <family val="2"/>
    </font>
    <font>
      <sz val="11"/>
      <color theme="6" tint="-0.499984740745262"/>
      <name val="Calibri"/>
      <family val="2"/>
      <scheme val="minor"/>
    </font>
    <font>
      <sz val="11"/>
      <color theme="1"/>
      <name val="Wingdings"/>
      <charset val="2"/>
    </font>
    <font>
      <sz val="10"/>
      <color rgb="FF9900FF"/>
      <name val="Arial Narrow"/>
      <family val="2"/>
    </font>
    <font>
      <b/>
      <sz val="11"/>
      <name val="Arial Narrow"/>
      <family val="2"/>
    </font>
    <font>
      <b/>
      <sz val="14"/>
      <name val="Arial Narrow"/>
      <family val="2"/>
    </font>
    <font>
      <sz val="9"/>
      <color theme="0" tint="-0.14999847407452621"/>
      <name val="Arial"/>
      <family val="2"/>
    </font>
    <font>
      <b/>
      <sz val="9"/>
      <color theme="0" tint="-0.14999847407452621"/>
      <name val="Arial"/>
      <family val="2"/>
    </font>
    <font>
      <sz val="1"/>
      <color rgb="FFFF0000"/>
      <name val="Arial"/>
      <family val="2"/>
    </font>
    <font>
      <sz val="1"/>
      <name val="Arial"/>
      <family val="2"/>
    </font>
    <font>
      <sz val="11"/>
      <name val="Arial"/>
      <family val="2"/>
    </font>
    <font>
      <sz val="1"/>
      <color theme="0" tint="-0.34998626667073579"/>
      <name val="Arial"/>
      <family val="2"/>
    </font>
    <font>
      <sz val="11"/>
      <color theme="0" tint="-0.34998626667073579"/>
      <name val="Calibri"/>
      <family val="2"/>
      <scheme val="minor"/>
    </font>
    <font>
      <sz val="8"/>
      <color theme="0" tint="-0.34998626667073579"/>
      <name val="Arial Narrow"/>
      <family val="2"/>
    </font>
    <font>
      <sz val="1"/>
      <color theme="0" tint="-0.34998626667073579"/>
      <name val="Arial Narrow"/>
      <family val="2"/>
    </font>
    <font>
      <i/>
      <sz val="9"/>
      <color theme="1" tint="0.34998626667073579"/>
      <name val="Arial"/>
      <family val="2"/>
    </font>
    <font>
      <i/>
      <sz val="9"/>
      <name val="Arial"/>
      <family val="2"/>
    </font>
    <font>
      <sz val="10"/>
      <color theme="0" tint="-0.34998626667073579"/>
      <name val="Arial"/>
      <family val="2"/>
    </font>
    <font>
      <sz val="9"/>
      <color theme="0" tint="-0.34998626667073579"/>
      <name val="Arial"/>
      <family val="2"/>
    </font>
    <font>
      <sz val="8"/>
      <name val="Arial Narrow"/>
      <family val="2"/>
    </font>
    <font>
      <sz val="8"/>
      <color theme="0"/>
      <name val="Arial"/>
      <family val="2"/>
    </font>
    <font>
      <sz val="9"/>
      <color theme="0" tint="-0.499984740745262"/>
      <name val="Arial"/>
      <family val="2"/>
    </font>
    <font>
      <sz val="11"/>
      <color indexed="8"/>
      <name val="Calibri"/>
      <family val="2"/>
      <scheme val="minor"/>
    </font>
    <font>
      <sz val="11"/>
      <name val="Calibri"/>
      <family val="2"/>
    </font>
    <font>
      <i/>
      <sz val="9"/>
      <color theme="0" tint="-0.14999847407452621"/>
      <name val="Arial"/>
      <family val="2"/>
    </font>
    <font>
      <i/>
      <sz val="9"/>
      <color theme="0" tint="-0.249977111117893"/>
      <name val="Arial"/>
      <family val="2"/>
    </font>
    <font>
      <sz val="10"/>
      <color theme="0" tint="-0.249977111117893"/>
      <name val="Arial"/>
      <family val="2"/>
    </font>
    <font>
      <sz val="10"/>
      <color theme="1" tint="0.499984740745262"/>
      <name val="Arial"/>
      <family val="2"/>
    </font>
    <font>
      <sz val="10"/>
      <color theme="0" tint="-0.14999847407452621"/>
      <name val="Arial"/>
      <family val="2"/>
    </font>
    <font>
      <sz val="10"/>
      <name val="MetaNormalLF-Roman"/>
    </font>
    <font>
      <u/>
      <sz val="10"/>
      <color indexed="12"/>
      <name val="Arial"/>
      <family val="2"/>
    </font>
    <font>
      <sz val="10"/>
      <name val="MetaNormalLF-Roman"/>
      <family val="2"/>
    </font>
    <font>
      <u/>
      <sz val="10"/>
      <color indexed="12"/>
      <name val="MetaNormalLF-Roman"/>
      <family val="2"/>
    </font>
    <font>
      <u/>
      <sz val="12"/>
      <color indexed="12"/>
      <name val="Arial MT"/>
    </font>
    <font>
      <u/>
      <sz val="10"/>
      <color theme="10"/>
      <name val="Calibri"/>
      <family val="2"/>
      <scheme val="minor"/>
    </font>
    <font>
      <sz val="8"/>
      <color theme="0" tint="-0.249977111117893"/>
      <name val="Arial Narrow"/>
      <family val="2"/>
    </font>
    <font>
      <sz val="8"/>
      <color theme="0" tint="-0.34998626667073579"/>
      <name val="Arial"/>
      <family val="2"/>
    </font>
    <font>
      <b/>
      <sz val="1"/>
      <color theme="0" tint="-0.34998626667073579"/>
      <name val="Arial"/>
      <family val="2"/>
    </font>
    <font>
      <b/>
      <sz val="10"/>
      <color rgb="FFFF0000"/>
      <name val="Arial"/>
      <family val="2"/>
    </font>
    <font>
      <sz val="11"/>
      <color theme="1" tint="0.499984740745262"/>
      <name val="Calibri"/>
      <family val="2"/>
      <scheme val="minor"/>
    </font>
    <font>
      <sz val="8"/>
      <color theme="1" tint="0.499984740745262"/>
      <name val="Arial"/>
      <family val="2"/>
    </font>
    <font>
      <u/>
      <sz val="11"/>
      <color rgb="FFFF0000"/>
      <name val="Calibri"/>
      <family val="2"/>
      <scheme val="minor"/>
    </font>
    <font>
      <sz val="11"/>
      <color theme="0" tint="-0.14999847407452621"/>
      <name val="Arial"/>
      <family val="2"/>
    </font>
    <font>
      <sz val="9"/>
      <color rgb="FF00B050"/>
      <name val="Arial Narrow"/>
      <family val="2"/>
    </font>
    <font>
      <sz val="10"/>
      <color indexed="55"/>
      <name val="Arial"/>
      <family val="2"/>
    </font>
    <font>
      <b/>
      <sz val="14"/>
      <name val="Arial"/>
      <family val="2"/>
    </font>
    <font>
      <sz val="11"/>
      <color theme="3" tint="0.39997558519241921"/>
      <name val="Calibri"/>
      <family val="2"/>
      <scheme val="minor"/>
    </font>
    <font>
      <sz val="11"/>
      <color theme="3" tint="0.39997558519241921"/>
      <name val="Wingdings"/>
      <charset val="2"/>
    </font>
    <font>
      <b/>
      <sz val="14"/>
      <color theme="1" tint="0.499984740745262"/>
      <name val="Calibri"/>
      <family val="2"/>
      <scheme val="minor"/>
    </font>
    <font>
      <u/>
      <sz val="11"/>
      <color theme="1" tint="0.34998626667073579"/>
      <name val="Calibri"/>
      <family val="2"/>
      <scheme val="minor"/>
    </font>
    <font>
      <sz val="11"/>
      <color theme="1" tint="0.34998626667073579"/>
      <name val="Calibri"/>
      <family val="2"/>
      <scheme val="minor"/>
    </font>
    <font>
      <sz val="10"/>
      <color theme="1" tint="0.34998626667073579"/>
      <name val="Calibri"/>
      <family val="2"/>
      <scheme val="minor"/>
    </font>
    <font>
      <u/>
      <sz val="11"/>
      <name val="Calibri"/>
      <family val="2"/>
      <scheme val="minor"/>
    </font>
    <font>
      <b/>
      <sz val="16"/>
      <color theme="3" tint="0.39997558519241921"/>
      <name val="Calibri"/>
      <family val="2"/>
      <scheme val="minor"/>
    </font>
    <font>
      <b/>
      <sz val="12"/>
      <color theme="3" tint="0.39997558519241921"/>
      <name val="Calibri"/>
      <family val="2"/>
      <scheme val="minor"/>
    </font>
    <font>
      <u/>
      <sz val="9"/>
      <name val="Calibri"/>
      <family val="2"/>
      <scheme val="minor"/>
    </font>
    <font>
      <sz val="10"/>
      <color theme="3" tint="0.39997558519241921"/>
      <name val="Arial Narrow"/>
      <family val="2"/>
    </font>
    <font>
      <b/>
      <sz val="12"/>
      <color theme="1"/>
      <name val="Calibri"/>
      <family val="2"/>
      <scheme val="minor"/>
    </font>
    <font>
      <b/>
      <sz val="12"/>
      <name val="Arial"/>
      <family val="2"/>
    </font>
    <font>
      <sz val="10"/>
      <color theme="0" tint="-0.34998626667073579"/>
      <name val="Arial Narrow"/>
      <family val="2"/>
    </font>
    <font>
      <b/>
      <sz val="12"/>
      <color theme="1"/>
      <name val="Arial"/>
      <family val="2"/>
    </font>
    <font>
      <b/>
      <sz val="9"/>
      <color rgb="FF00B050"/>
      <name val="Arial"/>
      <family val="2"/>
    </font>
    <font>
      <sz val="10"/>
      <color theme="1" tint="0.499984740745262"/>
      <name val="Arial Narrow"/>
      <family val="2"/>
    </font>
    <font>
      <sz val="11"/>
      <color theme="1" tint="0.499984740745262"/>
      <name val="Arial Narrow"/>
      <family val="2"/>
    </font>
    <font>
      <sz val="1"/>
      <color theme="1" tint="0.499984740745262"/>
      <name val="Arial Narrow"/>
      <family val="2"/>
    </font>
    <font>
      <sz val="9"/>
      <color theme="1" tint="0.499984740745262"/>
      <name val="Arial"/>
      <family val="2"/>
    </font>
    <font>
      <sz val="11"/>
      <color rgb="FFC00000"/>
      <name val="Calibri"/>
      <family val="2"/>
      <scheme val="minor"/>
    </font>
    <font>
      <sz val="11"/>
      <color theme="0" tint="-0.249977111117893"/>
      <name val="Arial"/>
      <family val="2"/>
    </font>
    <font>
      <sz val="9"/>
      <color indexed="81"/>
      <name val="Segoe UI"/>
      <family val="2"/>
    </font>
    <font>
      <b/>
      <sz val="9"/>
      <color indexed="81"/>
      <name val="Segoe UI"/>
      <family val="2"/>
    </font>
    <font>
      <u/>
      <sz val="9"/>
      <color theme="10"/>
      <name val="Calibri"/>
      <family val="2"/>
      <scheme val="minor"/>
    </font>
    <font>
      <sz val="10"/>
      <color rgb="FF000000"/>
      <name val="Tahoma"/>
      <family val="2"/>
    </font>
  </fonts>
  <fills count="92">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0" tint="-0.49998474074526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rgb="FFFFFFCC"/>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9"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indexed="13"/>
        <bgColor indexed="64"/>
      </patternFill>
    </fill>
    <fill>
      <patternFill patternType="solid">
        <fgColor indexed="43"/>
        <bgColor indexed="64"/>
      </patternFill>
    </fill>
    <fill>
      <patternFill patternType="solid">
        <fgColor indexed="22"/>
        <bgColor indexed="64"/>
      </patternFill>
    </fill>
    <fill>
      <patternFill patternType="solid">
        <fgColor indexed="42"/>
        <bgColor indexed="64"/>
      </patternFill>
    </fill>
    <fill>
      <patternFill patternType="solid">
        <fgColor indexed="41"/>
        <bgColor indexed="64"/>
      </patternFill>
    </fill>
    <fill>
      <patternFill patternType="solid">
        <fgColor indexed="14"/>
        <bgColor indexed="64"/>
      </patternFill>
    </fill>
    <fill>
      <patternFill patternType="solid">
        <fgColor theme="0" tint="-4.9989318521683403E-2"/>
        <bgColor indexed="64"/>
      </patternFill>
    </fill>
    <fill>
      <patternFill patternType="solid">
        <fgColor rgb="FFFFFFCC"/>
        <bgColor indexed="26"/>
      </patternFill>
    </fill>
    <fill>
      <patternFill patternType="solid">
        <fgColor indexed="22"/>
        <bgColor indexed="31"/>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26"/>
      </patternFill>
    </fill>
    <fill>
      <patternFill patternType="solid">
        <fgColor indexed="27"/>
        <bgColor indexed="64"/>
      </patternFill>
    </fill>
    <fill>
      <patternFill patternType="solid">
        <fgColor indexed="47"/>
        <bgColor indexed="64"/>
      </patternFill>
    </fill>
    <fill>
      <patternFill patternType="solid">
        <fgColor indexed="55"/>
        <bgColor indexed="64"/>
      </patternFill>
    </fill>
    <fill>
      <patternFill patternType="solid">
        <fgColor theme="0"/>
        <bgColor indexed="64"/>
      </patternFill>
    </fill>
    <fill>
      <patternFill patternType="solid">
        <fgColor theme="6" tint="0.39997558519241921"/>
        <bgColor indexed="64"/>
      </patternFill>
    </fill>
    <fill>
      <patternFill patternType="solid">
        <fgColor rgb="FFFF0000"/>
        <bgColor indexed="64"/>
      </patternFill>
    </fill>
    <fill>
      <patternFill patternType="solid">
        <fgColor theme="9" tint="0.59999389629810485"/>
        <bgColor indexed="26"/>
      </patternFill>
    </fill>
    <fill>
      <patternFill patternType="solid">
        <fgColor theme="6" tint="0.59999389629810485"/>
        <bgColor indexed="64"/>
      </patternFill>
    </fill>
    <fill>
      <patternFill patternType="solid">
        <fgColor theme="8" tint="0.79998168889431442"/>
        <bgColor indexed="64"/>
      </patternFill>
    </fill>
    <fill>
      <patternFill patternType="solid">
        <fgColor rgb="FF70AC2E"/>
        <bgColor indexed="64"/>
      </patternFill>
    </fill>
    <fill>
      <gradientFill>
        <stop position="0">
          <color rgb="FF70AC2E"/>
        </stop>
        <stop position="1">
          <color rgb="FFFFD347"/>
        </stop>
      </gradientFill>
    </fill>
    <fill>
      <gradientFill>
        <stop position="0">
          <color rgb="FFFFD347"/>
        </stop>
        <stop position="1">
          <color rgb="FFFF4747"/>
        </stop>
      </gradientFill>
    </fill>
    <fill>
      <gradientFill>
        <stop position="0">
          <color rgb="FFFF4747"/>
        </stop>
        <stop position="1">
          <color theme="0"/>
        </stop>
      </gradientFill>
    </fill>
  </fills>
  <borders count="201">
    <border>
      <left/>
      <right/>
      <top/>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double">
        <color indexed="64"/>
      </left>
      <right/>
      <top style="medium">
        <color indexed="64"/>
      </top>
      <bottom/>
      <diagonal/>
    </border>
    <border>
      <left/>
      <right style="double">
        <color indexed="64"/>
      </right>
      <top style="medium">
        <color indexed="64"/>
      </top>
      <bottom/>
      <diagonal/>
    </border>
    <border>
      <left style="double">
        <color indexed="64"/>
      </left>
      <right style="medium">
        <color indexed="64"/>
      </right>
      <top style="medium">
        <color indexed="64"/>
      </top>
      <bottom/>
      <diagonal/>
    </border>
    <border>
      <left style="medium">
        <color indexed="64"/>
      </left>
      <right/>
      <top/>
      <bottom/>
      <diagonal/>
    </border>
    <border>
      <left style="double">
        <color indexed="64"/>
      </left>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double">
        <color indexed="64"/>
      </right>
      <top/>
      <bottom style="thin">
        <color indexed="64"/>
      </bottom>
      <diagonal/>
    </border>
    <border>
      <left style="double">
        <color indexed="64"/>
      </left>
      <right style="medium">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medium">
        <color indexed="64"/>
      </left>
      <right/>
      <top/>
      <bottom style="double">
        <color indexed="64"/>
      </bottom>
      <diagonal/>
    </border>
    <border>
      <left/>
      <right style="double">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top/>
      <bottom style="double">
        <color indexed="64"/>
      </bottom>
      <diagonal/>
    </border>
    <border>
      <left style="double">
        <color indexed="64"/>
      </left>
      <right style="medium">
        <color indexed="64"/>
      </right>
      <top/>
      <bottom style="double">
        <color indexed="64"/>
      </bottom>
      <diagonal/>
    </border>
    <border>
      <left style="medium">
        <color indexed="64"/>
      </left>
      <right style="thin">
        <color indexed="64"/>
      </right>
      <top style="double">
        <color indexed="64"/>
      </top>
      <bottom/>
      <diagonal/>
    </border>
    <border>
      <left style="thin">
        <color indexed="64"/>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style="medium">
        <color indexed="64"/>
      </right>
      <top style="double">
        <color indexed="64"/>
      </top>
      <bottom/>
      <diagonal/>
    </border>
    <border>
      <left style="medium">
        <color indexed="64"/>
      </left>
      <right style="thin">
        <color indexed="64"/>
      </right>
      <top/>
      <bottom/>
      <diagonal/>
    </border>
    <border>
      <left style="thin">
        <color indexed="64"/>
      </left>
      <right style="double">
        <color indexed="64"/>
      </right>
      <top/>
      <bottom style="thin">
        <color indexed="64"/>
      </bottom>
      <diagonal/>
    </border>
    <border>
      <left style="double">
        <color indexed="64"/>
      </left>
      <right style="medium">
        <color indexed="64"/>
      </right>
      <top/>
      <bottom style="thin">
        <color indexed="64"/>
      </bottom>
      <diagonal/>
    </border>
    <border>
      <left style="thin">
        <color indexed="64"/>
      </left>
      <right style="double">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double">
        <color indexed="64"/>
      </right>
      <top style="thin">
        <color indexed="64"/>
      </top>
      <bottom/>
      <diagonal/>
    </border>
    <border>
      <left style="double">
        <color indexed="64"/>
      </left>
      <right style="medium">
        <color indexed="64"/>
      </right>
      <top style="thin">
        <color indexed="64"/>
      </top>
      <bottom/>
      <diagonal/>
    </border>
    <border>
      <left style="double">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double">
        <color indexed="64"/>
      </bottom>
      <diagonal/>
    </border>
    <border>
      <left style="medium">
        <color indexed="64"/>
      </left>
      <right/>
      <top style="double">
        <color indexed="64"/>
      </top>
      <bottom style="medium">
        <color indexed="64"/>
      </bottom>
      <diagonal/>
    </border>
    <border>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double">
        <color indexed="64"/>
      </left>
      <right style="medium">
        <color indexed="64"/>
      </right>
      <top/>
      <bottom style="medium">
        <color indexed="64"/>
      </bottom>
      <diagonal/>
    </border>
    <border>
      <left/>
      <right style="medium">
        <color indexed="64"/>
      </right>
      <top style="medium">
        <color indexed="64"/>
      </top>
      <bottom/>
      <diagonal/>
    </border>
    <border>
      <left style="double">
        <color indexed="64"/>
      </left>
      <right/>
      <top/>
      <bottom style="double">
        <color indexed="64"/>
      </bottom>
      <diagonal/>
    </border>
    <border>
      <left/>
      <right style="medium">
        <color indexed="64"/>
      </right>
      <top/>
      <bottom style="double">
        <color indexed="64"/>
      </bottom>
      <diagonal/>
    </border>
    <border>
      <left/>
      <right style="medium">
        <color indexed="64"/>
      </right>
      <top/>
      <bottom style="thin">
        <color indexed="64"/>
      </bottom>
      <diagonal/>
    </border>
    <border>
      <left style="medium">
        <color indexed="64"/>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right/>
      <top style="double">
        <color indexed="64"/>
      </top>
      <bottom/>
      <diagonal/>
    </border>
    <border>
      <left style="double">
        <color indexed="64"/>
      </left>
      <right/>
      <top style="thin">
        <color indexed="64"/>
      </top>
      <bottom/>
      <diagonal/>
    </border>
    <border>
      <left style="double">
        <color indexed="64"/>
      </left>
      <right/>
      <top style="double">
        <color indexed="64"/>
      </top>
      <bottom/>
      <diagonal/>
    </border>
    <border>
      <left/>
      <right style="thin">
        <color indexed="64"/>
      </right>
      <top style="double">
        <color indexed="64"/>
      </top>
      <bottom/>
      <diagonal/>
    </border>
    <border>
      <left style="double">
        <color indexed="64"/>
      </left>
      <right/>
      <top/>
      <bottom style="medium">
        <color indexed="64"/>
      </bottom>
      <diagonal/>
    </border>
    <border>
      <left/>
      <right style="medium">
        <color indexed="64"/>
      </right>
      <top style="thin">
        <color indexed="64"/>
      </top>
      <bottom/>
      <diagonal/>
    </border>
    <border>
      <left style="double">
        <color indexed="64"/>
      </left>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style="double">
        <color indexed="64"/>
      </left>
      <right/>
      <top style="medium">
        <color indexed="64"/>
      </top>
      <bottom style="thin">
        <color indexed="64"/>
      </bottom>
      <diagonal/>
    </border>
    <border>
      <left/>
      <right style="double">
        <color indexed="64"/>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style="double">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top style="medium">
        <color indexed="64"/>
      </top>
      <bottom/>
      <diagonal/>
    </border>
    <border>
      <left style="double">
        <color indexed="64"/>
      </left>
      <right/>
      <top style="double">
        <color indexed="64"/>
      </top>
      <bottom style="medium">
        <color indexed="64"/>
      </bottom>
      <diagonal/>
    </border>
    <border>
      <left/>
      <right/>
      <top style="double">
        <color indexed="64"/>
      </top>
      <bottom style="medium">
        <color indexed="64"/>
      </bottom>
      <diagonal/>
    </border>
    <border>
      <left/>
      <right style="thin">
        <color indexed="64"/>
      </right>
      <top style="double">
        <color indexed="64"/>
      </top>
      <bottom style="medium">
        <color indexed="64"/>
      </bottom>
      <diagonal/>
    </border>
    <border>
      <left style="thin">
        <color indexed="64"/>
      </left>
      <right/>
      <top style="double">
        <color indexed="64"/>
      </top>
      <bottom/>
      <diagonal/>
    </border>
    <border>
      <left style="thin">
        <color indexed="64"/>
      </left>
      <right/>
      <top style="double">
        <color indexed="64"/>
      </top>
      <bottom style="medium">
        <color indexed="64"/>
      </bottom>
      <diagonal/>
    </border>
    <border>
      <left style="thin">
        <color indexed="64"/>
      </left>
      <right style="medium">
        <color indexed="64"/>
      </right>
      <top/>
      <bottom style="double">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double">
        <color indexed="64"/>
      </right>
      <top/>
      <bottom style="double">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double">
        <color indexed="64"/>
      </left>
      <right style="thin">
        <color indexed="64"/>
      </right>
      <top style="medium">
        <color indexed="64"/>
      </top>
      <bottom/>
      <diagonal/>
    </border>
    <border>
      <left style="double">
        <color indexed="64"/>
      </left>
      <right style="thin">
        <color indexed="64"/>
      </right>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right style="double">
        <color indexed="64"/>
      </right>
      <top style="double">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bottom/>
      <diagonal/>
    </border>
    <border>
      <left style="thin">
        <color indexed="64"/>
      </left>
      <right style="double">
        <color indexed="64"/>
      </right>
      <top style="medium">
        <color indexed="64"/>
      </top>
      <bottom/>
      <diagonal/>
    </border>
    <border>
      <left style="double">
        <color indexed="64"/>
      </left>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double">
        <color indexed="64"/>
      </right>
      <top style="double">
        <color indexed="64"/>
      </top>
      <bottom style="thin">
        <color indexed="64"/>
      </bottom>
      <diagonal/>
    </border>
    <border>
      <left style="double">
        <color indexed="64"/>
      </left>
      <right/>
      <top style="medium">
        <color indexed="64"/>
      </top>
      <bottom style="double">
        <color indexed="64"/>
      </bottom>
      <diagonal/>
    </border>
    <border>
      <left style="double">
        <color indexed="64"/>
      </left>
      <right style="thin">
        <color indexed="64"/>
      </right>
      <top style="double">
        <color indexed="64"/>
      </top>
      <bottom/>
      <diagonal/>
    </border>
    <border>
      <left style="thin">
        <color indexed="64"/>
      </left>
      <right style="medium">
        <color indexed="64"/>
      </right>
      <top style="medium">
        <color indexed="64"/>
      </top>
      <bottom/>
      <diagonal/>
    </border>
    <border>
      <left style="thin">
        <color indexed="64"/>
      </left>
      <right/>
      <top style="thin">
        <color indexed="64"/>
      </top>
      <bottom style="medium">
        <color indexed="64"/>
      </bottom>
      <diagonal/>
    </border>
    <border>
      <left style="double">
        <color indexed="64"/>
      </left>
      <right style="medium">
        <color indexed="64"/>
      </right>
      <top style="medium">
        <color indexed="64"/>
      </top>
      <bottom style="thin">
        <color indexed="64"/>
      </bottom>
      <diagonal/>
    </border>
    <border>
      <left style="double">
        <color indexed="64"/>
      </left>
      <right style="medium">
        <color indexed="64"/>
      </right>
      <top style="thin">
        <color indexed="64"/>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0" tint="-0.34998626667073579"/>
      </top>
      <bottom/>
      <diagonal/>
    </border>
    <border>
      <left/>
      <right/>
      <top style="thin">
        <color theme="0" tint="-0.24994659260841701"/>
      </top>
      <bottom/>
      <diagonal/>
    </border>
    <border>
      <left/>
      <right/>
      <top style="thin">
        <color theme="0" tint="-0.24994659260841701"/>
      </top>
      <bottom style="thin">
        <color indexed="64"/>
      </bottom>
      <diagonal/>
    </border>
    <border>
      <left/>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style="thin">
        <color theme="0" tint="-0.34998626667073579"/>
      </top>
      <bottom/>
      <diagonal/>
    </border>
    <border>
      <left/>
      <right style="thin">
        <color theme="0" tint="-0.24994659260841701"/>
      </right>
      <top style="thin">
        <color theme="0" tint="-0.34998626667073579"/>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indexed="64"/>
      </right>
      <top style="thin">
        <color theme="0" tint="-0.24994659260841701"/>
      </top>
      <bottom style="thin">
        <color theme="0" tint="-0.24994659260841701"/>
      </bottom>
      <diagonal/>
    </border>
    <border>
      <left/>
      <right/>
      <top style="thin">
        <color theme="0" tint="-0.14990691854609822"/>
      </top>
      <bottom style="thin">
        <color theme="0" tint="-0.14990691854609822"/>
      </bottom>
      <diagonal/>
    </border>
    <border>
      <left/>
      <right style="double">
        <color indexed="64"/>
      </right>
      <top style="double">
        <color indexed="64"/>
      </top>
      <bottom/>
      <diagonal/>
    </border>
    <border>
      <left/>
      <right style="double">
        <color indexed="64"/>
      </right>
      <top style="double">
        <color indexed="64"/>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double">
        <color indexed="64"/>
      </left>
      <right style="medium">
        <color indexed="64"/>
      </right>
      <top style="medium">
        <color indexed="64"/>
      </top>
      <bottom style="double">
        <color indexed="64"/>
      </bottom>
      <diagonal/>
    </border>
    <border>
      <left style="double">
        <color indexed="64"/>
      </left>
      <right style="medium">
        <color indexed="64"/>
      </right>
      <top style="double">
        <color indexed="64"/>
      </top>
      <bottom style="thin">
        <color indexed="64"/>
      </bottom>
      <diagonal/>
    </border>
    <border>
      <left/>
      <right style="double">
        <color indexed="64"/>
      </right>
      <top/>
      <bottom style="medium">
        <color indexed="64"/>
      </bottom>
      <diagonal/>
    </border>
    <border>
      <left style="medium">
        <color indexed="64"/>
      </left>
      <right/>
      <top style="double">
        <color indexed="64"/>
      </top>
      <bottom style="double">
        <color indexed="64"/>
      </bottom>
      <diagonal/>
    </border>
    <border>
      <left/>
      <right/>
      <top style="double">
        <color indexed="64"/>
      </top>
      <bottom style="double">
        <color indexed="64"/>
      </bottom>
      <diagonal/>
    </border>
    <border>
      <left style="double">
        <color indexed="64"/>
      </left>
      <right/>
      <top style="double">
        <color indexed="64"/>
      </top>
      <bottom style="double">
        <color indexed="64"/>
      </bottom>
      <diagonal/>
    </border>
    <border>
      <left style="thin">
        <color indexed="64"/>
      </left>
      <right style="medium">
        <color indexed="64"/>
      </right>
      <top style="double">
        <color indexed="64"/>
      </top>
      <bottom style="double">
        <color indexed="64"/>
      </bottom>
      <diagonal/>
    </border>
    <border>
      <left style="double">
        <color indexed="64"/>
      </left>
      <right style="medium">
        <color indexed="64"/>
      </right>
      <top style="thin">
        <color indexed="64"/>
      </top>
      <bottom style="medium">
        <color indexed="64"/>
      </bottom>
      <diagonal/>
    </border>
    <border>
      <left style="medium">
        <color indexed="64"/>
      </left>
      <right/>
      <top style="thin">
        <color indexed="64"/>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rgb="FF0000FF"/>
      </left>
      <right style="medium">
        <color rgb="FF0000FF"/>
      </right>
      <top style="medium">
        <color rgb="FF0000FF"/>
      </top>
      <bottom style="medium">
        <color rgb="FF0000FF"/>
      </bottom>
      <diagonal/>
    </border>
    <border>
      <left style="thick">
        <color rgb="FF0000FF"/>
      </left>
      <right style="thick">
        <color rgb="FF0000FF"/>
      </right>
      <top style="thick">
        <color rgb="FF0000FF"/>
      </top>
      <bottom style="thick">
        <color rgb="FF0000FF"/>
      </bottom>
      <diagonal/>
    </border>
    <border>
      <left style="thin">
        <color rgb="FFFF0000"/>
      </left>
      <right style="thin">
        <color rgb="FFFF0000"/>
      </right>
      <top style="thin">
        <color rgb="FFFF0000"/>
      </top>
      <bottom style="thin">
        <color rgb="FFFF0000"/>
      </bottom>
      <diagonal/>
    </border>
    <border>
      <left style="medium">
        <color rgb="FFFF0000"/>
      </left>
      <right style="medium">
        <color rgb="FFFF0000"/>
      </right>
      <top style="medium">
        <color rgb="FFFF0000"/>
      </top>
      <bottom style="medium">
        <color rgb="FFFF0000"/>
      </bottom>
      <diagonal/>
    </border>
    <border>
      <left/>
      <right style="thin">
        <color indexed="9"/>
      </right>
      <top style="thin">
        <color indexed="8"/>
      </top>
      <bottom/>
      <diagonal/>
    </border>
    <border>
      <left style="double">
        <color rgb="FFFF0000"/>
      </left>
      <right/>
      <top style="double">
        <color rgb="FFFF0000"/>
      </top>
      <bottom/>
      <diagonal/>
    </border>
    <border>
      <left/>
      <right style="double">
        <color rgb="FFFF0000"/>
      </right>
      <top style="double">
        <color rgb="FFFF0000"/>
      </top>
      <bottom/>
      <diagonal/>
    </border>
    <border>
      <left style="double">
        <color rgb="FFFF0000"/>
      </left>
      <right/>
      <top/>
      <bottom/>
      <diagonal/>
    </border>
    <border>
      <left/>
      <right style="double">
        <color rgb="FFFF0000"/>
      </right>
      <top/>
      <bottom/>
      <diagonal/>
    </border>
    <border>
      <left style="double">
        <color rgb="FFFF0000"/>
      </left>
      <right/>
      <top/>
      <bottom style="double">
        <color rgb="FFFF0000"/>
      </bottom>
      <diagonal/>
    </border>
    <border>
      <left/>
      <right style="double">
        <color rgb="FFFF0000"/>
      </right>
      <top/>
      <bottom style="double">
        <color rgb="FFFF0000"/>
      </bottom>
      <diagonal/>
    </border>
    <border>
      <left/>
      <right style="thick">
        <color auto="1"/>
      </right>
      <top/>
      <bottom/>
      <diagonal/>
    </border>
    <border>
      <left style="thin">
        <color indexed="64"/>
      </left>
      <right style="thick">
        <color indexed="64"/>
      </right>
      <top style="thin">
        <color indexed="64"/>
      </top>
      <bottom style="thin">
        <color indexed="64"/>
      </bottom>
      <diagonal/>
    </border>
    <border>
      <left style="thin">
        <color indexed="64"/>
      </left>
      <right/>
      <top/>
      <bottom style="thick">
        <color rgb="FFC00000"/>
      </bottom>
      <diagonal/>
    </border>
    <border>
      <left/>
      <right/>
      <top/>
      <bottom style="thick">
        <color rgb="FFC00000"/>
      </bottom>
      <diagonal/>
    </border>
    <border>
      <left/>
      <right style="thin">
        <color indexed="64"/>
      </right>
      <top/>
      <bottom style="thick">
        <color rgb="FFC00000"/>
      </bottom>
      <diagonal/>
    </border>
  </borders>
  <cellStyleXfs count="173">
    <xf numFmtId="0" fontId="0" fillId="0" borderId="0"/>
    <xf numFmtId="0" fontId="20" fillId="0" borderId="0"/>
    <xf numFmtId="40" fontId="21" fillId="0" borderId="0" applyFont="0" applyFill="0" applyBorder="0" applyAlignment="0" applyProtection="0"/>
    <xf numFmtId="0" fontId="22" fillId="0" borderId="0" applyNumberFormat="0" applyFill="0" applyBorder="0" applyAlignment="0" applyProtection="0">
      <alignment vertical="top"/>
      <protection locked="0"/>
    </xf>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0" fontId="24" fillId="21"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22" borderId="0" applyNumberFormat="0" applyBorder="0" applyAlignment="0" applyProtection="0"/>
    <xf numFmtId="0" fontId="24" fillId="22" borderId="0" applyNumberFormat="0" applyBorder="0" applyAlignment="0" applyProtection="0"/>
    <xf numFmtId="0" fontId="25" fillId="23" borderId="0" applyNumberFormat="0" applyBorder="0" applyAlignment="0" applyProtection="0"/>
    <xf numFmtId="0" fontId="25" fillId="23"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5"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8" borderId="0" applyNumberFormat="0" applyBorder="0" applyAlignment="0" applyProtection="0"/>
    <xf numFmtId="0" fontId="25" fillId="28"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5" borderId="0" applyNumberFormat="0" applyBorder="0" applyAlignment="0" applyProtection="0"/>
    <xf numFmtId="0" fontId="25" fillId="25" borderId="0" applyNumberFormat="0" applyBorder="0" applyAlignment="0" applyProtection="0"/>
    <xf numFmtId="0" fontId="25" fillId="30" borderId="0" applyNumberFormat="0" applyBorder="0" applyAlignment="0" applyProtection="0"/>
    <xf numFmtId="0" fontId="25" fillId="30" borderId="0" applyNumberFormat="0" applyBorder="0" applyAlignment="0" applyProtection="0"/>
    <xf numFmtId="0" fontId="26" fillId="31" borderId="78" applyNumberFormat="0" applyAlignment="0" applyProtection="0"/>
    <xf numFmtId="0" fontId="26" fillId="31" borderId="78" applyNumberFormat="0" applyAlignment="0" applyProtection="0"/>
    <xf numFmtId="0" fontId="27" fillId="31" borderId="79" applyNumberFormat="0" applyAlignment="0" applyProtection="0"/>
    <xf numFmtId="0" fontId="27" fillId="31" borderId="79" applyNumberFormat="0" applyAlignment="0" applyProtection="0"/>
    <xf numFmtId="0" fontId="28" fillId="18" borderId="79" applyNumberFormat="0" applyAlignment="0" applyProtection="0"/>
    <xf numFmtId="0" fontId="28" fillId="18" borderId="79" applyNumberFormat="0" applyAlignment="0" applyProtection="0"/>
    <xf numFmtId="0" fontId="29" fillId="0" borderId="80" applyNumberFormat="0" applyFill="0" applyAlignment="0" applyProtection="0"/>
    <xf numFmtId="0" fontId="29" fillId="0" borderId="80"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165" fontId="20" fillId="0" borderId="0" applyFill="0" applyBorder="0" applyAlignment="0" applyProtection="0"/>
    <xf numFmtId="0" fontId="31" fillId="15" borderId="0" applyNumberFormat="0" applyBorder="0" applyAlignment="0" applyProtection="0"/>
    <xf numFmtId="0" fontId="31" fillId="15" borderId="0" applyNumberFormat="0" applyBorder="0" applyAlignment="0" applyProtection="0"/>
    <xf numFmtId="0" fontId="19" fillId="0" borderId="0" applyNumberFormat="0" applyFill="0" applyBorder="0" applyAlignment="0" applyProtection="0"/>
    <xf numFmtId="0" fontId="32" fillId="32" borderId="0" applyNumberFormat="0" applyBorder="0" applyAlignment="0" applyProtection="0"/>
    <xf numFmtId="0" fontId="32" fillId="32" borderId="0" applyNumberFormat="0" applyBorder="0" applyAlignment="0" applyProtection="0"/>
    <xf numFmtId="0" fontId="20" fillId="33" borderId="81" applyNumberFormat="0" applyFont="0" applyAlignment="0" applyProtection="0"/>
    <xf numFmtId="0" fontId="20" fillId="33" borderId="81" applyNumberFormat="0" applyFont="0" applyAlignment="0" applyProtection="0"/>
    <xf numFmtId="0" fontId="33" fillId="14" borderId="0" applyNumberFormat="0" applyBorder="0" applyAlignment="0" applyProtection="0"/>
    <xf numFmtId="0" fontId="33" fillId="14" borderId="0" applyNumberFormat="0" applyBorder="0" applyAlignment="0" applyProtection="0"/>
    <xf numFmtId="0" fontId="1" fillId="0" borderId="0"/>
    <xf numFmtId="0" fontId="34" fillId="0" borderId="0" applyNumberFormat="0" applyFill="0" applyBorder="0" applyAlignment="0" applyProtection="0"/>
    <xf numFmtId="0" fontId="35" fillId="0" borderId="82" applyNumberFormat="0" applyFill="0" applyAlignment="0" applyProtection="0"/>
    <xf numFmtId="0" fontId="35" fillId="0" borderId="82" applyNumberFormat="0" applyFill="0" applyAlignment="0" applyProtection="0"/>
    <xf numFmtId="0" fontId="36" fillId="0" borderId="83" applyNumberFormat="0" applyFill="0" applyAlignment="0" applyProtection="0"/>
    <xf numFmtId="0" fontId="36" fillId="0" borderId="83" applyNumberFormat="0" applyFill="0" applyAlignment="0" applyProtection="0"/>
    <xf numFmtId="0" fontId="37" fillId="0" borderId="84" applyNumberFormat="0" applyFill="0" applyAlignment="0" applyProtection="0"/>
    <xf numFmtId="0" fontId="37" fillId="0" borderId="84" applyNumberFormat="0" applyFill="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4" fillId="0" borderId="0" applyNumberFormat="0" applyFill="0" applyBorder="0" applyAlignment="0" applyProtection="0"/>
    <xf numFmtId="0" fontId="38" fillId="0" borderId="85" applyNumberFormat="0" applyFill="0" applyAlignment="0" applyProtection="0"/>
    <xf numFmtId="0" fontId="38" fillId="0" borderId="85" applyNumberFormat="0" applyFill="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40" fillId="34" borderId="86" applyNumberFormat="0" applyAlignment="0" applyProtection="0"/>
    <xf numFmtId="0" fontId="40" fillId="34" borderId="86" applyNumberFormat="0" applyAlignment="0" applyProtection="0"/>
    <xf numFmtId="0" fontId="20" fillId="0" borderId="0"/>
    <xf numFmtId="0" fontId="19" fillId="0" borderId="0" applyNumberFormat="0" applyFill="0" applyBorder="0" applyAlignment="0" applyProtection="0"/>
    <xf numFmtId="0" fontId="77" fillId="0" borderId="0" applyNumberFormat="0" applyFill="0" applyBorder="0" applyAlignment="0" applyProtection="0"/>
    <xf numFmtId="0" fontId="78" fillId="0" borderId="134" applyNumberFormat="0" applyFill="0" applyAlignment="0" applyProtection="0"/>
    <xf numFmtId="0" fontId="79" fillId="0" borderId="135" applyNumberFormat="0" applyFill="0" applyAlignment="0" applyProtection="0"/>
    <xf numFmtId="0" fontId="80" fillId="0" borderId="136" applyNumberFormat="0" applyFill="0" applyAlignment="0" applyProtection="0"/>
    <xf numFmtId="0" fontId="80" fillId="0" borderId="0" applyNumberFormat="0" applyFill="0" applyBorder="0" applyAlignment="0" applyProtection="0"/>
    <xf numFmtId="0" fontId="81" fillId="47" borderId="0" applyNumberFormat="0" applyBorder="0" applyAlignment="0" applyProtection="0"/>
    <xf numFmtId="0" fontId="82" fillId="48" borderId="0" applyNumberFormat="0" applyBorder="0" applyAlignment="0" applyProtection="0"/>
    <xf numFmtId="0" fontId="83" fillId="49" borderId="0" applyNumberFormat="0" applyBorder="0" applyAlignment="0" applyProtection="0"/>
    <xf numFmtId="0" fontId="84" fillId="50" borderId="137" applyNumberFormat="0" applyAlignment="0" applyProtection="0"/>
    <xf numFmtId="0" fontId="85" fillId="51" borderId="138" applyNumberFormat="0" applyAlignment="0" applyProtection="0"/>
    <xf numFmtId="0" fontId="86" fillId="51" borderId="137" applyNumberFormat="0" applyAlignment="0" applyProtection="0"/>
    <xf numFmtId="0" fontId="87" fillId="0" borderId="139" applyNumberFormat="0" applyFill="0" applyAlignment="0" applyProtection="0"/>
    <xf numFmtId="0" fontId="88" fillId="52" borderId="140" applyNumberFormat="0" applyAlignment="0" applyProtection="0"/>
    <xf numFmtId="0" fontId="54" fillId="0" borderId="0" applyNumberFormat="0" applyFill="0" applyBorder="0" applyAlignment="0" applyProtection="0"/>
    <xf numFmtId="0" fontId="1" fillId="53" borderId="141" applyNumberFormat="0" applyFont="0" applyAlignment="0" applyProtection="0"/>
    <xf numFmtId="0" fontId="89" fillId="0" borderId="0" applyNumberFormat="0" applyFill="0" applyBorder="0" applyAlignment="0" applyProtection="0"/>
    <xf numFmtId="0" fontId="2" fillId="0" borderId="142" applyNumberFormat="0" applyFill="0" applyAlignment="0" applyProtection="0"/>
    <xf numFmtId="0" fontId="90"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90" fillId="57" borderId="0" applyNumberFormat="0" applyBorder="0" applyAlignment="0" applyProtection="0"/>
    <xf numFmtId="0" fontId="90" fillId="58"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90" fillId="61" borderId="0" applyNumberFormat="0" applyBorder="0" applyAlignment="0" applyProtection="0"/>
    <xf numFmtId="0" fontId="90" fillId="62" borderId="0" applyNumberFormat="0" applyBorder="0" applyAlignment="0" applyProtection="0"/>
    <xf numFmtId="0" fontId="1" fillId="63" borderId="0" applyNumberFormat="0" applyBorder="0" applyAlignment="0" applyProtection="0"/>
    <xf numFmtId="0" fontId="1" fillId="64" borderId="0" applyNumberFormat="0" applyBorder="0" applyAlignment="0" applyProtection="0"/>
    <xf numFmtId="0" fontId="90" fillId="65" borderId="0" applyNumberFormat="0" applyBorder="0" applyAlignment="0" applyProtection="0"/>
    <xf numFmtId="0" fontId="90" fillId="66" borderId="0" applyNumberFormat="0" applyBorder="0" applyAlignment="0" applyProtection="0"/>
    <xf numFmtId="0" fontId="1" fillId="67" borderId="0" applyNumberFormat="0" applyBorder="0" applyAlignment="0" applyProtection="0"/>
    <xf numFmtId="0" fontId="1" fillId="68" borderId="0" applyNumberFormat="0" applyBorder="0" applyAlignment="0" applyProtection="0"/>
    <xf numFmtId="0" fontId="90" fillId="69" borderId="0" applyNumberFormat="0" applyBorder="0" applyAlignment="0" applyProtection="0"/>
    <xf numFmtId="0" fontId="90" fillId="70" borderId="0" applyNumberFormat="0" applyBorder="0" applyAlignment="0" applyProtection="0"/>
    <xf numFmtId="0" fontId="1" fillId="71" borderId="0" applyNumberFormat="0" applyBorder="0" applyAlignment="0" applyProtection="0"/>
    <xf numFmtId="0" fontId="1" fillId="72" borderId="0" applyNumberFormat="0" applyBorder="0" applyAlignment="0" applyProtection="0"/>
    <xf numFmtId="0" fontId="90" fillId="73" borderId="0" applyNumberFormat="0" applyBorder="0" applyAlignment="0" applyProtection="0"/>
    <xf numFmtId="0" fontId="90" fillId="74" borderId="0" applyNumberFormat="0" applyBorder="0" applyAlignment="0" applyProtection="0"/>
    <xf numFmtId="0" fontId="1" fillId="75" borderId="0" applyNumberFormat="0" applyBorder="0" applyAlignment="0" applyProtection="0"/>
    <xf numFmtId="0" fontId="1" fillId="76" borderId="0" applyNumberFormat="0" applyBorder="0" applyAlignment="0" applyProtection="0"/>
    <xf numFmtId="0" fontId="90" fillId="77" borderId="0" applyNumberFormat="0" applyBorder="0" applyAlignment="0" applyProtection="0"/>
    <xf numFmtId="0" fontId="24" fillId="0" borderId="0"/>
    <xf numFmtId="0" fontId="113" fillId="0" borderId="0" applyNumberFormat="0" applyFont="0" applyFill="0" applyBorder="0" applyProtection="0">
      <alignment horizontal="left" vertical="center" indent="2"/>
    </xf>
    <xf numFmtId="0" fontId="113" fillId="0" borderId="0" applyNumberFormat="0" applyFont="0" applyFill="0" applyBorder="0" applyProtection="0">
      <alignment horizontal="left" vertical="center" indent="5"/>
    </xf>
    <xf numFmtId="0" fontId="114" fillId="79" borderId="0" applyBorder="0" applyAlignment="0"/>
    <xf numFmtId="0" fontId="115" fillId="79" borderId="0" applyBorder="0">
      <alignment horizontal="right" vertical="center"/>
    </xf>
    <xf numFmtId="4" fontId="115" fillId="41" borderId="0" applyBorder="0">
      <alignment horizontal="right" vertical="center"/>
    </xf>
    <xf numFmtId="4" fontId="115" fillId="41" borderId="0" applyBorder="0">
      <alignment horizontal="right" vertical="center"/>
    </xf>
    <xf numFmtId="0" fontId="116" fillId="41" borderId="53">
      <alignment horizontal="right" vertical="center"/>
    </xf>
    <xf numFmtId="0" fontId="111" fillId="41" borderId="53">
      <alignment horizontal="right" vertical="center"/>
    </xf>
    <xf numFmtId="0" fontId="116" fillId="80" borderId="53">
      <alignment horizontal="right" vertical="center"/>
    </xf>
    <xf numFmtId="0" fontId="116" fillId="80" borderId="53">
      <alignment horizontal="right" vertical="center"/>
    </xf>
    <xf numFmtId="0" fontId="116" fillId="80" borderId="163">
      <alignment horizontal="right" vertical="center"/>
    </xf>
    <xf numFmtId="0" fontId="116" fillId="80" borderId="161">
      <alignment horizontal="right" vertical="center"/>
    </xf>
    <xf numFmtId="0" fontId="116" fillId="80" borderId="70">
      <alignment horizontal="right" vertical="center"/>
    </xf>
    <xf numFmtId="0" fontId="116" fillId="0" borderId="0" applyNumberFormat="0">
      <alignment horizontal="right"/>
    </xf>
    <xf numFmtId="0" fontId="115" fillId="80" borderId="97">
      <alignment horizontal="left" vertical="center" wrapText="1" indent="2"/>
    </xf>
    <xf numFmtId="0" fontId="115" fillId="0" borderId="97">
      <alignment horizontal="left" vertical="center" wrapText="1" indent="2"/>
    </xf>
    <xf numFmtId="0" fontId="115" fillId="41" borderId="161">
      <alignment horizontal="left" vertical="center"/>
    </xf>
    <xf numFmtId="0" fontId="116" fillId="0" borderId="166">
      <alignment horizontal="left" vertical="top" wrapText="1"/>
    </xf>
    <xf numFmtId="0" fontId="113" fillId="0" borderId="42"/>
    <xf numFmtId="0" fontId="110" fillId="0" borderId="0" applyNumberFormat="0" applyFill="0" applyBorder="0" applyAlignment="0" applyProtection="0"/>
    <xf numFmtId="4" fontId="115" fillId="0" borderId="0" applyBorder="0">
      <alignment horizontal="right" vertical="center"/>
    </xf>
    <xf numFmtId="0" fontId="115" fillId="0" borderId="53">
      <alignment horizontal="right" vertical="center"/>
    </xf>
    <xf numFmtId="1" fontId="117" fillId="41" borderId="0" applyBorder="0">
      <alignment horizontal="right" vertical="center"/>
    </xf>
    <xf numFmtId="4" fontId="115" fillId="0" borderId="0" applyFill="0" applyBorder="0" applyProtection="0">
      <alignment horizontal="right" vertical="center"/>
    </xf>
    <xf numFmtId="0" fontId="114" fillId="0" borderId="0" applyNumberFormat="0" applyFill="0" applyBorder="0" applyProtection="0">
      <alignment horizontal="left" vertical="center"/>
    </xf>
    <xf numFmtId="0" fontId="115" fillId="0" borderId="53" applyNumberFormat="0" applyFill="0" applyAlignment="0" applyProtection="0"/>
    <xf numFmtId="0" fontId="113" fillId="81" borderId="0" applyNumberFormat="0" applyFont="0" applyBorder="0" applyAlignment="0" applyProtection="0"/>
    <xf numFmtId="0" fontId="20" fillId="0" borderId="0"/>
    <xf numFmtId="0" fontId="115" fillId="81" borderId="53"/>
    <xf numFmtId="0" fontId="112" fillId="0" borderId="0"/>
    <xf numFmtId="0" fontId="118" fillId="0" borderId="0" applyNumberFormat="0" applyFill="0" applyBorder="0" applyAlignment="0" applyProtection="0"/>
    <xf numFmtId="0" fontId="115" fillId="0" borderId="0"/>
    <xf numFmtId="0" fontId="145" fillId="0" borderId="0"/>
    <xf numFmtId="0" fontId="152" fillId="0" borderId="0"/>
    <xf numFmtId="0" fontId="153" fillId="0" borderId="0" applyNumberFormat="0" applyFill="0" applyBorder="0" applyAlignment="0" applyProtection="0">
      <alignment vertical="top"/>
      <protection locked="0"/>
    </xf>
    <xf numFmtId="0" fontId="155" fillId="0" borderId="0" applyNumberFormat="0" applyFill="0" applyBorder="0" applyAlignment="0" applyProtection="0">
      <alignment vertical="top"/>
      <protection locked="0"/>
    </xf>
    <xf numFmtId="0" fontId="156" fillId="0" borderId="0" applyNumberFormat="0" applyFill="0" applyBorder="0" applyAlignment="0" applyProtection="0">
      <alignment vertical="top"/>
      <protection locked="0"/>
    </xf>
    <xf numFmtId="0" fontId="153" fillId="0" borderId="0" applyNumberFormat="0" applyFill="0" applyBorder="0" applyAlignment="0" applyProtection="0">
      <alignment vertical="top"/>
      <protection locked="0"/>
    </xf>
    <xf numFmtId="0" fontId="154" fillId="0" borderId="0"/>
    <xf numFmtId="0" fontId="20" fillId="0" borderId="0"/>
  </cellStyleXfs>
  <cellXfs count="1426">
    <xf numFmtId="0" fontId="0" fillId="0" borderId="0" xfId="0"/>
    <xf numFmtId="0" fontId="3" fillId="0" borderId="0" xfId="0" applyFont="1" applyAlignment="1">
      <alignment horizontal="center" vertical="top"/>
    </xf>
    <xf numFmtId="14" fontId="4" fillId="0" borderId="0" xfId="0" applyNumberFormat="1" applyFont="1" applyAlignment="1" applyProtection="1">
      <alignment horizontal="right" vertical="top"/>
      <protection hidden="1"/>
    </xf>
    <xf numFmtId="0" fontId="0" fillId="0" borderId="0" xfId="0" applyAlignment="1">
      <alignment horizontal="left"/>
    </xf>
    <xf numFmtId="0" fontId="5" fillId="0" borderId="0" xfId="0" applyFont="1"/>
    <xf numFmtId="0" fontId="2" fillId="0" borderId="0" xfId="0" applyFont="1" applyAlignment="1">
      <alignment horizontal="left"/>
    </xf>
    <xf numFmtId="0" fontId="9" fillId="0" borderId="0" xfId="0" applyFont="1"/>
    <xf numFmtId="0" fontId="10" fillId="0" borderId="0" xfId="0" applyNumberFormat="1" applyFont="1" applyAlignment="1">
      <alignment horizontal="center"/>
    </xf>
    <xf numFmtId="3" fontId="11" fillId="0" borderId="0" xfId="0" applyNumberFormat="1" applyFont="1" applyAlignment="1">
      <alignment horizontal="center"/>
    </xf>
    <xf numFmtId="0" fontId="0" fillId="0" borderId="0" xfId="0" applyAlignment="1">
      <alignment horizontal="center"/>
    </xf>
    <xf numFmtId="3" fontId="0" fillId="12" borderId="53" xfId="0" applyNumberFormat="1" applyFill="1" applyBorder="1"/>
    <xf numFmtId="0" fontId="14" fillId="0" borderId="0" xfId="0" applyFont="1"/>
    <xf numFmtId="0" fontId="0" fillId="0" borderId="43" xfId="0" applyBorder="1"/>
    <xf numFmtId="0" fontId="13" fillId="0" borderId="0" xfId="0" applyFont="1"/>
    <xf numFmtId="164" fontId="0" fillId="0" borderId="0" xfId="0" applyNumberFormat="1"/>
    <xf numFmtId="3" fontId="2" fillId="0" borderId="10" xfId="0" applyNumberFormat="1" applyFont="1" applyBorder="1" applyAlignment="1">
      <alignment horizontal="center" vertical="center"/>
    </xf>
    <xf numFmtId="0" fontId="0" fillId="0" borderId="0" xfId="0"/>
    <xf numFmtId="0" fontId="0" fillId="0" borderId="0" xfId="0" applyBorder="1"/>
    <xf numFmtId="0" fontId="0" fillId="0" borderId="42" xfId="0" applyBorder="1"/>
    <xf numFmtId="3" fontId="0" fillId="0" borderId="0" xfId="0" applyNumberFormat="1"/>
    <xf numFmtId="0" fontId="23" fillId="0" borderId="0" xfId="0" applyFont="1"/>
    <xf numFmtId="0" fontId="0" fillId="0" borderId="73" xfId="0" applyBorder="1"/>
    <xf numFmtId="0" fontId="0" fillId="0" borderId="10" xfId="0" applyBorder="1"/>
    <xf numFmtId="0" fontId="12" fillId="0" borderId="0" xfId="0" applyFont="1" applyFill="1" applyBorder="1" applyAlignment="1">
      <alignment horizontal="left" indent="1"/>
    </xf>
    <xf numFmtId="0" fontId="2" fillId="0" borderId="2" xfId="0" applyFont="1" applyBorder="1" applyAlignment="1">
      <alignment vertical="center"/>
    </xf>
    <xf numFmtId="0" fontId="2" fillId="0" borderId="17" xfId="0" applyFont="1" applyBorder="1" applyAlignment="1">
      <alignment vertical="center"/>
    </xf>
    <xf numFmtId="0" fontId="2" fillId="0" borderId="9" xfId="0" applyFont="1" applyBorder="1" applyAlignment="1">
      <alignment vertical="center"/>
    </xf>
    <xf numFmtId="0" fontId="3" fillId="0" borderId="0" xfId="0" applyFont="1" applyAlignment="1">
      <alignment horizontal="center" vertical="top"/>
    </xf>
    <xf numFmtId="0" fontId="2" fillId="0" borderId="7" xfId="0" applyFont="1" applyBorder="1" applyAlignment="1">
      <alignment vertical="center"/>
    </xf>
    <xf numFmtId="0" fontId="7" fillId="0" borderId="18" xfId="0" applyFont="1" applyBorder="1" applyAlignment="1">
      <alignment horizontal="center" vertical="center"/>
    </xf>
    <xf numFmtId="164" fontId="8" fillId="3" borderId="21" xfId="0" applyNumberFormat="1" applyFont="1" applyFill="1" applyBorder="1" applyAlignment="1">
      <alignment horizontal="center" vertical="center"/>
    </xf>
    <xf numFmtId="0" fontId="2" fillId="0" borderId="6" xfId="0" applyFont="1" applyBorder="1" applyAlignment="1">
      <alignment vertical="center"/>
    </xf>
    <xf numFmtId="164" fontId="2" fillId="0" borderId="13" xfId="0" applyNumberFormat="1" applyFont="1" applyBorder="1" applyAlignment="1">
      <alignment horizontal="center" vertical="center"/>
    </xf>
    <xf numFmtId="164" fontId="2" fillId="0" borderId="23" xfId="0" applyNumberFormat="1" applyFont="1" applyBorder="1" applyAlignment="1">
      <alignment horizontal="center" vertical="center"/>
    </xf>
    <xf numFmtId="0" fontId="2" fillId="0" borderId="19" xfId="0" applyFont="1" applyBorder="1" applyAlignment="1">
      <alignment vertical="center"/>
    </xf>
    <xf numFmtId="0" fontId="2" fillId="0" borderId="42" xfId="0" applyFont="1" applyBorder="1" applyAlignment="1">
      <alignment vertical="center"/>
    </xf>
    <xf numFmtId="0" fontId="2" fillId="0" borderId="41" xfId="0" applyFont="1" applyBorder="1" applyAlignment="1">
      <alignment vertical="center" textRotation="90"/>
    </xf>
    <xf numFmtId="0" fontId="2" fillId="0" borderId="30" xfId="0" applyFont="1" applyBorder="1" applyAlignment="1">
      <alignment vertical="center"/>
    </xf>
    <xf numFmtId="3" fontId="2" fillId="0" borderId="8" xfId="0" applyNumberFormat="1" applyFont="1" applyBorder="1" applyAlignment="1">
      <alignment horizontal="center" vertical="center"/>
    </xf>
    <xf numFmtId="3" fontId="2" fillId="0" borderId="9" xfId="0" applyNumberFormat="1" applyFont="1" applyBorder="1" applyAlignment="1">
      <alignment horizontal="center" vertical="center"/>
    </xf>
    <xf numFmtId="3" fontId="9" fillId="0" borderId="10" xfId="0" applyNumberFormat="1" applyFont="1" applyBorder="1" applyAlignment="1">
      <alignment horizontal="center" vertical="center"/>
    </xf>
    <xf numFmtId="3" fontId="9" fillId="0" borderId="11" xfId="0" applyNumberFormat="1" applyFont="1" applyBorder="1" applyAlignment="1">
      <alignment horizontal="center" vertical="center"/>
    </xf>
    <xf numFmtId="3" fontId="2" fillId="0" borderId="11" xfId="0" applyNumberFormat="1" applyFont="1" applyBorder="1" applyAlignment="1">
      <alignment vertical="center"/>
    </xf>
    <xf numFmtId="3" fontId="9" fillId="0" borderId="12" xfId="0" applyNumberFormat="1" applyFont="1" applyBorder="1" applyAlignment="1">
      <alignment horizontal="center" vertical="center"/>
    </xf>
    <xf numFmtId="3" fontId="2" fillId="0" borderId="31" xfId="0" applyNumberFormat="1" applyFont="1" applyBorder="1" applyAlignment="1">
      <alignment horizontal="center" vertical="center"/>
    </xf>
    <xf numFmtId="3" fontId="2" fillId="0" borderId="19"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0" xfId="0" applyNumberFormat="1" applyFont="1" applyBorder="1" applyAlignment="1">
      <alignment horizontal="center" vertical="center"/>
    </xf>
    <xf numFmtId="3" fontId="2" fillId="0" borderId="23" xfId="0" applyNumberFormat="1" applyFont="1" applyBorder="1" applyAlignment="1">
      <alignment horizontal="center" vertical="center"/>
    </xf>
    <xf numFmtId="3" fontId="2" fillId="0" borderId="46" xfId="0" applyNumberFormat="1" applyFont="1" applyBorder="1" applyAlignment="1">
      <alignment horizontal="center" vertical="center"/>
    </xf>
    <xf numFmtId="164" fontId="0" fillId="0" borderId="0" xfId="0" applyNumberFormat="1" applyBorder="1" applyAlignment="1">
      <alignment horizontal="center"/>
    </xf>
    <xf numFmtId="164" fontId="0" fillId="0" borderId="0" xfId="0" applyNumberFormat="1" applyBorder="1"/>
    <xf numFmtId="0" fontId="0" fillId="0" borderId="1" xfId="0" applyBorder="1"/>
    <xf numFmtId="0" fontId="2" fillId="0" borderId="1" xfId="0" applyFont="1" applyBorder="1"/>
    <xf numFmtId="0" fontId="0" fillId="0" borderId="0" xfId="0" applyAlignment="1">
      <alignment horizontal="left"/>
    </xf>
    <xf numFmtId="0" fontId="6" fillId="0" borderId="1" xfId="0" applyFont="1" applyBorder="1" applyAlignment="1">
      <alignment horizontal="center"/>
    </xf>
    <xf numFmtId="0" fontId="2" fillId="6" borderId="25" xfId="0" applyFont="1" applyFill="1" applyBorder="1" applyAlignment="1">
      <alignment vertical="center"/>
    </xf>
    <xf numFmtId="3" fontId="2" fillId="6" borderId="28" xfId="0" applyNumberFormat="1" applyFont="1" applyFill="1" applyBorder="1" applyAlignment="1">
      <alignment horizontal="center" vertical="center"/>
    </xf>
    <xf numFmtId="0" fontId="2" fillId="7" borderId="32" xfId="0" applyFont="1" applyFill="1" applyBorder="1" applyAlignment="1">
      <alignment vertical="center"/>
    </xf>
    <xf numFmtId="3" fontId="2" fillId="7" borderId="37" xfId="0" applyNumberFormat="1" applyFont="1" applyFill="1" applyBorder="1" applyAlignment="1">
      <alignment horizontal="center" vertical="center"/>
    </xf>
    <xf numFmtId="0" fontId="2" fillId="8" borderId="32" xfId="0" applyFont="1" applyFill="1" applyBorder="1" applyAlignment="1">
      <alignment vertical="center"/>
    </xf>
    <xf numFmtId="3" fontId="2" fillId="8" borderId="37" xfId="0" applyNumberFormat="1" applyFont="1" applyFill="1" applyBorder="1" applyAlignment="1">
      <alignment horizontal="center" vertical="center"/>
    </xf>
    <xf numFmtId="0" fontId="2" fillId="9" borderId="33" xfId="0" applyFont="1" applyFill="1" applyBorder="1" applyAlignment="1">
      <alignment vertical="center"/>
    </xf>
    <xf numFmtId="3" fontId="2" fillId="9" borderId="37" xfId="0" applyNumberFormat="1" applyFont="1" applyFill="1" applyBorder="1" applyAlignment="1">
      <alignment horizontal="center" vertical="center"/>
    </xf>
    <xf numFmtId="0" fontId="2" fillId="10" borderId="33" xfId="0" applyFont="1" applyFill="1" applyBorder="1" applyAlignment="1">
      <alignment vertical="center"/>
    </xf>
    <xf numFmtId="3" fontId="2" fillId="10" borderId="37" xfId="0" applyNumberFormat="1" applyFont="1" applyFill="1" applyBorder="1" applyAlignment="1">
      <alignment horizontal="center" vertical="center"/>
    </xf>
    <xf numFmtId="0" fontId="0" fillId="0" borderId="22" xfId="0" applyBorder="1"/>
    <xf numFmtId="0" fontId="0" fillId="0" borderId="62" xfId="0" applyBorder="1"/>
    <xf numFmtId="0" fontId="0" fillId="0" borderId="48" xfId="0" applyBorder="1"/>
    <xf numFmtId="3" fontId="0" fillId="0" borderId="0" xfId="0" applyNumberFormat="1" applyBorder="1"/>
    <xf numFmtId="0" fontId="6" fillId="0" borderId="3" xfId="0" applyFont="1" applyBorder="1" applyAlignment="1">
      <alignment horizontal="center" vertical="center"/>
    </xf>
    <xf numFmtId="0" fontId="42" fillId="0" borderId="0" xfId="0" applyFont="1"/>
    <xf numFmtId="0" fontId="41" fillId="0" borderId="2" xfId="0" applyFont="1" applyBorder="1" applyAlignment="1">
      <alignment vertical="center"/>
    </xf>
    <xf numFmtId="0" fontId="43" fillId="0" borderId="3" xfId="0" applyFont="1" applyBorder="1" applyAlignment="1">
      <alignment horizontal="center" vertical="center"/>
    </xf>
    <xf numFmtId="0" fontId="41" fillId="0" borderId="6" xfId="0" applyFont="1" applyBorder="1" applyAlignment="1">
      <alignment vertical="center"/>
    </xf>
    <xf numFmtId="0" fontId="41" fillId="0" borderId="7" xfId="0" applyFont="1" applyBorder="1" applyAlignment="1">
      <alignment vertical="center"/>
    </xf>
    <xf numFmtId="0" fontId="23" fillId="0" borderId="0" xfId="0" applyFont="1" applyBorder="1"/>
    <xf numFmtId="164" fontId="41" fillId="0" borderId="13" xfId="0" applyNumberFormat="1" applyFont="1" applyBorder="1" applyAlignment="1">
      <alignment horizontal="center" vertical="center"/>
    </xf>
    <xf numFmtId="0" fontId="41" fillId="0" borderId="17" xfId="0" applyFont="1" applyBorder="1" applyAlignment="1">
      <alignment vertical="center"/>
    </xf>
    <xf numFmtId="0" fontId="44" fillId="0" borderId="18" xfId="0" applyFont="1" applyBorder="1" applyAlignment="1">
      <alignment horizontal="center" vertical="center"/>
    </xf>
    <xf numFmtId="164" fontId="45" fillId="3" borderId="21" xfId="0" applyNumberFormat="1" applyFont="1" applyFill="1" applyBorder="1" applyAlignment="1">
      <alignment horizontal="center" vertical="center"/>
    </xf>
    <xf numFmtId="164" fontId="41" fillId="0" borderId="23" xfId="0" applyNumberFormat="1" applyFont="1" applyBorder="1" applyAlignment="1">
      <alignment horizontal="center" vertical="center"/>
    </xf>
    <xf numFmtId="0" fontId="41" fillId="6" borderId="25" xfId="0" applyFont="1" applyFill="1" applyBorder="1" applyAlignment="1">
      <alignment vertical="center"/>
    </xf>
    <xf numFmtId="3" fontId="41" fillId="6" borderId="28" xfId="0" applyNumberFormat="1" applyFont="1" applyFill="1" applyBorder="1" applyAlignment="1">
      <alignment horizontal="center" vertical="center"/>
    </xf>
    <xf numFmtId="0" fontId="41" fillId="0" borderId="30" xfId="0" applyFont="1" applyBorder="1" applyAlignment="1">
      <alignment vertical="center"/>
    </xf>
    <xf numFmtId="3" fontId="41" fillId="0" borderId="9" xfId="0" applyNumberFormat="1" applyFont="1" applyBorder="1" applyAlignment="1">
      <alignment horizontal="center" vertical="center"/>
    </xf>
    <xf numFmtId="3" fontId="46" fillId="0" borderId="10" xfId="0" applyNumberFormat="1" applyFont="1" applyBorder="1" applyAlignment="1">
      <alignment horizontal="center" vertical="center"/>
    </xf>
    <xf numFmtId="3" fontId="46" fillId="0" borderId="11" xfId="0" applyNumberFormat="1" applyFont="1" applyBorder="1" applyAlignment="1">
      <alignment horizontal="center" vertical="center"/>
    </xf>
    <xf numFmtId="3" fontId="46" fillId="0" borderId="12" xfId="0" applyNumberFormat="1" applyFont="1" applyBorder="1" applyAlignment="1">
      <alignment horizontal="center" vertical="center"/>
    </xf>
    <xf numFmtId="3" fontId="41" fillId="0" borderId="31" xfId="0" applyNumberFormat="1" applyFont="1" applyBorder="1" applyAlignment="1">
      <alignment horizontal="center" vertical="center"/>
    </xf>
    <xf numFmtId="0" fontId="41" fillId="7" borderId="32" xfId="0" applyFont="1" applyFill="1" applyBorder="1" applyAlignment="1">
      <alignment vertical="center"/>
    </xf>
    <xf numFmtId="3" fontId="41" fillId="7" borderId="37" xfId="0" applyNumberFormat="1" applyFont="1" applyFill="1" applyBorder="1" applyAlignment="1">
      <alignment horizontal="center" vertical="center"/>
    </xf>
    <xf numFmtId="0" fontId="41" fillId="8" borderId="32" xfId="0" applyFont="1" applyFill="1" applyBorder="1" applyAlignment="1">
      <alignment vertical="center"/>
    </xf>
    <xf numFmtId="3" fontId="41" fillId="8" borderId="37" xfId="0" applyNumberFormat="1" applyFont="1" applyFill="1" applyBorder="1" applyAlignment="1">
      <alignment horizontal="center" vertical="center"/>
    </xf>
    <xf numFmtId="0" fontId="41" fillId="9" borderId="33" xfId="0" applyFont="1" applyFill="1" applyBorder="1" applyAlignment="1">
      <alignment vertical="center"/>
    </xf>
    <xf numFmtId="3" fontId="41" fillId="9" borderId="37" xfId="0" applyNumberFormat="1" applyFont="1" applyFill="1" applyBorder="1" applyAlignment="1">
      <alignment horizontal="center" vertical="center"/>
    </xf>
    <xf numFmtId="0" fontId="41" fillId="0" borderId="9" xfId="0" applyFont="1" applyBorder="1" applyAlignment="1">
      <alignment vertical="center"/>
    </xf>
    <xf numFmtId="0" fontId="41" fillId="10" borderId="33" xfId="0" applyFont="1" applyFill="1" applyBorder="1" applyAlignment="1">
      <alignment vertical="center"/>
    </xf>
    <xf numFmtId="3" fontId="41" fillId="10" borderId="37" xfId="0" applyNumberFormat="1" applyFont="1" applyFill="1" applyBorder="1" applyAlignment="1">
      <alignment horizontal="center" vertical="center"/>
    </xf>
    <xf numFmtId="0" fontId="41" fillId="0" borderId="19" xfId="0" applyFont="1" applyBorder="1" applyAlignment="1">
      <alignment vertical="center"/>
    </xf>
    <xf numFmtId="3" fontId="41" fillId="0" borderId="19" xfId="0" applyNumberFormat="1" applyFont="1" applyBorder="1" applyAlignment="1">
      <alignment horizontal="center" vertical="center"/>
    </xf>
    <xf numFmtId="3" fontId="46" fillId="0" borderId="22" xfId="0" applyNumberFormat="1" applyFont="1" applyBorder="1" applyAlignment="1">
      <alignment horizontal="center" vertical="center"/>
    </xf>
    <xf numFmtId="3" fontId="46" fillId="0" borderId="20" xfId="0" applyNumberFormat="1" applyFont="1" applyBorder="1" applyAlignment="1">
      <alignment horizontal="center" vertical="center"/>
    </xf>
    <xf numFmtId="3" fontId="41" fillId="0" borderId="23" xfId="0" applyNumberFormat="1" applyFont="1" applyBorder="1" applyAlignment="1">
      <alignment horizontal="center" vertical="center"/>
    </xf>
    <xf numFmtId="0" fontId="41" fillId="0" borderId="41" xfId="0" applyFont="1" applyBorder="1" applyAlignment="1">
      <alignment vertical="center" textRotation="90"/>
    </xf>
    <xf numFmtId="0" fontId="41" fillId="0" borderId="42" xfId="0" applyFont="1" applyBorder="1" applyAlignment="1">
      <alignment vertical="center"/>
    </xf>
    <xf numFmtId="3" fontId="41" fillId="0" borderId="46" xfId="0" applyNumberFormat="1" applyFont="1" applyBorder="1" applyAlignment="1">
      <alignment horizontal="center" vertical="center"/>
    </xf>
    <xf numFmtId="0" fontId="0" fillId="0" borderId="0" xfId="0" applyAlignment="1">
      <alignment horizontal="center"/>
    </xf>
    <xf numFmtId="3" fontId="2" fillId="0" borderId="22" xfId="0" applyNumberFormat="1" applyFont="1" applyBorder="1" applyAlignment="1">
      <alignment horizontal="center" vertical="center"/>
    </xf>
    <xf numFmtId="3" fontId="2" fillId="0" borderId="11" xfId="0" applyNumberFormat="1" applyFont="1" applyBorder="1" applyAlignment="1">
      <alignment horizontal="center" vertical="center"/>
    </xf>
    <xf numFmtId="3" fontId="2" fillId="0" borderId="48" xfId="0" applyNumberFormat="1" applyFont="1" applyBorder="1" applyAlignment="1">
      <alignment horizontal="center" vertical="center"/>
    </xf>
    <xf numFmtId="3" fontId="2" fillId="0" borderId="20" xfId="0" applyNumberFormat="1" applyFont="1" applyBorder="1" applyAlignment="1">
      <alignment horizontal="center" vertical="center"/>
    </xf>
    <xf numFmtId="3" fontId="2" fillId="0" borderId="10" xfId="0" applyNumberFormat="1" applyFont="1" applyBorder="1" applyAlignment="1">
      <alignment vertical="center"/>
    </xf>
    <xf numFmtId="3" fontId="2" fillId="0" borderId="9" xfId="0" applyNumberFormat="1" applyFont="1" applyBorder="1" applyAlignment="1">
      <alignment vertical="center"/>
    </xf>
    <xf numFmtId="0" fontId="0" fillId="0" borderId="2" xfId="0" applyBorder="1"/>
    <xf numFmtId="0" fontId="0" fillId="0" borderId="3" xfId="0" applyBorder="1"/>
    <xf numFmtId="0" fontId="0" fillId="0" borderId="17" xfId="0" applyBorder="1"/>
    <xf numFmtId="0" fontId="0" fillId="0" borderId="20" xfId="0" applyBorder="1"/>
    <xf numFmtId="164" fontId="2" fillId="4" borderId="19" xfId="0" applyNumberFormat="1" applyFont="1" applyFill="1" applyBorder="1" applyAlignment="1">
      <alignment vertical="center"/>
    </xf>
    <xf numFmtId="164" fontId="8" fillId="4" borderId="22" xfId="0" applyNumberFormat="1" applyFont="1" applyFill="1" applyBorder="1" applyAlignment="1">
      <alignment horizontal="center" vertical="center"/>
    </xf>
    <xf numFmtId="164" fontId="8" fillId="4" borderId="93" xfId="0" applyNumberFormat="1" applyFont="1" applyFill="1" applyBorder="1" applyAlignment="1">
      <alignment horizontal="center" vertical="center"/>
    </xf>
    <xf numFmtId="0" fontId="0" fillId="0" borderId="94" xfId="0" applyBorder="1"/>
    <xf numFmtId="0" fontId="2" fillId="0" borderId="62" xfId="0" applyFont="1" applyBorder="1"/>
    <xf numFmtId="0" fontId="0" fillId="0" borderId="7" xfId="0" applyBorder="1"/>
    <xf numFmtId="0" fontId="9" fillId="0" borderId="0" xfId="0" applyFont="1" applyBorder="1" applyAlignment="1">
      <alignment horizontal="left" indent="1"/>
    </xf>
    <xf numFmtId="3" fontId="2" fillId="0" borderId="14" xfId="0" applyNumberFormat="1" applyFont="1" applyBorder="1" applyAlignment="1">
      <alignment vertical="center"/>
    </xf>
    <xf numFmtId="3" fontId="9" fillId="0" borderId="0"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0" fillId="0" borderId="96" xfId="0" applyBorder="1"/>
    <xf numFmtId="0" fontId="9" fillId="0" borderId="10" xfId="0" applyFont="1" applyBorder="1" applyAlignment="1">
      <alignment horizontal="left" indent="1"/>
    </xf>
    <xf numFmtId="0" fontId="0" fillId="0" borderId="9" xfId="0" applyBorder="1"/>
    <xf numFmtId="3" fontId="9" fillId="0" borderId="50" xfId="0" applyNumberFormat="1" applyFont="1" applyBorder="1" applyAlignment="1">
      <alignment horizontal="center" vertical="center"/>
    </xf>
    <xf numFmtId="0" fontId="0" fillId="0" borderId="97" xfId="0" applyBorder="1"/>
    <xf numFmtId="0" fontId="9" fillId="0" borderId="1" xfId="0" applyFont="1" applyBorder="1" applyAlignment="1">
      <alignment horizontal="left" indent="1"/>
    </xf>
    <xf numFmtId="3" fontId="9" fillId="0" borderId="1" xfId="0" applyNumberFormat="1" applyFont="1" applyBorder="1" applyAlignment="1">
      <alignment horizontal="center" vertical="center"/>
    </xf>
    <xf numFmtId="3" fontId="9" fillId="0" borderId="74" xfId="0" applyNumberFormat="1" applyFont="1" applyBorder="1" applyAlignment="1">
      <alignment horizontal="center" vertical="center"/>
    </xf>
    <xf numFmtId="3" fontId="9" fillId="0" borderId="98" xfId="0" applyNumberFormat="1" applyFont="1" applyBorder="1" applyAlignment="1">
      <alignment horizontal="center" vertical="center"/>
    </xf>
    <xf numFmtId="0" fontId="0" fillId="0" borderId="51" xfId="0" applyBorder="1"/>
    <xf numFmtId="0" fontId="9" fillId="0" borderId="42" xfId="0" applyFont="1" applyBorder="1" applyAlignment="1">
      <alignment horizontal="left" indent="1"/>
    </xf>
    <xf numFmtId="3" fontId="9" fillId="0" borderId="34" xfId="0" applyNumberFormat="1" applyFont="1" applyBorder="1" applyAlignment="1">
      <alignment horizontal="center" vertical="center"/>
    </xf>
    <xf numFmtId="3" fontId="9" fillId="0" borderId="59" xfId="0" applyNumberFormat="1" applyFont="1" applyBorder="1" applyAlignment="1">
      <alignment horizontal="center" vertical="center"/>
    </xf>
    <xf numFmtId="164" fontId="8" fillId="4" borderId="21" xfId="0" applyNumberFormat="1" applyFont="1" applyFill="1" applyBorder="1" applyAlignment="1">
      <alignment horizontal="center" vertical="center"/>
    </xf>
    <xf numFmtId="3" fontId="9" fillId="0" borderId="35" xfId="0" applyNumberFormat="1" applyFont="1" applyBorder="1" applyAlignment="1">
      <alignment horizontal="center" vertical="center"/>
    </xf>
    <xf numFmtId="0" fontId="0" fillId="0" borderId="0" xfId="0" applyAlignment="1">
      <alignment horizontal="left" indent="1"/>
    </xf>
    <xf numFmtId="0" fontId="47" fillId="0" borderId="0" xfId="0" applyFont="1"/>
    <xf numFmtId="3" fontId="47" fillId="0" borderId="0" xfId="0" applyNumberFormat="1" applyFont="1"/>
    <xf numFmtId="0" fontId="47" fillId="0" borderId="16" xfId="0" applyFont="1" applyBorder="1" applyAlignment="1">
      <alignment horizontal="center"/>
    </xf>
    <xf numFmtId="164" fontId="8" fillId="5" borderId="99" xfId="0" applyNumberFormat="1" applyFont="1" applyFill="1" applyBorder="1" applyAlignment="1">
      <alignment horizontal="center" vertical="center"/>
    </xf>
    <xf numFmtId="164" fontId="45" fillId="5" borderId="22" xfId="0" applyNumberFormat="1" applyFont="1" applyFill="1" applyBorder="1" applyAlignment="1">
      <alignment horizontal="center" vertical="center"/>
    </xf>
    <xf numFmtId="0" fontId="0" fillId="0" borderId="0" xfId="0" applyAlignment="1">
      <alignment horizontal="center"/>
    </xf>
    <xf numFmtId="0" fontId="47" fillId="0" borderId="0" xfId="0" applyFont="1" applyAlignment="1">
      <alignment horizontal="center"/>
    </xf>
    <xf numFmtId="3" fontId="2" fillId="0" borderId="8" xfId="0" applyNumberFormat="1" applyFont="1" applyBorder="1" applyAlignment="1">
      <alignment horizontal="center" vertical="center"/>
    </xf>
    <xf numFmtId="3" fontId="2" fillId="0" borderId="10" xfId="0" applyNumberFormat="1" applyFont="1" applyBorder="1" applyAlignment="1">
      <alignment horizontal="center" vertical="center"/>
    </xf>
    <xf numFmtId="0" fontId="0" fillId="0" borderId="100" xfId="0" applyBorder="1" applyAlignment="1">
      <alignment horizontal="left" indent="3"/>
    </xf>
    <xf numFmtId="0" fontId="0" fillId="0" borderId="101" xfId="0" applyBorder="1"/>
    <xf numFmtId="166" fontId="2" fillId="0" borderId="62" xfId="0" applyNumberFormat="1" applyFont="1" applyBorder="1" applyAlignment="1">
      <alignment horizontal="center"/>
    </xf>
    <xf numFmtId="166" fontId="2" fillId="0" borderId="1" xfId="0" applyNumberFormat="1" applyFont="1" applyBorder="1" applyAlignment="1">
      <alignment horizontal="center"/>
    </xf>
    <xf numFmtId="166" fontId="2" fillId="0" borderId="42" xfId="0" applyNumberFormat="1" applyFont="1" applyBorder="1" applyAlignment="1">
      <alignment horizontal="center"/>
    </xf>
    <xf numFmtId="0" fontId="0" fillId="0" borderId="2" xfId="0" applyBorder="1" applyAlignment="1">
      <alignment horizontal="left" indent="3"/>
    </xf>
    <xf numFmtId="0" fontId="2" fillId="0" borderId="3" xfId="0" applyFont="1" applyBorder="1" applyAlignment="1">
      <alignment horizontal="center"/>
    </xf>
    <xf numFmtId="0" fontId="2" fillId="0" borderId="22" xfId="0" applyFont="1" applyBorder="1" applyAlignment="1">
      <alignment horizontal="center"/>
    </xf>
    <xf numFmtId="0" fontId="48" fillId="0" borderId="94" xfId="0" applyFont="1" applyBorder="1" applyAlignment="1">
      <alignment horizontal="left" indent="1"/>
    </xf>
    <xf numFmtId="0" fontId="48" fillId="0" borderId="97" xfId="0" applyFont="1" applyBorder="1" applyAlignment="1">
      <alignment horizontal="left" indent="2"/>
    </xf>
    <xf numFmtId="0" fontId="48" fillId="0" borderId="102" xfId="0" applyFont="1" applyBorder="1" applyAlignment="1">
      <alignment horizontal="left" indent="2"/>
    </xf>
    <xf numFmtId="0" fontId="0" fillId="0" borderId="103" xfId="0" applyBorder="1"/>
    <xf numFmtId="3" fontId="2" fillId="0" borderId="53" xfId="0" applyNumberFormat="1" applyFont="1" applyFill="1" applyBorder="1"/>
    <xf numFmtId="0" fontId="2" fillId="0" borderId="105" xfId="0" applyFont="1" applyBorder="1" applyAlignment="1">
      <alignment horizontal="center"/>
    </xf>
    <xf numFmtId="0" fontId="0" fillId="0" borderId="106" xfId="0" applyFont="1" applyBorder="1" applyAlignment="1">
      <alignment horizontal="center"/>
    </xf>
    <xf numFmtId="166" fontId="2" fillId="0" borderId="107" xfId="0" applyNumberFormat="1" applyFont="1" applyBorder="1" applyAlignment="1">
      <alignment horizontal="center"/>
    </xf>
    <xf numFmtId="166" fontId="2" fillId="11" borderId="76" xfId="0" applyNumberFormat="1" applyFont="1" applyFill="1" applyBorder="1" applyAlignment="1">
      <alignment horizontal="center"/>
    </xf>
    <xf numFmtId="166" fontId="2" fillId="11" borderId="108" xfId="0" applyNumberFormat="1" applyFont="1" applyFill="1" applyBorder="1" applyAlignment="1">
      <alignment horizontal="center"/>
    </xf>
    <xf numFmtId="0" fontId="2" fillId="0" borderId="109" xfId="0" applyFont="1" applyBorder="1" applyAlignment="1">
      <alignment horizontal="center"/>
    </xf>
    <xf numFmtId="0" fontId="0" fillId="0" borderId="21" xfId="0" applyBorder="1" applyAlignment="1">
      <alignment horizontal="center"/>
    </xf>
    <xf numFmtId="3" fontId="2" fillId="11" borderId="72" xfId="0" applyNumberFormat="1" applyFont="1" applyFill="1" applyBorder="1"/>
    <xf numFmtId="3" fontId="2" fillId="0" borderId="45" xfId="0" applyNumberFormat="1" applyFont="1" applyFill="1" applyBorder="1"/>
    <xf numFmtId="0" fontId="0" fillId="0" borderId="0" xfId="0" applyFill="1" applyBorder="1" applyAlignment="1">
      <alignment horizontal="center"/>
    </xf>
    <xf numFmtId="0" fontId="2" fillId="0" borderId="0" xfId="0" applyFont="1"/>
    <xf numFmtId="166" fontId="0" fillId="0" borderId="0" xfId="0" applyNumberFormat="1"/>
    <xf numFmtId="0" fontId="47" fillId="0" borderId="0" xfId="0" applyFont="1" applyAlignment="1">
      <alignment horizontal="center"/>
    </xf>
    <xf numFmtId="0" fontId="0" fillId="0" borderId="0" xfId="0" applyAlignment="1">
      <alignment horizontal="center"/>
    </xf>
    <xf numFmtId="0" fontId="0" fillId="0" borderId="111" xfId="0" applyBorder="1"/>
    <xf numFmtId="0" fontId="47" fillId="0" borderId="62" xfId="0" applyFont="1" applyBorder="1"/>
    <xf numFmtId="166" fontId="2" fillId="11" borderId="1" xfId="0" applyNumberFormat="1" applyFont="1" applyFill="1" applyBorder="1" applyAlignment="1">
      <alignment horizontal="center"/>
    </xf>
    <xf numFmtId="166" fontId="2" fillId="11" borderId="103" xfId="0" applyNumberFormat="1" applyFont="1" applyFill="1" applyBorder="1" applyAlignment="1">
      <alignment horizontal="center"/>
    </xf>
    <xf numFmtId="166" fontId="2" fillId="11" borderId="98" xfId="0" applyNumberFormat="1" applyFont="1" applyFill="1" applyBorder="1" applyAlignment="1">
      <alignment horizontal="center"/>
    </xf>
    <xf numFmtId="0" fontId="0" fillId="0" borderId="113" xfId="0" applyBorder="1"/>
    <xf numFmtId="166" fontId="2" fillId="11" borderId="70" xfId="0" applyNumberFormat="1" applyFont="1" applyFill="1" applyBorder="1" applyAlignment="1">
      <alignment horizontal="center"/>
    </xf>
    <xf numFmtId="166" fontId="2" fillId="11" borderId="71" xfId="0" applyNumberFormat="1" applyFont="1" applyFill="1" applyBorder="1" applyAlignment="1">
      <alignment horizontal="center"/>
    </xf>
    <xf numFmtId="0" fontId="51" fillId="0" borderId="0" xfId="0" applyFont="1" applyAlignment="1">
      <alignment horizontal="left"/>
    </xf>
    <xf numFmtId="0" fontId="2" fillId="0" borderId="47" xfId="0" applyFont="1" applyBorder="1" applyAlignment="1">
      <alignment horizontal="center"/>
    </xf>
    <xf numFmtId="0" fontId="2" fillId="0" borderId="49" xfId="0" applyFont="1" applyBorder="1" applyAlignment="1">
      <alignment horizontal="center"/>
    </xf>
    <xf numFmtId="0" fontId="2" fillId="0" borderId="95" xfId="0" applyFont="1" applyBorder="1"/>
    <xf numFmtId="166" fontId="2" fillId="11" borderId="104" xfId="0" applyNumberFormat="1" applyFont="1" applyFill="1" applyBorder="1" applyAlignment="1">
      <alignment horizontal="center"/>
    </xf>
    <xf numFmtId="3" fontId="2" fillId="0" borderId="110" xfId="0" applyNumberFormat="1" applyFont="1" applyFill="1" applyBorder="1"/>
    <xf numFmtId="0" fontId="23" fillId="0" borderId="115" xfId="0" applyFont="1" applyBorder="1" applyAlignment="1">
      <alignment vertical="center"/>
    </xf>
    <xf numFmtId="164" fontId="23" fillId="0" borderId="29" xfId="0" applyNumberFormat="1" applyFont="1" applyBorder="1" applyAlignment="1">
      <alignment horizontal="center" vertical="center"/>
    </xf>
    <xf numFmtId="3" fontId="23" fillId="0" borderId="114" xfId="0" applyNumberFormat="1" applyFont="1" applyBorder="1" applyAlignment="1">
      <alignment horizontal="center" vertical="center"/>
    </xf>
    <xf numFmtId="3" fontId="23" fillId="7" borderId="115" xfId="0" applyNumberFormat="1" applyFont="1" applyFill="1" applyBorder="1" applyAlignment="1">
      <alignment horizontal="center" vertical="center"/>
    </xf>
    <xf numFmtId="3" fontId="23" fillId="8" borderId="115" xfId="0" applyNumberFormat="1" applyFont="1" applyFill="1" applyBorder="1" applyAlignment="1">
      <alignment horizontal="center" vertical="center"/>
    </xf>
    <xf numFmtId="3" fontId="23" fillId="9" borderId="115" xfId="0" applyNumberFormat="1" applyFont="1" applyFill="1" applyBorder="1" applyAlignment="1">
      <alignment horizontal="center" vertical="center"/>
    </xf>
    <xf numFmtId="3" fontId="23" fillId="0" borderId="40" xfId="0" applyNumberFormat="1" applyFont="1" applyBorder="1" applyAlignment="1">
      <alignment horizontal="center" vertical="center"/>
    </xf>
    <xf numFmtId="3" fontId="23" fillId="0" borderId="115" xfId="0" applyNumberFormat="1" applyFont="1" applyFill="1" applyBorder="1" applyAlignment="1">
      <alignment horizontal="center" vertical="center"/>
    </xf>
    <xf numFmtId="3" fontId="23" fillId="0" borderId="24" xfId="0" applyNumberFormat="1" applyFont="1" applyFill="1" applyBorder="1" applyAlignment="1">
      <alignment horizontal="center" vertical="center"/>
    </xf>
    <xf numFmtId="0" fontId="41" fillId="0" borderId="51" xfId="0" applyFont="1" applyBorder="1" applyAlignment="1">
      <alignment horizontal="left" indent="1"/>
    </xf>
    <xf numFmtId="0" fontId="41" fillId="0" borderId="42" xfId="0" applyFont="1" applyBorder="1"/>
    <xf numFmtId="2" fontId="41" fillId="0" borderId="71" xfId="0" applyNumberFormat="1" applyFont="1" applyBorder="1" applyAlignment="1">
      <alignment horizontal="center"/>
    </xf>
    <xf numFmtId="164" fontId="0" fillId="36" borderId="53" xfId="0" applyNumberFormat="1" applyFill="1" applyBorder="1"/>
    <xf numFmtId="164" fontId="0" fillId="0" borderId="53" xfId="0" applyNumberFormat="1" applyBorder="1"/>
    <xf numFmtId="164" fontId="0" fillId="11" borderId="53" xfId="0" applyNumberFormat="1" applyFill="1" applyBorder="1"/>
    <xf numFmtId="2" fontId="41" fillId="11" borderId="71" xfId="0" applyNumberFormat="1" applyFont="1" applyFill="1" applyBorder="1" applyAlignment="1">
      <alignment horizontal="center"/>
    </xf>
    <xf numFmtId="0" fontId="47" fillId="0" borderId="0" xfId="0" applyFont="1" applyBorder="1"/>
    <xf numFmtId="0" fontId="47" fillId="0" borderId="73" xfId="0" applyFont="1" applyBorder="1"/>
    <xf numFmtId="0" fontId="47" fillId="0" borderId="74" xfId="0" applyFont="1" applyBorder="1"/>
    <xf numFmtId="3" fontId="47" fillId="11" borderId="53" xfId="0" applyNumberFormat="1" applyFont="1" applyFill="1" applyBorder="1"/>
    <xf numFmtId="0" fontId="47" fillId="36" borderId="53" xfId="0" applyFont="1" applyFill="1" applyBorder="1"/>
    <xf numFmtId="0" fontId="47" fillId="0" borderId="73" xfId="0" applyFont="1" applyBorder="1" applyAlignment="1">
      <alignment horizontal="left" indent="1"/>
    </xf>
    <xf numFmtId="0" fontId="47" fillId="0" borderId="53" xfId="0" quotePrefix="1" applyFont="1" applyBorder="1" applyAlignment="1">
      <alignment horizontal="right"/>
    </xf>
    <xf numFmtId="0" fontId="47" fillId="11" borderId="53" xfId="0" applyFont="1" applyFill="1" applyBorder="1"/>
    <xf numFmtId="3" fontId="47" fillId="0" borderId="53" xfId="0" applyNumberFormat="1" applyFont="1" applyBorder="1"/>
    <xf numFmtId="0" fontId="47" fillId="0" borderId="73" xfId="0" applyFont="1" applyBorder="1" applyAlignment="1">
      <alignment vertical="center"/>
    </xf>
    <xf numFmtId="0" fontId="47" fillId="0" borderId="74" xfId="0" applyFont="1" applyBorder="1" applyAlignment="1">
      <alignment vertical="center"/>
    </xf>
    <xf numFmtId="0" fontId="47" fillId="0" borderId="9" xfId="0" applyFont="1" applyBorder="1" applyAlignment="1">
      <alignment vertical="center"/>
    </xf>
    <xf numFmtId="0" fontId="47" fillId="0" borderId="11" xfId="0" applyFont="1" applyBorder="1" applyAlignment="1">
      <alignment vertical="center"/>
    </xf>
    <xf numFmtId="0" fontId="50" fillId="37" borderId="0" xfId="0" applyFont="1" applyFill="1"/>
    <xf numFmtId="0" fontId="41" fillId="0" borderId="96" xfId="0" applyFont="1" applyBorder="1" applyAlignment="1">
      <alignment horizontal="left" indent="1"/>
    </xf>
    <xf numFmtId="0" fontId="41" fillId="0" borderId="10" xfId="0" applyFont="1" applyBorder="1"/>
    <xf numFmtId="166" fontId="41" fillId="11" borderId="117" xfId="0" applyNumberFormat="1" applyFont="1" applyFill="1" applyBorder="1" applyAlignment="1">
      <alignment horizontal="center"/>
    </xf>
    <xf numFmtId="3" fontId="47" fillId="0" borderId="73" xfId="0" applyNumberFormat="1" applyFont="1" applyBorder="1" applyAlignment="1">
      <alignment horizontal="center"/>
    </xf>
    <xf numFmtId="3" fontId="47" fillId="0" borderId="1" xfId="0" applyNumberFormat="1" applyFont="1" applyBorder="1" applyAlignment="1">
      <alignment horizontal="center"/>
    </xf>
    <xf numFmtId="3" fontId="47" fillId="0" borderId="74" xfId="0" applyNumberFormat="1" applyFont="1" applyBorder="1" applyAlignment="1">
      <alignment horizontal="center"/>
    </xf>
    <xf numFmtId="0" fontId="47" fillId="37" borderId="53" xfId="0" applyFont="1" applyFill="1" applyBorder="1"/>
    <xf numFmtId="0" fontId="0" fillId="0" borderId="1" xfId="0" applyBorder="1" applyAlignment="1">
      <alignment horizontal="left" indent="1"/>
    </xf>
    <xf numFmtId="0" fontId="0" fillId="0" borderId="1" xfId="0" applyBorder="1" applyAlignment="1">
      <alignment vertical="center"/>
    </xf>
    <xf numFmtId="0" fontId="0" fillId="0" borderId="10" xfId="0" applyBorder="1" applyAlignment="1">
      <alignment vertical="center"/>
    </xf>
    <xf numFmtId="0" fontId="0" fillId="0" borderId="32" xfId="0" applyBorder="1" applyAlignment="1">
      <alignment horizontal="center"/>
    </xf>
    <xf numFmtId="0" fontId="0" fillId="0" borderId="119" xfId="0" applyBorder="1" applyAlignment="1">
      <alignment horizontal="center"/>
    </xf>
    <xf numFmtId="0" fontId="0" fillId="0" borderId="16" xfId="0" applyBorder="1" applyAlignment="1">
      <alignment horizontal="center"/>
    </xf>
    <xf numFmtId="0" fontId="0" fillId="0" borderId="120" xfId="0" applyBorder="1"/>
    <xf numFmtId="0" fontId="0" fillId="0" borderId="65" xfId="0" applyBorder="1" applyAlignment="1">
      <alignment horizontal="center"/>
    </xf>
    <xf numFmtId="0" fontId="0" fillId="0" borderId="52" xfId="0" applyBorder="1"/>
    <xf numFmtId="0" fontId="0" fillId="0" borderId="66" xfId="0" applyBorder="1" applyAlignment="1">
      <alignment horizontal="right"/>
    </xf>
    <xf numFmtId="0" fontId="0" fillId="0" borderId="65" xfId="0" applyBorder="1"/>
    <xf numFmtId="0" fontId="0" fillId="0" borderId="97" xfId="0" applyBorder="1" applyAlignment="1">
      <alignment horizontal="left" indent="1"/>
    </xf>
    <xf numFmtId="0" fontId="0" fillId="0" borderId="97" xfId="0" applyBorder="1" applyAlignment="1">
      <alignment vertical="center"/>
    </xf>
    <xf numFmtId="0" fontId="0" fillId="0" borderId="96" xfId="0" applyBorder="1" applyAlignment="1">
      <alignment vertical="center"/>
    </xf>
    <xf numFmtId="0" fontId="0" fillId="0" borderId="42" xfId="0" applyBorder="1" applyAlignment="1">
      <alignment vertical="center"/>
    </xf>
    <xf numFmtId="164" fontId="0" fillId="11" borderId="118" xfId="0" applyNumberFormat="1" applyFill="1" applyBorder="1"/>
    <xf numFmtId="164" fontId="0" fillId="36" borderId="74" xfId="0" applyNumberFormat="1" applyFill="1" applyBorder="1"/>
    <xf numFmtId="164" fontId="0" fillId="36" borderId="118" xfId="0" applyNumberFormat="1" applyFill="1" applyBorder="1"/>
    <xf numFmtId="164" fontId="0" fillId="0" borderId="76" xfId="0" quotePrefix="1" applyNumberFormat="1" applyBorder="1" applyAlignment="1">
      <alignment horizontal="right"/>
    </xf>
    <xf numFmtId="164" fontId="0" fillId="0" borderId="76" xfId="0" applyNumberFormat="1" applyBorder="1"/>
    <xf numFmtId="164" fontId="0" fillId="0" borderId="118" xfId="0" applyNumberFormat="1" applyBorder="1"/>
    <xf numFmtId="164" fontId="0" fillId="36" borderId="76" xfId="0" applyNumberFormat="1" applyFill="1" applyBorder="1"/>
    <xf numFmtId="164" fontId="0" fillId="11" borderId="74" xfId="0" applyNumberFormat="1" applyFill="1" applyBorder="1"/>
    <xf numFmtId="164" fontId="0" fillId="0" borderId="74" xfId="0" applyNumberFormat="1" applyBorder="1"/>
    <xf numFmtId="164" fontId="0" fillId="0" borderId="60" xfId="0" applyNumberFormat="1" applyBorder="1"/>
    <xf numFmtId="164" fontId="0" fillId="0" borderId="73" xfId="0" applyNumberFormat="1" applyBorder="1"/>
    <xf numFmtId="0" fontId="23" fillId="0" borderId="62" xfId="0" applyFont="1" applyBorder="1"/>
    <xf numFmtId="0" fontId="41" fillId="0" borderId="109" xfId="0" applyFont="1" applyBorder="1" applyAlignment="1">
      <alignment horizontal="center"/>
    </xf>
    <xf numFmtId="0" fontId="23" fillId="0" borderId="21" xfId="0" applyFont="1" applyBorder="1" applyAlignment="1">
      <alignment horizontal="center"/>
    </xf>
    <xf numFmtId="166" fontId="41" fillId="11" borderId="53" xfId="0" applyNumberFormat="1" applyFont="1" applyFill="1" applyBorder="1" applyAlignment="1">
      <alignment horizontal="center"/>
    </xf>
    <xf numFmtId="3" fontId="41" fillId="0" borderId="53" xfId="0" applyNumberFormat="1" applyFont="1" applyFill="1" applyBorder="1"/>
    <xf numFmtId="166" fontId="41" fillId="11" borderId="110" xfId="0" applyNumberFormat="1" applyFont="1" applyFill="1" applyBorder="1" applyAlignment="1">
      <alignment horizontal="center"/>
    </xf>
    <xf numFmtId="3" fontId="41" fillId="0" borderId="110" xfId="0" applyNumberFormat="1" applyFont="1" applyFill="1" applyBorder="1"/>
    <xf numFmtId="166" fontId="41" fillId="11" borderId="73" xfId="0" applyNumberFormat="1" applyFont="1" applyFill="1" applyBorder="1" applyAlignment="1">
      <alignment horizontal="center"/>
    </xf>
    <xf numFmtId="3" fontId="41" fillId="0" borderId="122" xfId="0" applyNumberFormat="1" applyFont="1" applyFill="1" applyBorder="1"/>
    <xf numFmtId="3" fontId="41" fillId="0" borderId="39" xfId="0" applyNumberFormat="1" applyFont="1" applyFill="1" applyBorder="1"/>
    <xf numFmtId="3" fontId="41" fillId="0" borderId="112" xfId="0" applyNumberFormat="1" applyFont="1" applyFill="1" applyBorder="1"/>
    <xf numFmtId="0" fontId="41" fillId="0" borderId="0" xfId="0" applyFont="1" applyBorder="1" applyAlignment="1">
      <alignment horizontal="left" indent="1"/>
    </xf>
    <xf numFmtId="0" fontId="41" fillId="0" borderId="97" xfId="0" applyFont="1" applyBorder="1" applyAlignment="1">
      <alignment horizontal="left" indent="1"/>
    </xf>
    <xf numFmtId="0" fontId="41" fillId="0" borderId="1" xfId="0" applyFont="1" applyBorder="1"/>
    <xf numFmtId="2" fontId="41" fillId="11" borderId="70" xfId="0" applyNumberFormat="1" applyFont="1" applyFill="1" applyBorder="1" applyAlignment="1">
      <alignment horizontal="center"/>
    </xf>
    <xf numFmtId="3" fontId="47" fillId="0" borderId="0" xfId="0" applyNumberFormat="1" applyFont="1" applyAlignment="1">
      <alignment horizontal="center"/>
    </xf>
    <xf numFmtId="166" fontId="41" fillId="0" borderId="70" xfId="0" applyNumberFormat="1" applyFont="1" applyBorder="1" applyAlignment="1">
      <alignment horizontal="center"/>
    </xf>
    <xf numFmtId="2" fontId="41" fillId="0" borderId="70" xfId="0" applyNumberFormat="1" applyFont="1" applyBorder="1" applyAlignment="1">
      <alignment horizontal="center"/>
    </xf>
    <xf numFmtId="3" fontId="23" fillId="11" borderId="73" xfId="0" applyNumberFormat="1" applyFont="1" applyFill="1" applyBorder="1" applyAlignment="1"/>
    <xf numFmtId="3" fontId="41" fillId="0" borderId="45" xfId="0" applyNumberFormat="1" applyFont="1" applyFill="1" applyBorder="1"/>
    <xf numFmtId="0" fontId="0" fillId="0" borderId="75" xfId="0" applyBorder="1" applyAlignment="1">
      <alignment horizontal="right"/>
    </xf>
    <xf numFmtId="0" fontId="0" fillId="0" borderId="116" xfId="0" applyBorder="1" applyAlignment="1">
      <alignment horizontal="center"/>
    </xf>
    <xf numFmtId="164" fontId="0" fillId="36" borderId="70" xfId="0" applyNumberFormat="1" applyFill="1" applyBorder="1"/>
    <xf numFmtId="0" fontId="0" fillId="0" borderId="102" xfId="0" applyBorder="1" applyAlignment="1">
      <alignment vertical="center"/>
    </xf>
    <xf numFmtId="166" fontId="0" fillId="11" borderId="118" xfId="0" applyNumberFormat="1" applyFill="1" applyBorder="1" applyAlignment="1">
      <alignment vertical="center"/>
    </xf>
    <xf numFmtId="2" fontId="0" fillId="11" borderId="30" xfId="0" applyNumberFormat="1" applyFill="1" applyBorder="1" applyAlignment="1">
      <alignment vertical="center"/>
    </xf>
    <xf numFmtId="164" fontId="0" fillId="0" borderId="53" xfId="0" applyNumberFormat="1" applyFill="1" applyBorder="1"/>
    <xf numFmtId="164" fontId="0" fillId="0" borderId="70" xfId="0" applyNumberFormat="1" applyFill="1" applyBorder="1"/>
    <xf numFmtId="166" fontId="47" fillId="11" borderId="74" xfId="0" applyNumberFormat="1" applyFont="1" applyFill="1" applyBorder="1" applyAlignment="1">
      <alignment horizontal="center"/>
    </xf>
    <xf numFmtId="0" fontId="0" fillId="0" borderId="100" xfId="0" applyBorder="1"/>
    <xf numFmtId="0" fontId="0" fillId="0" borderId="113" xfId="0" applyFont="1" applyBorder="1" applyAlignment="1">
      <alignment horizontal="center"/>
    </xf>
    <xf numFmtId="0" fontId="48" fillId="0" borderId="96" xfId="0" applyFont="1" applyBorder="1" applyAlignment="1">
      <alignment horizontal="left" indent="1"/>
    </xf>
    <xf numFmtId="166" fontId="2" fillId="0" borderId="117" xfId="0" applyNumberFormat="1" applyFont="1" applyBorder="1" applyAlignment="1">
      <alignment horizontal="center"/>
    </xf>
    <xf numFmtId="166" fontId="2" fillId="0" borderId="70" xfId="0" applyNumberFormat="1" applyFont="1" applyBorder="1" applyAlignment="1">
      <alignment horizontal="center"/>
    </xf>
    <xf numFmtId="166" fontId="2" fillId="0" borderId="123" xfId="0" applyNumberFormat="1" applyFont="1" applyBorder="1" applyAlignment="1">
      <alignment horizontal="center"/>
    </xf>
    <xf numFmtId="166" fontId="0" fillId="0" borderId="113" xfId="0" applyNumberFormat="1" applyFont="1" applyBorder="1" applyAlignment="1">
      <alignment horizontal="center"/>
    </xf>
    <xf numFmtId="0" fontId="41" fillId="0" borderId="10" xfId="0" applyFont="1" applyBorder="1" applyAlignment="1">
      <alignment horizontal="left" indent="1"/>
    </xf>
    <xf numFmtId="166" fontId="41" fillId="0" borderId="117" xfId="0" applyNumberFormat="1" applyFont="1" applyBorder="1" applyAlignment="1">
      <alignment horizontal="center"/>
    </xf>
    <xf numFmtId="0" fontId="41" fillId="0" borderId="1" xfId="0" applyFont="1" applyBorder="1" applyAlignment="1">
      <alignment horizontal="left" indent="1"/>
    </xf>
    <xf numFmtId="0" fontId="41" fillId="0" borderId="102" xfId="0" applyFont="1" applyBorder="1" applyAlignment="1">
      <alignment horizontal="left" indent="1"/>
    </xf>
    <xf numFmtId="0" fontId="41" fillId="0" borderId="103" xfId="0" applyFont="1" applyBorder="1" applyAlignment="1">
      <alignment horizontal="left" indent="1"/>
    </xf>
    <xf numFmtId="0" fontId="41" fillId="0" borderId="103" xfId="0" applyFont="1" applyBorder="1"/>
    <xf numFmtId="166" fontId="41" fillId="0" borderId="123" xfId="0" applyNumberFormat="1" applyFont="1" applyBorder="1" applyAlignment="1">
      <alignment horizontal="center"/>
    </xf>
    <xf numFmtId="3" fontId="9" fillId="0" borderId="103" xfId="0" applyNumberFormat="1" applyFont="1" applyBorder="1" applyAlignment="1">
      <alignment horizontal="center" vertical="center"/>
    </xf>
    <xf numFmtId="3" fontId="9" fillId="0" borderId="124" xfId="0" applyNumberFormat="1" applyFont="1" applyBorder="1" applyAlignment="1">
      <alignment horizontal="center" vertical="center"/>
    </xf>
    <xf numFmtId="3" fontId="9" fillId="0" borderId="104" xfId="0" applyNumberFormat="1" applyFont="1" applyBorder="1" applyAlignment="1">
      <alignment horizontal="center" vertical="center"/>
    </xf>
    <xf numFmtId="164" fontId="0" fillId="0" borderId="118" xfId="0" applyNumberFormat="1" applyBorder="1" applyAlignment="1">
      <alignment horizontal="right"/>
    </xf>
    <xf numFmtId="3" fontId="47" fillId="0" borderId="73" xfId="0" applyNumberFormat="1" applyFont="1" applyBorder="1"/>
    <xf numFmtId="3" fontId="47" fillId="0" borderId="1" xfId="0" applyNumberFormat="1" applyFont="1" applyBorder="1"/>
    <xf numFmtId="3" fontId="47" fillId="0" borderId="74" xfId="0" applyNumberFormat="1" applyFont="1" applyBorder="1"/>
    <xf numFmtId="0" fontId="0" fillId="0" borderId="96" xfId="0" applyBorder="1" applyAlignment="1">
      <alignment horizontal="left" vertical="center" indent="1"/>
    </xf>
    <xf numFmtId="166" fontId="2" fillId="0" borderId="61" xfId="0" applyNumberFormat="1" applyFont="1" applyBorder="1" applyAlignment="1">
      <alignment horizontal="center"/>
    </xf>
    <xf numFmtId="164" fontId="0" fillId="11" borderId="38" xfId="0" applyNumberFormat="1" applyFill="1" applyBorder="1"/>
    <xf numFmtId="164" fontId="0" fillId="11" borderId="39" xfId="0" applyNumberFormat="1" applyFill="1" applyBorder="1"/>
    <xf numFmtId="164" fontId="0" fillId="11" borderId="30" xfId="0" applyNumberFormat="1" applyFill="1" applyBorder="1"/>
    <xf numFmtId="164" fontId="0" fillId="36" borderId="11" xfId="0" applyNumberFormat="1" applyFill="1" applyBorder="1"/>
    <xf numFmtId="164" fontId="0" fillId="36" borderId="39" xfId="0" applyNumberFormat="1" applyFill="1" applyBorder="1"/>
    <xf numFmtId="164" fontId="0" fillId="36" borderId="117" xfId="0" applyNumberFormat="1" applyFill="1" applyBorder="1"/>
    <xf numFmtId="0" fontId="0" fillId="0" borderId="99" xfId="0" applyBorder="1"/>
    <xf numFmtId="0" fontId="0" fillId="0" borderId="106" xfId="0" applyBorder="1"/>
    <xf numFmtId="0" fontId="0" fillId="0" borderId="21" xfId="0" applyBorder="1"/>
    <xf numFmtId="0" fontId="0" fillId="0" borderId="93" xfId="0" applyBorder="1"/>
    <xf numFmtId="0" fontId="47" fillId="0" borderId="96" xfId="0" applyFont="1" applyBorder="1" applyAlignment="1">
      <alignment vertical="center"/>
    </xf>
    <xf numFmtId="0" fontId="47" fillId="0" borderId="10" xfId="0" applyFont="1" applyBorder="1" applyAlignment="1">
      <alignment vertical="center"/>
    </xf>
    <xf numFmtId="0" fontId="47" fillId="0" borderId="97" xfId="0" applyFont="1" applyBorder="1"/>
    <xf numFmtId="0" fontId="47" fillId="0" borderId="1" xfId="0" applyFont="1" applyBorder="1"/>
    <xf numFmtId="164" fontId="47" fillId="0" borderId="73" xfId="0" applyNumberFormat="1" applyFont="1" applyBorder="1"/>
    <xf numFmtId="164" fontId="0" fillId="0" borderId="39" xfId="0" applyNumberFormat="1" applyBorder="1"/>
    <xf numFmtId="164" fontId="0" fillId="0" borderId="53" xfId="0" quotePrefix="1" applyNumberFormat="1" applyBorder="1" applyAlignment="1">
      <alignment horizontal="right"/>
    </xf>
    <xf numFmtId="0" fontId="0" fillId="0" borderId="125" xfId="0" applyBorder="1" applyAlignment="1">
      <alignment horizontal="right"/>
    </xf>
    <xf numFmtId="0" fontId="0" fillId="0" borderId="96" xfId="0" applyBorder="1" applyAlignment="1">
      <alignment horizontal="left" vertical="center"/>
    </xf>
    <xf numFmtId="0" fontId="2" fillId="0" borderId="126" xfId="0" applyFont="1" applyBorder="1" applyAlignment="1">
      <alignment horizontal="center"/>
    </xf>
    <xf numFmtId="0" fontId="2" fillId="0" borderId="113" xfId="0" applyFont="1" applyBorder="1" applyAlignment="1">
      <alignment horizontal="center"/>
    </xf>
    <xf numFmtId="0" fontId="2" fillId="0" borderId="94" xfId="0" applyFont="1" applyBorder="1"/>
    <xf numFmtId="166" fontId="2" fillId="0" borderId="69" xfId="0" applyNumberFormat="1" applyFont="1" applyBorder="1" applyAlignment="1">
      <alignment horizontal="center"/>
    </xf>
    <xf numFmtId="0" fontId="2" fillId="0" borderId="7" xfId="0" applyFont="1" applyBorder="1"/>
    <xf numFmtId="2" fontId="41" fillId="0" borderId="58" xfId="0" applyNumberFormat="1" applyFont="1" applyBorder="1" applyAlignment="1">
      <alignment horizontal="center"/>
    </xf>
    <xf numFmtId="166" fontId="2" fillId="0" borderId="71" xfId="0" applyNumberFormat="1" applyFont="1" applyBorder="1" applyAlignment="1">
      <alignment horizontal="center"/>
    </xf>
    <xf numFmtId="166" fontId="2" fillId="0" borderId="113" xfId="0" applyNumberFormat="1" applyFont="1" applyBorder="1" applyAlignment="1">
      <alignment horizontal="center"/>
    </xf>
    <xf numFmtId="0" fontId="0" fillId="0" borderId="51" xfId="0" applyBorder="1" applyAlignment="1">
      <alignment horizontal="left" vertical="center" indent="1"/>
    </xf>
    <xf numFmtId="0" fontId="0" fillId="0" borderId="103" xfId="0" applyBorder="1" applyAlignment="1">
      <alignment vertical="center"/>
    </xf>
    <xf numFmtId="164" fontId="0" fillId="0" borderId="110" xfId="0" quotePrefix="1" applyNumberFormat="1" applyBorder="1" applyAlignment="1">
      <alignment horizontal="right"/>
    </xf>
    <xf numFmtId="164" fontId="0" fillId="0" borderId="110" xfId="0" applyNumberFormat="1" applyBorder="1"/>
    <xf numFmtId="164" fontId="0" fillId="36" borderId="124" xfId="0" applyNumberFormat="1" applyFill="1" applyBorder="1"/>
    <xf numFmtId="164" fontId="0" fillId="36" borderId="110" xfId="0" applyNumberFormat="1" applyFill="1" applyBorder="1"/>
    <xf numFmtId="164" fontId="0" fillId="36" borderId="123" xfId="0" applyNumberFormat="1" applyFill="1" applyBorder="1"/>
    <xf numFmtId="164" fontId="0" fillId="0" borderId="107" xfId="0" quotePrefix="1" applyNumberFormat="1" applyBorder="1" applyAlignment="1">
      <alignment horizontal="right"/>
    </xf>
    <xf numFmtId="0" fontId="23" fillId="0" borderId="109" xfId="0" applyFont="1" applyBorder="1" applyAlignment="1">
      <alignment horizontal="center"/>
    </xf>
    <xf numFmtId="0" fontId="23" fillId="0" borderId="93" xfId="0" applyFont="1" applyBorder="1" applyAlignment="1">
      <alignment horizontal="center"/>
    </xf>
    <xf numFmtId="166" fontId="23" fillId="11" borderId="53" xfId="0" applyNumberFormat="1" applyFont="1" applyFill="1" applyBorder="1" applyAlignment="1">
      <alignment horizontal="center"/>
    </xf>
    <xf numFmtId="166" fontId="23" fillId="11" borderId="74" xfId="0" applyNumberFormat="1" applyFont="1" applyFill="1" applyBorder="1" applyAlignment="1">
      <alignment horizontal="center"/>
    </xf>
    <xf numFmtId="166" fontId="23" fillId="11" borderId="110" xfId="0" applyNumberFormat="1" applyFont="1" applyFill="1" applyBorder="1" applyAlignment="1">
      <alignment horizontal="center"/>
    </xf>
    <xf numFmtId="0" fontId="52" fillId="0" borderId="0" xfId="0" quotePrefix="1" applyFont="1" applyAlignment="1">
      <alignment horizontal="left" indent="1"/>
    </xf>
    <xf numFmtId="0" fontId="0" fillId="0" borderId="0" xfId="0" applyAlignment="1">
      <alignment vertical="top"/>
    </xf>
    <xf numFmtId="0" fontId="23" fillId="0" borderId="94" xfId="0" applyFont="1" applyBorder="1" applyAlignment="1">
      <alignment horizontal="left" indent="1"/>
    </xf>
    <xf numFmtId="0" fontId="0" fillId="0" borderId="62" xfId="0" applyFont="1" applyBorder="1"/>
    <xf numFmtId="166" fontId="23" fillId="0" borderId="69" xfId="0" applyNumberFormat="1" applyFont="1" applyBorder="1" applyAlignment="1">
      <alignment horizontal="center"/>
    </xf>
    <xf numFmtId="0" fontId="23" fillId="0" borderId="97" xfId="0" applyFont="1" applyBorder="1" applyAlignment="1">
      <alignment horizontal="left" indent="1"/>
    </xf>
    <xf numFmtId="0" fontId="23" fillId="0" borderId="1" xfId="0" applyFont="1" applyBorder="1"/>
    <xf numFmtId="166" fontId="23" fillId="0" borderId="70" xfId="0" applyNumberFormat="1" applyFont="1" applyBorder="1" applyAlignment="1">
      <alignment horizontal="center"/>
    </xf>
    <xf numFmtId="166" fontId="23" fillId="11" borderId="69" xfId="0" applyNumberFormat="1" applyFont="1" applyFill="1" applyBorder="1" applyAlignment="1">
      <alignment horizontal="center"/>
    </xf>
    <xf numFmtId="0" fontId="41" fillId="36" borderId="68" xfId="0" applyFont="1" applyFill="1" applyBorder="1"/>
    <xf numFmtId="0" fontId="23" fillId="36" borderId="68" xfId="0" applyFont="1" applyFill="1" applyBorder="1"/>
    <xf numFmtId="0" fontId="53" fillId="0" borderId="3" xfId="0" applyFont="1" applyBorder="1" applyAlignment="1">
      <alignment horizontal="center"/>
    </xf>
    <xf numFmtId="0" fontId="23" fillId="0" borderId="19" xfId="0" applyFont="1" applyBorder="1" applyAlignment="1">
      <alignment horizontal="center"/>
    </xf>
    <xf numFmtId="3" fontId="23" fillId="0" borderId="62" xfId="0" applyNumberFormat="1" applyFont="1" applyBorder="1"/>
    <xf numFmtId="3" fontId="23" fillId="0" borderId="1" xfId="0" applyNumberFormat="1" applyFont="1" applyFill="1" applyBorder="1"/>
    <xf numFmtId="3" fontId="47" fillId="0" borderId="1" xfId="0" applyNumberFormat="1" applyFont="1" applyFill="1" applyBorder="1"/>
    <xf numFmtId="3" fontId="23" fillId="0" borderId="103" xfId="0" applyNumberFormat="1" applyFont="1" applyFill="1" applyBorder="1"/>
    <xf numFmtId="0" fontId="0" fillId="0" borderId="4" xfId="0" applyBorder="1"/>
    <xf numFmtId="0" fontId="23" fillId="0" borderId="26" xfId="0" applyFont="1" applyFill="1" applyBorder="1" applyAlignment="1">
      <alignment horizontal="center"/>
    </xf>
    <xf numFmtId="3" fontId="2" fillId="0" borderId="76" xfId="0" applyNumberFormat="1" applyFont="1" applyFill="1" applyBorder="1"/>
    <xf numFmtId="3" fontId="2" fillId="36" borderId="76" xfId="0" applyNumberFormat="1" applyFont="1" applyFill="1" applyBorder="1"/>
    <xf numFmtId="3" fontId="2" fillId="0" borderId="108" xfId="0" applyNumberFormat="1" applyFont="1" applyFill="1" applyBorder="1"/>
    <xf numFmtId="0" fontId="0" fillId="0" borderId="128" xfId="0" applyBorder="1"/>
    <xf numFmtId="0" fontId="23" fillId="0" borderId="93" xfId="0" applyFont="1" applyFill="1" applyBorder="1" applyAlignment="1">
      <alignment horizontal="center"/>
    </xf>
    <xf numFmtId="167" fontId="0" fillId="0" borderId="0" xfId="0" applyNumberFormat="1"/>
    <xf numFmtId="3" fontId="2" fillId="0" borderId="70" xfId="0" applyNumberFormat="1" applyFont="1" applyFill="1" applyBorder="1"/>
    <xf numFmtId="3" fontId="2" fillId="0" borderId="123" xfId="0" applyNumberFormat="1" applyFont="1" applyFill="1" applyBorder="1"/>
    <xf numFmtId="0" fontId="23" fillId="0" borderId="106" xfId="0" applyFont="1" applyBorder="1" applyAlignment="1">
      <alignment horizontal="center"/>
    </xf>
    <xf numFmtId="3" fontId="2" fillId="0" borderId="127" xfId="0" applyNumberFormat="1" applyFont="1" applyFill="1" applyBorder="1"/>
    <xf numFmtId="0" fontId="0" fillId="0" borderId="4" xfId="0" applyBorder="1" applyAlignment="1">
      <alignment horizontal="center"/>
    </xf>
    <xf numFmtId="3" fontId="2" fillId="0" borderId="73" xfId="0" applyNumberFormat="1" applyFont="1" applyFill="1" applyBorder="1"/>
    <xf numFmtId="3" fontId="2" fillId="0" borderId="129" xfId="0" applyNumberFormat="1" applyFont="1" applyFill="1" applyBorder="1"/>
    <xf numFmtId="0" fontId="0" fillId="0" borderId="87" xfId="0" applyBorder="1" applyAlignment="1">
      <alignment horizontal="center"/>
    </xf>
    <xf numFmtId="3" fontId="2" fillId="0" borderId="91" xfId="0" applyNumberFormat="1" applyFont="1" applyFill="1" applyBorder="1"/>
    <xf numFmtId="166" fontId="2" fillId="0" borderId="70" xfId="0" applyNumberFormat="1" applyFont="1" applyFill="1" applyBorder="1" applyAlignment="1">
      <alignment horizontal="center"/>
    </xf>
    <xf numFmtId="166" fontId="2" fillId="0" borderId="123" xfId="0" applyNumberFormat="1" applyFont="1" applyFill="1" applyBorder="1" applyAlignment="1">
      <alignment horizontal="center"/>
    </xf>
    <xf numFmtId="0" fontId="0" fillId="36" borderId="117" xfId="0" applyFill="1" applyBorder="1"/>
    <xf numFmtId="0" fontId="47" fillId="0" borderId="10" xfId="0" applyFont="1" applyBorder="1"/>
    <xf numFmtId="3" fontId="2" fillId="11" borderId="56" xfId="0" applyNumberFormat="1" applyFont="1" applyFill="1" applyBorder="1"/>
    <xf numFmtId="3" fontId="2" fillId="0" borderId="60" xfId="0" applyNumberFormat="1" applyFont="1" applyFill="1" applyBorder="1"/>
    <xf numFmtId="3" fontId="2" fillId="11" borderId="69" xfId="0" applyNumberFormat="1" applyFont="1" applyFill="1" applyBorder="1"/>
    <xf numFmtId="3" fontId="2" fillId="36" borderId="70" xfId="0" applyNumberFormat="1" applyFont="1" applyFill="1" applyBorder="1"/>
    <xf numFmtId="164" fontId="0" fillId="36" borderId="10" xfId="0" applyNumberFormat="1" applyFill="1" applyBorder="1"/>
    <xf numFmtId="0" fontId="0" fillId="0" borderId="65" xfId="0" applyBorder="1" applyAlignment="1">
      <alignment horizontal="right"/>
    </xf>
    <xf numFmtId="167" fontId="0" fillId="11" borderId="30" xfId="0" applyNumberFormat="1" applyFill="1" applyBorder="1" applyAlignment="1">
      <alignment vertical="center"/>
    </xf>
    <xf numFmtId="0" fontId="0" fillId="0" borderId="26" xfId="0" applyBorder="1" applyAlignment="1">
      <alignment horizontal="center"/>
    </xf>
    <xf numFmtId="164" fontId="0" fillId="0" borderId="73" xfId="0" applyNumberFormat="1" applyFill="1" applyBorder="1"/>
    <xf numFmtId="0" fontId="0" fillId="0" borderId="130" xfId="0" applyBorder="1" applyAlignment="1">
      <alignment horizontal="right"/>
    </xf>
    <xf numFmtId="0" fontId="0" fillId="0" borderId="13" xfId="0" applyBorder="1" applyAlignment="1">
      <alignment horizontal="center"/>
    </xf>
    <xf numFmtId="0" fontId="0" fillId="0" borderId="23" xfId="0" applyBorder="1"/>
    <xf numFmtId="164" fontId="0" fillId="36" borderId="31" xfId="0" applyNumberFormat="1" applyFill="1" applyBorder="1"/>
    <xf numFmtId="164" fontId="0" fillId="0" borderId="131" xfId="0" applyNumberFormat="1" applyFill="1" applyBorder="1"/>
    <xf numFmtId="0" fontId="0" fillId="0" borderId="102" xfId="0" applyBorder="1" applyAlignment="1">
      <alignment horizontal="left" indent="1"/>
    </xf>
    <xf numFmtId="0" fontId="0" fillId="0" borderId="103" xfId="0" applyBorder="1" applyAlignment="1">
      <alignment horizontal="left" indent="1"/>
    </xf>
    <xf numFmtId="0" fontId="47" fillId="0" borderId="2" xfId="0" applyFont="1" applyBorder="1"/>
    <xf numFmtId="0" fontId="47" fillId="0" borderId="3" xfId="0" applyFont="1" applyBorder="1"/>
    <xf numFmtId="0" fontId="47" fillId="0" borderId="120" xfId="0" applyFont="1" applyBorder="1"/>
    <xf numFmtId="0" fontId="47" fillId="0" borderId="65" xfId="0" applyFont="1" applyBorder="1" applyAlignment="1">
      <alignment horizontal="center"/>
    </xf>
    <xf numFmtId="0" fontId="47" fillId="0" borderId="52" xfId="0" applyFont="1" applyBorder="1"/>
    <xf numFmtId="0" fontId="47" fillId="0" borderId="66" xfId="0" applyFont="1" applyBorder="1" applyAlignment="1">
      <alignment horizontal="right"/>
    </xf>
    <xf numFmtId="0" fontId="47" fillId="0" borderId="65" xfId="0" applyFont="1" applyBorder="1" applyAlignment="1">
      <alignment horizontal="right"/>
    </xf>
    <xf numFmtId="0" fontId="47" fillId="0" borderId="130" xfId="0" applyFont="1" applyBorder="1" applyAlignment="1">
      <alignment horizontal="right"/>
    </xf>
    <xf numFmtId="0" fontId="47" fillId="0" borderId="7" xfId="0" applyFont="1" applyBorder="1"/>
    <xf numFmtId="0" fontId="47" fillId="0" borderId="32" xfId="0" applyFont="1" applyBorder="1" applyAlignment="1">
      <alignment horizontal="center"/>
    </xf>
    <xf numFmtId="0" fontId="47" fillId="0" borderId="119" xfId="0" applyFont="1" applyBorder="1" applyAlignment="1">
      <alignment horizontal="center"/>
    </xf>
    <xf numFmtId="0" fontId="47" fillId="0" borderId="26" xfId="0" applyFont="1" applyBorder="1" applyAlignment="1">
      <alignment horizontal="center"/>
    </xf>
    <xf numFmtId="0" fontId="47" fillId="0" borderId="13" xfId="0" applyFont="1" applyBorder="1" applyAlignment="1">
      <alignment horizontal="center"/>
    </xf>
    <xf numFmtId="0" fontId="47" fillId="0" borderId="17" xfId="0" applyFont="1" applyBorder="1"/>
    <xf numFmtId="0" fontId="47" fillId="0" borderId="22" xfId="0" applyFont="1" applyBorder="1"/>
    <xf numFmtId="0" fontId="47" fillId="0" borderId="99" xfId="0" applyFont="1" applyBorder="1"/>
    <xf numFmtId="0" fontId="47" fillId="0" borderId="106" xfId="0" applyFont="1" applyBorder="1"/>
    <xf numFmtId="0" fontId="47" fillId="0" borderId="21" xfId="0" applyFont="1" applyBorder="1"/>
    <xf numFmtId="0" fontId="47" fillId="0" borderId="48" xfId="0" applyFont="1" applyBorder="1"/>
    <xf numFmtId="0" fontId="47" fillId="0" borderId="23" xfId="0" applyFont="1" applyBorder="1"/>
    <xf numFmtId="0" fontId="47" fillId="0" borderId="94" xfId="0" applyFont="1" applyBorder="1"/>
    <xf numFmtId="0" fontId="47" fillId="0" borderId="111" xfId="0" applyFont="1" applyBorder="1"/>
    <xf numFmtId="164" fontId="47" fillId="11" borderId="38" xfId="0" applyNumberFormat="1" applyFont="1" applyFill="1" applyBorder="1"/>
    <xf numFmtId="164" fontId="47" fillId="36" borderId="10" xfId="0" applyNumberFormat="1" applyFont="1" applyFill="1" applyBorder="1"/>
    <xf numFmtId="164" fontId="47" fillId="36" borderId="31" xfId="0" applyNumberFormat="1" applyFont="1" applyFill="1" applyBorder="1"/>
    <xf numFmtId="0" fontId="47" fillId="0" borderId="96" xfId="0" applyFont="1" applyBorder="1"/>
    <xf numFmtId="167" fontId="47" fillId="11" borderId="30" xfId="0" applyNumberFormat="1" applyFont="1" applyFill="1" applyBorder="1" applyAlignment="1">
      <alignment vertical="center"/>
    </xf>
    <xf numFmtId="164" fontId="47" fillId="0" borderId="73" xfId="0" applyNumberFormat="1" applyFont="1" applyFill="1" applyBorder="1"/>
    <xf numFmtId="164" fontId="47" fillId="0" borderId="131" xfId="0" applyNumberFormat="1" applyFont="1" applyFill="1" applyBorder="1"/>
    <xf numFmtId="0" fontId="47" fillId="0" borderId="97" xfId="0" applyFont="1" applyBorder="1" applyAlignment="1">
      <alignment horizontal="left" indent="1"/>
    </xf>
    <xf numFmtId="0" fontId="47" fillId="0" borderId="1" xfId="0" applyFont="1" applyBorder="1" applyAlignment="1">
      <alignment horizontal="left" indent="1"/>
    </xf>
    <xf numFmtId="0" fontId="47" fillId="0" borderId="102" xfId="0" applyFont="1" applyBorder="1" applyAlignment="1">
      <alignment horizontal="left" indent="1"/>
    </xf>
    <xf numFmtId="0" fontId="47" fillId="0" borderId="103" xfId="0" applyFont="1" applyBorder="1" applyAlignment="1">
      <alignment horizontal="left" indent="1"/>
    </xf>
    <xf numFmtId="0" fontId="47" fillId="0" borderId="103" xfId="0" applyFont="1" applyBorder="1"/>
    <xf numFmtId="0" fontId="47" fillId="0" borderId="0" xfId="0" applyFont="1" applyAlignment="1">
      <alignment horizontal="left"/>
    </xf>
    <xf numFmtId="166" fontId="23" fillId="0" borderId="61" xfId="0" applyNumberFormat="1" applyFont="1" applyBorder="1" applyAlignment="1">
      <alignment horizontal="center"/>
    </xf>
    <xf numFmtId="166" fontId="23" fillId="0" borderId="60" xfId="0" applyNumberFormat="1" applyFont="1" applyBorder="1" applyAlignment="1">
      <alignment horizontal="center"/>
    </xf>
    <xf numFmtId="166" fontId="41" fillId="0" borderId="60" xfId="0" applyNumberFormat="1" applyFont="1" applyBorder="1" applyAlignment="1">
      <alignment horizontal="center"/>
    </xf>
    <xf numFmtId="2" fontId="41" fillId="0" borderId="121" xfId="0" applyNumberFormat="1" applyFont="1" applyBorder="1" applyAlignment="1">
      <alignment horizontal="center"/>
    </xf>
    <xf numFmtId="2" fontId="41" fillId="0" borderId="123" xfId="0" applyNumberFormat="1" applyFont="1" applyBorder="1" applyAlignment="1">
      <alignment horizontal="center"/>
    </xf>
    <xf numFmtId="0" fontId="0" fillId="0" borderId="132" xfId="0" applyBorder="1" applyAlignment="1">
      <alignment horizontal="center"/>
    </xf>
    <xf numFmtId="0" fontId="0" fillId="0" borderId="122" xfId="0" applyBorder="1" applyAlignment="1">
      <alignment horizontal="center"/>
    </xf>
    <xf numFmtId="0" fontId="0" fillId="0" borderId="133" xfId="0" applyBorder="1" applyAlignment="1">
      <alignment horizontal="center"/>
    </xf>
    <xf numFmtId="166" fontId="2" fillId="0" borderId="97" xfId="0" applyNumberFormat="1" applyFont="1" applyBorder="1" applyAlignment="1">
      <alignment horizontal="left"/>
    </xf>
    <xf numFmtId="166" fontId="2" fillId="0" borderId="51" xfId="0" applyNumberFormat="1" applyFont="1" applyBorder="1" applyAlignment="1">
      <alignment horizontal="left"/>
    </xf>
    <xf numFmtId="0" fontId="47" fillId="0" borderId="0" xfId="0" applyFont="1" applyAlignment="1">
      <alignment horizontal="center"/>
    </xf>
    <xf numFmtId="0" fontId="0" fillId="0" borderId="0" xfId="0" applyAlignment="1">
      <alignment horizontal="center"/>
    </xf>
    <xf numFmtId="0" fontId="13" fillId="0" borderId="0" xfId="0" applyFont="1" applyBorder="1"/>
    <xf numFmtId="0" fontId="13" fillId="0" borderId="0" xfId="0" applyFont="1" applyAlignment="1">
      <alignment vertical="top"/>
    </xf>
    <xf numFmtId="0" fontId="57" fillId="0" borderId="0" xfId="0" applyFont="1"/>
    <xf numFmtId="0" fontId="59" fillId="0" borderId="0" xfId="0" applyFont="1"/>
    <xf numFmtId="0" fontId="59" fillId="40" borderId="0" xfId="0" applyFont="1" applyFill="1"/>
    <xf numFmtId="0" fontId="59" fillId="40" borderId="0" xfId="0" applyFont="1" applyFill="1" applyAlignment="1">
      <alignment horizontal="left"/>
    </xf>
    <xf numFmtId="0" fontId="59" fillId="40" borderId="0" xfId="0" applyFont="1" applyFill="1" applyAlignment="1">
      <alignment horizontal="center"/>
    </xf>
    <xf numFmtId="0" fontId="0" fillId="41" borderId="0" xfId="0" applyFill="1"/>
    <xf numFmtId="0" fontId="58" fillId="0" borderId="0" xfId="0" applyFont="1"/>
    <xf numFmtId="0" fontId="60" fillId="0" borderId="0" xfId="0" applyFont="1"/>
    <xf numFmtId="0" fontId="20" fillId="0" borderId="0" xfId="0" applyFont="1"/>
    <xf numFmtId="0" fontId="0" fillId="42" borderId="53" xfId="0" applyFill="1" applyBorder="1" applyAlignment="1">
      <alignment horizontal="center"/>
    </xf>
    <xf numFmtId="0" fontId="0" fillId="43" borderId="0" xfId="0" applyFill="1"/>
    <xf numFmtId="0" fontId="0" fillId="0" borderId="14" xfId="0" applyFill="1" applyBorder="1" applyAlignment="1">
      <alignment horizontal="left"/>
    </xf>
    <xf numFmtId="0" fontId="0" fillId="0" borderId="0" xfId="0" applyFill="1" applyAlignment="1">
      <alignment horizontal="center"/>
    </xf>
    <xf numFmtId="0" fontId="0" fillId="0" borderId="16" xfId="0" applyFill="1" applyBorder="1" applyAlignment="1">
      <alignment horizontal="left"/>
    </xf>
    <xf numFmtId="0" fontId="0" fillId="0" borderId="16" xfId="0" applyBorder="1" applyAlignment="1">
      <alignment horizontal="left"/>
    </xf>
    <xf numFmtId="0" fontId="0" fillId="0" borderId="14" xfId="0" applyBorder="1" applyAlignment="1">
      <alignment horizontal="left"/>
    </xf>
    <xf numFmtId="0" fontId="0" fillId="39" borderId="73" xfId="0" applyFill="1" applyBorder="1"/>
    <xf numFmtId="0" fontId="47" fillId="35" borderId="0" xfId="0" applyFont="1" applyFill="1"/>
    <xf numFmtId="0" fontId="47" fillId="0" borderId="14" xfId="0" applyFont="1" applyBorder="1" applyAlignment="1">
      <alignment horizontal="left"/>
    </xf>
    <xf numFmtId="0" fontId="57" fillId="0" borderId="0" xfId="0" applyFont="1" applyAlignment="1">
      <alignment horizontal="center" vertical="top"/>
    </xf>
    <xf numFmtId="0" fontId="57" fillId="0" borderId="0" xfId="0" applyFont="1" applyAlignment="1">
      <alignment vertical="top"/>
    </xf>
    <xf numFmtId="0" fontId="57" fillId="0" borderId="0" xfId="0" quotePrefix="1" applyFont="1" applyAlignment="1">
      <alignment vertical="top"/>
    </xf>
    <xf numFmtId="0" fontId="48" fillId="0" borderId="1" xfId="0" applyFont="1" applyBorder="1" applyAlignment="1">
      <alignment horizontal="left" vertical="center"/>
    </xf>
    <xf numFmtId="0" fontId="57" fillId="0" borderId="0" xfId="0" applyFont="1" applyAlignment="1">
      <alignment vertical="center"/>
    </xf>
    <xf numFmtId="0" fontId="11" fillId="0" borderId="0" xfId="0" applyFont="1" applyAlignment="1">
      <alignment vertical="center" wrapText="1"/>
    </xf>
    <xf numFmtId="0" fontId="64" fillId="0" borderId="0" xfId="0" applyFont="1" applyAlignment="1">
      <alignment horizontal="center" vertical="top"/>
    </xf>
    <xf numFmtId="0" fontId="55" fillId="0" borderId="0" xfId="0" applyFont="1" applyAlignment="1">
      <alignment vertical="top"/>
    </xf>
    <xf numFmtId="0" fontId="55" fillId="0" borderId="0" xfId="0" applyFont="1" applyAlignment="1">
      <alignment vertical="top" wrapText="1"/>
    </xf>
    <xf numFmtId="0" fontId="11" fillId="0" borderId="0" xfId="0" applyFont="1" applyAlignment="1">
      <alignment vertical="top" wrapText="1"/>
    </xf>
    <xf numFmtId="0" fontId="66" fillId="36" borderId="0" xfId="0" applyFont="1" applyFill="1" applyAlignment="1">
      <alignment vertical="top"/>
    </xf>
    <xf numFmtId="0" fontId="57" fillId="36" borderId="0" xfId="0" applyFont="1" applyFill="1" applyAlignment="1">
      <alignment vertical="top"/>
    </xf>
    <xf numFmtId="0" fontId="57" fillId="36" borderId="0" xfId="0" applyFont="1" applyFill="1" applyAlignment="1">
      <alignment horizontal="center" vertical="top"/>
    </xf>
    <xf numFmtId="0" fontId="65" fillId="36" borderId="0" xfId="0" applyFont="1" applyFill="1" applyAlignment="1">
      <alignment horizontal="center" vertical="top"/>
    </xf>
    <xf numFmtId="0" fontId="68" fillId="0" borderId="0" xfId="0" applyFont="1" applyAlignment="1">
      <alignment horizontal="left" vertical="top"/>
    </xf>
    <xf numFmtId="166" fontId="57" fillId="0" borderId="0" xfId="0" applyNumberFormat="1" applyFont="1" applyAlignment="1">
      <alignment vertical="top"/>
    </xf>
    <xf numFmtId="0" fontId="0" fillId="0" borderId="0" xfId="0" applyAlignment="1">
      <alignment horizontal="center" vertical="top"/>
    </xf>
    <xf numFmtId="0" fontId="9" fillId="0" borderId="0" xfId="0" applyFont="1" applyAlignment="1">
      <alignment vertical="top" wrapText="1"/>
    </xf>
    <xf numFmtId="0" fontId="70" fillId="0" borderId="0" xfId="0" applyFont="1" applyAlignment="1">
      <alignment vertical="top" wrapText="1"/>
    </xf>
    <xf numFmtId="0" fontId="15" fillId="0" borderId="0" xfId="0" applyFont="1" applyAlignment="1">
      <alignment vertical="top" wrapText="1"/>
    </xf>
    <xf numFmtId="0" fontId="15" fillId="0" borderId="0" xfId="0" applyFont="1" applyAlignment="1">
      <alignment vertical="center" wrapText="1"/>
    </xf>
    <xf numFmtId="3" fontId="15" fillId="0" borderId="0" xfId="0" applyNumberFormat="1" applyFont="1" applyAlignment="1">
      <alignment vertical="top" wrapText="1"/>
    </xf>
    <xf numFmtId="0" fontId="71" fillId="0" borderId="0" xfId="0" applyFont="1" applyAlignment="1">
      <alignment vertical="top" wrapText="1"/>
    </xf>
    <xf numFmtId="0" fontId="56" fillId="0" borderId="0" xfId="0" applyFont="1" applyAlignment="1">
      <alignment horizontal="right" vertical="top"/>
    </xf>
    <xf numFmtId="0" fontId="13" fillId="0" borderId="0" xfId="0" applyFont="1" applyAlignment="1">
      <alignment horizontal="center" vertical="top"/>
    </xf>
    <xf numFmtId="0" fontId="57" fillId="0" borderId="0" xfId="0" applyFont="1" applyAlignment="1">
      <alignment vertical="top" wrapText="1"/>
    </xf>
    <xf numFmtId="0" fontId="63" fillId="0" borderId="0" xfId="0" applyFont="1" applyAlignment="1">
      <alignment vertical="center"/>
    </xf>
    <xf numFmtId="0" fontId="56" fillId="0" borderId="0" xfId="0" applyFont="1" applyAlignment="1">
      <alignment horizontal="left" vertical="top"/>
    </xf>
    <xf numFmtId="0" fontId="0" fillId="0" borderId="0" xfId="0" applyAlignment="1">
      <alignment vertical="top" wrapText="1"/>
    </xf>
    <xf numFmtId="0" fontId="20" fillId="11" borderId="53" xfId="89" applyFont="1" applyFill="1" applyBorder="1" applyAlignment="1" applyProtection="1">
      <alignment horizontal="center" vertical="top" wrapText="1"/>
      <protection locked="0"/>
    </xf>
    <xf numFmtId="0" fontId="0" fillId="0" borderId="0" xfId="0" applyAlignment="1">
      <alignment horizontal="center"/>
    </xf>
    <xf numFmtId="0" fontId="63" fillId="0" borderId="0" xfId="0" applyFont="1" applyAlignment="1">
      <alignment horizontal="centerContinuous" vertical="center"/>
    </xf>
    <xf numFmtId="0" fontId="63" fillId="0" borderId="0" xfId="0" applyFont="1" applyAlignment="1">
      <alignment horizontal="center" vertical="center"/>
    </xf>
    <xf numFmtId="0" fontId="57" fillId="0" borderId="0" xfId="0" applyFont="1" applyAlignment="1">
      <alignment horizontal="left" vertical="top"/>
    </xf>
    <xf numFmtId="0" fontId="55" fillId="0" borderId="0" xfId="0" applyFont="1" applyAlignment="1">
      <alignment horizontal="left" vertical="top"/>
    </xf>
    <xf numFmtId="0" fontId="57" fillId="0" borderId="0" xfId="0" applyFont="1" applyAlignment="1">
      <alignment horizontal="left" vertical="center"/>
    </xf>
    <xf numFmtId="0" fontId="0" fillId="0" borderId="0" xfId="0" applyAlignment="1">
      <alignment horizontal="left" vertical="top"/>
    </xf>
    <xf numFmtId="0" fontId="19" fillId="0" borderId="0" xfId="90" applyAlignment="1">
      <alignment horizontal="left" vertical="center"/>
    </xf>
    <xf numFmtId="0" fontId="72" fillId="0" borderId="0" xfId="0" applyFont="1" applyAlignment="1">
      <alignment horizontal="center"/>
    </xf>
    <xf numFmtId="0" fontId="23" fillId="0" borderId="14" xfId="0" applyFont="1" applyBorder="1"/>
    <xf numFmtId="0" fontId="23" fillId="38" borderId="0" xfId="0" applyFont="1" applyFill="1"/>
    <xf numFmtId="0" fontId="72" fillId="0" borderId="0" xfId="0" applyFont="1" applyFill="1" applyAlignment="1">
      <alignment horizontal="center"/>
    </xf>
    <xf numFmtId="0" fontId="72" fillId="39" borderId="53" xfId="0" applyFont="1" applyFill="1" applyBorder="1" applyAlignment="1">
      <alignment horizontal="center"/>
    </xf>
    <xf numFmtId="0" fontId="20" fillId="0" borderId="14" xfId="0" applyFont="1" applyBorder="1"/>
    <xf numFmtId="0" fontId="72" fillId="0" borderId="22" xfId="0" applyFont="1" applyBorder="1" applyAlignment="1">
      <alignment horizontal="center"/>
    </xf>
    <xf numFmtId="0" fontId="23" fillId="0" borderId="19" xfId="0" applyFont="1" applyBorder="1"/>
    <xf numFmtId="0" fontId="23" fillId="0" borderId="22" xfId="0" applyFont="1" applyBorder="1"/>
    <xf numFmtId="0" fontId="57" fillId="12" borderId="53" xfId="0" applyFont="1" applyFill="1" applyBorder="1" applyAlignment="1">
      <alignment vertical="top"/>
    </xf>
    <xf numFmtId="0" fontId="74" fillId="0" borderId="0" xfId="0" applyFont="1" applyAlignment="1">
      <alignment vertical="center"/>
    </xf>
    <xf numFmtId="0" fontId="0" fillId="0" borderId="0" xfId="0" applyAlignment="1" applyProtection="1">
      <alignment vertical="top"/>
      <protection locked="0"/>
    </xf>
    <xf numFmtId="0" fontId="57" fillId="12" borderId="53" xfId="0" applyFont="1" applyFill="1" applyBorder="1" applyAlignment="1">
      <alignment vertical="center"/>
    </xf>
    <xf numFmtId="0" fontId="75" fillId="0" borderId="0" xfId="0" applyFont="1" applyAlignment="1">
      <alignment horizontal="center" vertical="top"/>
    </xf>
    <xf numFmtId="14" fontId="0" fillId="0" borderId="0" xfId="0" applyNumberFormat="1" applyAlignment="1">
      <alignment vertical="top"/>
    </xf>
    <xf numFmtId="0" fontId="57" fillId="11" borderId="0" xfId="0" applyFont="1" applyFill="1" applyAlignment="1">
      <alignment vertical="top"/>
    </xf>
    <xf numFmtId="0" fontId="68" fillId="12" borderId="53" xfId="0" applyFont="1" applyFill="1" applyBorder="1" applyAlignment="1" applyProtection="1">
      <alignment horizontal="center" vertical="top" wrapText="1"/>
      <protection locked="0"/>
    </xf>
    <xf numFmtId="0" fontId="76" fillId="12" borderId="53" xfId="0" applyFont="1" applyFill="1" applyBorder="1" applyAlignment="1" applyProtection="1">
      <alignment horizontal="center" vertical="top"/>
      <protection locked="0"/>
    </xf>
    <xf numFmtId="0" fontId="55" fillId="0" borderId="0" xfId="0" applyFont="1" applyBorder="1" applyAlignment="1">
      <alignment horizontal="center" vertical="top"/>
    </xf>
    <xf numFmtId="0" fontId="55" fillId="0" borderId="0" xfId="0" applyFont="1" applyBorder="1" applyAlignment="1">
      <alignment vertical="top"/>
    </xf>
    <xf numFmtId="0" fontId="57" fillId="12" borderId="53" xfId="0" applyFont="1" applyFill="1" applyBorder="1" applyAlignment="1">
      <alignment vertical="center" wrapText="1"/>
    </xf>
    <xf numFmtId="0" fontId="92" fillId="11" borderId="53" xfId="0" applyFont="1" applyFill="1" applyBorder="1" applyAlignment="1">
      <alignment horizontal="right" vertical="top"/>
    </xf>
    <xf numFmtId="0" fontId="92" fillId="11" borderId="53" xfId="0" applyFont="1" applyFill="1" applyBorder="1" applyAlignment="1">
      <alignment vertical="top"/>
    </xf>
    <xf numFmtId="0" fontId="57" fillId="36" borderId="0" xfId="0" applyFont="1" applyFill="1" applyBorder="1" applyAlignment="1">
      <alignment horizontal="center" vertical="top"/>
    </xf>
    <xf numFmtId="0" fontId="68" fillId="0" borderId="0" xfId="0" applyFont="1" applyBorder="1" applyAlignment="1">
      <alignment horizontal="left" vertical="top"/>
    </xf>
    <xf numFmtId="0" fontId="0" fillId="0" borderId="0" xfId="0" applyBorder="1" applyAlignment="1">
      <alignment horizontal="center" vertical="top"/>
    </xf>
    <xf numFmtId="0" fontId="0" fillId="0" borderId="0" xfId="0" applyBorder="1" applyAlignment="1">
      <alignment vertical="top"/>
    </xf>
    <xf numFmtId="0" fontId="68" fillId="12" borderId="122" xfId="0" applyFont="1" applyFill="1" applyBorder="1" applyAlignment="1" applyProtection="1">
      <alignment horizontal="center" vertical="top"/>
      <protection locked="0"/>
    </xf>
    <xf numFmtId="0" fontId="20" fillId="11" borderId="122" xfId="89" applyFont="1" applyFill="1" applyBorder="1" applyAlignment="1" applyProtection="1">
      <alignment horizontal="center" vertical="top" wrapText="1"/>
      <protection locked="0"/>
    </xf>
    <xf numFmtId="0" fontId="57" fillId="12" borderId="122" xfId="0" applyFont="1" applyFill="1" applyBorder="1" applyAlignment="1">
      <alignment vertical="center"/>
    </xf>
    <xf numFmtId="0" fontId="57" fillId="12" borderId="122" xfId="0" applyFont="1" applyFill="1" applyBorder="1" applyAlignment="1">
      <alignment vertical="top"/>
    </xf>
    <xf numFmtId="0" fontId="75" fillId="0" borderId="0" xfId="0" applyFont="1" applyBorder="1" applyAlignment="1">
      <alignment horizontal="center" vertical="top"/>
    </xf>
    <xf numFmtId="0" fontId="55" fillId="0" borderId="0" xfId="0" applyFont="1" applyBorder="1" applyAlignment="1">
      <alignment horizontal="left" vertical="top"/>
    </xf>
    <xf numFmtId="0" fontId="70" fillId="0" borderId="0" xfId="0" applyFont="1" applyBorder="1" applyAlignment="1">
      <alignment vertical="top" wrapText="1"/>
    </xf>
    <xf numFmtId="0" fontId="55" fillId="0" borderId="0" xfId="0" applyFont="1" applyBorder="1" applyAlignment="1">
      <alignment vertical="top" wrapText="1"/>
    </xf>
    <xf numFmtId="1" fontId="67" fillId="0" borderId="53" xfId="0" applyNumberFormat="1" applyFont="1" applyBorder="1" applyAlignment="1">
      <alignment horizontal="center" vertical="center"/>
    </xf>
    <xf numFmtId="166" fontId="69" fillId="0" borderId="53" xfId="0" applyNumberFormat="1" applyFont="1" applyBorder="1" applyAlignment="1">
      <alignment horizontal="center" vertical="center"/>
    </xf>
    <xf numFmtId="3" fontId="67" fillId="0" borderId="53" xfId="0" applyNumberFormat="1" applyFont="1" applyBorder="1" applyAlignment="1">
      <alignment horizontal="center" vertical="center"/>
    </xf>
    <xf numFmtId="3" fontId="69" fillId="0" borderId="53" xfId="0" applyNumberFormat="1" applyFont="1" applyBorder="1" applyAlignment="1">
      <alignment horizontal="center" vertical="center"/>
    </xf>
    <xf numFmtId="0" fontId="55" fillId="0" borderId="143" xfId="0" applyFont="1" applyBorder="1" applyAlignment="1">
      <alignment vertical="top"/>
    </xf>
    <xf numFmtId="0" fontId="55" fillId="0" borderId="143" xfId="0" applyFont="1" applyBorder="1" applyAlignment="1">
      <alignment horizontal="center" vertical="top"/>
    </xf>
    <xf numFmtId="0" fontId="55" fillId="0" borderId="144" xfId="0" applyFont="1" applyBorder="1" applyAlignment="1">
      <alignment vertical="top"/>
    </xf>
    <xf numFmtId="0" fontId="55" fillId="0" borderId="144" xfId="0" applyFont="1" applyBorder="1" applyAlignment="1">
      <alignment horizontal="center" vertical="top"/>
    </xf>
    <xf numFmtId="0" fontId="55" fillId="0" borderId="145" xfId="0" applyFont="1" applyBorder="1" applyAlignment="1">
      <alignment horizontal="center" vertical="top"/>
    </xf>
    <xf numFmtId="0" fontId="57" fillId="0" borderId="146" xfId="0" applyFont="1" applyBorder="1" applyAlignment="1">
      <alignment vertical="center"/>
    </xf>
    <xf numFmtId="0" fontId="57" fillId="0" borderId="146" xfId="0" applyFont="1" applyBorder="1" applyAlignment="1">
      <alignment horizontal="center" vertical="center"/>
    </xf>
    <xf numFmtId="0" fontId="63" fillId="0" borderId="146" xfId="0" applyFont="1" applyBorder="1" applyAlignment="1">
      <alignment horizontal="center" vertical="center"/>
    </xf>
    <xf numFmtId="0" fontId="11" fillId="0" borderId="146" xfId="0" applyFont="1" applyBorder="1" applyAlignment="1">
      <alignment vertical="center"/>
    </xf>
    <xf numFmtId="164" fontId="67" fillId="0" borderId="53" xfId="0" applyNumberFormat="1" applyFont="1" applyBorder="1" applyAlignment="1">
      <alignment horizontal="center" vertical="center"/>
    </xf>
    <xf numFmtId="164" fontId="69" fillId="0" borderId="53" xfId="0" applyNumberFormat="1" applyFont="1" applyBorder="1" applyAlignment="1">
      <alignment horizontal="center" vertical="center"/>
    </xf>
    <xf numFmtId="0" fontId="8" fillId="0" borderId="0" xfId="0" applyFont="1" applyAlignment="1">
      <alignment horizontal="center" vertical="top"/>
    </xf>
    <xf numFmtId="169" fontId="67" fillId="0" borderId="53" xfId="0" applyNumberFormat="1" applyFont="1" applyBorder="1" applyAlignment="1">
      <alignment horizontal="center" vertical="center"/>
    </xf>
    <xf numFmtId="169" fontId="69" fillId="0" borderId="53" xfId="0" applyNumberFormat="1" applyFont="1" applyBorder="1" applyAlignment="1">
      <alignment horizontal="center" vertical="center"/>
    </xf>
    <xf numFmtId="164" fontId="57" fillId="0" borderId="0" xfId="0" applyNumberFormat="1" applyFont="1" applyAlignment="1" applyProtection="1">
      <alignment vertical="top"/>
      <protection locked="0"/>
    </xf>
    <xf numFmtId="0" fontId="57" fillId="0" borderId="0" xfId="0" quotePrefix="1" applyFont="1" applyAlignment="1" applyProtection="1">
      <alignment horizontal="center" vertical="top"/>
      <protection locked="0"/>
    </xf>
    <xf numFmtId="0" fontId="94" fillId="0" borderId="0" xfId="0" applyFont="1"/>
    <xf numFmtId="0" fontId="63" fillId="0" borderId="147" xfId="0" applyFont="1" applyBorder="1" applyAlignment="1">
      <alignment horizontal="center" vertical="center"/>
    </xf>
    <xf numFmtId="0" fontId="55" fillId="0" borderId="149" xfId="0" applyFont="1" applyBorder="1" applyAlignment="1">
      <alignment horizontal="center" vertical="top"/>
    </xf>
    <xf numFmtId="0" fontId="55" fillId="0" borderId="150" xfId="0" applyFont="1" applyBorder="1" applyAlignment="1">
      <alignment horizontal="center" vertical="top" wrapText="1"/>
    </xf>
    <xf numFmtId="0" fontId="65" fillId="44" borderId="149" xfId="0" applyFont="1" applyFill="1" applyBorder="1" applyAlignment="1">
      <alignment horizontal="center" vertical="top"/>
    </xf>
    <xf numFmtId="0" fontId="65" fillId="44" borderId="150" xfId="0" applyFont="1" applyFill="1" applyBorder="1" applyAlignment="1">
      <alignment horizontal="center" vertical="top" wrapText="1"/>
    </xf>
    <xf numFmtId="0" fontId="57" fillId="0" borderId="149" xfId="0" applyFont="1" applyBorder="1" applyAlignment="1">
      <alignment horizontal="center" vertical="center"/>
    </xf>
    <xf numFmtId="0" fontId="55" fillId="0" borderId="151" xfId="0" applyFont="1" applyBorder="1" applyAlignment="1">
      <alignment horizontal="center" vertical="top"/>
    </xf>
    <xf numFmtId="0" fontId="55" fillId="0" borderId="152" xfId="0" applyFont="1" applyBorder="1" applyAlignment="1">
      <alignment horizontal="center" vertical="top" wrapText="1"/>
    </xf>
    <xf numFmtId="0" fontId="19" fillId="0" borderId="149" xfId="90" applyBorder="1" applyAlignment="1">
      <alignment horizontal="center" vertical="top"/>
    </xf>
    <xf numFmtId="0" fontId="72" fillId="0" borderId="150" xfId="0" applyFont="1" applyBorder="1" applyAlignment="1">
      <alignment horizontal="center" vertical="top" wrapText="1"/>
    </xf>
    <xf numFmtId="0" fontId="55" fillId="0" borderId="153" xfId="0" applyFont="1" applyBorder="1" applyAlignment="1">
      <alignment horizontal="center" vertical="top"/>
    </xf>
    <xf numFmtId="0" fontId="55" fillId="0" borderId="154" xfId="0" applyFont="1" applyBorder="1" applyAlignment="1">
      <alignment horizontal="center" vertical="top" wrapText="1"/>
    </xf>
    <xf numFmtId="0" fontId="0" fillId="0" borderId="149" xfId="0" applyBorder="1" applyAlignment="1">
      <alignment vertical="top"/>
    </xf>
    <xf numFmtId="0" fontId="0" fillId="0" borderId="150" xfId="0" applyBorder="1" applyAlignment="1">
      <alignment vertical="top" wrapText="1"/>
    </xf>
    <xf numFmtId="0" fontId="57" fillId="0" borderId="0" xfId="0" applyFont="1" applyBorder="1" applyAlignment="1">
      <alignment vertical="top"/>
    </xf>
    <xf numFmtId="0" fontId="97" fillId="0" borderId="149" xfId="0" applyFont="1" applyBorder="1" applyAlignment="1">
      <alignment vertical="top"/>
    </xf>
    <xf numFmtId="0" fontId="96" fillId="0" borderId="150" xfId="0" applyFont="1" applyBorder="1" applyAlignment="1">
      <alignment horizontal="right" vertical="top"/>
    </xf>
    <xf numFmtId="0" fontId="98" fillId="0" borderId="0" xfId="0" applyFont="1" applyAlignment="1">
      <alignment vertical="center"/>
    </xf>
    <xf numFmtId="0" fontId="57" fillId="0" borderId="150" xfId="0" applyFont="1" applyBorder="1" applyAlignment="1">
      <alignment horizontal="center" vertical="top" wrapText="1"/>
    </xf>
    <xf numFmtId="0" fontId="57" fillId="0" borderId="0" xfId="0" applyFont="1" applyAlignment="1" applyProtection="1">
      <alignment horizontal="center" vertical="top"/>
    </xf>
    <xf numFmtId="0" fontId="3" fillId="0" borderId="0" xfId="0" applyFont="1" applyAlignment="1" applyProtection="1">
      <alignment horizontal="center" vertical="top"/>
    </xf>
    <xf numFmtId="0" fontId="13" fillId="0" borderId="0" xfId="0" applyFont="1" applyAlignment="1" applyProtection="1">
      <alignment horizontal="center" vertical="top"/>
    </xf>
    <xf numFmtId="0" fontId="63" fillId="0" borderId="0" xfId="0" applyFont="1" applyAlignment="1">
      <alignment vertical="top"/>
    </xf>
    <xf numFmtId="0" fontId="99" fillId="0" borderId="0" xfId="0" applyFont="1" applyAlignment="1">
      <alignment horizontal="center"/>
    </xf>
    <xf numFmtId="0" fontId="56" fillId="0" borderId="0" xfId="0" applyFont="1" applyAlignment="1">
      <alignment vertical="top" wrapText="1"/>
    </xf>
    <xf numFmtId="4" fontId="57" fillId="0" borderId="0" xfId="0" applyNumberFormat="1" applyFont="1" applyAlignment="1" applyProtection="1">
      <alignment vertical="top"/>
      <protection locked="0"/>
    </xf>
    <xf numFmtId="169" fontId="57" fillId="0" borderId="0" xfId="0" applyNumberFormat="1" applyFont="1" applyAlignment="1" applyProtection="1">
      <alignment vertical="top"/>
      <protection locked="0"/>
    </xf>
    <xf numFmtId="0" fontId="57" fillId="0" borderId="53" xfId="0" applyFont="1" applyBorder="1" applyAlignment="1">
      <alignment vertical="top"/>
    </xf>
    <xf numFmtId="0" fontId="0" fillId="0" borderId="0" xfId="0" applyFont="1"/>
    <xf numFmtId="2" fontId="67" fillId="0" borderId="155" xfId="0" applyNumberFormat="1" applyFont="1" applyBorder="1" applyAlignment="1">
      <alignment horizontal="center" vertical="center"/>
    </xf>
    <xf numFmtId="2" fontId="68" fillId="0" borderId="0" xfId="0" applyNumberFormat="1" applyFont="1" applyAlignment="1">
      <alignment horizontal="left" vertical="top"/>
    </xf>
    <xf numFmtId="2" fontId="69" fillId="0" borderId="156" xfId="0" applyNumberFormat="1" applyFont="1" applyBorder="1" applyAlignment="1">
      <alignment horizontal="center" vertical="center"/>
    </xf>
    <xf numFmtId="1" fontId="68" fillId="0" borderId="0" xfId="0" applyNumberFormat="1" applyFont="1" applyAlignment="1">
      <alignment horizontal="left" vertical="top"/>
    </xf>
    <xf numFmtId="1" fontId="69" fillId="0" borderId="53" xfId="0" applyNumberFormat="1" applyFont="1" applyBorder="1" applyAlignment="1">
      <alignment horizontal="center" vertical="center"/>
    </xf>
    <xf numFmtId="0" fontId="57" fillId="0" borderId="53" xfId="0" applyFont="1" applyBorder="1" applyAlignment="1" applyProtection="1">
      <alignment vertical="top"/>
      <protection locked="0"/>
    </xf>
    <xf numFmtId="0" fontId="20" fillId="11" borderId="53" xfId="89" applyFont="1" applyFill="1" applyBorder="1" applyAlignment="1" applyProtection="1">
      <alignment horizontal="center" vertical="top"/>
      <protection locked="0"/>
    </xf>
    <xf numFmtId="164" fontId="8" fillId="3" borderId="19" xfId="0" applyNumberFormat="1" applyFont="1" applyFill="1" applyBorder="1" applyAlignment="1">
      <alignment horizontal="center" vertical="center"/>
    </xf>
    <xf numFmtId="164" fontId="45" fillId="5" borderId="22" xfId="0" applyNumberFormat="1" applyFont="1" applyFill="1" applyBorder="1" applyAlignment="1">
      <alignment horizontal="center" vertical="center"/>
    </xf>
    <xf numFmtId="4" fontId="0" fillId="0" borderId="0" xfId="0" applyNumberFormat="1"/>
    <xf numFmtId="1" fontId="0" fillId="0" borderId="0" xfId="0" applyNumberFormat="1"/>
    <xf numFmtId="166" fontId="67" fillId="0" borderId="53" xfId="0" applyNumberFormat="1" applyFont="1" applyBorder="1" applyAlignment="1">
      <alignment horizontal="center" vertical="center"/>
    </xf>
    <xf numFmtId="166" fontId="55" fillId="0" borderId="0" xfId="0" applyNumberFormat="1" applyFont="1" applyAlignment="1">
      <alignment vertical="top"/>
    </xf>
    <xf numFmtId="0" fontId="102" fillId="0" borderId="0" xfId="0" applyFont="1" applyAlignment="1">
      <alignment horizontal="center" vertical="center"/>
    </xf>
    <xf numFmtId="14" fontId="23" fillId="0" borderId="0" xfId="0" applyNumberFormat="1" applyFont="1" applyAlignment="1">
      <alignment vertical="top"/>
    </xf>
    <xf numFmtId="0" fontId="13" fillId="0" borderId="0" xfId="0" applyFont="1" applyAlignment="1">
      <alignment vertical="center"/>
    </xf>
    <xf numFmtId="0" fontId="13" fillId="0" borderId="0" xfId="0" applyFont="1" applyBorder="1" applyAlignment="1">
      <alignment horizontal="center"/>
    </xf>
    <xf numFmtId="0" fontId="65" fillId="0" borderId="146" xfId="0" applyFont="1" applyBorder="1" applyAlignment="1">
      <alignment horizontal="center"/>
    </xf>
    <xf numFmtId="0" fontId="103" fillId="0" borderId="146" xfId="0" applyFont="1" applyBorder="1" applyAlignment="1">
      <alignment horizontal="center"/>
    </xf>
    <xf numFmtId="0" fontId="65" fillId="0" borderId="146" xfId="0" applyFont="1" applyBorder="1" applyAlignment="1">
      <alignment horizontal="left" vertical="center"/>
    </xf>
    <xf numFmtId="0" fontId="13" fillId="0" borderId="146" xfId="0" applyFont="1" applyBorder="1"/>
    <xf numFmtId="0" fontId="104" fillId="0" borderId="144" xfId="0" applyFont="1" applyBorder="1" applyAlignment="1">
      <alignment horizontal="left" vertical="center"/>
    </xf>
    <xf numFmtId="0" fontId="13" fillId="0" borderId="144" xfId="0" applyFont="1" applyBorder="1"/>
    <xf numFmtId="0" fontId="13" fillId="0" borderId="144" xfId="0" applyFont="1" applyBorder="1" applyAlignment="1">
      <alignment vertical="center"/>
    </xf>
    <xf numFmtId="0" fontId="5" fillId="0" borderId="146" xfId="0" applyFont="1" applyBorder="1"/>
    <xf numFmtId="0" fontId="0" fillId="0" borderId="146" xfId="0" applyBorder="1"/>
    <xf numFmtId="0" fontId="0" fillId="0" borderId="157" xfId="0" applyBorder="1"/>
    <xf numFmtId="3" fontId="13" fillId="0" borderId="74" xfId="0" applyNumberFormat="1" applyFont="1" applyBorder="1" applyAlignment="1">
      <alignment vertical="center"/>
    </xf>
    <xf numFmtId="0" fontId="106" fillId="0" borderId="158" xfId="90" applyFont="1" applyBorder="1" applyAlignment="1">
      <alignment horizontal="left" vertical="center"/>
    </xf>
    <xf numFmtId="3" fontId="0" fillId="7" borderId="115" xfId="0" applyNumberFormat="1" applyFont="1" applyFill="1" applyBorder="1" applyAlignment="1">
      <alignment horizontal="center" vertical="center"/>
    </xf>
    <xf numFmtId="3" fontId="0" fillId="8" borderId="115" xfId="0" applyNumberFormat="1" applyFont="1" applyFill="1" applyBorder="1" applyAlignment="1">
      <alignment horizontal="center" vertical="center"/>
    </xf>
    <xf numFmtId="3" fontId="0" fillId="9" borderId="115" xfId="0" applyNumberFormat="1" applyFont="1" applyFill="1" applyBorder="1" applyAlignment="1">
      <alignment horizontal="center" vertical="center"/>
    </xf>
    <xf numFmtId="3" fontId="107" fillId="0" borderId="0" xfId="0" applyNumberFormat="1" applyFont="1"/>
    <xf numFmtId="3" fontId="95" fillId="0" borderId="0" xfId="0" applyNumberFormat="1" applyFont="1"/>
    <xf numFmtId="0" fontId="95" fillId="0" borderId="0" xfId="0" applyFont="1"/>
    <xf numFmtId="0" fontId="2" fillId="0" borderId="0" xfId="0" applyFont="1" applyBorder="1"/>
    <xf numFmtId="0" fontId="106" fillId="0" borderId="0" xfId="90" applyFont="1" applyBorder="1" applyAlignment="1">
      <alignment horizontal="left" vertical="center"/>
    </xf>
    <xf numFmtId="164" fontId="8" fillId="5" borderId="49" xfId="0" applyNumberFormat="1" applyFont="1" applyFill="1" applyBorder="1" applyAlignment="1">
      <alignment horizontal="center" vertical="center"/>
    </xf>
    <xf numFmtId="0" fontId="0" fillId="0" borderId="129" xfId="0" applyBorder="1"/>
    <xf numFmtId="0" fontId="13" fillId="0" borderId="0" xfId="0" applyFont="1" applyAlignment="1" applyProtection="1">
      <alignment vertical="top"/>
    </xf>
    <xf numFmtId="0" fontId="13" fillId="0" borderId="0" xfId="0" applyFont="1" applyBorder="1" applyAlignment="1">
      <alignment vertical="top"/>
    </xf>
    <xf numFmtId="0" fontId="48" fillId="0" borderId="1" xfId="0" applyFont="1" applyBorder="1" applyAlignment="1">
      <alignment horizontal="left" vertical="top"/>
    </xf>
    <xf numFmtId="0" fontId="73" fillId="0" borderId="0" xfId="90" applyFont="1" applyAlignment="1">
      <alignment horizontal="center" vertical="top"/>
    </xf>
    <xf numFmtId="0" fontId="104" fillId="0" borderId="0" xfId="0" applyFont="1" applyAlignment="1" applyProtection="1">
      <alignment vertical="top"/>
    </xf>
    <xf numFmtId="0" fontId="66" fillId="0" borderId="161" xfId="0" applyFont="1" applyBorder="1"/>
    <xf numFmtId="0" fontId="66" fillId="0" borderId="163" xfId="0" applyFont="1" applyBorder="1"/>
    <xf numFmtId="0" fontId="109" fillId="0" borderId="161" xfId="0" applyFont="1" applyBorder="1"/>
    <xf numFmtId="0" fontId="0" fillId="0" borderId="102" xfId="0" applyBorder="1"/>
    <xf numFmtId="0" fontId="43" fillId="0" borderId="5" xfId="0" applyFont="1" applyBorder="1" applyAlignment="1">
      <alignment horizontal="center" vertical="center"/>
    </xf>
    <xf numFmtId="0" fontId="41" fillId="0" borderId="27" xfId="0" applyFont="1" applyBorder="1"/>
    <xf numFmtId="0" fontId="68" fillId="0" borderId="0" xfId="0" applyFont="1" applyFill="1" applyBorder="1" applyAlignment="1" applyProtection="1">
      <alignment horizontal="center" vertical="top"/>
      <protection locked="0"/>
    </xf>
    <xf numFmtId="0" fontId="63" fillId="0" borderId="0" xfId="0" applyFont="1" applyAlignment="1">
      <alignment horizontal="left" vertical="center"/>
    </xf>
    <xf numFmtId="0" fontId="19" fillId="0" borderId="150" xfId="90" applyBorder="1" applyAlignment="1">
      <alignment horizontal="center" vertical="top" wrapText="1"/>
    </xf>
    <xf numFmtId="164" fontId="45" fillId="5" borderId="50" xfId="0" applyNumberFormat="1" applyFont="1" applyFill="1" applyBorder="1" applyAlignment="1">
      <alignment horizontal="center" vertical="center"/>
    </xf>
    <xf numFmtId="4" fontId="2" fillId="0" borderId="0" xfId="0" applyNumberFormat="1" applyFont="1"/>
    <xf numFmtId="3" fontId="98" fillId="45" borderId="53" xfId="89" applyNumberFormat="1" applyFont="1" applyFill="1" applyBorder="1" applyAlignment="1" applyProtection="1">
      <alignment horizontal="left" vertical="top"/>
      <protection locked="0"/>
    </xf>
    <xf numFmtId="0" fontId="0" fillId="0" borderId="0" xfId="0"/>
    <xf numFmtId="0" fontId="57" fillId="0" borderId="0" xfId="0" quotePrefix="1" applyFont="1" applyAlignment="1" applyProtection="1">
      <alignment vertical="top"/>
      <protection locked="0"/>
    </xf>
    <xf numFmtId="1" fontId="20" fillId="0" borderId="53" xfId="0" applyNumberFormat="1" applyFont="1" applyBorder="1" applyAlignment="1">
      <alignment horizontal="center" vertical="center"/>
    </xf>
    <xf numFmtId="0" fontId="0" fillId="0" borderId="0" xfId="0"/>
    <xf numFmtId="0" fontId="3" fillId="0" borderId="0" xfId="0" applyFont="1" applyAlignment="1">
      <alignment horizontal="center" vertical="top"/>
    </xf>
    <xf numFmtId="0" fontId="57" fillId="0" borderId="0" xfId="0" applyFont="1" applyAlignment="1">
      <alignment horizontal="center" vertical="top"/>
    </xf>
    <xf numFmtId="0" fontId="57" fillId="0" borderId="0" xfId="0" applyFont="1" applyAlignment="1">
      <alignment vertical="top"/>
    </xf>
    <xf numFmtId="0" fontId="57" fillId="0" borderId="0" xfId="0" quotePrefix="1" applyFont="1" applyAlignment="1">
      <alignment vertical="top"/>
    </xf>
    <xf numFmtId="0" fontId="57" fillId="0" borderId="0" xfId="0" applyFont="1" applyAlignment="1">
      <alignment vertical="center"/>
    </xf>
    <xf numFmtId="0" fontId="11" fillId="0" borderId="0" xfId="0" applyFont="1" applyAlignment="1">
      <alignment vertical="center" wrapText="1"/>
    </xf>
    <xf numFmtId="0" fontId="64" fillId="0" borderId="0" xfId="0" applyFont="1" applyAlignment="1">
      <alignment horizontal="center" vertical="top"/>
    </xf>
    <xf numFmtId="0" fontId="55" fillId="0" borderId="0" xfId="0" applyFont="1" applyAlignment="1">
      <alignment vertical="top"/>
    </xf>
    <xf numFmtId="0" fontId="55" fillId="0" borderId="0" xfId="0" applyFont="1" applyAlignment="1">
      <alignment vertical="top" wrapText="1"/>
    </xf>
    <xf numFmtId="0" fontId="11" fillId="0" borderId="0" xfId="0" applyFont="1" applyAlignment="1">
      <alignment vertical="top" wrapText="1"/>
    </xf>
    <xf numFmtId="166" fontId="57" fillId="0" borderId="0" xfId="0" applyNumberFormat="1" applyFont="1" applyAlignment="1">
      <alignment vertical="top"/>
    </xf>
    <xf numFmtId="0" fontId="70" fillId="0" borderId="0" xfId="0" applyFont="1" applyAlignment="1">
      <alignment vertical="top" wrapText="1"/>
    </xf>
    <xf numFmtId="0" fontId="15" fillId="0" borderId="0" xfId="0" applyFont="1" applyAlignment="1">
      <alignment vertical="top" wrapText="1"/>
    </xf>
    <xf numFmtId="3" fontId="15" fillId="0" borderId="0" xfId="0" applyNumberFormat="1" applyFont="1" applyAlignment="1">
      <alignment vertical="top" wrapText="1"/>
    </xf>
    <xf numFmtId="0" fontId="20" fillId="11" borderId="53" xfId="89" applyFont="1" applyFill="1" applyBorder="1" applyAlignment="1" applyProtection="1">
      <alignment horizontal="center" vertical="top" wrapText="1"/>
      <protection locked="0"/>
    </xf>
    <xf numFmtId="0" fontId="55" fillId="0" borderId="0" xfId="0" applyFont="1" applyAlignment="1">
      <alignment horizontal="left" vertical="top"/>
    </xf>
    <xf numFmtId="0" fontId="19" fillId="0" borderId="0" xfId="90" applyAlignment="1">
      <alignment horizontal="left" vertical="center"/>
    </xf>
    <xf numFmtId="0" fontId="57" fillId="12" borderId="53" xfId="0" applyFont="1" applyFill="1" applyBorder="1" applyAlignment="1">
      <alignment vertical="top"/>
    </xf>
    <xf numFmtId="0" fontId="68" fillId="12" borderId="53" xfId="0" applyFont="1" applyFill="1" applyBorder="1" applyAlignment="1" applyProtection="1">
      <alignment horizontal="center" vertical="top"/>
      <protection locked="0"/>
    </xf>
    <xf numFmtId="0" fontId="57" fillId="0" borderId="0" xfId="0" applyFont="1" applyAlignment="1" applyProtection="1">
      <alignment vertical="top"/>
      <protection locked="0"/>
    </xf>
    <xf numFmtId="0" fontId="57" fillId="0" borderId="0" xfId="0" applyFont="1" applyAlignment="1" applyProtection="1">
      <alignment vertical="center"/>
      <protection locked="0"/>
    </xf>
    <xf numFmtId="0" fontId="55" fillId="0" borderId="0" xfId="0" applyFont="1" applyAlignment="1" applyProtection="1">
      <alignment vertical="top"/>
      <protection locked="0"/>
    </xf>
    <xf numFmtId="0" fontId="57" fillId="12" borderId="53" xfId="0" applyFont="1" applyFill="1" applyBorder="1" applyAlignment="1">
      <alignment vertical="center"/>
    </xf>
    <xf numFmtId="0" fontId="75" fillId="0" borderId="0" xfId="0" applyFont="1" applyAlignment="1">
      <alignment horizontal="center" vertical="top"/>
    </xf>
    <xf numFmtId="0" fontId="57" fillId="11" borderId="0" xfId="0" applyFont="1" applyFill="1" applyAlignment="1">
      <alignment vertical="top"/>
    </xf>
    <xf numFmtId="0" fontId="55" fillId="0" borderId="0" xfId="0" applyFont="1" applyBorder="1" applyAlignment="1">
      <alignment horizontal="center" vertical="top"/>
    </xf>
    <xf numFmtId="0" fontId="55" fillId="0" borderId="0" xfId="0" applyFont="1" applyBorder="1" applyAlignment="1">
      <alignment vertical="top"/>
    </xf>
    <xf numFmtId="0" fontId="68" fillId="0" borderId="0" xfId="0" applyFont="1" applyBorder="1" applyAlignment="1">
      <alignment horizontal="left" vertical="top"/>
    </xf>
    <xf numFmtId="1" fontId="67" fillId="0" borderId="53" xfId="0" applyNumberFormat="1" applyFont="1" applyBorder="1" applyAlignment="1">
      <alignment horizontal="center" vertical="center"/>
    </xf>
    <xf numFmtId="166" fontId="69" fillId="0" borderId="53" xfId="0" applyNumberFormat="1" applyFont="1" applyBorder="1" applyAlignment="1">
      <alignment horizontal="center" vertical="center"/>
    </xf>
    <xf numFmtId="3" fontId="67" fillId="0" borderId="53" xfId="0" applyNumberFormat="1" applyFont="1" applyBorder="1" applyAlignment="1">
      <alignment horizontal="center" vertical="center"/>
    </xf>
    <xf numFmtId="0" fontId="55" fillId="0" borderId="143" xfId="0" applyFont="1" applyBorder="1" applyAlignment="1">
      <alignment vertical="top"/>
    </xf>
    <xf numFmtId="0" fontId="55" fillId="0" borderId="143" xfId="0" applyFont="1" applyBorder="1" applyAlignment="1">
      <alignment horizontal="center" vertical="top"/>
    </xf>
    <xf numFmtId="3" fontId="57" fillId="0" borderId="0" xfId="0" applyNumberFormat="1" applyFont="1" applyAlignment="1" applyProtection="1">
      <alignment vertical="top"/>
      <protection locked="0"/>
    </xf>
    <xf numFmtId="0" fontId="55" fillId="0" borderId="149" xfId="0" applyFont="1" applyBorder="1" applyAlignment="1">
      <alignment horizontal="center" vertical="top"/>
    </xf>
    <xf numFmtId="0" fontId="55" fillId="0" borderId="150" xfId="0" applyFont="1" applyBorder="1" applyAlignment="1">
      <alignment horizontal="center" vertical="top" wrapText="1"/>
    </xf>
    <xf numFmtId="0" fontId="57" fillId="0" borderId="149" xfId="0" applyFont="1" applyBorder="1" applyAlignment="1">
      <alignment horizontal="center" vertical="center"/>
    </xf>
    <xf numFmtId="0" fontId="19" fillId="0" borderId="149" xfId="90" applyBorder="1" applyAlignment="1">
      <alignment horizontal="center" vertical="top"/>
    </xf>
    <xf numFmtId="0" fontId="72" fillId="0" borderId="150" xfId="0" applyFont="1" applyBorder="1" applyAlignment="1">
      <alignment horizontal="center" vertical="top" wrapText="1"/>
    </xf>
    <xf numFmtId="0" fontId="55" fillId="0" borderId="153" xfId="0" applyFont="1" applyBorder="1" applyAlignment="1">
      <alignment horizontal="center" vertical="top"/>
    </xf>
    <xf numFmtId="0" fontId="55" fillId="0" borderId="154" xfId="0" applyFont="1" applyBorder="1" applyAlignment="1">
      <alignment horizontal="center" vertical="top" wrapText="1"/>
    </xf>
    <xf numFmtId="0" fontId="57" fillId="0" borderId="150" xfId="0" applyFont="1" applyBorder="1" applyAlignment="1">
      <alignment horizontal="center" vertical="top" wrapText="1"/>
    </xf>
    <xf numFmtId="0" fontId="99" fillId="0" borderId="0" xfId="0" applyFont="1" applyAlignment="1">
      <alignment horizontal="center"/>
    </xf>
    <xf numFmtId="1" fontId="68" fillId="0" borderId="0" xfId="0" applyNumberFormat="1" applyFont="1" applyAlignment="1">
      <alignment horizontal="left" vertical="top"/>
    </xf>
    <xf numFmtId="1" fontId="69" fillId="0" borderId="53" xfId="0" applyNumberFormat="1" applyFont="1" applyBorder="1" applyAlignment="1">
      <alignment horizontal="center" vertical="center"/>
    </xf>
    <xf numFmtId="3" fontId="74" fillId="45" borderId="53" xfId="89" applyNumberFormat="1" applyFont="1" applyFill="1" applyBorder="1" applyAlignment="1" applyProtection="1">
      <alignment horizontal="left" vertical="top"/>
      <protection locked="0"/>
    </xf>
    <xf numFmtId="49" fontId="57" fillId="0" borderId="0" xfId="0" applyNumberFormat="1" applyFont="1" applyAlignment="1" applyProtection="1">
      <alignment vertical="center"/>
      <protection locked="0"/>
    </xf>
    <xf numFmtId="3" fontId="14" fillId="0" borderId="0" xfId="0" applyNumberFormat="1" applyFont="1"/>
    <xf numFmtId="3" fontId="123" fillId="0" borderId="53" xfId="0" applyNumberFormat="1" applyFont="1" applyBorder="1" applyAlignment="1">
      <alignment horizontal="center" vertical="center"/>
    </xf>
    <xf numFmtId="3" fontId="20" fillId="0" borderId="53" xfId="0" applyNumberFormat="1" applyFont="1" applyBorder="1" applyAlignment="1">
      <alignment horizontal="center" vertical="center"/>
    </xf>
    <xf numFmtId="0" fontId="0" fillId="0" borderId="0" xfId="0" applyAlignment="1">
      <alignment vertical="top" wrapText="1"/>
    </xf>
    <xf numFmtId="0" fontId="0" fillId="0" borderId="0" xfId="0"/>
    <xf numFmtId="0" fontId="50" fillId="0" borderId="0" xfId="0" applyFont="1"/>
    <xf numFmtId="0" fontId="0" fillId="0" borderId="167" xfId="0" applyBorder="1"/>
    <xf numFmtId="0" fontId="6" fillId="0" borderId="52" xfId="0" applyFont="1" applyBorder="1" applyAlignment="1">
      <alignment horizontal="center"/>
    </xf>
    <xf numFmtId="0" fontId="2" fillId="0" borderId="103" xfId="0" applyFont="1" applyBorder="1"/>
    <xf numFmtId="0" fontId="124" fillId="0" borderId="0" xfId="0" applyFont="1" applyAlignment="1">
      <alignment horizontal="center"/>
    </xf>
    <xf numFmtId="0" fontId="2" fillId="0" borderId="4" xfId="0" applyFont="1" applyBorder="1" applyAlignment="1">
      <alignment horizontal="center" wrapText="1"/>
    </xf>
    <xf numFmtId="0" fontId="2" fillId="0" borderId="128" xfId="0" applyFont="1" applyBorder="1" applyAlignment="1">
      <alignment horizontal="center" wrapText="1"/>
    </xf>
    <xf numFmtId="0" fontId="0" fillId="0" borderId="48" xfId="0" applyBorder="1" applyAlignment="1">
      <alignment horizontal="center"/>
    </xf>
    <xf numFmtId="0" fontId="0" fillId="0" borderId="93" xfId="0" applyBorder="1" applyAlignment="1">
      <alignment horizontal="center"/>
    </xf>
    <xf numFmtId="0" fontId="2" fillId="0" borderId="69" xfId="0" applyFont="1" applyBorder="1"/>
    <xf numFmtId="166" fontId="2" fillId="0" borderId="60" xfId="0" applyNumberFormat="1" applyFont="1" applyBorder="1" applyAlignment="1">
      <alignment horizontal="center"/>
    </xf>
    <xf numFmtId="166" fontId="2" fillId="0" borderId="121" xfId="0" applyNumberFormat="1" applyFont="1" applyBorder="1" applyAlignment="1">
      <alignment horizontal="center"/>
    </xf>
    <xf numFmtId="0" fontId="10" fillId="0" borderId="0" xfId="0" applyFont="1" applyBorder="1"/>
    <xf numFmtId="0" fontId="0" fillId="0" borderId="172" xfId="0" applyBorder="1" applyAlignment="1">
      <alignment horizontal="center"/>
    </xf>
    <xf numFmtId="0" fontId="41" fillId="0" borderId="62" xfId="0" applyFont="1" applyBorder="1"/>
    <xf numFmtId="0" fontId="43" fillId="0" borderId="62" xfId="0" applyFont="1" applyBorder="1" applyAlignment="1">
      <alignment horizontal="center"/>
    </xf>
    <xf numFmtId="166" fontId="41" fillId="0" borderId="173" xfId="0" applyNumberFormat="1" applyFont="1" applyBorder="1" applyAlignment="1">
      <alignment horizontal="center"/>
    </xf>
    <xf numFmtId="0" fontId="48" fillId="0" borderId="51" xfId="0" applyFont="1" applyBorder="1" applyAlignment="1">
      <alignment horizontal="left" vertical="center" indent="1"/>
    </xf>
    <xf numFmtId="0" fontId="43" fillId="0" borderId="42" xfId="0" applyFont="1" applyBorder="1" applyAlignment="1">
      <alignment horizontal="center"/>
    </xf>
    <xf numFmtId="166" fontId="41" fillId="0" borderId="46" xfId="0" applyNumberFormat="1" applyFont="1" applyBorder="1" applyAlignment="1">
      <alignment horizontal="center"/>
    </xf>
    <xf numFmtId="0" fontId="0" fillId="0" borderId="101" xfId="0" applyFont="1" applyBorder="1" applyAlignment="1">
      <alignment horizontal="center"/>
    </xf>
    <xf numFmtId="166" fontId="23" fillId="0" borderId="173" xfId="0" applyNumberFormat="1" applyFont="1" applyBorder="1" applyAlignment="1">
      <alignment horizontal="center"/>
    </xf>
    <xf numFmtId="0" fontId="43" fillId="0" borderId="1" xfId="0" applyFont="1" applyBorder="1" applyAlignment="1">
      <alignment horizontal="center"/>
    </xf>
    <xf numFmtId="166" fontId="41" fillId="0" borderId="131" xfId="0" applyNumberFormat="1" applyFont="1" applyBorder="1" applyAlignment="1">
      <alignment horizontal="center"/>
    </xf>
    <xf numFmtId="2" fontId="41" fillId="0" borderId="46" xfId="0" applyNumberFormat="1" applyFont="1" applyBorder="1" applyAlignment="1">
      <alignment horizontal="center"/>
    </xf>
    <xf numFmtId="0" fontId="43" fillId="0" borderId="111" xfId="0" applyFont="1" applyBorder="1" applyAlignment="1">
      <alignment horizontal="center"/>
    </xf>
    <xf numFmtId="0" fontId="43" fillId="0" borderId="77" xfId="0" applyFont="1" applyBorder="1" applyAlignment="1">
      <alignment horizontal="center"/>
    </xf>
    <xf numFmtId="166" fontId="23" fillId="0" borderId="131" xfId="0" applyNumberFormat="1" applyFont="1" applyBorder="1" applyAlignment="1">
      <alignment horizontal="center"/>
    </xf>
    <xf numFmtId="0" fontId="2" fillId="0" borderId="175" xfId="0" applyFont="1" applyBorder="1"/>
    <xf numFmtId="0" fontId="0" fillId="0" borderId="176" xfId="0" applyBorder="1"/>
    <xf numFmtId="166" fontId="2" fillId="0" borderId="177" xfId="0" applyNumberFormat="1" applyFont="1" applyBorder="1" applyAlignment="1">
      <alignment horizontal="center"/>
    </xf>
    <xf numFmtId="166" fontId="2" fillId="0" borderId="178" xfId="0" applyNumberFormat="1" applyFont="1" applyBorder="1" applyAlignment="1">
      <alignment horizontal="center"/>
    </xf>
    <xf numFmtId="0" fontId="2" fillId="0" borderId="51" xfId="0" applyFont="1" applyBorder="1"/>
    <xf numFmtId="0" fontId="0" fillId="0" borderId="172" xfId="0" applyFont="1" applyBorder="1" applyAlignment="1">
      <alignment horizontal="center"/>
    </xf>
    <xf numFmtId="166" fontId="2" fillId="0" borderId="31" xfId="0" applyNumberFormat="1" applyFont="1" applyBorder="1" applyAlignment="1">
      <alignment horizontal="center"/>
    </xf>
    <xf numFmtId="166" fontId="2" fillId="0" borderId="131" xfId="0" applyNumberFormat="1" applyFont="1" applyBorder="1" applyAlignment="1">
      <alignment horizontal="center"/>
    </xf>
    <xf numFmtId="166" fontId="2" fillId="0" borderId="179" xfId="0" applyNumberFormat="1" applyFont="1" applyBorder="1" applyAlignment="1">
      <alignment horizontal="center"/>
    </xf>
    <xf numFmtId="166" fontId="0" fillId="0" borderId="172" xfId="0" applyNumberFormat="1" applyFont="1" applyBorder="1" applyAlignment="1">
      <alignment horizontal="center"/>
    </xf>
    <xf numFmtId="166" fontId="41" fillId="0" borderId="31" xfId="0" applyNumberFormat="1" applyFont="1" applyBorder="1" applyAlignment="1">
      <alignment horizontal="center"/>
    </xf>
    <xf numFmtId="0" fontId="43" fillId="0" borderId="42" xfId="0" applyFont="1" applyBorder="1" applyAlignment="1">
      <alignment horizontal="right"/>
    </xf>
    <xf numFmtId="166" fontId="41" fillId="0" borderId="179" xfId="0" applyNumberFormat="1" applyFont="1" applyBorder="1" applyAlignment="1">
      <alignment horizontal="center"/>
    </xf>
    <xf numFmtId="0" fontId="0" fillId="0" borderId="126" xfId="0" applyFont="1" applyBorder="1" applyAlignment="1">
      <alignment horizontal="center"/>
    </xf>
    <xf numFmtId="166" fontId="2" fillId="0" borderId="8" xfId="0" applyNumberFormat="1" applyFont="1" applyBorder="1" applyAlignment="1">
      <alignment horizontal="center"/>
    </xf>
    <xf numFmtId="0" fontId="0" fillId="0" borderId="0" xfId="0" applyAlignment="1">
      <alignment horizontal="right"/>
    </xf>
    <xf numFmtId="0" fontId="125" fillId="0" borderId="0" xfId="0" applyFont="1"/>
    <xf numFmtId="0" fontId="3" fillId="0" borderId="0" xfId="0" applyFont="1" applyBorder="1" applyAlignment="1">
      <alignment horizontal="center" vertical="top"/>
    </xf>
    <xf numFmtId="0" fontId="43" fillId="0" borderId="174" xfId="0" applyFont="1" applyBorder="1" applyAlignment="1">
      <alignment horizontal="center"/>
    </xf>
    <xf numFmtId="166" fontId="6" fillId="0" borderId="124" xfId="0" applyNumberFormat="1" applyFont="1" applyBorder="1" applyAlignment="1">
      <alignment horizontal="center"/>
    </xf>
    <xf numFmtId="166" fontId="6" fillId="0" borderId="70" xfId="0" applyNumberFormat="1" applyFont="1" applyBorder="1" applyAlignment="1">
      <alignment horizontal="center"/>
    </xf>
    <xf numFmtId="166" fontId="6" fillId="0" borderId="74" xfId="0" applyNumberFormat="1" applyFont="1" applyBorder="1" applyAlignment="1">
      <alignment horizontal="center"/>
    </xf>
    <xf numFmtId="0" fontId="0" fillId="0" borderId="0" xfId="0"/>
    <xf numFmtId="0" fontId="0" fillId="0" borderId="0" xfId="0" applyAlignment="1">
      <alignment vertical="top"/>
    </xf>
    <xf numFmtId="0" fontId="0" fillId="0" borderId="180" xfId="0" applyBorder="1"/>
    <xf numFmtId="0" fontId="109" fillId="0" borderId="36" xfId="0" applyFont="1" applyBorder="1"/>
    <xf numFmtId="166" fontId="6" fillId="0" borderId="1" xfId="0" applyNumberFormat="1" applyFont="1" applyBorder="1" applyAlignment="1">
      <alignment horizontal="center"/>
    </xf>
    <xf numFmtId="166" fontId="6" fillId="0" borderId="73" xfId="0" applyNumberFormat="1" applyFont="1" applyBorder="1" applyAlignment="1">
      <alignment horizontal="center"/>
    </xf>
    <xf numFmtId="0" fontId="66" fillId="0" borderId="12" xfId="0" applyFont="1" applyBorder="1"/>
    <xf numFmtId="0" fontId="66" fillId="0" borderId="36" xfId="0" applyFont="1" applyBorder="1"/>
    <xf numFmtId="0" fontId="109" fillId="0" borderId="174" xfId="0" applyFont="1" applyBorder="1"/>
    <xf numFmtId="166" fontId="6" fillId="0" borderId="103" xfId="0" applyNumberFormat="1" applyFont="1" applyBorder="1" applyAlignment="1">
      <alignment horizontal="center"/>
    </xf>
    <xf numFmtId="166" fontId="6" fillId="0" borderId="129" xfId="0" applyNumberFormat="1" applyFont="1" applyBorder="1" applyAlignment="1">
      <alignment horizontal="center"/>
    </xf>
    <xf numFmtId="166" fontId="6" fillId="0" borderId="123" xfId="0" applyNumberFormat="1" applyFont="1" applyBorder="1" applyAlignment="1">
      <alignment horizontal="center"/>
    </xf>
    <xf numFmtId="0" fontId="66" fillId="0" borderId="27" xfId="0" applyFont="1" applyBorder="1"/>
    <xf numFmtId="0" fontId="109" fillId="0" borderId="18" xfId="0" applyFont="1" applyBorder="1"/>
    <xf numFmtId="166" fontId="6" fillId="0" borderId="181" xfId="0" applyNumberFormat="1" applyFont="1" applyBorder="1" applyAlignment="1">
      <alignment horizontal="center"/>
    </xf>
    <xf numFmtId="166" fontId="6" fillId="0" borderId="182" xfId="0" applyNumberFormat="1" applyFont="1" applyBorder="1" applyAlignment="1">
      <alignment horizontal="center"/>
    </xf>
    <xf numFmtId="166" fontId="6" fillId="0" borderId="183" xfId="0" applyNumberFormat="1" applyFont="1" applyBorder="1" applyAlignment="1">
      <alignment horizontal="center"/>
    </xf>
    <xf numFmtId="166" fontId="6" fillId="0" borderId="184" xfId="0" applyNumberFormat="1" applyFont="1" applyBorder="1" applyAlignment="1">
      <alignment horizontal="center"/>
    </xf>
    <xf numFmtId="166" fontId="57" fillId="0" borderId="0" xfId="0" applyNumberFormat="1" applyFont="1" applyAlignment="1" applyProtection="1">
      <alignment vertical="top"/>
      <protection locked="0"/>
    </xf>
    <xf numFmtId="166" fontId="126" fillId="0" borderId="53" xfId="0" applyNumberFormat="1" applyFont="1" applyBorder="1" applyAlignment="1">
      <alignment horizontal="center" vertical="center"/>
    </xf>
    <xf numFmtId="49" fontId="57" fillId="0" borderId="0" xfId="0" applyNumberFormat="1" applyFont="1" applyAlignment="1" applyProtection="1">
      <alignment vertical="top"/>
      <protection locked="0"/>
    </xf>
    <xf numFmtId="0" fontId="0" fillId="0" borderId="0" xfId="0" applyProtection="1">
      <protection locked="0"/>
    </xf>
    <xf numFmtId="166" fontId="74" fillId="45" borderId="53" xfId="89" applyNumberFormat="1" applyFont="1" applyFill="1" applyBorder="1" applyAlignment="1" applyProtection="1">
      <alignment horizontal="center" vertical="top"/>
      <protection locked="0"/>
    </xf>
    <xf numFmtId="0" fontId="92" fillId="0" borderId="0" xfId="0" applyFont="1" applyAlignment="1" applyProtection="1">
      <alignment vertical="top"/>
      <protection locked="0"/>
    </xf>
    <xf numFmtId="0" fontId="92" fillId="0" borderId="0" xfId="0" quotePrefix="1" applyFont="1" applyAlignment="1" applyProtection="1">
      <alignment vertical="top"/>
      <protection locked="0"/>
    </xf>
    <xf numFmtId="0" fontId="127" fillId="0" borderId="146" xfId="0" applyFont="1" applyBorder="1" applyAlignment="1">
      <alignment horizontal="left" vertical="center"/>
    </xf>
    <xf numFmtId="0" fontId="128" fillId="0" borderId="146" xfId="0" applyFont="1" applyBorder="1" applyAlignment="1">
      <alignment horizontal="left" vertical="center"/>
    </xf>
    <xf numFmtId="0" fontId="127" fillId="0" borderId="146" xfId="0" applyFont="1" applyBorder="1" applyAlignment="1" applyProtection="1">
      <alignment horizontal="left" vertical="top"/>
    </xf>
    <xf numFmtId="0" fontId="20" fillId="12" borderId="146" xfId="0" applyFont="1" applyFill="1" applyBorder="1" applyAlignment="1" applyProtection="1">
      <alignment vertical="top" wrapText="1"/>
      <protection locked="0"/>
    </xf>
    <xf numFmtId="17" fontId="68" fillId="12" borderId="53" xfId="0" quotePrefix="1" applyNumberFormat="1" applyFont="1" applyFill="1" applyBorder="1" applyAlignment="1" applyProtection="1">
      <alignment horizontal="center" vertical="top"/>
      <protection locked="0"/>
    </xf>
    <xf numFmtId="3" fontId="74" fillId="45" borderId="122" xfId="89" applyNumberFormat="1" applyFont="1" applyFill="1" applyBorder="1" applyAlignment="1" applyProtection="1">
      <alignment horizontal="center" vertical="top"/>
      <protection locked="0"/>
    </xf>
    <xf numFmtId="3" fontId="74" fillId="45" borderId="53" xfId="89" quotePrefix="1" applyNumberFormat="1" applyFont="1" applyFill="1" applyBorder="1" applyAlignment="1" applyProtection="1">
      <alignment horizontal="left" vertical="top"/>
      <protection locked="0"/>
    </xf>
    <xf numFmtId="4" fontId="67" fillId="0" borderId="53" xfId="0" applyNumberFormat="1" applyFont="1" applyBorder="1" applyAlignment="1">
      <alignment horizontal="center" vertical="center"/>
    </xf>
    <xf numFmtId="4" fontId="69" fillId="0" borderId="53" xfId="0" applyNumberFormat="1" applyFont="1" applyBorder="1" applyAlignment="1">
      <alignment horizontal="center" vertical="center"/>
    </xf>
    <xf numFmtId="4" fontId="20" fillId="82" borderId="0" xfId="0" applyNumberFormat="1" applyFont="1" applyFill="1" applyAlignment="1" applyProtection="1">
      <alignment vertical="top"/>
      <protection locked="0"/>
    </xf>
    <xf numFmtId="0" fontId="57" fillId="12" borderId="0" xfId="0" applyFont="1" applyFill="1" applyAlignment="1">
      <alignment horizontal="center" vertical="top"/>
    </xf>
    <xf numFmtId="3" fontId="67" fillId="12" borderId="53" xfId="0" applyNumberFormat="1" applyFont="1" applyFill="1" applyBorder="1" applyAlignment="1">
      <alignment horizontal="center" vertical="center"/>
    </xf>
    <xf numFmtId="0" fontId="68" fillId="12" borderId="0" xfId="0" applyFont="1" applyFill="1" applyAlignment="1">
      <alignment horizontal="left" vertical="top"/>
    </xf>
    <xf numFmtId="3" fontId="69" fillId="12" borderId="53" xfId="0" applyNumberFormat="1" applyFont="1" applyFill="1" applyBorder="1" applyAlignment="1">
      <alignment horizontal="center" vertical="center"/>
    </xf>
    <xf numFmtId="0" fontId="68" fillId="12" borderId="0" xfId="0" applyFont="1" applyFill="1" applyBorder="1" applyAlignment="1">
      <alignment horizontal="left" vertical="top"/>
    </xf>
    <xf numFmtId="0" fontId="55" fillId="12" borderId="0" xfId="0" applyFont="1" applyFill="1" applyBorder="1" applyAlignment="1">
      <alignment vertical="top"/>
    </xf>
    <xf numFmtId="0" fontId="55" fillId="12" borderId="0" xfId="0" applyFont="1" applyFill="1" applyBorder="1" applyAlignment="1">
      <alignment horizontal="center" vertical="top"/>
    </xf>
    <xf numFmtId="0" fontId="57" fillId="0" borderId="0" xfId="0" applyFont="1" applyAlignment="1">
      <alignment vertical="top"/>
    </xf>
    <xf numFmtId="0" fontId="55" fillId="0" borderId="0" xfId="0" applyFont="1" applyBorder="1" applyAlignment="1">
      <alignment horizontal="left" vertical="top"/>
    </xf>
    <xf numFmtId="0" fontId="55" fillId="0" borderId="0" xfId="0" applyFont="1" applyFill="1" applyBorder="1" applyAlignment="1">
      <alignment vertical="top"/>
    </xf>
    <xf numFmtId="0" fontId="57" fillId="0" borderId="0" xfId="0" applyFont="1" applyAlignment="1" applyProtection="1">
      <alignment vertical="top"/>
      <protection locked="0"/>
    </xf>
    <xf numFmtId="0" fontId="132" fillId="12" borderId="146" xfId="0" applyFont="1" applyFill="1" applyBorder="1" applyAlignment="1" applyProtection="1">
      <alignment vertical="top" wrapText="1"/>
      <protection locked="0"/>
    </xf>
    <xf numFmtId="0" fontId="72" fillId="12" borderId="146" xfId="0" applyFont="1" applyFill="1" applyBorder="1" applyAlignment="1" applyProtection="1">
      <alignment vertical="top" wrapText="1"/>
      <protection locked="0"/>
    </xf>
    <xf numFmtId="0" fontId="10" fillId="12" borderId="146" xfId="0" applyFont="1" applyFill="1" applyBorder="1" applyAlignment="1" applyProtection="1">
      <alignment vertical="top" wrapText="1"/>
      <protection locked="0"/>
    </xf>
    <xf numFmtId="0" fontId="72" fillId="12" borderId="146" xfId="0" quotePrefix="1" applyFont="1" applyFill="1" applyBorder="1" applyAlignment="1" applyProtection="1">
      <alignment vertical="top" wrapText="1"/>
      <protection locked="0"/>
    </xf>
    <xf numFmtId="0" fontId="132" fillId="0" borderId="146" xfId="0" applyFont="1" applyFill="1" applyBorder="1" applyAlignment="1" applyProtection="1">
      <alignment vertical="top" wrapText="1"/>
      <protection locked="0"/>
    </xf>
    <xf numFmtId="0" fontId="20" fillId="12" borderId="146" xfId="0" quotePrefix="1" applyFont="1" applyFill="1" applyBorder="1" applyAlignment="1" applyProtection="1">
      <alignment vertical="top" wrapText="1"/>
      <protection locked="0"/>
    </xf>
    <xf numFmtId="0" fontId="20" fillId="0" borderId="0" xfId="0" applyFont="1" applyAlignment="1">
      <alignment vertical="top"/>
    </xf>
    <xf numFmtId="0" fontId="132" fillId="0" borderId="0" xfId="0" applyFont="1" applyFill="1" applyAlignment="1">
      <alignment vertical="top"/>
    </xf>
    <xf numFmtId="0" fontId="132" fillId="12" borderId="0" xfId="0" applyFont="1" applyFill="1" applyAlignment="1" applyProtection="1">
      <alignment vertical="top"/>
      <protection locked="0"/>
    </xf>
    <xf numFmtId="0" fontId="20" fillId="12" borderId="146" xfId="0" applyFont="1" applyFill="1" applyBorder="1" applyAlignment="1" applyProtection="1">
      <alignment vertical="top"/>
      <protection locked="0"/>
    </xf>
    <xf numFmtId="0" fontId="132" fillId="12" borderId="146" xfId="0" applyFont="1" applyFill="1" applyBorder="1" applyAlignment="1" applyProtection="1">
      <alignment vertical="top"/>
      <protection locked="0"/>
    </xf>
    <xf numFmtId="0" fontId="23" fillId="12" borderId="146" xfId="0" applyFont="1" applyFill="1" applyBorder="1" applyAlignment="1" applyProtection="1">
      <alignment vertical="top" wrapText="1"/>
      <protection locked="0"/>
    </xf>
    <xf numFmtId="0" fontId="63" fillId="0" borderId="148" xfId="0" applyFont="1" applyBorder="1" applyAlignment="1">
      <alignment horizontal="center" vertical="center" wrapText="1"/>
    </xf>
    <xf numFmtId="0" fontId="63" fillId="0" borderId="0" xfId="0" applyFont="1" applyAlignment="1">
      <alignment vertical="center" wrapText="1"/>
    </xf>
    <xf numFmtId="0" fontId="133" fillId="0" borderId="0" xfId="0" applyFont="1" applyAlignment="1">
      <alignment vertical="top"/>
    </xf>
    <xf numFmtId="0" fontId="54" fillId="0" borderId="0" xfId="0" applyFont="1" applyAlignment="1">
      <alignment vertical="top"/>
    </xf>
    <xf numFmtId="0" fontId="131" fillId="0" borderId="0" xfId="0" applyFont="1" applyAlignment="1">
      <alignment horizontal="center" vertical="top"/>
    </xf>
    <xf numFmtId="0" fontId="76" fillId="0" borderId="0" xfId="0" applyFont="1" applyAlignment="1">
      <alignment horizontal="center" vertical="top"/>
    </xf>
    <xf numFmtId="0" fontId="131" fillId="0" borderId="0" xfId="0" applyFont="1" applyBorder="1" applyAlignment="1">
      <alignment horizontal="center" vertical="top"/>
    </xf>
    <xf numFmtId="0" fontId="54" fillId="0" borderId="0" xfId="0" applyFont="1" applyAlignment="1">
      <alignment horizontal="center" vertical="top"/>
    </xf>
    <xf numFmtId="0" fontId="76" fillId="0" borderId="150" xfId="0" applyFont="1" applyBorder="1" applyAlignment="1">
      <alignment horizontal="center" vertical="top" wrapText="1"/>
    </xf>
    <xf numFmtId="3" fontId="74" fillId="45" borderId="53" xfId="89" applyNumberFormat="1" applyFont="1" applyFill="1" applyBorder="1" applyAlignment="1" applyProtection="1">
      <alignment horizontal="center" vertical="top"/>
      <protection locked="0"/>
    </xf>
    <xf numFmtId="2" fontId="74" fillId="45" borderId="53" xfId="89" applyNumberFormat="1" applyFont="1" applyFill="1" applyBorder="1" applyAlignment="1" applyProtection="1">
      <alignment horizontal="center" vertical="top"/>
      <protection locked="0"/>
    </xf>
    <xf numFmtId="0" fontId="72" fillId="12" borderId="53" xfId="0" applyFont="1" applyFill="1" applyBorder="1" applyAlignment="1" applyProtection="1">
      <alignment horizontal="center" vertical="top"/>
      <protection locked="0"/>
    </xf>
    <xf numFmtId="0" fontId="140" fillId="0" borderId="0" xfId="0" applyFont="1" applyAlignment="1" applyProtection="1">
      <alignment vertical="top"/>
      <protection locked="0"/>
    </xf>
    <xf numFmtId="3" fontId="140" fillId="0" borderId="0" xfId="0" applyNumberFormat="1" applyFont="1" applyAlignment="1" applyProtection="1">
      <alignment vertical="top"/>
      <protection locked="0"/>
    </xf>
    <xf numFmtId="0" fontId="142" fillId="0" borderId="150" xfId="0" applyFont="1" applyBorder="1" applyAlignment="1">
      <alignment horizontal="center" vertical="top" wrapText="1"/>
    </xf>
    <xf numFmtId="0" fontId="74" fillId="12" borderId="146" xfId="0" applyFont="1" applyFill="1" applyBorder="1" applyAlignment="1" applyProtection="1">
      <alignment vertical="top" wrapText="1"/>
      <protection locked="0"/>
    </xf>
    <xf numFmtId="0" fontId="74" fillId="0" borderId="0" xfId="0" applyFont="1" applyAlignment="1" applyProtection="1">
      <alignment vertical="top"/>
      <protection locked="0"/>
    </xf>
    <xf numFmtId="0" fontId="8" fillId="0" borderId="0" xfId="0" applyFont="1" applyFill="1" applyAlignment="1">
      <alignment horizontal="center" vertical="top"/>
    </xf>
    <xf numFmtId="0" fontId="55" fillId="0" borderId="0" xfId="0" applyFont="1" applyFill="1" applyBorder="1" applyAlignment="1">
      <alignment horizontal="center" vertical="top"/>
    </xf>
    <xf numFmtId="0" fontId="72" fillId="0" borderId="150" xfId="0" applyFont="1" applyFill="1" applyBorder="1" applyAlignment="1">
      <alignment horizontal="center" vertical="top" wrapText="1"/>
    </xf>
    <xf numFmtId="1" fontId="57" fillId="0" borderId="0" xfId="0" applyNumberFormat="1" applyFont="1" applyAlignment="1" applyProtection="1">
      <alignment vertical="top"/>
      <protection locked="0"/>
    </xf>
    <xf numFmtId="1" fontId="57" fillId="0" borderId="0" xfId="0" quotePrefix="1" applyNumberFormat="1" applyFont="1" applyAlignment="1" applyProtection="1">
      <alignment horizontal="right" vertical="top"/>
      <protection locked="0"/>
    </xf>
    <xf numFmtId="0" fontId="57" fillId="0" borderId="0" xfId="0" quotePrefix="1" applyFont="1" applyAlignment="1" applyProtection="1">
      <alignment horizontal="right" vertical="top"/>
      <protection locked="0"/>
    </xf>
    <xf numFmtId="0" fontId="57" fillId="11" borderId="0" xfId="0" applyFont="1" applyFill="1" applyAlignment="1" applyProtection="1">
      <alignment vertical="top"/>
      <protection locked="0"/>
    </xf>
    <xf numFmtId="0" fontId="19" fillId="0" borderId="0" xfId="90" applyBorder="1" applyAlignment="1">
      <alignment horizontal="center" vertical="top"/>
    </xf>
    <xf numFmtId="0" fontId="72" fillId="0" borderId="0" xfId="0" applyFont="1" applyBorder="1" applyAlignment="1">
      <alignment horizontal="center" vertical="top" wrapText="1"/>
    </xf>
    <xf numFmtId="14" fontId="57" fillId="0" borderId="0" xfId="0" quotePrefix="1" applyNumberFormat="1" applyFont="1" applyAlignment="1" applyProtection="1">
      <alignment horizontal="right" vertical="top"/>
      <protection locked="0"/>
    </xf>
    <xf numFmtId="3" fontId="57" fillId="11" borderId="0" xfId="0" applyNumberFormat="1" applyFont="1" applyFill="1" applyAlignment="1" applyProtection="1">
      <alignment vertical="top"/>
      <protection locked="0"/>
    </xf>
    <xf numFmtId="0" fontId="68" fillId="0" borderId="14" xfId="0" applyFont="1" applyBorder="1" applyAlignment="1">
      <alignment horizontal="left" vertical="top"/>
    </xf>
    <xf numFmtId="0" fontId="19" fillId="0" borderId="0" xfId="90" applyAlignment="1" applyProtection="1">
      <alignment vertical="top"/>
      <protection locked="0"/>
    </xf>
    <xf numFmtId="0" fontId="149" fillId="0" borderId="0" xfId="0" applyFont="1" applyAlignment="1" applyProtection="1">
      <alignment vertical="top"/>
      <protection locked="0"/>
    </xf>
    <xf numFmtId="0" fontId="20" fillId="0" borderId="0" xfId="0" applyFont="1" applyAlignment="1" applyProtection="1">
      <alignment vertical="top"/>
      <protection locked="0"/>
    </xf>
    <xf numFmtId="3" fontId="57" fillId="0" borderId="53" xfId="0" applyNumberFormat="1" applyFont="1" applyBorder="1" applyAlignment="1" applyProtection="1">
      <alignment vertical="top"/>
      <protection locked="0"/>
    </xf>
    <xf numFmtId="2" fontId="151" fillId="0" borderId="0" xfId="0" applyNumberFormat="1" applyFont="1" applyAlignment="1" applyProtection="1">
      <alignment vertical="top"/>
      <protection locked="0"/>
    </xf>
    <xf numFmtId="0" fontId="151" fillId="0" borderId="0" xfId="0" applyFont="1" applyAlignment="1" applyProtection="1">
      <alignment vertical="top"/>
      <protection locked="0"/>
    </xf>
    <xf numFmtId="0" fontId="151" fillId="0" borderId="53" xfId="0" applyFont="1" applyBorder="1" applyAlignment="1" applyProtection="1">
      <alignment vertical="top"/>
      <protection locked="0"/>
    </xf>
    <xf numFmtId="3" fontId="151" fillId="0" borderId="0" xfId="0" applyNumberFormat="1" applyFont="1" applyAlignment="1" applyProtection="1">
      <alignment vertical="top"/>
      <protection locked="0"/>
    </xf>
    <xf numFmtId="0" fontId="57" fillId="0" borderId="0" xfId="0" applyFont="1" applyAlignment="1" applyProtection="1">
      <alignment horizontal="right" vertical="top"/>
      <protection locked="0"/>
    </xf>
    <xf numFmtId="0" fontId="140" fillId="0" borderId="0" xfId="0" applyFont="1" applyFill="1" applyAlignment="1">
      <alignment vertical="top"/>
    </xf>
    <xf numFmtId="0" fontId="143" fillId="0" borderId="0" xfId="0" applyFont="1" applyAlignment="1">
      <alignment horizontal="center" vertical="top"/>
    </xf>
    <xf numFmtId="3" fontId="57" fillId="0" borderId="0" xfId="0" quotePrefix="1" applyNumberFormat="1" applyFont="1" applyAlignment="1" applyProtection="1">
      <alignment vertical="top"/>
      <protection locked="0"/>
    </xf>
    <xf numFmtId="0" fontId="150" fillId="0" borderId="0" xfId="0" applyFont="1" applyAlignment="1" applyProtection="1">
      <alignment vertical="top"/>
      <protection locked="0"/>
    </xf>
    <xf numFmtId="0" fontId="150" fillId="0" borderId="0" xfId="0" quotePrefix="1" applyFont="1" applyAlignment="1" applyProtection="1">
      <alignment vertical="top"/>
      <protection locked="0"/>
    </xf>
    <xf numFmtId="3" fontId="150" fillId="0" borderId="0" xfId="0" applyNumberFormat="1" applyFont="1" applyAlignment="1" applyProtection="1">
      <alignment vertical="top"/>
      <protection locked="0"/>
    </xf>
    <xf numFmtId="0" fontId="57" fillId="84" borderId="0" xfId="0" applyFont="1" applyFill="1" applyAlignment="1">
      <alignment vertical="top"/>
    </xf>
    <xf numFmtId="3" fontId="149" fillId="0" borderId="0" xfId="0" applyNumberFormat="1" applyFont="1" applyAlignment="1" applyProtection="1">
      <alignment vertical="top"/>
      <protection locked="0"/>
    </xf>
    <xf numFmtId="0" fontId="57" fillId="0" borderId="0" xfId="0" applyFont="1" applyAlignment="1" applyProtection="1">
      <alignment vertical="top" wrapText="1"/>
      <protection locked="0"/>
    </xf>
    <xf numFmtId="0" fontId="57" fillId="37" borderId="0" xfId="0" applyFont="1" applyFill="1" applyAlignment="1" applyProtection="1">
      <alignment vertical="top"/>
      <protection locked="0"/>
    </xf>
    <xf numFmtId="3" fontId="57" fillId="0" borderId="0" xfId="0" applyNumberFormat="1" applyFont="1" applyAlignment="1" applyProtection="1">
      <alignment vertical="center"/>
      <protection locked="0"/>
    </xf>
    <xf numFmtId="0" fontId="19" fillId="0" borderId="149" xfId="90" applyFill="1" applyBorder="1" applyAlignment="1">
      <alignment horizontal="center" vertical="top"/>
    </xf>
    <xf numFmtId="0" fontId="140" fillId="0" borderId="0" xfId="0" applyFont="1" applyFill="1" applyAlignment="1" applyProtection="1">
      <alignment vertical="top"/>
      <protection locked="0"/>
    </xf>
    <xf numFmtId="0" fontId="68" fillId="12" borderId="74" xfId="0" applyFont="1" applyFill="1" applyBorder="1" applyAlignment="1" applyProtection="1">
      <alignment horizontal="center" vertical="top"/>
      <protection locked="0"/>
    </xf>
    <xf numFmtId="166" fontId="74" fillId="0" borderId="0" xfId="0" applyNumberFormat="1" applyFont="1" applyAlignment="1" applyProtection="1">
      <alignment vertical="top"/>
      <protection locked="0"/>
    </xf>
    <xf numFmtId="0" fontId="96" fillId="82" borderId="0" xfId="0" applyFont="1" applyFill="1" applyBorder="1" applyAlignment="1">
      <alignment horizontal="right" vertical="top"/>
    </xf>
    <xf numFmtId="0" fontId="134" fillId="82" borderId="0" xfId="0" applyFont="1" applyFill="1" applyAlignment="1">
      <alignment horizontal="center" vertical="center"/>
    </xf>
    <xf numFmtId="0" fontId="136" fillId="82" borderId="0" xfId="0" applyFont="1" applyFill="1" applyAlignment="1">
      <alignment horizontal="center" vertical="top"/>
    </xf>
    <xf numFmtId="0" fontId="137" fillId="82" borderId="0" xfId="0" applyFont="1" applyFill="1" applyBorder="1" applyAlignment="1">
      <alignment horizontal="center" vertical="top"/>
    </xf>
    <xf numFmtId="0" fontId="137" fillId="82" borderId="0" xfId="0" applyFont="1" applyFill="1" applyAlignment="1">
      <alignment horizontal="center" vertical="top"/>
    </xf>
    <xf numFmtId="0" fontId="136" fillId="82" borderId="0" xfId="0" applyFont="1" applyFill="1" applyBorder="1" applyAlignment="1">
      <alignment horizontal="center" vertical="top"/>
    </xf>
    <xf numFmtId="0" fontId="136" fillId="82" borderId="0" xfId="0" quotePrefix="1" applyFont="1" applyFill="1" applyAlignment="1">
      <alignment horizontal="center" vertical="top"/>
    </xf>
    <xf numFmtId="0" fontId="158" fillId="82" borderId="0" xfId="0" applyFont="1" applyFill="1" applyAlignment="1">
      <alignment horizontal="center" vertical="top"/>
    </xf>
    <xf numFmtId="0" fontId="135" fillId="82" borderId="0" xfId="0" applyFont="1" applyFill="1" applyAlignment="1">
      <alignment horizontal="center" vertical="center"/>
    </xf>
    <xf numFmtId="49" fontId="48" fillId="0" borderId="73" xfId="0" applyNumberFormat="1" applyFont="1" applyBorder="1" applyAlignment="1">
      <alignment vertical="center"/>
    </xf>
    <xf numFmtId="49" fontId="48" fillId="0" borderId="1" xfId="0" applyNumberFormat="1" applyFont="1" applyBorder="1" applyAlignment="1">
      <alignment vertical="center"/>
    </xf>
    <xf numFmtId="49" fontId="48" fillId="0" borderId="74" xfId="0" applyNumberFormat="1" applyFont="1" applyBorder="1" applyAlignment="1">
      <alignment vertical="center"/>
    </xf>
    <xf numFmtId="0" fontId="96" fillId="0" borderId="0" xfId="0" applyFont="1" applyAlignment="1">
      <alignment horizontal="right" vertical="top"/>
    </xf>
    <xf numFmtId="0" fontId="159" fillId="0" borderId="0" xfId="0" applyFont="1" applyFill="1" applyAlignment="1" applyProtection="1">
      <alignment horizontal="left" vertical="top"/>
    </xf>
    <xf numFmtId="0" fontId="140" fillId="0" borderId="0" xfId="0" applyFont="1" applyFill="1" applyAlignment="1" applyProtection="1">
      <alignment vertical="center"/>
      <protection locked="0"/>
    </xf>
    <xf numFmtId="0" fontId="134" fillId="0" borderId="0" xfId="0" applyFont="1" applyFill="1" applyAlignment="1" applyProtection="1">
      <alignment vertical="top"/>
      <protection locked="0"/>
    </xf>
    <xf numFmtId="0" fontId="134" fillId="0" borderId="0" xfId="0" applyFont="1" applyFill="1" applyBorder="1" applyAlignment="1" applyProtection="1">
      <alignment vertical="top"/>
      <protection locked="0"/>
    </xf>
    <xf numFmtId="14" fontId="140" fillId="0" borderId="0" xfId="0" applyNumberFormat="1" applyFont="1" applyFill="1" applyAlignment="1" applyProtection="1">
      <alignment vertical="top"/>
      <protection locked="0"/>
    </xf>
    <xf numFmtId="0" fontId="135" fillId="0" borderId="0" xfId="0" applyFont="1" applyFill="1" applyAlignment="1" applyProtection="1">
      <alignment vertical="top"/>
      <protection locked="0"/>
    </xf>
    <xf numFmtId="0" fontId="159" fillId="0" borderId="0" xfId="0" applyFont="1" applyFill="1" applyAlignment="1">
      <alignment horizontal="left" vertical="top"/>
    </xf>
    <xf numFmtId="0" fontId="140" fillId="0" borderId="0" xfId="0" applyFont="1" applyFill="1" applyAlignment="1">
      <alignment vertical="center"/>
    </xf>
    <xf numFmtId="0" fontId="134" fillId="0" borderId="0" xfId="0" applyFont="1" applyFill="1" applyAlignment="1">
      <alignment vertical="top"/>
    </xf>
    <xf numFmtId="0" fontId="134" fillId="0" borderId="0" xfId="0" applyFont="1" applyFill="1" applyBorder="1" applyAlignment="1">
      <alignment vertical="top"/>
    </xf>
    <xf numFmtId="0" fontId="160" fillId="0" borderId="0" xfId="0" applyFont="1" applyFill="1" applyAlignment="1">
      <alignment vertical="top"/>
    </xf>
    <xf numFmtId="0" fontId="140" fillId="83" borderId="0" xfId="0" applyFont="1" applyFill="1" applyAlignment="1">
      <alignment vertical="top"/>
    </xf>
    <xf numFmtId="0" fontId="135" fillId="0" borderId="0" xfId="0" applyFont="1" applyFill="1" applyAlignment="1">
      <alignment vertical="top"/>
    </xf>
    <xf numFmtId="0" fontId="136" fillId="11" borderId="0" xfId="0" applyFont="1" applyFill="1" applyAlignment="1">
      <alignment horizontal="center" vertical="top"/>
    </xf>
    <xf numFmtId="0" fontId="137" fillId="11" borderId="0" xfId="0" applyFont="1" applyFill="1" applyAlignment="1">
      <alignment horizontal="center" vertical="top"/>
    </xf>
    <xf numFmtId="0" fontId="74" fillId="0" borderId="0" xfId="0" applyFont="1" applyAlignment="1">
      <alignment vertical="top"/>
    </xf>
    <xf numFmtId="0" fontId="13" fillId="86" borderId="0" xfId="0" applyFont="1" applyFill="1" applyBorder="1" applyAlignment="1">
      <alignment vertical="top"/>
    </xf>
    <xf numFmtId="0" fontId="72" fillId="36" borderId="0" xfId="0" applyFont="1" applyFill="1" applyAlignment="1" applyProtection="1">
      <alignment vertical="top" wrapText="1"/>
    </xf>
    <xf numFmtId="0" fontId="0" fillId="0" borderId="0" xfId="0" applyFill="1"/>
    <xf numFmtId="14" fontId="4" fillId="0" borderId="0" xfId="0" applyNumberFormat="1" applyFont="1" applyFill="1" applyBorder="1" applyAlignment="1" applyProtection="1">
      <alignment horizontal="right" vertical="top"/>
      <protection hidden="1"/>
    </xf>
    <xf numFmtId="0" fontId="0" fillId="0" borderId="0" xfId="0"/>
    <xf numFmtId="0" fontId="13" fillId="0" borderId="0" xfId="0" applyFont="1"/>
    <xf numFmtId="0" fontId="0" fillId="0" borderId="10" xfId="0" applyBorder="1"/>
    <xf numFmtId="0" fontId="47" fillId="0" borderId="0" xfId="0" applyFont="1"/>
    <xf numFmtId="0" fontId="0" fillId="0" borderId="0" xfId="0" applyAlignment="1">
      <alignment horizontal="center"/>
    </xf>
    <xf numFmtId="0" fontId="57" fillId="0" borderId="0" xfId="0" applyFont="1" applyAlignment="1">
      <alignment vertical="top"/>
    </xf>
    <xf numFmtId="14" fontId="0" fillId="0" borderId="0" xfId="0" applyNumberFormat="1" applyAlignment="1" applyProtection="1">
      <alignment horizontal="center" vertical="top"/>
      <protection locked="0"/>
    </xf>
    <xf numFmtId="0" fontId="0" fillId="0" borderId="0" xfId="0" applyAlignment="1" applyProtection="1">
      <alignment horizontal="center" vertical="top"/>
      <protection locked="0"/>
    </xf>
    <xf numFmtId="14" fontId="0" fillId="0" borderId="0" xfId="0" applyNumberFormat="1" applyFill="1" applyAlignment="1" applyProtection="1">
      <alignment horizontal="center" vertical="top"/>
      <protection locked="0"/>
    </xf>
    <xf numFmtId="0" fontId="0" fillId="0" borderId="0" xfId="0" applyAlignment="1" applyProtection="1">
      <alignment horizontal="center" vertical="top"/>
    </xf>
    <xf numFmtId="14" fontId="65" fillId="0" borderId="0" xfId="0" applyNumberFormat="1" applyFont="1" applyAlignment="1" applyProtection="1">
      <alignment horizontal="right" vertical="center"/>
    </xf>
    <xf numFmtId="0" fontId="72" fillId="0" borderId="0" xfId="0" applyFont="1" applyFill="1" applyAlignment="1" applyProtection="1"/>
    <xf numFmtId="0" fontId="0" fillId="0" borderId="0" xfId="0" applyAlignment="1" applyProtection="1">
      <alignment vertical="top"/>
    </xf>
    <xf numFmtId="22" fontId="162" fillId="0" borderId="0" xfId="0" applyNumberFormat="1" applyFont="1" applyFill="1" applyBorder="1" applyAlignment="1" applyProtection="1">
      <alignment vertical="top"/>
      <protection hidden="1"/>
    </xf>
    <xf numFmtId="168" fontId="163" fillId="0" borderId="0" xfId="0" applyNumberFormat="1" applyFont="1" applyAlignment="1" applyProtection="1"/>
    <xf numFmtId="0" fontId="162" fillId="0" borderId="0" xfId="0" applyFont="1" applyAlignment="1" applyProtection="1">
      <alignment vertical="top"/>
    </xf>
    <xf numFmtId="0" fontId="163" fillId="0" borderId="0" xfId="0" applyFont="1" applyAlignment="1" applyProtection="1"/>
    <xf numFmtId="166" fontId="162" fillId="0" borderId="0" xfId="0" applyNumberFormat="1" applyFont="1" applyAlignment="1" applyProtection="1">
      <alignment vertical="top"/>
    </xf>
    <xf numFmtId="170" fontId="59" fillId="46" borderId="189" xfId="0" applyNumberFormat="1" applyFont="1" applyFill="1" applyBorder="1" applyAlignment="1" applyProtection="1">
      <alignment horizontal="center" vertical="top"/>
    </xf>
    <xf numFmtId="0" fontId="59" fillId="46" borderId="189" xfId="0" applyFont="1" applyFill="1" applyBorder="1" applyAlignment="1" applyProtection="1">
      <alignment horizontal="center" vertical="top"/>
    </xf>
    <xf numFmtId="0" fontId="59" fillId="46" borderId="189" xfId="0" applyFont="1" applyFill="1" applyBorder="1" applyAlignment="1" applyProtection="1">
      <alignment horizontal="left" vertical="top" indent="1"/>
    </xf>
    <xf numFmtId="0" fontId="59" fillId="0" borderId="0" xfId="0" applyFont="1" applyFill="1" applyBorder="1" applyAlignment="1" applyProtection="1">
      <alignment vertical="top"/>
    </xf>
    <xf numFmtId="0" fontId="54" fillId="0" borderId="0" xfId="0" applyFont="1" applyBorder="1" applyAlignment="1" applyProtection="1">
      <alignment vertical="top"/>
    </xf>
    <xf numFmtId="0" fontId="47" fillId="0" borderId="0" xfId="0" applyFont="1" applyAlignment="1" applyProtection="1">
      <alignment vertical="top"/>
    </xf>
    <xf numFmtId="166" fontId="0" fillId="0" borderId="0" xfId="0" applyNumberFormat="1" applyAlignment="1" applyProtection="1">
      <alignment vertical="top"/>
    </xf>
    <xf numFmtId="170" fontId="0" fillId="0" borderId="122" xfId="0" applyNumberFormat="1" applyFill="1" applyBorder="1" applyAlignment="1" applyProtection="1">
      <alignment horizontal="center" vertical="top"/>
      <protection locked="0" hidden="1"/>
    </xf>
    <xf numFmtId="0" fontId="0" fillId="0" borderId="122" xfId="0" applyFill="1" applyBorder="1" applyAlignment="1" applyProtection="1">
      <alignment horizontal="center" vertical="top"/>
      <protection locked="0"/>
    </xf>
    <xf numFmtId="0" fontId="72" fillId="12" borderId="122" xfId="0" applyFont="1" applyFill="1" applyBorder="1" applyAlignment="1" applyProtection="1">
      <alignment vertical="top" wrapText="1"/>
      <protection locked="0"/>
    </xf>
    <xf numFmtId="0" fontId="72" fillId="0" borderId="0" xfId="0" applyFont="1" applyFill="1" applyAlignment="1" applyProtection="1">
      <alignment vertical="top" wrapText="1"/>
    </xf>
    <xf numFmtId="0" fontId="54" fillId="0" borderId="0" xfId="0" applyFont="1" applyAlignment="1" applyProtection="1">
      <alignment vertical="top"/>
    </xf>
    <xf numFmtId="0" fontId="0" fillId="0" borderId="0" xfId="0" applyFill="1" applyBorder="1" applyAlignment="1" applyProtection="1">
      <alignment horizontal="center" vertical="top"/>
    </xf>
    <xf numFmtId="0" fontId="0" fillId="0" borderId="0" xfId="0" applyNumberFormat="1" applyAlignment="1" applyProtection="1">
      <alignment horizontal="center" vertical="top"/>
    </xf>
    <xf numFmtId="0" fontId="72" fillId="0" borderId="0" xfId="0" applyFont="1" applyAlignment="1" applyProtection="1">
      <alignment vertical="top" wrapText="1"/>
    </xf>
    <xf numFmtId="0" fontId="0" fillId="0" borderId="0" xfId="0" applyFill="1" applyAlignment="1" applyProtection="1">
      <alignment vertical="top"/>
      <protection hidden="1"/>
    </xf>
    <xf numFmtId="0" fontId="57" fillId="0" borderId="0" xfId="0" applyFont="1" applyFill="1" applyProtection="1">
      <protection hidden="1"/>
    </xf>
    <xf numFmtId="170" fontId="23" fillId="0" borderId="0" xfId="0" applyNumberFormat="1" applyFont="1" applyFill="1" applyAlignment="1" applyProtection="1">
      <alignment vertical="top"/>
      <protection hidden="1"/>
    </xf>
    <xf numFmtId="14" fontId="23" fillId="12" borderId="0" xfId="0" quotePrefix="1" applyNumberFormat="1" applyFont="1" applyFill="1" applyAlignment="1" applyProtection="1">
      <alignment vertical="top"/>
      <protection locked="0" hidden="1"/>
    </xf>
    <xf numFmtId="0" fontId="57" fillId="0" borderId="0" xfId="0" applyFont="1" applyFill="1" applyAlignment="1" applyProtection="1">
      <alignment vertical="top"/>
      <protection hidden="1"/>
    </xf>
    <xf numFmtId="0" fontId="0" fillId="0" borderId="0" xfId="0" applyProtection="1">
      <protection hidden="1"/>
    </xf>
    <xf numFmtId="14" fontId="72" fillId="0" borderId="0" xfId="0" applyNumberFormat="1" applyFont="1" applyAlignment="1" applyProtection="1">
      <protection hidden="1"/>
    </xf>
    <xf numFmtId="22" fontId="0" fillId="0" borderId="0" xfId="0" applyNumberFormat="1" applyAlignment="1" applyProtection="1">
      <alignment vertical="top"/>
      <protection hidden="1"/>
    </xf>
    <xf numFmtId="14" fontId="0" fillId="0" borderId="0" xfId="0" applyNumberFormat="1" applyAlignment="1" applyProtection="1">
      <alignment vertical="top"/>
      <protection hidden="1"/>
    </xf>
    <xf numFmtId="20" fontId="0" fillId="0" borderId="0" xfId="0" applyNumberFormat="1" applyAlignment="1" applyProtection="1">
      <alignment vertical="top"/>
      <protection hidden="1"/>
    </xf>
    <xf numFmtId="14" fontId="0" fillId="0" borderId="0" xfId="0" applyNumberFormat="1"/>
    <xf numFmtId="0" fontId="54" fillId="0" borderId="10" xfId="0" applyFont="1" applyBorder="1" applyAlignment="1">
      <alignment horizontal="right"/>
    </xf>
    <xf numFmtId="170" fontId="0" fillId="0" borderId="0" xfId="0" applyNumberFormat="1" applyFill="1" applyBorder="1" applyAlignment="1" applyProtection="1">
      <alignment horizontal="center" vertical="top"/>
      <protection hidden="1"/>
    </xf>
    <xf numFmtId="0" fontId="72" fillId="0" borderId="0" xfId="0" applyFont="1" applyFill="1" applyBorder="1" applyAlignment="1" applyProtection="1">
      <alignment vertical="top" wrapText="1"/>
    </xf>
    <xf numFmtId="14" fontId="0" fillId="0" borderId="0" xfId="0" applyNumberFormat="1" applyFill="1" applyAlignment="1" applyProtection="1">
      <alignment horizontal="center" vertical="top"/>
    </xf>
    <xf numFmtId="14" fontId="72" fillId="0" borderId="0" xfId="0" applyNumberFormat="1" applyFont="1" applyFill="1" applyAlignment="1" applyProtection="1">
      <alignment wrapText="1"/>
    </xf>
    <xf numFmtId="0" fontId="95" fillId="84" borderId="0" xfId="0" applyFont="1" applyFill="1"/>
    <xf numFmtId="14" fontId="4" fillId="0" borderId="0" xfId="0" applyNumberFormat="1" applyFont="1" applyBorder="1" applyAlignment="1" applyProtection="1">
      <alignment horizontal="right" vertical="top"/>
      <protection hidden="1"/>
    </xf>
    <xf numFmtId="14" fontId="97" fillId="0" borderId="0" xfId="0" applyNumberFormat="1" applyFont="1" applyBorder="1" applyAlignment="1">
      <alignment vertical="top"/>
    </xf>
    <xf numFmtId="0" fontId="164" fillId="0" borderId="0" xfId="90" applyFont="1" applyAlignment="1" applyProtection="1">
      <alignment vertical="center"/>
    </xf>
    <xf numFmtId="0" fontId="165" fillId="0" borderId="0" xfId="0" applyFont="1" applyBorder="1"/>
    <xf numFmtId="0" fontId="97" fillId="0" borderId="0" xfId="0" applyFont="1" applyBorder="1" applyAlignment="1">
      <alignment vertical="top"/>
    </xf>
    <xf numFmtId="0" fontId="95" fillId="0" borderId="0" xfId="0" applyFont="1" applyAlignment="1">
      <alignment horizontal="center" vertical="center"/>
    </xf>
    <xf numFmtId="0" fontId="96" fillId="0" borderId="0" xfId="0" applyFont="1" applyBorder="1" applyAlignment="1">
      <alignment horizontal="right" vertical="top" wrapText="1"/>
    </xf>
    <xf numFmtId="0" fontId="96" fillId="0" borderId="0" xfId="0" applyFont="1" applyBorder="1" applyAlignment="1">
      <alignment horizontal="left" vertical="top"/>
    </xf>
    <xf numFmtId="0" fontId="166" fillId="0" borderId="0" xfId="0" applyFont="1" applyBorder="1" applyAlignment="1">
      <alignment horizontal="left" vertical="top"/>
    </xf>
    <xf numFmtId="0" fontId="159" fillId="0" borderId="0" xfId="0" applyFont="1" applyAlignment="1">
      <alignment horizontal="right" vertical="top"/>
    </xf>
    <xf numFmtId="0" fontId="13" fillId="0" borderId="0" xfId="0" applyFont="1" applyBorder="1" applyAlignment="1">
      <alignment vertical="center"/>
    </xf>
    <xf numFmtId="14" fontId="167" fillId="0" borderId="0" xfId="0" applyNumberFormat="1" applyFont="1" applyBorder="1" applyAlignment="1" applyProtection="1">
      <alignment horizontal="right" vertical="top"/>
      <protection hidden="1"/>
    </xf>
    <xf numFmtId="0" fontId="166" fillId="0" borderId="0" xfId="0" applyFont="1" applyBorder="1" applyAlignment="1">
      <alignment horizontal="center" vertical="top"/>
    </xf>
    <xf numFmtId="0" fontId="168" fillId="0" borderId="146" xfId="0" applyFont="1" applyBorder="1" applyAlignment="1" applyProtection="1">
      <alignment horizontal="left" vertical="center"/>
    </xf>
    <xf numFmtId="0" fontId="65" fillId="0" borderId="146" xfId="0" applyFont="1" applyBorder="1" applyAlignment="1">
      <alignment horizontal="center" vertical="center"/>
    </xf>
    <xf numFmtId="0" fontId="103" fillId="0" borderId="146" xfId="0" applyFont="1" applyBorder="1" applyAlignment="1">
      <alignment horizontal="center" vertical="center"/>
    </xf>
    <xf numFmtId="0" fontId="65" fillId="0" borderId="146" xfId="0" applyFont="1" applyBorder="1" applyAlignment="1">
      <alignment horizontal="left" vertical="center" wrapText="1"/>
    </xf>
    <xf numFmtId="0" fontId="143" fillId="0" borderId="0" xfId="0" applyFont="1" applyBorder="1" applyAlignment="1">
      <alignment horizontal="center" vertical="top"/>
    </xf>
    <xf numFmtId="0" fontId="13" fillId="0" borderId="144" xfId="0" applyFont="1" applyBorder="1" applyAlignment="1">
      <alignment vertical="center" wrapText="1"/>
    </xf>
    <xf numFmtId="0" fontId="102" fillId="0" borderId="0" xfId="0" applyFont="1" applyBorder="1" applyAlignment="1">
      <alignment horizontal="center" vertical="top"/>
    </xf>
    <xf numFmtId="0" fontId="5" fillId="0" borderId="0" xfId="0" applyFont="1" applyAlignment="1">
      <alignment horizontal="left"/>
    </xf>
    <xf numFmtId="0" fontId="169" fillId="0" borderId="0" xfId="0" applyFont="1" applyAlignment="1">
      <alignment horizontal="right"/>
    </xf>
    <xf numFmtId="0" fontId="2" fillId="0" borderId="0" xfId="0" quotePrefix="1" applyFont="1"/>
    <xf numFmtId="0" fontId="0" fillId="0" borderId="0" xfId="0" applyAlignment="1"/>
    <xf numFmtId="0" fontId="102" fillId="0" borderId="0" xfId="0" applyFont="1" applyAlignment="1">
      <alignment horizontal="center"/>
    </xf>
    <xf numFmtId="0" fontId="171" fillId="0" borderId="0" xfId="0" applyFont="1" applyAlignment="1">
      <alignment horizontal="left"/>
    </xf>
    <xf numFmtId="0" fontId="0" fillId="0" borderId="9" xfId="0" applyBorder="1" applyAlignment="1">
      <alignment horizontal="center"/>
    </xf>
    <xf numFmtId="0" fontId="0" fillId="0" borderId="10" xfId="0" applyBorder="1" applyAlignment="1">
      <alignment horizontal="center"/>
    </xf>
    <xf numFmtId="0" fontId="172" fillId="0" borderId="11" xfId="90" applyFont="1" applyBorder="1" applyAlignment="1">
      <alignment horizontal="right"/>
    </xf>
    <xf numFmtId="0" fontId="102" fillId="0" borderId="0" xfId="0" applyFont="1" applyAlignment="1">
      <alignment horizontal="center" vertical="top"/>
    </xf>
    <xf numFmtId="0" fontId="173" fillId="0" borderId="0" xfId="0" applyFont="1" applyAlignment="1">
      <alignment horizontal="center" vertical="top"/>
    </xf>
    <xf numFmtId="0" fontId="174" fillId="0" borderId="0" xfId="0" applyFont="1" applyAlignment="1">
      <alignment vertical="top" wrapText="1"/>
    </xf>
    <xf numFmtId="14" fontId="23" fillId="0" borderId="0" xfId="0" applyNumberFormat="1" applyFont="1" applyAlignment="1">
      <alignment horizontal="right" vertical="top"/>
    </xf>
    <xf numFmtId="14" fontId="23" fillId="0" borderId="14" xfId="0" applyNumberFormat="1" applyFont="1" applyBorder="1" applyAlignment="1">
      <alignment horizontal="left" vertical="top" indent="1"/>
    </xf>
    <xf numFmtId="0" fontId="6" fillId="0" borderId="0" xfId="0" applyFont="1" applyAlignment="1">
      <alignment vertical="top" wrapText="1"/>
    </xf>
    <xf numFmtId="14" fontId="175" fillId="0" borderId="14" xfId="0" applyNumberFormat="1" applyFont="1" applyBorder="1" applyAlignment="1">
      <alignment horizontal="left" vertical="top" indent="1"/>
    </xf>
    <xf numFmtId="0" fontId="176" fillId="0" borderId="0" xfId="0" applyFont="1" applyAlignment="1">
      <alignment vertical="center"/>
    </xf>
    <xf numFmtId="0" fontId="173" fillId="0" borderId="0" xfId="0" applyFont="1"/>
    <xf numFmtId="0" fontId="177" fillId="0" borderId="0" xfId="0" applyFont="1" applyAlignment="1"/>
    <xf numFmtId="0" fontId="0" fillId="0" borderId="0" xfId="0" applyAlignment="1">
      <alignment vertical="center"/>
    </xf>
    <xf numFmtId="0" fontId="23" fillId="0" borderId="0" xfId="0" applyFont="1" applyAlignment="1">
      <alignment horizontal="left" indent="1"/>
    </xf>
    <xf numFmtId="0" fontId="0" fillId="0" borderId="0" xfId="0" applyAlignment="1">
      <alignment horizontal="left" vertical="top" indent="1"/>
    </xf>
    <xf numFmtId="0" fontId="102" fillId="0" borderId="0" xfId="0" applyFont="1" applyAlignment="1">
      <alignment horizontal="left" vertical="top" indent="1"/>
    </xf>
    <xf numFmtId="0" fontId="23" fillId="0" borderId="0" xfId="0" applyFont="1" applyAlignment="1">
      <alignment horizontal="left" vertical="top" indent="1"/>
    </xf>
    <xf numFmtId="0" fontId="8" fillId="0" borderId="0" xfId="0" applyFont="1"/>
    <xf numFmtId="0" fontId="169" fillId="0" borderId="0" xfId="0" applyFont="1"/>
    <xf numFmtId="0" fontId="179" fillId="0" borderId="0" xfId="0" applyFont="1"/>
    <xf numFmtId="14" fontId="0" fillId="12" borderId="190" xfId="0" applyNumberFormat="1" applyFill="1" applyBorder="1" applyProtection="1">
      <protection locked="0"/>
    </xf>
    <xf numFmtId="0" fontId="0" fillId="87" borderId="191" xfId="0" applyFill="1" applyBorder="1" applyProtection="1"/>
    <xf numFmtId="0" fontId="54" fillId="0" borderId="0" xfId="0" applyFont="1" applyAlignment="1" applyProtection="1">
      <alignment horizontal="right"/>
    </xf>
    <xf numFmtId="0" fontId="0" fillId="0" borderId="192" xfId="0" applyBorder="1" applyProtection="1"/>
    <xf numFmtId="0" fontId="0" fillId="87" borderId="193" xfId="0" applyFill="1" applyBorder="1" applyProtection="1"/>
    <xf numFmtId="0" fontId="54" fillId="0" borderId="0" xfId="0" applyFont="1" applyAlignment="1" applyProtection="1">
      <alignment horizontal="left"/>
    </xf>
    <xf numFmtId="0" fontId="0" fillId="0" borderId="193" xfId="0" applyBorder="1" applyProtection="1"/>
    <xf numFmtId="0" fontId="0" fillId="0" borderId="0" xfId="0" applyProtection="1"/>
    <xf numFmtId="0" fontId="0" fillId="0" borderId="194" xfId="0" applyBorder="1" applyProtection="1"/>
    <xf numFmtId="0" fontId="0" fillId="12" borderId="195" xfId="0" applyFill="1" applyBorder="1" applyProtection="1">
      <protection locked="0"/>
    </xf>
    <xf numFmtId="0" fontId="54" fillId="0" borderId="0" xfId="0" applyFont="1" applyProtection="1"/>
    <xf numFmtId="0" fontId="180" fillId="0" borderId="0" xfId="0" applyFont="1" applyProtection="1"/>
    <xf numFmtId="0" fontId="0" fillId="87" borderId="0" xfId="0" applyFill="1" applyProtection="1"/>
    <xf numFmtId="0" fontId="0" fillId="0" borderId="53" xfId="0" applyBorder="1" applyProtection="1"/>
    <xf numFmtId="0" fontId="0" fillId="0" borderId="0" xfId="0" applyAlignment="1" applyProtection="1">
      <alignment horizontal="left" indent="1"/>
    </xf>
    <xf numFmtId="0" fontId="0" fillId="0" borderId="53" xfId="0" applyBorder="1"/>
    <xf numFmtId="0" fontId="0" fillId="0" borderId="0" xfId="0" applyFill="1" applyAlignment="1" applyProtection="1">
      <alignment horizontal="center" vertical="top"/>
    </xf>
    <xf numFmtId="14" fontId="19" fillId="0" borderId="14" xfId="90" applyNumberFormat="1" applyBorder="1" applyAlignment="1">
      <alignment horizontal="left" vertical="top" indent="1"/>
    </xf>
    <xf numFmtId="14" fontId="181" fillId="0" borderId="0" xfId="0" applyNumberFormat="1" applyFont="1" applyBorder="1" applyAlignment="1" applyProtection="1">
      <alignment horizontal="left" vertical="top"/>
      <protection hidden="1"/>
    </xf>
    <xf numFmtId="14" fontId="0" fillId="0" borderId="0" xfId="0" applyNumberFormat="1" applyAlignment="1">
      <alignment horizontal="center" vertical="top"/>
    </xf>
    <xf numFmtId="14" fontId="57" fillId="0" borderId="0" xfId="0" applyNumberFormat="1" applyFont="1" applyAlignment="1">
      <alignment horizontal="center" vertical="top"/>
    </xf>
    <xf numFmtId="0" fontId="135" fillId="0" borderId="0" xfId="0" applyFont="1" applyAlignment="1">
      <alignment vertical="top" wrapText="1"/>
    </xf>
    <xf numFmtId="0" fontId="134" fillId="0" borderId="0" xfId="0" applyFont="1" applyAlignment="1" applyProtection="1">
      <alignment vertical="top"/>
      <protection locked="0"/>
    </xf>
    <xf numFmtId="14" fontId="182" fillId="0" borderId="155" xfId="0" applyNumberFormat="1" applyFont="1" applyBorder="1" applyAlignment="1" applyProtection="1">
      <alignment vertical="top"/>
      <protection locked="0"/>
    </xf>
    <xf numFmtId="0" fontId="55" fillId="0" borderId="0" xfId="0" applyFont="1" applyAlignment="1">
      <alignment horizontal="center" vertical="top"/>
    </xf>
    <xf numFmtId="0" fontId="20" fillId="11" borderId="53" xfId="89" applyFill="1" applyBorder="1" applyAlignment="1" applyProtection="1">
      <alignment horizontal="center" vertical="top" wrapText="1"/>
      <protection locked="0"/>
    </xf>
    <xf numFmtId="3" fontId="20" fillId="45" borderId="53" xfId="89" applyNumberFormat="1" applyFill="1" applyBorder="1" applyAlignment="1" applyProtection="1">
      <alignment horizontal="left" vertical="top"/>
      <protection locked="0"/>
    </xf>
    <xf numFmtId="3" fontId="20" fillId="45" borderId="53" xfId="89" applyNumberFormat="1" applyFill="1" applyBorder="1" applyAlignment="1" applyProtection="1">
      <alignment horizontal="center" vertical="top"/>
      <protection locked="0"/>
    </xf>
    <xf numFmtId="0" fontId="68" fillId="0" borderId="0" xfId="0" applyFont="1" applyAlignment="1" applyProtection="1">
      <alignment horizontal="center" vertical="top"/>
      <protection locked="0"/>
    </xf>
    <xf numFmtId="0" fontId="135" fillId="0" borderId="0" xfId="0" applyFont="1" applyAlignment="1" applyProtection="1">
      <alignment vertical="top"/>
      <protection locked="0"/>
    </xf>
    <xf numFmtId="0" fontId="183" fillId="36" borderId="0" xfId="0" applyFont="1" applyFill="1" applyAlignment="1">
      <alignment vertical="top"/>
    </xf>
    <xf numFmtId="0" fontId="184" fillId="36" borderId="196" xfId="0" applyFont="1" applyFill="1" applyBorder="1" applyAlignment="1">
      <alignment horizontal="right" vertical="center"/>
    </xf>
    <xf numFmtId="0" fontId="103" fillId="36" borderId="0" xfId="0" applyFont="1" applyFill="1" applyAlignment="1">
      <alignment horizontal="center" vertical="top"/>
    </xf>
    <xf numFmtId="0" fontId="63" fillId="36" borderId="15" xfId="0" applyFont="1" applyFill="1" applyBorder="1" applyAlignment="1">
      <alignment horizontal="right" vertical="center"/>
    </xf>
    <xf numFmtId="0" fontId="185" fillId="0" borderId="0" xfId="0" applyFont="1" applyAlignment="1" applyProtection="1">
      <alignment vertical="top"/>
      <protection locked="0"/>
    </xf>
    <xf numFmtId="0" fontId="186" fillId="0" borderId="0" xfId="0" applyFont="1" applyAlignment="1" applyProtection="1">
      <alignment vertical="top"/>
      <protection locked="0"/>
    </xf>
    <xf numFmtId="3" fontId="20" fillId="45" borderId="53" xfId="89" quotePrefix="1" applyNumberFormat="1" applyFill="1" applyBorder="1" applyAlignment="1" applyProtection="1">
      <alignment horizontal="left" vertical="top"/>
      <protection locked="0"/>
    </xf>
    <xf numFmtId="164" fontId="20" fillId="45" borderId="53" xfId="89" applyNumberFormat="1" applyFill="1" applyBorder="1" applyAlignment="1" applyProtection="1">
      <alignment horizontal="center" vertical="top"/>
      <protection locked="0"/>
    </xf>
    <xf numFmtId="164" fontId="20" fillId="45" borderId="53" xfId="89" quotePrefix="1" applyNumberFormat="1" applyFill="1" applyBorder="1" applyAlignment="1" applyProtection="1">
      <alignment horizontal="center" vertical="top"/>
      <protection locked="0"/>
    </xf>
    <xf numFmtId="0" fontId="187" fillId="0" borderId="0" xfId="0" applyFont="1" applyAlignment="1" applyProtection="1">
      <alignment vertical="top"/>
      <protection locked="0"/>
    </xf>
    <xf numFmtId="0" fontId="11" fillId="0" borderId="0" xfId="0" applyFont="1" applyAlignment="1">
      <alignment horizontal="right" vertical="top"/>
    </xf>
    <xf numFmtId="166" fontId="48" fillId="88" borderId="197" xfId="0" applyNumberFormat="1" applyFont="1" applyFill="1" applyBorder="1" applyAlignment="1">
      <alignment horizontal="right" vertical="center"/>
    </xf>
    <xf numFmtId="166" fontId="68" fillId="0" borderId="0" xfId="0" applyNumberFormat="1" applyFont="1" applyAlignment="1">
      <alignment horizontal="left" vertical="center"/>
    </xf>
    <xf numFmtId="166" fontId="15" fillId="89" borderId="197" xfId="0" applyNumberFormat="1" applyFont="1" applyFill="1" applyBorder="1" applyAlignment="1">
      <alignment vertical="top" wrapText="1"/>
    </xf>
    <xf numFmtId="166" fontId="15" fillId="90" borderId="197" xfId="0" applyNumberFormat="1" applyFont="1" applyFill="1" applyBorder="1" applyAlignment="1">
      <alignment vertical="top" wrapText="1"/>
    </xf>
    <xf numFmtId="166" fontId="188" fillId="91" borderId="53" xfId="0" applyNumberFormat="1" applyFont="1" applyFill="1" applyBorder="1" applyAlignment="1">
      <alignment vertical="top" wrapText="1"/>
    </xf>
    <xf numFmtId="0" fontId="68" fillId="0" borderId="53" xfId="0" applyFont="1" applyBorder="1" applyAlignment="1">
      <alignment horizontal="center" vertical="top"/>
    </xf>
    <xf numFmtId="0" fontId="57" fillId="0" borderId="0" xfId="0" applyFont="1" applyAlignment="1">
      <alignment horizontal="center" vertical="center"/>
    </xf>
    <xf numFmtId="0" fontId="55" fillId="12" borderId="0" xfId="0" applyFont="1" applyFill="1" applyAlignment="1">
      <alignment vertical="top"/>
    </xf>
    <xf numFmtId="0" fontId="55" fillId="12" borderId="0" xfId="0" applyFont="1" applyFill="1" applyAlignment="1">
      <alignment horizontal="center" vertical="top"/>
    </xf>
    <xf numFmtId="0" fontId="131" fillId="0" borderId="0" xfId="0" applyFont="1" applyAlignment="1" applyProtection="1">
      <alignment vertical="top"/>
      <protection locked="0"/>
    </xf>
    <xf numFmtId="0" fontId="131" fillId="0" borderId="0" xfId="0" applyFont="1" applyAlignment="1">
      <alignment vertical="top"/>
    </xf>
    <xf numFmtId="0" fontId="189" fillId="0" borderId="198" xfId="0" applyFont="1" applyBorder="1" applyAlignment="1">
      <alignment horizontal="right" vertical="top"/>
    </xf>
    <xf numFmtId="0" fontId="57" fillId="0" borderId="199" xfId="0" applyFont="1" applyBorder="1" applyAlignment="1">
      <alignment vertical="top"/>
    </xf>
    <xf numFmtId="0" fontId="95" fillId="0" borderId="199" xfId="0" applyFont="1" applyBorder="1" applyAlignment="1" applyProtection="1">
      <alignment horizontal="center" vertical="top"/>
      <protection hidden="1"/>
    </xf>
    <xf numFmtId="0" fontId="98" fillId="0" borderId="199" xfId="0" applyFont="1" applyBorder="1" applyAlignment="1">
      <alignment vertical="top"/>
    </xf>
    <xf numFmtId="0" fontId="189" fillId="0" borderId="199" xfId="0" applyFont="1" applyBorder="1" applyAlignment="1">
      <alignment vertical="top"/>
    </xf>
    <xf numFmtId="0" fontId="189" fillId="0" borderId="200" xfId="0" applyFont="1" applyBorder="1" applyAlignment="1">
      <alignment vertical="top"/>
    </xf>
    <xf numFmtId="0" fontId="189" fillId="12" borderId="198" xfId="0" applyFont="1" applyFill="1" applyBorder="1" applyAlignment="1">
      <alignment vertical="center"/>
    </xf>
    <xf numFmtId="0" fontId="162" fillId="12" borderId="199" xfId="0" applyFont="1" applyFill="1" applyBorder="1" applyAlignment="1">
      <alignment vertical="center"/>
    </xf>
    <xf numFmtId="0" fontId="189" fillId="12" borderId="199" xfId="0" applyFont="1" applyFill="1" applyBorder="1" applyAlignment="1">
      <alignment vertical="center"/>
    </xf>
    <xf numFmtId="0" fontId="57" fillId="12" borderId="199" xfId="0" applyFont="1" applyFill="1" applyBorder="1" applyAlignment="1">
      <alignment vertical="center"/>
    </xf>
    <xf numFmtId="0" fontId="57" fillId="12" borderId="200" xfId="0" applyFont="1" applyFill="1" applyBorder="1" applyAlignment="1">
      <alignment vertical="center"/>
    </xf>
    <xf numFmtId="14" fontId="8" fillId="12" borderId="53" xfId="0" applyNumberFormat="1" applyFont="1" applyFill="1" applyBorder="1" applyAlignment="1" applyProtection="1">
      <alignment vertical="top"/>
      <protection locked="0"/>
    </xf>
    <xf numFmtId="0" fontId="65" fillId="0" borderId="0" xfId="0" applyFont="1" applyAlignment="1" applyProtection="1">
      <alignment vertical="center"/>
      <protection locked="0"/>
    </xf>
    <xf numFmtId="0" fontId="20" fillId="45" borderId="122" xfId="89" applyFill="1" applyBorder="1" applyAlignment="1" applyProtection="1">
      <alignment horizontal="center" vertical="top"/>
      <protection locked="0"/>
    </xf>
    <xf numFmtId="0" fontId="20" fillId="45" borderId="53" xfId="89" applyFill="1" applyBorder="1" applyAlignment="1" applyProtection="1">
      <alignment horizontal="center" vertical="top"/>
      <protection locked="0"/>
    </xf>
    <xf numFmtId="0" fontId="20" fillId="45" borderId="53" xfId="89" quotePrefix="1" applyFill="1" applyBorder="1" applyAlignment="1" applyProtection="1">
      <alignment horizontal="center" vertical="top"/>
      <protection locked="0"/>
    </xf>
    <xf numFmtId="3" fontId="20" fillId="45" borderId="53" xfId="89" quotePrefix="1" applyNumberFormat="1" applyFill="1" applyBorder="1" applyAlignment="1" applyProtection="1">
      <alignment horizontal="left" vertical="top" wrapText="1"/>
      <protection locked="0"/>
    </xf>
    <xf numFmtId="0" fontId="76" fillId="0" borderId="0" xfId="0" applyFont="1" applyAlignment="1" applyProtection="1">
      <alignment horizontal="center" vertical="top"/>
      <protection locked="0"/>
    </xf>
    <xf numFmtId="3" fontId="20" fillId="45" borderId="53" xfId="89" applyNumberFormat="1" applyFill="1" applyBorder="1" applyAlignment="1" applyProtection="1">
      <alignment horizontal="left" vertical="top" wrapText="1"/>
      <protection locked="0"/>
    </xf>
    <xf numFmtId="0" fontId="91" fillId="0" borderId="53" xfId="0" applyFont="1" applyBorder="1" applyAlignment="1">
      <alignment vertical="center"/>
    </xf>
    <xf numFmtId="0" fontId="91" fillId="0" borderId="16" xfId="0" applyFont="1" applyBorder="1" applyAlignment="1">
      <alignment vertical="center"/>
    </xf>
    <xf numFmtId="0" fontId="91" fillId="11" borderId="53" xfId="0" applyFont="1" applyFill="1" applyBorder="1" applyAlignment="1">
      <alignment vertical="center"/>
    </xf>
    <xf numFmtId="0" fontId="92" fillId="0" borderId="0" xfId="0" applyFont="1" applyAlignment="1">
      <alignment vertical="top"/>
    </xf>
    <xf numFmtId="0" fontId="68" fillId="0" borderId="0" xfId="0" applyFont="1" applyAlignment="1" applyProtection="1">
      <alignment horizontal="center" vertical="top" wrapText="1"/>
      <protection locked="0"/>
    </xf>
    <xf numFmtId="0" fontId="0" fillId="11" borderId="0" xfId="0" applyFill="1" applyProtection="1">
      <protection locked="0"/>
    </xf>
    <xf numFmtId="3" fontId="0" fillId="0" borderId="0" xfId="0" applyNumberFormat="1" applyProtection="1">
      <protection locked="0"/>
    </xf>
    <xf numFmtId="3" fontId="0" fillId="0" borderId="0" xfId="0" quotePrefix="1" applyNumberFormat="1" applyProtection="1">
      <protection locked="0"/>
    </xf>
    <xf numFmtId="0" fontId="2" fillId="0" borderId="0" xfId="0" applyFont="1" applyAlignment="1" applyProtection="1">
      <alignment vertical="top" wrapText="1"/>
      <protection locked="0"/>
    </xf>
    <xf numFmtId="3" fontId="20" fillId="78" borderId="53" xfId="89" applyNumberFormat="1" applyFill="1" applyBorder="1" applyAlignment="1">
      <alignment horizontal="center" vertical="top"/>
    </xf>
    <xf numFmtId="1" fontId="146" fillId="0" borderId="0" xfId="165" quotePrefix="1" applyNumberFormat="1" applyFont="1" applyAlignment="1" applyProtection="1">
      <alignment horizontal="right" vertical="top"/>
      <protection locked="0"/>
    </xf>
    <xf numFmtId="4" fontId="20" fillId="45" borderId="53" xfId="89" applyNumberFormat="1" applyFill="1" applyBorder="1" applyAlignment="1" applyProtection="1">
      <alignment horizontal="center" vertical="top"/>
      <protection locked="0"/>
    </xf>
    <xf numFmtId="3" fontId="20" fillId="45" borderId="53" xfId="89" quotePrefix="1" applyNumberFormat="1" applyFill="1" applyBorder="1" applyAlignment="1" applyProtection="1">
      <alignment horizontal="center" vertical="top"/>
      <protection locked="0"/>
    </xf>
    <xf numFmtId="0" fontId="76" fillId="0" borderId="0" xfId="0" applyFont="1" applyAlignment="1" applyProtection="1">
      <alignment horizontal="left" vertical="top"/>
      <protection locked="0"/>
    </xf>
    <xf numFmtId="3" fontId="20" fillId="45" borderId="39" xfId="89" applyNumberFormat="1" applyFill="1" applyBorder="1" applyAlignment="1" applyProtection="1">
      <alignment horizontal="center" vertical="top"/>
      <protection locked="0"/>
    </xf>
    <xf numFmtId="14" fontId="57" fillId="0" borderId="0" xfId="0" applyNumberFormat="1" applyFont="1" applyAlignment="1" applyProtection="1">
      <alignment vertical="top"/>
      <protection locked="0"/>
    </xf>
    <xf numFmtId="169" fontId="20" fillId="45" borderId="53" xfId="89" applyNumberFormat="1" applyFill="1" applyBorder="1" applyAlignment="1" applyProtection="1">
      <alignment horizontal="center" vertical="top"/>
      <protection locked="0"/>
    </xf>
    <xf numFmtId="3" fontId="20" fillId="45" borderId="112" xfId="89" applyNumberFormat="1" applyFill="1" applyBorder="1" applyAlignment="1" applyProtection="1">
      <alignment horizontal="center" vertical="top"/>
      <protection locked="0"/>
    </xf>
    <xf numFmtId="3" fontId="20" fillId="85" borderId="53" xfId="89" applyNumberFormat="1" applyFill="1" applyBorder="1" applyAlignment="1" applyProtection="1">
      <alignment horizontal="left" vertical="top"/>
      <protection locked="0"/>
    </xf>
    <xf numFmtId="3" fontId="20" fillId="45" borderId="122" xfId="89" applyNumberFormat="1" applyFill="1" applyBorder="1" applyAlignment="1" applyProtection="1">
      <alignment horizontal="center" vertical="top"/>
      <protection locked="0"/>
    </xf>
    <xf numFmtId="164" fontId="20" fillId="45" borderId="185" xfId="89" applyNumberFormat="1" applyFill="1" applyBorder="1" applyAlignment="1" applyProtection="1">
      <alignment horizontal="center" vertical="top"/>
      <protection locked="0"/>
    </xf>
    <xf numFmtId="49" fontId="140" fillId="0" borderId="0" xfId="0" applyNumberFormat="1" applyFont="1" applyAlignment="1" applyProtection="1">
      <alignment vertical="top"/>
      <protection locked="0"/>
    </xf>
    <xf numFmtId="3" fontId="20" fillId="45" borderId="188" xfId="89" applyNumberFormat="1" applyFill="1" applyBorder="1" applyAlignment="1" applyProtection="1">
      <alignment horizontal="center" vertical="top"/>
      <protection locked="0"/>
    </xf>
    <xf numFmtId="0" fontId="161" fillId="0" borderId="0" xfId="0" applyFont="1" applyAlignment="1" applyProtection="1">
      <alignment vertical="top"/>
      <protection locked="0"/>
    </xf>
    <xf numFmtId="3" fontId="20" fillId="0" borderId="0" xfId="0" applyNumberFormat="1" applyFont="1" applyAlignment="1" applyProtection="1">
      <alignment vertical="top"/>
      <protection locked="0"/>
    </xf>
    <xf numFmtId="3" fontId="20" fillId="45" borderId="186" xfId="89" applyNumberFormat="1" applyFill="1" applyBorder="1" applyAlignment="1" applyProtection="1">
      <alignment horizontal="center" vertical="top"/>
      <protection locked="0"/>
    </xf>
    <xf numFmtId="1" fontId="20" fillId="45" borderId="53" xfId="89" applyNumberFormat="1" applyFill="1" applyBorder="1" applyAlignment="1" applyProtection="1">
      <alignment horizontal="center" vertical="top"/>
      <protection locked="0"/>
    </xf>
    <xf numFmtId="166" fontId="20" fillId="45" borderId="53" xfId="89" applyNumberFormat="1" applyFill="1" applyBorder="1" applyAlignment="1" applyProtection="1">
      <alignment horizontal="center" vertical="top"/>
      <protection locked="0"/>
    </xf>
    <xf numFmtId="166" fontId="20" fillId="78" borderId="53" xfId="89" applyNumberFormat="1" applyFill="1" applyBorder="1" applyAlignment="1">
      <alignment horizontal="center" vertical="top"/>
    </xf>
    <xf numFmtId="166" fontId="20" fillId="78" borderId="53" xfId="89" applyNumberFormat="1" applyFill="1" applyBorder="1" applyAlignment="1" applyProtection="1">
      <alignment horizontal="center" vertical="top"/>
      <protection locked="0"/>
    </xf>
    <xf numFmtId="166" fontId="20" fillId="45" borderId="187" xfId="89" applyNumberFormat="1" applyFill="1" applyBorder="1" applyAlignment="1" applyProtection="1">
      <alignment horizontal="center" vertical="top"/>
      <protection locked="0"/>
    </xf>
    <xf numFmtId="166" fontId="20" fillId="0" borderId="53" xfId="89" applyNumberFormat="1" applyBorder="1" applyAlignment="1" applyProtection="1">
      <alignment horizontal="center" vertical="top"/>
      <protection locked="0"/>
    </xf>
    <xf numFmtId="0" fontId="74" fillId="45" borderId="53" xfId="89" applyFont="1" applyFill="1" applyBorder="1" applyAlignment="1" applyProtection="1">
      <alignment horizontal="center" vertical="top"/>
      <protection locked="0"/>
    </xf>
    <xf numFmtId="2" fontId="20" fillId="45" borderId="53" xfId="89" applyNumberFormat="1" applyFill="1" applyBorder="1" applyAlignment="1" applyProtection="1">
      <alignment horizontal="center" vertical="top"/>
      <protection locked="0"/>
    </xf>
    <xf numFmtId="166" fontId="20" fillId="45" borderId="53" xfId="89" applyNumberFormat="1" applyFill="1" applyBorder="1" applyAlignment="1">
      <alignment horizontal="center" vertical="top"/>
    </xf>
    <xf numFmtId="0" fontId="13" fillId="0" borderId="0" xfId="0" applyFont="1" applyAlignment="1" applyProtection="1">
      <alignment vertical="top"/>
      <protection locked="0"/>
    </xf>
    <xf numFmtId="0" fontId="190" fillId="0" borderId="0" xfId="0" applyFont="1" applyAlignment="1">
      <alignment vertical="top"/>
    </xf>
    <xf numFmtId="3" fontId="72" fillId="0" borderId="0" xfId="0" applyNumberFormat="1" applyFont="1" applyFill="1" applyBorder="1" applyAlignment="1" applyProtection="1">
      <alignment vertical="top" wrapText="1"/>
    </xf>
    <xf numFmtId="0" fontId="13" fillId="0" borderId="146" xfId="0" applyFont="1" applyBorder="1" applyAlignment="1" applyProtection="1">
      <alignment vertical="top" wrapText="1"/>
    </xf>
    <xf numFmtId="0" fontId="13" fillId="0" borderId="0" xfId="0" applyFont="1" applyAlignment="1" applyProtection="1">
      <alignment vertical="top" wrapText="1"/>
    </xf>
    <xf numFmtId="0" fontId="11" fillId="0" borderId="0" xfId="0" applyFont="1" applyAlignment="1" applyProtection="1">
      <alignment vertical="top" wrapText="1"/>
    </xf>
    <xf numFmtId="0" fontId="122" fillId="0" borderId="0" xfId="90" applyFont="1" applyAlignment="1" applyProtection="1">
      <alignment vertical="top" wrapText="1"/>
    </xf>
    <xf numFmtId="0" fontId="119" fillId="0" borderId="0" xfId="65" applyFont="1" applyAlignment="1" applyProtection="1">
      <alignment vertical="top" wrapText="1"/>
    </xf>
    <xf numFmtId="0" fontId="120" fillId="0" borderId="0" xfId="65" applyFont="1" applyAlignment="1" applyProtection="1">
      <alignment vertical="top" wrapText="1"/>
    </xf>
    <xf numFmtId="0" fontId="19" fillId="0" borderId="0" xfId="90" applyAlignment="1" applyProtection="1">
      <alignment vertical="top" wrapText="1"/>
    </xf>
    <xf numFmtId="0" fontId="157" fillId="0" borderId="0" xfId="90" applyFont="1" applyAlignment="1" applyProtection="1">
      <alignment vertical="top" wrapText="1"/>
    </xf>
    <xf numFmtId="0" fontId="10" fillId="0" borderId="0" xfId="0" applyFont="1" applyAlignment="1" applyProtection="1">
      <alignment vertical="top" wrapText="1"/>
    </xf>
    <xf numFmtId="0" fontId="141" fillId="0" borderId="0" xfId="0" applyFont="1" applyAlignment="1" applyProtection="1">
      <alignment vertical="top" wrapText="1"/>
    </xf>
    <xf numFmtId="0" fontId="121" fillId="0" borderId="0" xfId="90" applyFont="1" applyAlignment="1" applyProtection="1">
      <alignment vertical="top" wrapText="1"/>
    </xf>
    <xf numFmtId="0" fontId="122" fillId="0" borderId="0" xfId="65" applyFont="1" applyAlignment="1" applyProtection="1">
      <alignment vertical="top" wrapText="1"/>
    </xf>
    <xf numFmtId="0" fontId="120" fillId="0" borderId="0" xfId="90" applyFont="1" applyAlignment="1" applyProtection="1">
      <alignment vertical="top" wrapText="1"/>
    </xf>
    <xf numFmtId="0" fontId="0" fillId="0" borderId="0" xfId="0" applyAlignment="1" applyProtection="1">
      <alignment vertical="top" wrapText="1"/>
    </xf>
    <xf numFmtId="0" fontId="10" fillId="0" borderId="0" xfId="0" applyFont="1" applyAlignment="1" applyProtection="1">
      <alignment vertical="top" wrapText="1"/>
      <protection hidden="1"/>
    </xf>
    <xf numFmtId="0" fontId="108" fillId="0" borderId="0" xfId="3" applyFont="1" applyAlignment="1" applyProtection="1">
      <alignment vertical="top" wrapText="1"/>
      <protection hidden="1"/>
    </xf>
    <xf numFmtId="0" fontId="144" fillId="0" borderId="0" xfId="0" applyFont="1" applyAlignment="1" applyProtection="1">
      <alignment vertical="top" wrapText="1"/>
    </xf>
    <xf numFmtId="0" fontId="22" fillId="0" borderId="0" xfId="3" applyAlignment="1" applyProtection="1">
      <alignment vertical="top" wrapText="1"/>
      <protection hidden="1"/>
    </xf>
    <xf numFmtId="0" fontId="193" fillId="0" borderId="0" xfId="90" applyFont="1" applyAlignment="1" applyProtection="1">
      <alignment vertical="top" wrapText="1"/>
    </xf>
    <xf numFmtId="0" fontId="10" fillId="0" borderId="0" xfId="0" quotePrefix="1" applyFont="1" applyAlignment="1">
      <alignment horizontal="left" vertical="top" wrapText="1"/>
    </xf>
    <xf numFmtId="0" fontId="130" fillId="12" borderId="0" xfId="0" applyFont="1" applyFill="1" applyAlignment="1">
      <alignment horizontal="left" vertical="top" wrapText="1"/>
    </xf>
    <xf numFmtId="0" fontId="10" fillId="12" borderId="0" xfId="0" quotePrefix="1" applyFont="1" applyFill="1" applyAlignment="1">
      <alignment horizontal="left" vertical="top" wrapText="1"/>
    </xf>
    <xf numFmtId="0" fontId="100" fillId="12" borderId="0" xfId="0" quotePrefix="1" applyFont="1" applyFill="1" applyAlignment="1">
      <alignment horizontal="left" vertical="top" wrapText="1"/>
    </xf>
    <xf numFmtId="0" fontId="15" fillId="0" borderId="0" xfId="0" applyFont="1" applyAlignment="1">
      <alignment horizontal="left" vertical="top" wrapText="1"/>
    </xf>
    <xf numFmtId="0" fontId="100" fillId="0" borderId="0" xfId="0" quotePrefix="1" applyFont="1" applyAlignment="1">
      <alignment horizontal="left" vertical="top" wrapText="1"/>
    </xf>
    <xf numFmtId="0" fontId="100" fillId="0" borderId="0" xfId="0" quotePrefix="1" applyFont="1" applyBorder="1" applyAlignment="1">
      <alignment horizontal="left" vertical="top" wrapText="1"/>
    </xf>
    <xf numFmtId="0" fontId="10" fillId="0" borderId="0" xfId="0" quotePrefix="1" applyFont="1" applyBorder="1" applyAlignment="1">
      <alignment horizontal="left" vertical="top" wrapText="1"/>
    </xf>
    <xf numFmtId="0" fontId="100" fillId="0" borderId="0" xfId="0" quotePrefix="1" applyFont="1" applyFill="1" applyAlignment="1">
      <alignment horizontal="left" vertical="top" wrapText="1"/>
    </xf>
    <xf numFmtId="0" fontId="100" fillId="0" borderId="0" xfId="0" quotePrefix="1" applyFont="1" applyFill="1" applyBorder="1" applyAlignment="1">
      <alignment horizontal="left" vertical="top" wrapText="1"/>
    </xf>
    <xf numFmtId="0" fontId="10" fillId="0" borderId="0" xfId="0" quotePrefix="1" applyFont="1" applyFill="1" applyAlignment="1">
      <alignment horizontal="left" vertical="top" wrapText="1"/>
    </xf>
    <xf numFmtId="0" fontId="10" fillId="0" borderId="0" xfId="0" quotePrefix="1" applyFont="1" applyFill="1" applyBorder="1" applyAlignment="1">
      <alignment horizontal="left" vertical="top" wrapText="1"/>
    </xf>
    <xf numFmtId="0" fontId="10" fillId="35" borderId="0" xfId="0" quotePrefix="1" applyFont="1" applyFill="1" applyAlignment="1">
      <alignment horizontal="left" vertical="top" wrapText="1"/>
    </xf>
    <xf numFmtId="0" fontId="10" fillId="35" borderId="0" xfId="0" quotePrefix="1" applyFont="1" applyFill="1" applyBorder="1" applyAlignment="1">
      <alignment horizontal="left" vertical="top" wrapText="1"/>
    </xf>
    <xf numFmtId="0" fontId="139" fillId="0" borderId="0" xfId="0" quotePrefix="1" applyFont="1" applyAlignment="1">
      <alignment horizontal="left" vertical="top" wrapText="1"/>
    </xf>
    <xf numFmtId="0" fontId="139" fillId="0" borderId="0" xfId="0" quotePrefix="1" applyFont="1" applyBorder="1" applyAlignment="1">
      <alignment horizontal="left" vertical="top" wrapText="1"/>
    </xf>
    <xf numFmtId="0" fontId="138" fillId="0" borderId="0" xfId="0" quotePrefix="1" applyFont="1" applyAlignment="1">
      <alignment horizontal="left" vertical="top" wrapText="1"/>
    </xf>
    <xf numFmtId="0" fontId="138" fillId="0" borderId="0" xfId="0" quotePrefix="1" applyFont="1" applyBorder="1" applyAlignment="1">
      <alignment horizontal="left" vertical="top" wrapText="1"/>
    </xf>
    <xf numFmtId="0" fontId="147" fillId="0" borderId="0" xfId="0" quotePrefix="1" applyFont="1" applyAlignment="1">
      <alignment horizontal="left" vertical="top" wrapText="1"/>
    </xf>
    <xf numFmtId="0" fontId="76" fillId="0" borderId="0" xfId="0" applyFont="1" applyAlignment="1">
      <alignment horizontal="center" textRotation="90"/>
    </xf>
    <xf numFmtId="0" fontId="136" fillId="82" borderId="0" xfId="0" applyFont="1" applyFill="1" applyAlignment="1">
      <alignment horizontal="center" textRotation="90"/>
    </xf>
    <xf numFmtId="0" fontId="148" fillId="0" borderId="0" xfId="0" quotePrefix="1" applyFont="1" applyAlignment="1">
      <alignment horizontal="left" vertical="top" wrapText="1"/>
    </xf>
    <xf numFmtId="0" fontId="148" fillId="0" borderId="0" xfId="0" quotePrefix="1" applyFont="1" applyBorder="1" applyAlignment="1">
      <alignment horizontal="left" vertical="top" wrapText="1"/>
    </xf>
    <xf numFmtId="0" fontId="49" fillId="0" borderId="0" xfId="0" applyFont="1" applyAlignment="1">
      <alignment horizontal="left" vertical="top" wrapText="1"/>
    </xf>
    <xf numFmtId="0" fontId="10" fillId="0" borderId="165" xfId="0" quotePrefix="1" applyFont="1" applyBorder="1" applyAlignment="1">
      <alignment horizontal="left" vertical="top" wrapText="1"/>
    </xf>
    <xf numFmtId="4" fontId="101" fillId="0" borderId="73" xfId="0" applyNumberFormat="1" applyFont="1" applyBorder="1" applyAlignment="1">
      <alignment horizontal="center" vertical="center"/>
    </xf>
    <xf numFmtId="4" fontId="101" fillId="0" borderId="1" xfId="0" applyNumberFormat="1" applyFont="1" applyBorder="1" applyAlignment="1">
      <alignment horizontal="center" vertical="center"/>
    </xf>
    <xf numFmtId="4" fontId="101" fillId="0" borderId="74" xfId="0" applyNumberFormat="1" applyFont="1" applyBorder="1" applyAlignment="1">
      <alignment horizontal="center" vertical="center"/>
    </xf>
    <xf numFmtId="0" fontId="15" fillId="0" borderId="0" xfId="0" applyFont="1" applyFill="1" applyAlignment="1">
      <alignment horizontal="left" vertical="top" wrapText="1"/>
    </xf>
    <xf numFmtId="0" fontId="129" fillId="0" borderId="0" xfId="0" quotePrefix="1" applyFont="1" applyAlignment="1">
      <alignment horizontal="left" vertical="top" wrapText="1"/>
    </xf>
    <xf numFmtId="0" fontId="129" fillId="0" borderId="0" xfId="0" quotePrefix="1" applyFont="1" applyBorder="1" applyAlignment="1">
      <alignment horizontal="left" vertical="top" wrapText="1"/>
    </xf>
    <xf numFmtId="0" fontId="10" fillId="12" borderId="0" xfId="0" quotePrefix="1" applyFont="1" applyFill="1" applyBorder="1" applyAlignment="1">
      <alignment horizontal="left" vertical="top" wrapText="1"/>
    </xf>
    <xf numFmtId="0" fontId="100" fillId="12" borderId="0" xfId="0" quotePrefix="1" applyFont="1" applyFill="1" applyBorder="1" applyAlignment="1">
      <alignment horizontal="left" vertical="top" wrapText="1"/>
    </xf>
    <xf numFmtId="49" fontId="48" fillId="0" borderId="73" xfId="0" applyNumberFormat="1" applyFont="1" applyBorder="1" applyAlignment="1">
      <alignment horizontal="center" vertical="center"/>
    </xf>
    <xf numFmtId="49" fontId="48" fillId="0" borderId="1" xfId="0" applyNumberFormat="1" applyFont="1" applyBorder="1" applyAlignment="1">
      <alignment horizontal="center" vertical="center"/>
    </xf>
    <xf numFmtId="49" fontId="48" fillId="0" borderId="74" xfId="0" applyNumberFormat="1" applyFont="1" applyBorder="1" applyAlignment="1">
      <alignment horizontal="center" vertical="center"/>
    </xf>
    <xf numFmtId="0" fontId="91" fillId="0" borderId="73" xfId="0" applyNumberFormat="1" applyFont="1" applyBorder="1" applyAlignment="1">
      <alignment horizontal="center" vertical="center"/>
    </xf>
    <xf numFmtId="0" fontId="91" fillId="0" borderId="1" xfId="0" applyNumberFormat="1" applyFont="1" applyBorder="1" applyAlignment="1">
      <alignment horizontal="center" vertical="center"/>
    </xf>
    <xf numFmtId="0" fontId="91" fillId="0" borderId="74" xfId="0" applyNumberFormat="1" applyFont="1" applyBorder="1" applyAlignment="1">
      <alignment horizontal="center" vertical="center"/>
    </xf>
    <xf numFmtId="0" fontId="93" fillId="0" borderId="0" xfId="0" applyFont="1" applyAlignment="1">
      <alignment horizontal="left" vertical="top" wrapText="1"/>
    </xf>
    <xf numFmtId="0" fontId="15" fillId="0" borderId="0" xfId="0" applyFont="1" applyBorder="1" applyAlignment="1">
      <alignment horizontal="left" vertical="top" wrapText="1"/>
    </xf>
    <xf numFmtId="0" fontId="10" fillId="0" borderId="73" xfId="0" quotePrefix="1" applyFont="1" applyBorder="1" applyAlignment="1">
      <alignment horizontal="left" vertical="top" wrapText="1"/>
    </xf>
    <xf numFmtId="0" fontId="10" fillId="0" borderId="1" xfId="0" quotePrefix="1" applyFont="1" applyBorder="1" applyAlignment="1">
      <alignment horizontal="left" vertical="top" wrapText="1"/>
    </xf>
    <xf numFmtId="0" fontId="10" fillId="0" borderId="74" xfId="0" quotePrefix="1" applyFont="1" applyBorder="1" applyAlignment="1">
      <alignment horizontal="left" vertical="top" wrapText="1"/>
    </xf>
    <xf numFmtId="3" fontId="105" fillId="0" borderId="73" xfId="0" applyNumberFormat="1" applyFont="1" applyBorder="1" applyAlignment="1">
      <alignment horizontal="center" vertical="center"/>
    </xf>
    <xf numFmtId="3" fontId="105" fillId="0" borderId="1" xfId="0" applyNumberFormat="1" applyFont="1" applyBorder="1" applyAlignment="1">
      <alignment horizontal="center" vertical="center"/>
    </xf>
    <xf numFmtId="0" fontId="2" fillId="0" borderId="65" xfId="0" applyFont="1" applyBorder="1" applyAlignment="1">
      <alignment horizontal="center" vertical="center"/>
    </xf>
    <xf numFmtId="0" fontId="2" fillId="0" borderId="52" xfId="0" applyFont="1" applyBorder="1" applyAlignment="1">
      <alignment horizontal="center" vertical="center"/>
    </xf>
    <xf numFmtId="0" fontId="2" fillId="0" borderId="66" xfId="0" applyFont="1" applyBorder="1" applyAlignment="1">
      <alignment horizontal="center" vertical="center"/>
    </xf>
    <xf numFmtId="0" fontId="2" fillId="2" borderId="55" xfId="0" applyFont="1" applyFill="1" applyBorder="1" applyAlignment="1">
      <alignment horizontal="center" vertical="center" wrapText="1"/>
    </xf>
    <xf numFmtId="0" fontId="2" fillId="2" borderId="34" xfId="0" applyFont="1" applyFill="1" applyBorder="1" applyAlignment="1">
      <alignment horizontal="center" vertical="center" wrapText="1"/>
    </xf>
    <xf numFmtId="0" fontId="2" fillId="2" borderId="35" xfId="0" applyFont="1" applyFill="1" applyBorder="1" applyAlignment="1">
      <alignment horizontal="center" vertical="center" wrapText="1"/>
    </xf>
    <xf numFmtId="0" fontId="2" fillId="2" borderId="48" xfId="0" applyFont="1" applyFill="1" applyBorder="1" applyAlignment="1">
      <alignment horizontal="center" vertical="center" wrapText="1"/>
    </xf>
    <xf numFmtId="0" fontId="2" fillId="2" borderId="22" xfId="0" applyFont="1" applyFill="1" applyBorder="1" applyAlignment="1">
      <alignment horizontal="center" vertical="center" wrapText="1"/>
    </xf>
    <xf numFmtId="0" fontId="2" fillId="2" borderId="20" xfId="0" applyFont="1" applyFill="1" applyBorder="1" applyAlignment="1">
      <alignment horizontal="center" vertical="center" wrapText="1"/>
    </xf>
    <xf numFmtId="164" fontId="2" fillId="3" borderId="14" xfId="0" applyNumberFormat="1" applyFont="1" applyFill="1" applyBorder="1" applyAlignment="1">
      <alignment horizontal="center" vertical="center"/>
    </xf>
    <xf numFmtId="164" fontId="2" fillId="3" borderId="0" xfId="0" applyNumberFormat="1" applyFont="1" applyFill="1" applyBorder="1" applyAlignment="1">
      <alignment horizontal="center" vertical="center"/>
    </xf>
    <xf numFmtId="164" fontId="2" fillId="3" borderId="15" xfId="0" applyNumberFormat="1" applyFont="1" applyFill="1" applyBorder="1" applyAlignment="1">
      <alignment horizontal="center" vertical="center"/>
    </xf>
    <xf numFmtId="164" fontId="2" fillId="4" borderId="33" xfId="0" applyNumberFormat="1" applyFont="1" applyFill="1" applyBorder="1" applyAlignment="1">
      <alignment horizontal="center" vertical="center" wrapText="1"/>
    </xf>
    <xf numFmtId="164" fontId="2" fillId="4" borderId="34" xfId="0" applyNumberFormat="1" applyFont="1" applyFill="1" applyBorder="1" applyAlignment="1">
      <alignment horizontal="center" vertical="center" wrapText="1"/>
    </xf>
    <xf numFmtId="164" fontId="2" fillId="4" borderId="35" xfId="0" applyNumberFormat="1" applyFont="1" applyFill="1" applyBorder="1" applyAlignment="1">
      <alignment horizontal="center" vertical="center" wrapText="1"/>
    </xf>
    <xf numFmtId="164" fontId="2" fillId="4" borderId="19" xfId="0" applyNumberFormat="1" applyFont="1" applyFill="1" applyBorder="1" applyAlignment="1">
      <alignment horizontal="center" vertical="center" wrapText="1"/>
    </xf>
    <xf numFmtId="164" fontId="2" fillId="4" borderId="22" xfId="0" applyNumberFormat="1" applyFont="1" applyFill="1" applyBorder="1" applyAlignment="1">
      <alignment horizontal="center" vertical="center" wrapText="1"/>
    </xf>
    <xf numFmtId="164" fontId="2" fillId="4" borderId="20" xfId="0" applyNumberFormat="1" applyFont="1" applyFill="1" applyBorder="1" applyAlignment="1">
      <alignment horizontal="center" vertical="center" wrapText="1"/>
    </xf>
    <xf numFmtId="164" fontId="2" fillId="5" borderId="14" xfId="0" applyNumberFormat="1" applyFont="1" applyFill="1" applyBorder="1" applyAlignment="1">
      <alignment horizontal="center" vertical="center"/>
    </xf>
    <xf numFmtId="164" fontId="2" fillId="5" borderId="0" xfId="0" applyNumberFormat="1" applyFont="1" applyFill="1" applyBorder="1" applyAlignment="1">
      <alignment horizontal="center" vertical="center"/>
    </xf>
    <xf numFmtId="164" fontId="2" fillId="3" borderId="33" xfId="0" applyNumberFormat="1" applyFont="1" applyFill="1" applyBorder="1" applyAlignment="1">
      <alignment horizontal="center" vertical="center"/>
    </xf>
    <xf numFmtId="164" fontId="2" fillId="3" borderId="34" xfId="0" applyNumberFormat="1" applyFont="1" applyFill="1" applyBorder="1" applyAlignment="1">
      <alignment horizontal="center" vertical="center"/>
    </xf>
    <xf numFmtId="164" fontId="2" fillId="3" borderId="35" xfId="0" applyNumberFormat="1" applyFont="1" applyFill="1" applyBorder="1" applyAlignment="1">
      <alignment horizontal="center" vertical="center"/>
    </xf>
    <xf numFmtId="164" fontId="8" fillId="3" borderId="19" xfId="0" applyNumberFormat="1" applyFont="1" applyFill="1" applyBorder="1" applyAlignment="1">
      <alignment horizontal="center" vertical="center"/>
    </xf>
    <xf numFmtId="164" fontId="8" fillId="3" borderId="20" xfId="0" applyNumberFormat="1" applyFont="1" applyFill="1" applyBorder="1" applyAlignment="1">
      <alignment horizontal="center" vertical="center"/>
    </xf>
    <xf numFmtId="164" fontId="8" fillId="5" borderId="19" xfId="0" applyNumberFormat="1" applyFont="1" applyFill="1" applyBorder="1" applyAlignment="1">
      <alignment horizontal="center" vertical="center"/>
    </xf>
    <xf numFmtId="164" fontId="8" fillId="5" borderId="22" xfId="0" applyNumberFormat="1" applyFont="1" applyFill="1" applyBorder="1" applyAlignment="1">
      <alignment horizontal="center" vertical="center"/>
    </xf>
    <xf numFmtId="0" fontId="2" fillId="0" borderId="24" xfId="0" applyFont="1" applyBorder="1" applyAlignment="1">
      <alignment horizontal="center" vertical="center" textRotation="90"/>
    </xf>
    <xf numFmtId="0" fontId="2" fillId="0" borderId="29" xfId="0" applyFont="1" applyBorder="1" applyAlignment="1">
      <alignment horizontal="center" vertical="center" textRotation="90"/>
    </xf>
    <xf numFmtId="0" fontId="2" fillId="0" borderId="40" xfId="0" applyFont="1" applyBorder="1" applyAlignment="1">
      <alignment horizontal="center" vertical="center" textRotation="90"/>
    </xf>
    <xf numFmtId="3" fontId="2" fillId="0" borderId="56" xfId="0" applyNumberFormat="1" applyFont="1" applyBorder="1" applyAlignment="1">
      <alignment horizontal="center" vertical="center"/>
    </xf>
    <xf numFmtId="3" fontId="2" fillId="0" borderId="54" xfId="0" applyNumberFormat="1" applyFont="1" applyBorder="1" applyAlignment="1">
      <alignment horizontal="center" vertical="center"/>
    </xf>
    <xf numFmtId="3" fontId="2" fillId="0" borderId="57" xfId="0" applyNumberFormat="1" applyFont="1" applyBorder="1" applyAlignment="1">
      <alignment horizontal="center" vertical="center"/>
    </xf>
    <xf numFmtId="3" fontId="2" fillId="0" borderId="14" xfId="0" applyNumberFormat="1" applyFont="1" applyBorder="1" applyAlignment="1">
      <alignment horizontal="center" vertical="center"/>
    </xf>
    <xf numFmtId="3" fontId="2" fillId="0" borderId="0" xfId="0" applyNumberFormat="1" applyFont="1" applyBorder="1" applyAlignment="1">
      <alignment horizontal="center" vertical="center"/>
    </xf>
    <xf numFmtId="3" fontId="2" fillId="0" borderId="15" xfId="0" applyNumberFormat="1" applyFont="1" applyBorder="1" applyAlignment="1">
      <alignment horizontal="center" vertical="center"/>
    </xf>
    <xf numFmtId="3" fontId="2" fillId="0" borderId="91" xfId="0" applyNumberFormat="1" applyFont="1" applyBorder="1" applyAlignment="1">
      <alignment horizontal="center" vertical="center"/>
    </xf>
    <xf numFmtId="3" fontId="2" fillId="0" borderId="27" xfId="0" applyNumberFormat="1" applyFont="1" applyBorder="1" applyAlignment="1">
      <alignment horizontal="center" vertical="center"/>
    </xf>
    <xf numFmtId="3" fontId="2" fillId="0" borderId="55" xfId="0" applyNumberFormat="1" applyFont="1" applyBorder="1" applyAlignment="1">
      <alignment horizontal="center" vertical="center"/>
    </xf>
    <xf numFmtId="3" fontId="2" fillId="0" borderId="34" xfId="0" applyNumberFormat="1" applyFont="1" applyBorder="1" applyAlignment="1">
      <alignment horizontal="center" vertical="center"/>
    </xf>
    <xf numFmtId="3" fontId="2" fillId="0" borderId="35" xfId="0" applyNumberFormat="1" applyFont="1" applyBorder="1" applyAlignment="1">
      <alignment horizontal="center" vertical="center"/>
    </xf>
    <xf numFmtId="3" fontId="2" fillId="0" borderId="33" xfId="0" applyNumberFormat="1" applyFont="1" applyBorder="1" applyAlignment="1">
      <alignment horizontal="center" vertical="center"/>
    </xf>
    <xf numFmtId="3" fontId="2" fillId="0" borderId="36" xfId="0" applyNumberFormat="1" applyFont="1" applyBorder="1" applyAlignment="1">
      <alignment horizontal="center" vertical="center"/>
    </xf>
    <xf numFmtId="164" fontId="2" fillId="3" borderId="87" xfId="0" applyNumberFormat="1" applyFont="1" applyFill="1" applyBorder="1" applyAlignment="1">
      <alignment horizontal="center" vertical="center"/>
    </xf>
    <xf numFmtId="164" fontId="2" fillId="3" borderId="3" xfId="0" applyNumberFormat="1" applyFont="1" applyFill="1" applyBorder="1" applyAlignment="1">
      <alignment horizontal="center" vertical="center"/>
    </xf>
    <xf numFmtId="164" fontId="2" fillId="3" borderId="67" xfId="0" applyNumberFormat="1" applyFont="1" applyFill="1" applyBorder="1" applyAlignment="1">
      <alignment horizontal="center" vertical="center"/>
    </xf>
    <xf numFmtId="164" fontId="2" fillId="4" borderId="87" xfId="0" applyNumberFormat="1" applyFont="1" applyFill="1" applyBorder="1" applyAlignment="1">
      <alignment horizontal="center" vertical="center" wrapText="1"/>
    </xf>
    <xf numFmtId="164" fontId="2" fillId="4" borderId="3" xfId="0" applyNumberFormat="1" applyFont="1" applyFill="1" applyBorder="1" applyAlignment="1">
      <alignment horizontal="center" vertical="center" wrapText="1"/>
    </xf>
    <xf numFmtId="164" fontId="2" fillId="4" borderId="47" xfId="0" applyNumberFormat="1" applyFont="1" applyFill="1" applyBorder="1" applyAlignment="1">
      <alignment horizontal="center" vertical="center" wrapText="1"/>
    </xf>
    <xf numFmtId="3" fontId="2" fillId="2" borderId="88" xfId="0" applyNumberFormat="1" applyFont="1" applyFill="1" applyBorder="1" applyAlignment="1">
      <alignment horizontal="center" vertical="center"/>
    </xf>
    <xf numFmtId="3" fontId="2" fillId="2" borderId="89" xfId="0" applyNumberFormat="1" applyFont="1" applyFill="1" applyBorder="1" applyAlignment="1">
      <alignment horizontal="center" vertical="center"/>
    </xf>
    <xf numFmtId="3" fontId="2" fillId="2" borderId="90" xfId="0" applyNumberFormat="1" applyFont="1" applyFill="1" applyBorder="1" applyAlignment="1">
      <alignment horizontal="center" vertical="center"/>
    </xf>
    <xf numFmtId="3" fontId="2" fillId="3" borderId="43" xfId="0" applyNumberFormat="1" applyFont="1" applyFill="1" applyBorder="1" applyAlignment="1">
      <alignment horizontal="center" vertical="center"/>
    </xf>
    <xf numFmtId="3" fontId="2" fillId="3" borderId="42" xfId="0" applyNumberFormat="1" applyFont="1" applyFill="1" applyBorder="1" applyAlignment="1">
      <alignment horizontal="center" vertical="center"/>
    </xf>
    <xf numFmtId="3" fontId="2" fillId="3" borderId="44" xfId="0" applyNumberFormat="1" applyFont="1" applyFill="1" applyBorder="1" applyAlignment="1">
      <alignment horizontal="center" vertical="center"/>
    </xf>
    <xf numFmtId="3" fontId="2" fillId="4" borderId="92" xfId="0" applyNumberFormat="1" applyFont="1" applyFill="1" applyBorder="1" applyAlignment="1">
      <alignment horizontal="center" vertical="center"/>
    </xf>
    <xf numFmtId="3" fontId="2" fillId="4" borderId="89" xfId="0" applyNumberFormat="1" applyFont="1" applyFill="1" applyBorder="1" applyAlignment="1">
      <alignment horizontal="center" vertical="center"/>
    </xf>
    <xf numFmtId="3" fontId="2" fillId="4" borderId="90" xfId="0" applyNumberFormat="1" applyFont="1" applyFill="1" applyBorder="1" applyAlignment="1">
      <alignment horizontal="center" vertical="center"/>
    </xf>
    <xf numFmtId="3" fontId="2" fillId="5" borderId="43" xfId="0" applyNumberFormat="1" applyFont="1" applyFill="1" applyBorder="1" applyAlignment="1">
      <alignment horizontal="center" vertical="center"/>
    </xf>
    <xf numFmtId="3" fontId="2" fillId="5" borderId="42" xfId="0" applyNumberFormat="1" applyFont="1" applyFill="1" applyBorder="1" applyAlignment="1">
      <alignment horizontal="center" vertical="center"/>
    </xf>
    <xf numFmtId="3" fontId="2" fillId="3" borderId="9" xfId="0" applyNumberFormat="1" applyFont="1" applyFill="1" applyBorder="1" applyAlignment="1">
      <alignment horizontal="center" vertical="center"/>
    </xf>
    <xf numFmtId="3" fontId="2" fillId="3" borderId="10" xfId="0" applyNumberFormat="1" applyFont="1" applyFill="1" applyBorder="1" applyAlignment="1">
      <alignment horizontal="center" vertical="center"/>
    </xf>
    <xf numFmtId="3" fontId="2" fillId="3" borderId="11" xfId="0" applyNumberFormat="1" applyFont="1" applyFill="1" applyBorder="1" applyAlignment="1">
      <alignment horizontal="center" vertical="center"/>
    </xf>
    <xf numFmtId="3" fontId="2" fillId="0" borderId="64" xfId="0" applyNumberFormat="1" applyFont="1" applyFill="1" applyBorder="1" applyAlignment="1">
      <alignment horizontal="center" vertical="center"/>
    </xf>
    <xf numFmtId="3" fontId="2" fillId="0" borderId="62" xfId="0" applyNumberFormat="1" applyFont="1" applyFill="1" applyBorder="1" applyAlignment="1">
      <alignment horizontal="center" vertical="center"/>
    </xf>
    <xf numFmtId="3" fontId="2" fillId="0" borderId="63" xfId="0" applyNumberFormat="1" applyFont="1" applyFill="1" applyBorder="1" applyAlignment="1">
      <alignment horizontal="center" vertical="center"/>
    </xf>
    <xf numFmtId="3" fontId="2" fillId="0" borderId="64" xfId="0" applyNumberFormat="1" applyFont="1" applyBorder="1" applyAlignment="1">
      <alignment horizontal="center" vertical="center"/>
    </xf>
    <xf numFmtId="3" fontId="2" fillId="0" borderId="62" xfId="0" applyNumberFormat="1" applyFont="1" applyBorder="1" applyAlignment="1">
      <alignment horizontal="center" vertical="center"/>
    </xf>
    <xf numFmtId="3" fontId="2" fillId="0" borderId="95" xfId="0" applyNumberFormat="1" applyFont="1" applyBorder="1" applyAlignment="1">
      <alignment horizontal="center" vertical="center"/>
    </xf>
    <xf numFmtId="3" fontId="2" fillId="0" borderId="63" xfId="0" applyNumberFormat="1" applyFont="1" applyBorder="1" applyAlignment="1">
      <alignment horizontal="center" vertical="center"/>
    </xf>
    <xf numFmtId="0" fontId="41" fillId="0" borderId="24" xfId="0" applyFont="1" applyBorder="1" applyAlignment="1">
      <alignment horizontal="center" vertical="center" textRotation="90"/>
    </xf>
    <xf numFmtId="0" fontId="41" fillId="0" borderId="29" xfId="0" applyFont="1" applyBorder="1" applyAlignment="1">
      <alignment horizontal="center" vertical="center" textRotation="90"/>
    </xf>
    <xf numFmtId="0" fontId="41" fillId="0" borderId="40" xfId="0" applyFont="1" applyBorder="1" applyAlignment="1">
      <alignment horizontal="center" vertical="center" textRotation="90"/>
    </xf>
    <xf numFmtId="3" fontId="41" fillId="0" borderId="14" xfId="0" applyNumberFormat="1" applyFont="1" applyBorder="1" applyAlignment="1">
      <alignment horizontal="center" vertical="center"/>
    </xf>
    <xf numFmtId="3" fontId="41" fillId="0" borderId="0" xfId="0" applyNumberFormat="1" applyFont="1" applyBorder="1" applyAlignment="1">
      <alignment horizontal="center" vertical="center"/>
    </xf>
    <xf numFmtId="3" fontId="41" fillId="0" borderId="15" xfId="0" applyNumberFormat="1" applyFont="1" applyBorder="1" applyAlignment="1">
      <alignment horizontal="center" vertical="center"/>
    </xf>
    <xf numFmtId="3" fontId="41" fillId="0" borderId="27" xfId="0" applyNumberFormat="1" applyFont="1" applyBorder="1" applyAlignment="1">
      <alignment horizontal="center" vertical="center"/>
    </xf>
    <xf numFmtId="3" fontId="41" fillId="0" borderId="33" xfId="0" applyNumberFormat="1" applyFont="1" applyBorder="1" applyAlignment="1">
      <alignment horizontal="center" vertical="center"/>
    </xf>
    <xf numFmtId="3" fontId="41" fillId="0" borderId="34" xfId="0" applyNumberFormat="1" applyFont="1" applyBorder="1" applyAlignment="1">
      <alignment horizontal="center" vertical="center"/>
    </xf>
    <xf numFmtId="3" fontId="41" fillId="0" borderId="35" xfId="0" applyNumberFormat="1" applyFont="1" applyBorder="1" applyAlignment="1">
      <alignment horizontal="center" vertical="center"/>
    </xf>
    <xf numFmtId="3" fontId="41" fillId="0" borderId="36" xfId="0" applyNumberFormat="1" applyFont="1" applyBorder="1" applyAlignment="1">
      <alignment horizontal="center" vertical="center"/>
    </xf>
    <xf numFmtId="3" fontId="41" fillId="3" borderId="43" xfId="0" applyNumberFormat="1" applyFont="1" applyFill="1" applyBorder="1" applyAlignment="1">
      <alignment horizontal="center" vertical="center"/>
    </xf>
    <xf numFmtId="3" fontId="41" fillId="3" borderId="42" xfId="0" applyNumberFormat="1" applyFont="1" applyFill="1" applyBorder="1" applyAlignment="1">
      <alignment horizontal="center" vertical="center"/>
    </xf>
    <xf numFmtId="3" fontId="41" fillId="3" borderId="44" xfId="0" applyNumberFormat="1" applyFont="1" applyFill="1" applyBorder="1" applyAlignment="1">
      <alignment horizontal="center" vertical="center"/>
    </xf>
    <xf numFmtId="3" fontId="41" fillId="5" borderId="43" xfId="0" applyNumberFormat="1" applyFont="1" applyFill="1" applyBorder="1" applyAlignment="1">
      <alignment horizontal="center" vertical="center"/>
    </xf>
    <xf numFmtId="3" fontId="41" fillId="5" borderId="42" xfId="0" applyNumberFormat="1" applyFont="1" applyFill="1" applyBorder="1" applyAlignment="1">
      <alignment horizontal="center" vertical="center"/>
    </xf>
    <xf numFmtId="0" fontId="41" fillId="0" borderId="4" xfId="0" applyFont="1" applyBorder="1" applyAlignment="1">
      <alignment horizontal="center" vertical="center"/>
    </xf>
    <xf numFmtId="0" fontId="41" fillId="0" borderId="3" xfId="0" applyFont="1" applyBorder="1" applyAlignment="1">
      <alignment horizontal="center" vertical="center"/>
    </xf>
    <xf numFmtId="0" fontId="41" fillId="0" borderId="5" xfId="0" applyFont="1" applyBorder="1" applyAlignment="1">
      <alignment horizontal="center" vertical="center"/>
    </xf>
    <xf numFmtId="164" fontId="41" fillId="3" borderId="14" xfId="0" applyNumberFormat="1" applyFont="1" applyFill="1" applyBorder="1" applyAlignment="1">
      <alignment horizontal="center" vertical="center"/>
    </xf>
    <xf numFmtId="164" fontId="41" fillId="3" borderId="0" xfId="0" applyNumberFormat="1" applyFont="1" applyFill="1" applyBorder="1" applyAlignment="1">
      <alignment horizontal="center" vertical="center"/>
    </xf>
    <xf numFmtId="164" fontId="41" fillId="3" borderId="15" xfId="0" applyNumberFormat="1" applyFont="1" applyFill="1" applyBorder="1" applyAlignment="1">
      <alignment horizontal="center" vertical="center"/>
    </xf>
    <xf numFmtId="164" fontId="41" fillId="5" borderId="14" xfId="0" applyNumberFormat="1" applyFont="1" applyFill="1" applyBorder="1" applyAlignment="1">
      <alignment horizontal="center" vertical="center"/>
    </xf>
    <xf numFmtId="164" fontId="41" fillId="5" borderId="0" xfId="0" applyNumberFormat="1" applyFont="1" applyFill="1" applyBorder="1" applyAlignment="1">
      <alignment horizontal="center" vertical="center"/>
    </xf>
    <xf numFmtId="164" fontId="45" fillId="3" borderId="19" xfId="0" applyNumberFormat="1" applyFont="1" applyFill="1" applyBorder="1" applyAlignment="1">
      <alignment horizontal="center" vertical="center"/>
    </xf>
    <xf numFmtId="164" fontId="45" fillId="3" borderId="20" xfId="0" applyNumberFormat="1" applyFont="1" applyFill="1" applyBorder="1" applyAlignment="1">
      <alignment horizontal="center" vertical="center"/>
    </xf>
    <xf numFmtId="164" fontId="45" fillId="5" borderId="19" xfId="0" applyNumberFormat="1" applyFont="1" applyFill="1" applyBorder="1" applyAlignment="1">
      <alignment horizontal="center" vertical="center"/>
    </xf>
    <xf numFmtId="164" fontId="45" fillId="5" borderId="22" xfId="0" applyNumberFormat="1" applyFont="1" applyFill="1" applyBorder="1" applyAlignment="1">
      <alignment horizontal="center" vertical="center"/>
    </xf>
    <xf numFmtId="164" fontId="2" fillId="5" borderId="33" xfId="0" applyNumberFormat="1" applyFont="1" applyFill="1" applyBorder="1" applyAlignment="1">
      <alignment horizontal="center" vertical="center"/>
    </xf>
    <xf numFmtId="164" fontId="2" fillId="5" borderId="34" xfId="0" applyNumberFormat="1" applyFont="1" applyFill="1" applyBorder="1" applyAlignment="1">
      <alignment horizontal="center" vertical="center"/>
    </xf>
    <xf numFmtId="164" fontId="2" fillId="5" borderId="36" xfId="0" applyNumberFormat="1" applyFont="1" applyFill="1" applyBorder="1" applyAlignment="1">
      <alignment horizontal="center" vertical="center"/>
    </xf>
    <xf numFmtId="164" fontId="0" fillId="0" borderId="73" xfId="0" applyNumberFormat="1" applyBorder="1" applyAlignment="1">
      <alignment horizontal="center"/>
    </xf>
    <xf numFmtId="164" fontId="0" fillId="0" borderId="1" xfId="0" applyNumberFormat="1" applyBorder="1" applyAlignment="1">
      <alignment horizontal="center"/>
    </xf>
    <xf numFmtId="164" fontId="0" fillId="0" borderId="74" xfId="0" applyNumberFormat="1" applyBorder="1" applyAlignment="1">
      <alignment horizontal="center"/>
    </xf>
    <xf numFmtId="164" fontId="0" fillId="0" borderId="53" xfId="0" applyNumberFormat="1" applyBorder="1" applyAlignment="1">
      <alignment horizontal="center"/>
    </xf>
    <xf numFmtId="164" fontId="0" fillId="0" borderId="70" xfId="0" applyNumberFormat="1" applyBorder="1" applyAlignment="1">
      <alignment horizontal="center"/>
    </xf>
    <xf numFmtId="164" fontId="8" fillId="5" borderId="20" xfId="0" applyNumberFormat="1" applyFont="1" applyFill="1" applyBorder="1" applyAlignment="1">
      <alignment horizontal="center" vertical="center"/>
    </xf>
    <xf numFmtId="166" fontId="0" fillId="0" borderId="108" xfId="0" applyNumberFormat="1" applyBorder="1" applyAlignment="1">
      <alignment horizontal="center"/>
    </xf>
    <xf numFmtId="166" fontId="0" fillId="0" borderId="110" xfId="0" applyNumberFormat="1" applyBorder="1" applyAlignment="1">
      <alignment horizontal="center"/>
    </xf>
    <xf numFmtId="166" fontId="0" fillId="0" borderId="164" xfId="0" applyNumberFormat="1" applyBorder="1" applyAlignment="1">
      <alignment horizontal="center"/>
    </xf>
    <xf numFmtId="166" fontId="0" fillId="0" borderId="121" xfId="0" applyNumberFormat="1" applyBorder="1" applyAlignment="1">
      <alignment horizontal="center"/>
    </xf>
    <xf numFmtId="166" fontId="0" fillId="0" borderId="103" xfId="0" applyNumberFormat="1" applyBorder="1" applyAlignment="1">
      <alignment horizontal="center"/>
    </xf>
    <xf numFmtId="166" fontId="0" fillId="0" borderId="104" xfId="0" applyNumberFormat="1" applyBorder="1" applyAlignment="1">
      <alignment horizontal="center"/>
    </xf>
    <xf numFmtId="166" fontId="0" fillId="0" borderId="76" xfId="0" applyNumberFormat="1" applyBorder="1" applyAlignment="1">
      <alignment horizontal="center"/>
    </xf>
    <xf numFmtId="166" fontId="0" fillId="0" borderId="53" xfId="0" applyNumberFormat="1" applyBorder="1" applyAlignment="1">
      <alignment horizontal="center"/>
    </xf>
    <xf numFmtId="166" fontId="0" fillId="0" borderId="118" xfId="0" applyNumberFormat="1" applyBorder="1" applyAlignment="1">
      <alignment horizontal="center"/>
    </xf>
    <xf numFmtId="166" fontId="0" fillId="0" borderId="60" xfId="0" applyNumberFormat="1" applyBorder="1" applyAlignment="1">
      <alignment horizontal="center"/>
    </xf>
    <xf numFmtId="166" fontId="0" fillId="0" borderId="1" xfId="0" applyNumberFormat="1" applyBorder="1" applyAlignment="1">
      <alignment horizontal="center"/>
    </xf>
    <xf numFmtId="166" fontId="0" fillId="0" borderId="98" xfId="0" applyNumberFormat="1" applyBorder="1" applyAlignment="1">
      <alignment horizontal="center"/>
    </xf>
    <xf numFmtId="3" fontId="2" fillId="0" borderId="159" xfId="0" applyNumberFormat="1" applyFont="1" applyBorder="1" applyAlignment="1">
      <alignment horizontal="center" vertical="center"/>
    </xf>
    <xf numFmtId="3" fontId="2" fillId="3" borderId="92" xfId="0" applyNumberFormat="1" applyFont="1" applyFill="1" applyBorder="1" applyAlignment="1">
      <alignment horizontal="center" vertical="center"/>
    </xf>
    <xf numFmtId="3" fontId="2" fillId="3" borderId="89" xfId="0" applyNumberFormat="1" applyFont="1" applyFill="1" applyBorder="1" applyAlignment="1">
      <alignment horizontal="center" vertical="center"/>
    </xf>
    <xf numFmtId="3" fontId="2" fillId="3" borderId="90" xfId="0" applyNumberFormat="1" applyFont="1" applyFill="1" applyBorder="1" applyAlignment="1">
      <alignment horizontal="center" vertical="center"/>
    </xf>
    <xf numFmtId="3" fontId="2" fillId="5" borderId="92" xfId="0" applyNumberFormat="1" applyFont="1" applyFill="1" applyBorder="1" applyAlignment="1">
      <alignment horizontal="center" vertical="center"/>
    </xf>
    <xf numFmtId="3" fontId="2" fillId="5" borderId="89" xfId="0" applyNumberFormat="1" applyFont="1" applyFill="1" applyBorder="1" applyAlignment="1">
      <alignment horizontal="center" vertical="center"/>
    </xf>
    <xf numFmtId="3" fontId="2" fillId="5" borderId="160" xfId="0" applyNumberFormat="1" applyFont="1" applyFill="1" applyBorder="1" applyAlignment="1">
      <alignment horizontal="center" vertical="center"/>
    </xf>
    <xf numFmtId="0" fontId="6" fillId="0" borderId="7" xfId="0" applyFont="1" applyBorder="1" applyAlignment="1">
      <alignment horizontal="center" vertical="center"/>
    </xf>
    <xf numFmtId="0" fontId="6" fillId="0" borderId="27" xfId="0" applyFont="1" applyBorder="1" applyAlignment="1">
      <alignment horizontal="center" vertical="center"/>
    </xf>
    <xf numFmtId="166" fontId="0" fillId="0" borderId="107" xfId="0" applyNumberFormat="1" applyBorder="1" applyAlignment="1">
      <alignment horizontal="center"/>
    </xf>
    <xf numFmtId="166" fontId="0" fillId="0" borderId="68" xfId="0" applyNumberFormat="1" applyBorder="1" applyAlignment="1">
      <alignment horizontal="center"/>
    </xf>
    <xf numFmtId="166" fontId="0" fillId="0" borderId="125" xfId="0" applyNumberFormat="1" applyBorder="1" applyAlignment="1">
      <alignment horizontal="center"/>
    </xf>
    <xf numFmtId="166" fontId="0" fillId="0" borderId="61" xfId="0" applyNumberFormat="1" applyBorder="1" applyAlignment="1">
      <alignment horizontal="center"/>
    </xf>
    <xf numFmtId="166" fontId="0" fillId="0" borderId="62" xfId="0" applyNumberFormat="1" applyBorder="1" applyAlignment="1">
      <alignment horizontal="center"/>
    </xf>
    <xf numFmtId="166" fontId="0" fillId="0" borderId="95" xfId="0" applyNumberFormat="1" applyBorder="1" applyAlignment="1">
      <alignment horizontal="center"/>
    </xf>
    <xf numFmtId="0" fontId="2" fillId="0" borderId="2" xfId="0" applyFont="1" applyBorder="1" applyAlignment="1">
      <alignment horizontal="left" vertical="center" wrapText="1"/>
    </xf>
    <xf numFmtId="0" fontId="2" fillId="0" borderId="5" xfId="0" applyFont="1" applyBorder="1" applyAlignment="1">
      <alignment horizontal="left" vertical="center" wrapText="1"/>
    </xf>
    <xf numFmtId="0" fontId="2" fillId="0" borderId="7" xfId="0" applyFont="1" applyBorder="1" applyAlignment="1">
      <alignment horizontal="left" vertical="center" wrapText="1"/>
    </xf>
    <xf numFmtId="0" fontId="2" fillId="0" borderId="27" xfId="0" applyFont="1" applyBorder="1" applyAlignment="1">
      <alignment horizontal="left" vertical="center" wrapText="1"/>
    </xf>
    <xf numFmtId="0" fontId="2" fillId="0" borderId="75" xfId="0" applyFont="1" applyBorder="1" applyAlignment="1">
      <alignment horizontal="center" vertical="center"/>
    </xf>
    <xf numFmtId="0" fontId="18" fillId="2" borderId="55" xfId="0" applyFont="1" applyFill="1" applyBorder="1" applyAlignment="1">
      <alignment horizontal="center" vertical="center" wrapText="1"/>
    </xf>
    <xf numFmtId="0" fontId="18" fillId="2" borderId="34" xfId="0" applyFont="1" applyFill="1" applyBorder="1" applyAlignment="1">
      <alignment horizontal="center" vertical="center" wrapText="1"/>
    </xf>
    <xf numFmtId="0" fontId="18" fillId="2" borderId="48" xfId="0" applyFont="1" applyFill="1" applyBorder="1" applyAlignment="1">
      <alignment horizontal="center" vertical="center" wrapText="1"/>
    </xf>
    <xf numFmtId="0" fontId="18" fillId="2" borderId="22" xfId="0" applyFont="1" applyFill="1" applyBorder="1" applyAlignment="1">
      <alignment horizontal="center" vertical="center" wrapText="1"/>
    </xf>
    <xf numFmtId="164" fontId="18" fillId="3" borderId="33" xfId="0" applyNumberFormat="1" applyFont="1" applyFill="1" applyBorder="1" applyAlignment="1">
      <alignment horizontal="center" vertical="center"/>
    </xf>
    <xf numFmtId="164" fontId="18" fillId="3" borderId="34" xfId="0" applyNumberFormat="1" applyFont="1" applyFill="1" applyBorder="1" applyAlignment="1">
      <alignment horizontal="center" vertical="center"/>
    </xf>
    <xf numFmtId="164" fontId="18" fillId="4" borderId="33" xfId="0" applyNumberFormat="1" applyFont="1" applyFill="1" applyBorder="1" applyAlignment="1">
      <alignment horizontal="center" vertical="center" wrapText="1"/>
    </xf>
    <xf numFmtId="164" fontId="18" fillId="4" borderId="34" xfId="0" applyNumberFormat="1" applyFont="1" applyFill="1" applyBorder="1" applyAlignment="1">
      <alignment horizontal="center" vertical="center" wrapText="1"/>
    </xf>
    <xf numFmtId="164" fontId="18" fillId="4" borderId="35" xfId="0" applyNumberFormat="1" applyFont="1" applyFill="1" applyBorder="1" applyAlignment="1">
      <alignment horizontal="center" vertical="center" wrapText="1"/>
    </xf>
    <xf numFmtId="164" fontId="18" fillId="4" borderId="19" xfId="0" applyNumberFormat="1" applyFont="1" applyFill="1" applyBorder="1" applyAlignment="1">
      <alignment horizontal="center" vertical="center" wrapText="1"/>
    </xf>
    <xf numFmtId="164" fontId="18" fillId="4" borderId="22" xfId="0" applyNumberFormat="1" applyFont="1" applyFill="1" applyBorder="1" applyAlignment="1">
      <alignment horizontal="center" vertical="center" wrapText="1"/>
    </xf>
    <xf numFmtId="164" fontId="18" fillId="4" borderId="20" xfId="0" applyNumberFormat="1" applyFont="1" applyFill="1" applyBorder="1" applyAlignment="1">
      <alignment horizontal="center" vertical="center" wrapText="1"/>
    </xf>
    <xf numFmtId="164" fontId="18" fillId="5" borderId="14" xfId="0" applyNumberFormat="1" applyFont="1" applyFill="1" applyBorder="1" applyAlignment="1">
      <alignment horizontal="center" vertical="center"/>
    </xf>
    <xf numFmtId="164" fontId="18" fillId="5" borderId="0" xfId="0" applyNumberFormat="1" applyFont="1" applyFill="1" applyBorder="1" applyAlignment="1">
      <alignment horizontal="center" vertical="center"/>
    </xf>
    <xf numFmtId="164" fontId="18" fillId="5" borderId="162" xfId="0" applyNumberFormat="1" applyFont="1" applyFill="1" applyBorder="1" applyAlignment="1">
      <alignment horizontal="center" vertical="center"/>
    </xf>
    <xf numFmtId="164" fontId="0" fillId="0" borderId="129" xfId="0" applyNumberFormat="1" applyBorder="1" applyAlignment="1">
      <alignment horizontal="center"/>
    </xf>
    <xf numFmtId="164" fontId="0" fillId="0" borderId="103" xfId="0" applyNumberFormat="1" applyBorder="1" applyAlignment="1">
      <alignment horizontal="center"/>
    </xf>
    <xf numFmtId="164" fontId="0" fillId="0" borderId="124" xfId="0" applyNumberFormat="1" applyBorder="1" applyAlignment="1">
      <alignment horizontal="center"/>
    </xf>
    <xf numFmtId="164" fontId="0" fillId="0" borderId="110" xfId="0" applyNumberFormat="1" applyBorder="1" applyAlignment="1">
      <alignment horizontal="center"/>
    </xf>
    <xf numFmtId="164" fontId="0" fillId="0" borderId="123" xfId="0" applyNumberFormat="1" applyBorder="1" applyAlignment="1">
      <alignment horizontal="center"/>
    </xf>
    <xf numFmtId="164" fontId="18" fillId="3" borderId="168" xfId="0" applyNumberFormat="1" applyFont="1" applyFill="1" applyBorder="1" applyAlignment="1">
      <alignment horizontal="center"/>
    </xf>
    <xf numFmtId="164" fontId="18" fillId="3" borderId="52" xfId="0" applyNumberFormat="1" applyFont="1" applyFill="1" applyBorder="1" applyAlignment="1">
      <alignment horizontal="center"/>
    </xf>
    <xf numFmtId="164" fontId="18" fillId="3" borderId="169" xfId="0" applyNumberFormat="1" applyFont="1" applyFill="1" applyBorder="1" applyAlignment="1">
      <alignment horizontal="center"/>
    </xf>
    <xf numFmtId="164" fontId="18" fillId="4" borderId="170" xfId="0" applyNumberFormat="1" applyFont="1" applyFill="1" applyBorder="1" applyAlignment="1">
      <alignment horizontal="center"/>
    </xf>
    <xf numFmtId="164" fontId="18" fillId="4" borderId="171" xfId="0" applyNumberFormat="1" applyFont="1" applyFill="1" applyBorder="1" applyAlignment="1">
      <alignment horizontal="center"/>
    </xf>
    <xf numFmtId="164" fontId="45" fillId="5" borderId="9" xfId="0" applyNumberFormat="1" applyFont="1" applyFill="1" applyBorder="1" applyAlignment="1">
      <alignment horizontal="center" vertical="center"/>
    </xf>
    <xf numFmtId="164" fontId="45" fillId="5" borderId="10" xfId="0" applyNumberFormat="1" applyFont="1" applyFill="1" applyBorder="1" applyAlignment="1">
      <alignment horizontal="center" vertical="center"/>
    </xf>
    <xf numFmtId="166" fontId="6" fillId="0" borderId="38" xfId="0" applyNumberFormat="1" applyFont="1" applyBorder="1" applyAlignment="1">
      <alignment horizontal="center"/>
    </xf>
    <xf numFmtId="166" fontId="6" fillId="0" borderId="39" xfId="0" applyNumberFormat="1" applyFont="1" applyBorder="1" applyAlignment="1">
      <alignment horizontal="center"/>
    </xf>
    <xf numFmtId="166" fontId="6" fillId="0" borderId="11" xfId="0" applyNumberFormat="1" applyFont="1" applyBorder="1" applyAlignment="1">
      <alignment horizontal="center"/>
    </xf>
    <xf numFmtId="166" fontId="6" fillId="0" borderId="117" xfId="0" applyNumberFormat="1" applyFont="1" applyBorder="1" applyAlignment="1">
      <alignment horizontal="center"/>
    </xf>
    <xf numFmtId="0" fontId="41" fillId="0" borderId="47" xfId="0" applyFont="1" applyBorder="1" applyAlignment="1">
      <alignment horizontal="center" vertical="center"/>
    </xf>
    <xf numFmtId="0" fontId="2" fillId="2" borderId="0" xfId="0" applyFont="1" applyFill="1" applyBorder="1" applyAlignment="1">
      <alignment horizontal="center" vertical="center" wrapText="1"/>
    </xf>
    <xf numFmtId="0" fontId="2" fillId="2" borderId="15" xfId="0" applyFont="1" applyFill="1" applyBorder="1" applyAlignment="1">
      <alignment horizontal="center" vertical="center" wrapText="1"/>
    </xf>
    <xf numFmtId="164" fontId="2" fillId="4" borderId="14" xfId="0" applyNumberFormat="1" applyFont="1" applyFill="1" applyBorder="1" applyAlignment="1">
      <alignment horizontal="center" vertical="center" wrapText="1"/>
    </xf>
    <xf numFmtId="164" fontId="2" fillId="4" borderId="0" xfId="0" applyNumberFormat="1" applyFont="1" applyFill="1" applyBorder="1" applyAlignment="1">
      <alignment horizontal="center" vertical="center" wrapText="1"/>
    </xf>
    <xf numFmtId="164" fontId="2" fillId="4" borderId="15" xfId="0" applyNumberFormat="1" applyFont="1" applyFill="1" applyBorder="1" applyAlignment="1">
      <alignment horizontal="center" vertical="center" wrapText="1"/>
    </xf>
    <xf numFmtId="164" fontId="41" fillId="5" borderId="33" xfId="0" applyNumberFormat="1" applyFont="1" applyFill="1" applyBorder="1" applyAlignment="1">
      <alignment horizontal="center" vertical="center"/>
    </xf>
    <xf numFmtId="164" fontId="41" fillId="5" borderId="34" xfId="0" applyNumberFormat="1" applyFont="1" applyFill="1" applyBorder="1" applyAlignment="1">
      <alignment horizontal="center" vertical="center"/>
    </xf>
    <xf numFmtId="164" fontId="41" fillId="5" borderId="59" xfId="0" applyNumberFormat="1" applyFont="1" applyFill="1" applyBorder="1" applyAlignment="1">
      <alignment horizontal="center" vertical="center"/>
    </xf>
    <xf numFmtId="166" fontId="6" fillId="0" borderId="53" xfId="0" applyNumberFormat="1" applyFont="1" applyBorder="1" applyAlignment="1">
      <alignment horizontal="center"/>
    </xf>
    <xf numFmtId="166" fontId="6" fillId="0" borderId="70" xfId="0" applyNumberFormat="1" applyFont="1" applyBorder="1" applyAlignment="1">
      <alignment horizontal="center"/>
    </xf>
    <xf numFmtId="166" fontId="6" fillId="0" borderId="74" xfId="0" applyNumberFormat="1" applyFont="1" applyBorder="1" applyAlignment="1">
      <alignment horizontal="center"/>
    </xf>
    <xf numFmtId="164" fontId="18" fillId="4" borderId="53" xfId="0" applyNumberFormat="1" applyFont="1" applyFill="1" applyBorder="1" applyAlignment="1">
      <alignment horizontal="center"/>
    </xf>
    <xf numFmtId="164" fontId="18" fillId="3" borderId="73" xfId="0" applyNumberFormat="1" applyFont="1" applyFill="1" applyBorder="1" applyAlignment="1">
      <alignment horizontal="center"/>
    </xf>
    <xf numFmtId="164" fontId="18" fillId="3" borderId="1" xfId="0" applyNumberFormat="1" applyFont="1" applyFill="1" applyBorder="1" applyAlignment="1">
      <alignment horizontal="center"/>
    </xf>
    <xf numFmtId="164" fontId="18" fillId="3" borderId="74" xfId="0" applyNumberFormat="1" applyFont="1" applyFill="1" applyBorder="1" applyAlignment="1">
      <alignment horizontal="center"/>
    </xf>
    <xf numFmtId="164" fontId="0" fillId="0" borderId="98" xfId="0" applyNumberFormat="1" applyBorder="1" applyAlignment="1">
      <alignment horizontal="center"/>
    </xf>
    <xf numFmtId="164" fontId="0" fillId="36" borderId="55" xfId="0" applyNumberFormat="1" applyFill="1" applyBorder="1" applyAlignment="1">
      <alignment horizontal="center" vertical="center"/>
    </xf>
    <xf numFmtId="164" fontId="0" fillId="36" borderId="34" xfId="0" applyNumberFormat="1" applyFill="1" applyBorder="1" applyAlignment="1">
      <alignment horizontal="center" vertical="center"/>
    </xf>
    <xf numFmtId="164" fontId="0" fillId="36" borderId="36" xfId="0" applyNumberFormat="1" applyFill="1" applyBorder="1" applyAlignment="1">
      <alignment horizontal="center" vertical="center"/>
    </xf>
    <xf numFmtId="164" fontId="0" fillId="36" borderId="8" xfId="0" applyNumberFormat="1" applyFill="1" applyBorder="1" applyAlignment="1">
      <alignment horizontal="center" vertical="center"/>
    </xf>
    <xf numFmtId="164" fontId="0" fillId="36" borderId="10" xfId="0" applyNumberFormat="1" applyFill="1" applyBorder="1" applyAlignment="1">
      <alignment horizontal="center" vertical="center"/>
    </xf>
    <xf numFmtId="164" fontId="0" fillId="36" borderId="12" xfId="0" applyNumberFormat="1" applyFill="1" applyBorder="1" applyAlignment="1">
      <alignment horizontal="center" vertical="center"/>
    </xf>
    <xf numFmtId="164" fontId="0" fillId="0" borderId="121" xfId="0" applyNumberFormat="1" applyBorder="1" applyAlignment="1">
      <alignment horizontal="center"/>
    </xf>
    <xf numFmtId="164" fontId="0" fillId="0" borderId="104" xfId="0" applyNumberFormat="1" applyBorder="1" applyAlignment="1">
      <alignment horizontal="center"/>
    </xf>
    <xf numFmtId="166" fontId="41" fillId="11" borderId="91" xfId="0" applyNumberFormat="1" applyFont="1" applyFill="1" applyBorder="1" applyAlignment="1">
      <alignment horizontal="center" vertical="center"/>
    </xf>
    <xf numFmtId="166" fontId="41" fillId="11" borderId="14" xfId="0" applyNumberFormat="1" applyFont="1" applyFill="1" applyBorder="1" applyAlignment="1">
      <alignment horizontal="center" vertical="center"/>
    </xf>
    <xf numFmtId="166" fontId="41" fillId="11" borderId="43" xfId="0" applyNumberFormat="1" applyFont="1" applyFill="1" applyBorder="1" applyAlignment="1">
      <alignment horizontal="center" vertical="center"/>
    </xf>
    <xf numFmtId="164" fontId="0" fillId="36" borderId="27" xfId="0" applyNumberFormat="1" applyFill="1" applyBorder="1" applyAlignment="1">
      <alignment horizontal="center" vertical="center"/>
    </xf>
    <xf numFmtId="164" fontId="47" fillId="0" borderId="73" xfId="0" applyNumberFormat="1" applyFont="1" applyBorder="1" applyAlignment="1">
      <alignment horizontal="center"/>
    </xf>
    <xf numFmtId="164" fontId="47" fillId="0" borderId="98" xfId="0" applyNumberFormat="1" applyFont="1" applyBorder="1" applyAlignment="1">
      <alignment horizontal="center"/>
    </xf>
    <xf numFmtId="164" fontId="0" fillId="0" borderId="3" xfId="0" applyNumberFormat="1" applyBorder="1" applyAlignment="1">
      <alignment horizontal="center"/>
    </xf>
    <xf numFmtId="3" fontId="47" fillId="0" borderId="0" xfId="0" applyNumberFormat="1" applyFont="1" applyAlignment="1">
      <alignment horizontal="center"/>
    </xf>
    <xf numFmtId="0" fontId="47" fillId="0" borderId="0" xfId="0" applyFont="1" applyAlignment="1">
      <alignment horizontal="center"/>
    </xf>
    <xf numFmtId="3" fontId="47" fillId="0" borderId="73" xfId="0" applyNumberFormat="1" applyFont="1" applyBorder="1" applyAlignment="1">
      <alignment horizontal="center"/>
    </xf>
    <xf numFmtId="3" fontId="47" fillId="0" borderId="1" xfId="0" applyNumberFormat="1" applyFont="1" applyBorder="1" applyAlignment="1">
      <alignment horizontal="center"/>
    </xf>
    <xf numFmtId="3" fontId="47" fillId="0" borderId="74" xfId="0" applyNumberFormat="1" applyFont="1" applyBorder="1" applyAlignment="1">
      <alignment horizontal="center"/>
    </xf>
    <xf numFmtId="0" fontId="47" fillId="0" borderId="9" xfId="0" applyFont="1" applyBorder="1" applyAlignment="1">
      <alignment horizontal="left" vertical="center"/>
    </xf>
    <xf numFmtId="0" fontId="47" fillId="0" borderId="11" xfId="0" applyFont="1" applyBorder="1" applyAlignment="1">
      <alignment horizontal="left" vertical="center"/>
    </xf>
    <xf numFmtId="3" fontId="47" fillId="36" borderId="33" xfId="0" applyNumberFormat="1" applyFont="1" applyFill="1" applyBorder="1" applyAlignment="1">
      <alignment horizontal="center" vertical="center"/>
    </xf>
    <xf numFmtId="3" fontId="47" fillId="36" borderId="34" xfId="0" applyNumberFormat="1" applyFont="1" applyFill="1" applyBorder="1" applyAlignment="1">
      <alignment horizontal="center" vertical="center"/>
    </xf>
    <xf numFmtId="3" fontId="47" fillId="36" borderId="35" xfId="0" applyNumberFormat="1" applyFont="1" applyFill="1" applyBorder="1" applyAlignment="1">
      <alignment horizontal="center" vertical="center"/>
    </xf>
    <xf numFmtId="3" fontId="47" fillId="36" borderId="9" xfId="0" applyNumberFormat="1" applyFont="1" applyFill="1" applyBorder="1" applyAlignment="1">
      <alignment horizontal="center" vertical="center"/>
    </xf>
    <xf numFmtId="3" fontId="47" fillId="36" borderId="10" xfId="0" applyNumberFormat="1" applyFont="1" applyFill="1" applyBorder="1" applyAlignment="1">
      <alignment horizontal="center" vertical="center"/>
    </xf>
    <xf numFmtId="3" fontId="47" fillId="36" borderId="11" xfId="0" applyNumberFormat="1" applyFont="1" applyFill="1" applyBorder="1" applyAlignment="1">
      <alignment horizontal="center" vertical="center"/>
    </xf>
    <xf numFmtId="164" fontId="0" fillId="11" borderId="60" xfId="0" quotePrefix="1" applyNumberFormat="1" applyFill="1" applyBorder="1" applyAlignment="1">
      <alignment horizontal="center"/>
    </xf>
    <xf numFmtId="164" fontId="0" fillId="11" borderId="1" xfId="0" quotePrefix="1" applyNumberFormat="1" applyFill="1" applyBorder="1" applyAlignment="1">
      <alignment horizontal="center"/>
    </xf>
    <xf numFmtId="164" fontId="0" fillId="11" borderId="98" xfId="0" quotePrefix="1" applyNumberFormat="1" applyFill="1" applyBorder="1" applyAlignment="1">
      <alignment horizontal="center"/>
    </xf>
    <xf numFmtId="164" fontId="47" fillId="0" borderId="60" xfId="0" applyNumberFormat="1" applyFont="1" applyFill="1" applyBorder="1" applyAlignment="1">
      <alignment horizontal="center"/>
    </xf>
    <xf numFmtId="164" fontId="47" fillId="0" borderId="1" xfId="0" applyNumberFormat="1" applyFont="1" applyFill="1" applyBorder="1" applyAlignment="1">
      <alignment horizontal="center"/>
    </xf>
    <xf numFmtId="164" fontId="47" fillId="0" borderId="77" xfId="0" applyNumberFormat="1" applyFont="1" applyFill="1" applyBorder="1" applyAlignment="1">
      <alignment horizontal="center"/>
    </xf>
    <xf numFmtId="164" fontId="47" fillId="0" borderId="55" xfId="0" applyNumberFormat="1" applyFont="1" applyFill="1" applyBorder="1" applyAlignment="1">
      <alignment horizontal="center" vertical="center"/>
    </xf>
    <xf numFmtId="164" fontId="47" fillId="0" borderId="34" xfId="0" applyNumberFormat="1" applyFont="1" applyFill="1" applyBorder="1" applyAlignment="1">
      <alignment horizontal="center" vertical="center"/>
    </xf>
    <xf numFmtId="164" fontId="47" fillId="0" borderId="36" xfId="0" applyNumberFormat="1" applyFont="1" applyFill="1" applyBorder="1" applyAlignment="1">
      <alignment horizontal="center" vertical="center"/>
    </xf>
    <xf numFmtId="164" fontId="47" fillId="0" borderId="8" xfId="0" applyNumberFormat="1" applyFont="1" applyFill="1" applyBorder="1" applyAlignment="1">
      <alignment horizontal="center" vertical="center"/>
    </xf>
    <xf numFmtId="164" fontId="47" fillId="0" borderId="10" xfId="0" applyNumberFormat="1" applyFont="1" applyFill="1" applyBorder="1" applyAlignment="1">
      <alignment horizontal="center" vertical="center"/>
    </xf>
    <xf numFmtId="164" fontId="47" fillId="0" borderId="12" xfId="0" applyNumberFormat="1" applyFont="1" applyFill="1" applyBorder="1" applyAlignment="1">
      <alignment horizontal="center" vertical="center"/>
    </xf>
    <xf numFmtId="164" fontId="47" fillId="0" borderId="60" xfId="0" applyNumberFormat="1" applyFont="1" applyBorder="1" applyAlignment="1">
      <alignment horizontal="center"/>
    </xf>
    <xf numFmtId="164" fontId="47" fillId="0" borderId="1" xfId="0" applyNumberFormat="1" applyFont="1" applyBorder="1" applyAlignment="1">
      <alignment horizontal="center"/>
    </xf>
    <xf numFmtId="164" fontId="47" fillId="11" borderId="60" xfId="0" quotePrefix="1" applyNumberFormat="1" applyFont="1" applyFill="1" applyBorder="1" applyAlignment="1">
      <alignment horizontal="center"/>
    </xf>
    <xf numFmtId="164" fontId="47" fillId="11" borderId="1" xfId="0" quotePrefix="1" applyNumberFormat="1" applyFont="1" applyFill="1" applyBorder="1" applyAlignment="1">
      <alignment horizontal="center"/>
    </xf>
    <xf numFmtId="164" fontId="47" fillId="11" borderId="98" xfId="0" quotePrefix="1" applyNumberFormat="1" applyFont="1" applyFill="1" applyBorder="1" applyAlignment="1">
      <alignment horizontal="center"/>
    </xf>
    <xf numFmtId="164" fontId="47" fillId="0" borderId="121" xfId="0" applyNumberFormat="1" applyFont="1" applyBorder="1" applyAlignment="1">
      <alignment horizontal="center"/>
    </xf>
    <xf numFmtId="164" fontId="47" fillId="0" borderId="103" xfId="0" applyNumberFormat="1" applyFont="1" applyBorder="1" applyAlignment="1">
      <alignment horizontal="center"/>
    </xf>
    <xf numFmtId="164" fontId="47" fillId="0" borderId="104" xfId="0" applyNumberFormat="1" applyFont="1" applyBorder="1" applyAlignment="1">
      <alignment horizontal="center"/>
    </xf>
    <xf numFmtId="164" fontId="0" fillId="0" borderId="60" xfId="0" applyNumberFormat="1" applyFill="1" applyBorder="1" applyAlignment="1">
      <alignment horizontal="center"/>
    </xf>
    <xf numFmtId="164" fontId="0" fillId="0" borderId="1" xfId="0" applyNumberFormat="1" applyFill="1" applyBorder="1" applyAlignment="1">
      <alignment horizontal="center"/>
    </xf>
    <xf numFmtId="164" fontId="0" fillId="0" borderId="77" xfId="0" applyNumberFormat="1" applyFill="1" applyBorder="1" applyAlignment="1">
      <alignment horizontal="center"/>
    </xf>
    <xf numFmtId="164" fontId="0" fillId="0" borderId="55" xfId="0" applyNumberFormat="1" applyFill="1" applyBorder="1" applyAlignment="1">
      <alignment horizontal="center" vertical="center"/>
    </xf>
    <xf numFmtId="164" fontId="0" fillId="0" borderId="34" xfId="0" applyNumberFormat="1" applyFill="1" applyBorder="1" applyAlignment="1">
      <alignment horizontal="center" vertical="center"/>
    </xf>
    <xf numFmtId="164" fontId="0" fillId="0" borderId="36" xfId="0" applyNumberFormat="1" applyFill="1" applyBorder="1" applyAlignment="1">
      <alignment horizontal="center" vertical="center"/>
    </xf>
    <xf numFmtId="164" fontId="0" fillId="0" borderId="8" xfId="0" applyNumberFormat="1" applyFill="1" applyBorder="1" applyAlignment="1">
      <alignment horizontal="center" vertical="center"/>
    </xf>
    <xf numFmtId="164" fontId="0" fillId="0" borderId="10" xfId="0" applyNumberFormat="1" applyFill="1" applyBorder="1" applyAlignment="1">
      <alignment horizontal="center" vertical="center"/>
    </xf>
    <xf numFmtId="164" fontId="0" fillId="0" borderId="12" xfId="0" applyNumberFormat="1" applyFill="1" applyBorder="1" applyAlignment="1">
      <alignment horizontal="center" vertical="center"/>
    </xf>
    <xf numFmtId="164" fontId="0" fillId="0" borderId="60" xfId="0" applyNumberFormat="1" applyBorder="1" applyAlignment="1">
      <alignment horizontal="center"/>
    </xf>
    <xf numFmtId="0" fontId="59" fillId="40" borderId="0" xfId="0" applyFont="1" applyFill="1" applyAlignment="1">
      <alignment horizontal="center"/>
    </xf>
    <xf numFmtId="0" fontId="23" fillId="0" borderId="0" xfId="0" applyFont="1" applyAlignment="1">
      <alignment horizontal="left" vertical="top" wrapText="1" indent="1"/>
    </xf>
    <xf numFmtId="0" fontId="23" fillId="0" borderId="0" xfId="0" applyFont="1" applyAlignment="1">
      <alignment horizontal="left" vertical="top" indent="1"/>
    </xf>
    <xf numFmtId="0" fontId="0" fillId="0" borderId="0" xfId="0" applyFont="1" applyAlignment="1">
      <alignment horizontal="left" vertical="top" wrapText="1"/>
    </xf>
    <xf numFmtId="0" fontId="0" fillId="0" borderId="33" xfId="0" applyFont="1" applyBorder="1" applyAlignment="1">
      <alignment horizontal="left" vertical="top" wrapText="1"/>
    </xf>
    <xf numFmtId="0" fontId="0" fillId="0" borderId="34" xfId="0" applyFont="1" applyBorder="1" applyAlignment="1">
      <alignment horizontal="left" vertical="top" wrapText="1"/>
    </xf>
    <xf numFmtId="0" fontId="0" fillId="0" borderId="35" xfId="0" applyFont="1" applyBorder="1" applyAlignment="1">
      <alignment horizontal="left" vertical="top" wrapText="1"/>
    </xf>
    <xf numFmtId="0" fontId="9" fillId="0" borderId="0" xfId="0" applyFont="1" applyAlignment="1">
      <alignment horizontal="left" vertical="top" wrapText="1"/>
    </xf>
    <xf numFmtId="0" fontId="46" fillId="0" borderId="0" xfId="0" applyFont="1" applyAlignment="1">
      <alignment horizontal="left" wrapText="1" indent="1"/>
    </xf>
    <xf numFmtId="0" fontId="178" fillId="0" borderId="0" xfId="0" applyFont="1" applyAlignment="1">
      <alignment horizontal="left" vertical="top" wrapText="1" indent="2"/>
    </xf>
  </cellXfs>
  <cellStyles count="173">
    <cellStyle name="20 % - Akzent1" xfId="109" builtinId="30" customBuiltin="1"/>
    <cellStyle name="20 % - Akzent1 2" xfId="5" xr:uid="{00000000-0005-0000-0000-000001000000}"/>
    <cellStyle name="20 % - Akzent1 3" xfId="4" xr:uid="{00000000-0005-0000-0000-000002000000}"/>
    <cellStyle name="20 % - Akzent2" xfId="113" builtinId="34" customBuiltin="1"/>
    <cellStyle name="20 % - Akzent2 2" xfId="7" xr:uid="{00000000-0005-0000-0000-000004000000}"/>
    <cellStyle name="20 % - Akzent2 3" xfId="6" xr:uid="{00000000-0005-0000-0000-000005000000}"/>
    <cellStyle name="20 % - Akzent3" xfId="117" builtinId="38" customBuiltin="1"/>
    <cellStyle name="20 % - Akzent3 2" xfId="9" xr:uid="{00000000-0005-0000-0000-000007000000}"/>
    <cellStyle name="20 % - Akzent3 3" xfId="8" xr:uid="{00000000-0005-0000-0000-000008000000}"/>
    <cellStyle name="20 % - Akzent4" xfId="121" builtinId="42" customBuiltin="1"/>
    <cellStyle name="20 % - Akzent4 2" xfId="11" xr:uid="{00000000-0005-0000-0000-00000A000000}"/>
    <cellStyle name="20 % - Akzent4 3" xfId="10" xr:uid="{00000000-0005-0000-0000-00000B000000}"/>
    <cellStyle name="20 % - Akzent5" xfId="125" builtinId="46" customBuiltin="1"/>
    <cellStyle name="20 % - Akzent5 2" xfId="13" xr:uid="{00000000-0005-0000-0000-00000D000000}"/>
    <cellStyle name="20 % - Akzent5 3" xfId="12" xr:uid="{00000000-0005-0000-0000-00000E000000}"/>
    <cellStyle name="20 % - Akzent6" xfId="129" builtinId="50" customBuiltin="1"/>
    <cellStyle name="20 % - Akzent6 2" xfId="15" xr:uid="{00000000-0005-0000-0000-000010000000}"/>
    <cellStyle name="20 % - Akzent6 3" xfId="14" xr:uid="{00000000-0005-0000-0000-000011000000}"/>
    <cellStyle name="2x indented GHG Textfiels" xfId="133" xr:uid="{00000000-0005-0000-0000-000012000000}"/>
    <cellStyle name="40 % - Akzent1" xfId="110" builtinId="31" customBuiltin="1"/>
    <cellStyle name="40 % - Akzent1 2" xfId="17" xr:uid="{00000000-0005-0000-0000-000014000000}"/>
    <cellStyle name="40 % - Akzent1 3" xfId="16" xr:uid="{00000000-0005-0000-0000-000015000000}"/>
    <cellStyle name="40 % - Akzent2" xfId="114" builtinId="35" customBuiltin="1"/>
    <cellStyle name="40 % - Akzent2 2" xfId="19" xr:uid="{00000000-0005-0000-0000-000017000000}"/>
    <cellStyle name="40 % - Akzent2 3" xfId="18" xr:uid="{00000000-0005-0000-0000-000018000000}"/>
    <cellStyle name="40 % - Akzent3" xfId="118" builtinId="39" customBuiltin="1"/>
    <cellStyle name="40 % - Akzent3 2" xfId="21" xr:uid="{00000000-0005-0000-0000-00001A000000}"/>
    <cellStyle name="40 % - Akzent3 3" xfId="20" xr:uid="{00000000-0005-0000-0000-00001B000000}"/>
    <cellStyle name="40 % - Akzent4" xfId="122" builtinId="43" customBuiltin="1"/>
    <cellStyle name="40 % - Akzent4 2" xfId="23" xr:uid="{00000000-0005-0000-0000-00001D000000}"/>
    <cellStyle name="40 % - Akzent4 3" xfId="22" xr:uid="{00000000-0005-0000-0000-00001E000000}"/>
    <cellStyle name="40 % - Akzent5" xfId="126" builtinId="47" customBuiltin="1"/>
    <cellStyle name="40 % - Akzent5 2" xfId="25" xr:uid="{00000000-0005-0000-0000-000020000000}"/>
    <cellStyle name="40 % - Akzent5 3" xfId="24" xr:uid="{00000000-0005-0000-0000-000021000000}"/>
    <cellStyle name="40 % - Akzent6" xfId="130" builtinId="51" customBuiltin="1"/>
    <cellStyle name="40 % - Akzent6 2" xfId="27" xr:uid="{00000000-0005-0000-0000-000023000000}"/>
    <cellStyle name="40 % - Akzent6 3" xfId="26" xr:uid="{00000000-0005-0000-0000-000024000000}"/>
    <cellStyle name="5x indented GHG Textfiels" xfId="134" xr:uid="{00000000-0005-0000-0000-000025000000}"/>
    <cellStyle name="60 % - Akzent1" xfId="111" builtinId="32" customBuiltin="1"/>
    <cellStyle name="60 % - Akzent1 2" xfId="29" xr:uid="{00000000-0005-0000-0000-000027000000}"/>
    <cellStyle name="60 % - Akzent1 3" xfId="28" xr:uid="{00000000-0005-0000-0000-000028000000}"/>
    <cellStyle name="60 % - Akzent2" xfId="115" builtinId="36" customBuiltin="1"/>
    <cellStyle name="60 % - Akzent2 2" xfId="31" xr:uid="{00000000-0005-0000-0000-00002A000000}"/>
    <cellStyle name="60 % - Akzent2 3" xfId="30" xr:uid="{00000000-0005-0000-0000-00002B000000}"/>
    <cellStyle name="60 % - Akzent3" xfId="119" builtinId="40" customBuiltin="1"/>
    <cellStyle name="60 % - Akzent3 2" xfId="33" xr:uid="{00000000-0005-0000-0000-00002D000000}"/>
    <cellStyle name="60 % - Akzent3 3" xfId="32" xr:uid="{00000000-0005-0000-0000-00002E000000}"/>
    <cellStyle name="60 % - Akzent4" xfId="123" builtinId="44" customBuiltin="1"/>
    <cellStyle name="60 % - Akzent4 2" xfId="35" xr:uid="{00000000-0005-0000-0000-000030000000}"/>
    <cellStyle name="60 % - Akzent4 3" xfId="34" xr:uid="{00000000-0005-0000-0000-000031000000}"/>
    <cellStyle name="60 % - Akzent5" xfId="127" builtinId="48" customBuiltin="1"/>
    <cellStyle name="60 % - Akzent5 2" xfId="37" xr:uid="{00000000-0005-0000-0000-000033000000}"/>
    <cellStyle name="60 % - Akzent5 3" xfId="36" xr:uid="{00000000-0005-0000-0000-000034000000}"/>
    <cellStyle name="60 % - Akzent6" xfId="131" builtinId="52" customBuiltin="1"/>
    <cellStyle name="60 % - Akzent6 2" xfId="39" xr:uid="{00000000-0005-0000-0000-000036000000}"/>
    <cellStyle name="60 % - Akzent6 3" xfId="38" xr:uid="{00000000-0005-0000-0000-000037000000}"/>
    <cellStyle name="AggblueBoldCels" xfId="135" xr:uid="{00000000-0005-0000-0000-000038000000}"/>
    <cellStyle name="AggblueCels" xfId="136" xr:uid="{00000000-0005-0000-0000-000039000000}"/>
    <cellStyle name="AggBoldCells" xfId="137" xr:uid="{00000000-0005-0000-0000-00003A000000}"/>
    <cellStyle name="AggCels" xfId="138" xr:uid="{00000000-0005-0000-0000-00003B000000}"/>
    <cellStyle name="AggGreen" xfId="139" xr:uid="{00000000-0005-0000-0000-00003C000000}"/>
    <cellStyle name="AggGreen12" xfId="140" xr:uid="{00000000-0005-0000-0000-00003D000000}"/>
    <cellStyle name="AggOrange" xfId="141" xr:uid="{00000000-0005-0000-0000-00003E000000}"/>
    <cellStyle name="AggOrange9" xfId="142" xr:uid="{00000000-0005-0000-0000-00003F000000}"/>
    <cellStyle name="AggOrangeLB_2x" xfId="143" xr:uid="{00000000-0005-0000-0000-000040000000}"/>
    <cellStyle name="AggOrangeLBorder" xfId="144" xr:uid="{00000000-0005-0000-0000-000041000000}"/>
    <cellStyle name="AggOrangeRBorder" xfId="145" xr:uid="{00000000-0005-0000-0000-000042000000}"/>
    <cellStyle name="Akzent1" xfId="108" builtinId="29" customBuiltin="1"/>
    <cellStyle name="Akzent1 2" xfId="41" xr:uid="{00000000-0005-0000-0000-000044000000}"/>
    <cellStyle name="Akzent1 3" xfId="40" xr:uid="{00000000-0005-0000-0000-000045000000}"/>
    <cellStyle name="Akzent2" xfId="112" builtinId="33" customBuiltin="1"/>
    <cellStyle name="Akzent2 2" xfId="43" xr:uid="{00000000-0005-0000-0000-000047000000}"/>
    <cellStyle name="Akzent2 3" xfId="42" xr:uid="{00000000-0005-0000-0000-000048000000}"/>
    <cellStyle name="Akzent3" xfId="116" builtinId="37" customBuiltin="1"/>
    <cellStyle name="Akzent3 2" xfId="45" xr:uid="{00000000-0005-0000-0000-00004A000000}"/>
    <cellStyle name="Akzent3 3" xfId="44" xr:uid="{00000000-0005-0000-0000-00004B000000}"/>
    <cellStyle name="Akzent4" xfId="120" builtinId="41" customBuiltin="1"/>
    <cellStyle name="Akzent4 2" xfId="47" xr:uid="{00000000-0005-0000-0000-00004D000000}"/>
    <cellStyle name="Akzent4 3" xfId="46" xr:uid="{00000000-0005-0000-0000-00004E000000}"/>
    <cellStyle name="Akzent5" xfId="124" builtinId="45" customBuiltin="1"/>
    <cellStyle name="Akzent5 2" xfId="49" xr:uid="{00000000-0005-0000-0000-000050000000}"/>
    <cellStyle name="Akzent5 3" xfId="48" xr:uid="{00000000-0005-0000-0000-000051000000}"/>
    <cellStyle name="Akzent6" xfId="128" builtinId="49" customBuiltin="1"/>
    <cellStyle name="Akzent6 2" xfId="51" xr:uid="{00000000-0005-0000-0000-000053000000}"/>
    <cellStyle name="Akzent6 3" xfId="50" xr:uid="{00000000-0005-0000-0000-000054000000}"/>
    <cellStyle name="Ausgabe" xfId="100" builtinId="21" customBuiltin="1"/>
    <cellStyle name="Ausgabe 2" xfId="53" xr:uid="{00000000-0005-0000-0000-000056000000}"/>
    <cellStyle name="Ausgabe 3" xfId="52" xr:uid="{00000000-0005-0000-0000-000057000000}"/>
    <cellStyle name="Berechnung" xfId="101" builtinId="22" customBuiltin="1"/>
    <cellStyle name="Berechnung 2" xfId="55" xr:uid="{00000000-0005-0000-0000-000059000000}"/>
    <cellStyle name="Berechnung 3" xfId="54" xr:uid="{00000000-0005-0000-0000-00005A000000}"/>
    <cellStyle name="Constants" xfId="146" xr:uid="{00000000-0005-0000-0000-00005B000000}"/>
    <cellStyle name="CustomCellsOrange" xfId="147" xr:uid="{00000000-0005-0000-0000-00005C000000}"/>
    <cellStyle name="CustomizationCells" xfId="148" xr:uid="{00000000-0005-0000-0000-00005D000000}"/>
    <cellStyle name="CustomizationGreenCells" xfId="149" xr:uid="{00000000-0005-0000-0000-00005E000000}"/>
    <cellStyle name="DocBox_EmptyRow" xfId="150" xr:uid="{00000000-0005-0000-0000-00005F000000}"/>
    <cellStyle name="Eingabe" xfId="99" builtinId="20" customBuiltin="1"/>
    <cellStyle name="Eingabe 2" xfId="57" xr:uid="{00000000-0005-0000-0000-000061000000}"/>
    <cellStyle name="Eingabe 3" xfId="56" xr:uid="{00000000-0005-0000-0000-000062000000}"/>
    <cellStyle name="Empty_B_border" xfId="151" xr:uid="{00000000-0005-0000-0000-000063000000}"/>
    <cellStyle name="Ergebnis" xfId="107" builtinId="25" customBuiltin="1"/>
    <cellStyle name="Ergebnis 2" xfId="59" xr:uid="{00000000-0005-0000-0000-000065000000}"/>
    <cellStyle name="Ergebnis 3" xfId="58" xr:uid="{00000000-0005-0000-0000-000066000000}"/>
    <cellStyle name="Erklärender Text" xfId="106" builtinId="53" customBuiltin="1"/>
    <cellStyle name="Erklärender Text 2" xfId="61" xr:uid="{00000000-0005-0000-0000-000068000000}"/>
    <cellStyle name="Erklärender Text 3" xfId="60" xr:uid="{00000000-0005-0000-0000-000069000000}"/>
    <cellStyle name="Euro" xfId="62" xr:uid="{00000000-0005-0000-0000-00006A000000}"/>
    <cellStyle name="Gut" xfId="96" builtinId="26" customBuiltin="1"/>
    <cellStyle name="Gut 2" xfId="64" xr:uid="{00000000-0005-0000-0000-00006C000000}"/>
    <cellStyle name="Gut 3" xfId="63" xr:uid="{00000000-0005-0000-0000-00006D000000}"/>
    <cellStyle name="Headline" xfId="152" xr:uid="{00000000-0005-0000-0000-00006E000000}"/>
    <cellStyle name="Hyperlink 2" xfId="3" xr:uid="{00000000-0005-0000-0000-000070000000}"/>
    <cellStyle name="Hyperlink 2 2" xfId="168" xr:uid="{00000000-0005-0000-0000-000071000000}"/>
    <cellStyle name="Hyperlink 3" xfId="65" xr:uid="{00000000-0005-0000-0000-000072000000}"/>
    <cellStyle name="Hyperlink 3 2" xfId="169" xr:uid="{00000000-0005-0000-0000-000073000000}"/>
    <cellStyle name="Hyperlink 4" xfId="170" xr:uid="{00000000-0005-0000-0000-000074000000}"/>
    <cellStyle name="Hyperlink 5" xfId="167" xr:uid="{00000000-0005-0000-0000-000075000000}"/>
    <cellStyle name="InputCells" xfId="153" xr:uid="{00000000-0005-0000-0000-000076000000}"/>
    <cellStyle name="InputCells12" xfId="154" xr:uid="{00000000-0005-0000-0000-000077000000}"/>
    <cellStyle name="IntCells" xfId="155" xr:uid="{00000000-0005-0000-0000-000078000000}"/>
    <cellStyle name="Komma 2" xfId="2" xr:uid="{00000000-0005-0000-0000-000079000000}"/>
    <cellStyle name="Link" xfId="90" builtinId="8"/>
    <cellStyle name="Neutral" xfId="98" builtinId="28" customBuiltin="1"/>
    <cellStyle name="Neutral 2" xfId="67" xr:uid="{00000000-0005-0000-0000-00007B000000}"/>
    <cellStyle name="Neutral 3" xfId="66" xr:uid="{00000000-0005-0000-0000-00007C000000}"/>
    <cellStyle name="Normal GHG Numbers (0.00)" xfId="156" xr:uid="{00000000-0005-0000-0000-00007D000000}"/>
    <cellStyle name="Normal GHG Textfiels Bold" xfId="157" xr:uid="{00000000-0005-0000-0000-00007E000000}"/>
    <cellStyle name="Normal GHG whole table" xfId="158" xr:uid="{00000000-0005-0000-0000-00007F000000}"/>
    <cellStyle name="Normal GHG-Shade" xfId="159" xr:uid="{00000000-0005-0000-0000-000080000000}"/>
    <cellStyle name="Normal_Biomass Burning draft CRF FCCC table 4 Dec" xfId="160" xr:uid="{00000000-0005-0000-0000-000081000000}"/>
    <cellStyle name="Notiz" xfId="105" builtinId="10" customBuiltin="1"/>
    <cellStyle name="Notiz 2" xfId="69" xr:uid="{00000000-0005-0000-0000-000083000000}"/>
    <cellStyle name="Notiz 3" xfId="68" xr:uid="{00000000-0005-0000-0000-000084000000}"/>
    <cellStyle name="Schlecht" xfId="97" builtinId="27" customBuiltin="1"/>
    <cellStyle name="Schlecht 2" xfId="71" xr:uid="{00000000-0005-0000-0000-000086000000}"/>
    <cellStyle name="Schlecht 3" xfId="70" xr:uid="{00000000-0005-0000-0000-000087000000}"/>
    <cellStyle name="Shade" xfId="161" xr:uid="{00000000-0005-0000-0000-000088000000}"/>
    <cellStyle name="Standard" xfId="0" builtinId="0"/>
    <cellStyle name="Standard 2" xfId="1" xr:uid="{00000000-0005-0000-0000-00008A000000}"/>
    <cellStyle name="Standard 2 2" xfId="171" xr:uid="{00000000-0005-0000-0000-00008B000000}"/>
    <cellStyle name="Standard 3" xfId="72" xr:uid="{00000000-0005-0000-0000-00008C000000}"/>
    <cellStyle name="Standard 3 2" xfId="172" xr:uid="{00000000-0005-0000-0000-00008D000000}"/>
    <cellStyle name="Standard 4" xfId="89" xr:uid="{00000000-0005-0000-0000-00008E000000}"/>
    <cellStyle name="Standard 5" xfId="132" xr:uid="{00000000-0005-0000-0000-00008F000000}"/>
    <cellStyle name="Standard 6" xfId="165" xr:uid="{00000000-0005-0000-0000-000090000000}"/>
    <cellStyle name="Standard 7" xfId="166" xr:uid="{00000000-0005-0000-0000-000091000000}"/>
    <cellStyle name="Stil 1" xfId="162" xr:uid="{00000000-0005-0000-0000-000092000000}"/>
    <cellStyle name="Überschrift" xfId="91" builtinId="15" customBuiltin="1"/>
    <cellStyle name="Überschrift 1" xfId="92" builtinId="16" customBuiltin="1"/>
    <cellStyle name="Überschrift 1 2" xfId="75" xr:uid="{00000000-0005-0000-0000-000095000000}"/>
    <cellStyle name="Überschrift 1 3" xfId="74" xr:uid="{00000000-0005-0000-0000-000096000000}"/>
    <cellStyle name="Überschrift 2" xfId="93" builtinId="17" customBuiltin="1"/>
    <cellStyle name="Überschrift 2 2" xfId="77" xr:uid="{00000000-0005-0000-0000-000098000000}"/>
    <cellStyle name="Überschrift 2 3" xfId="76" xr:uid="{00000000-0005-0000-0000-000099000000}"/>
    <cellStyle name="Überschrift 3" xfId="94" builtinId="18" customBuiltin="1"/>
    <cellStyle name="Überschrift 3 2" xfId="79" xr:uid="{00000000-0005-0000-0000-00009B000000}"/>
    <cellStyle name="Überschrift 3 3" xfId="78" xr:uid="{00000000-0005-0000-0000-00009C000000}"/>
    <cellStyle name="Überschrift 4" xfId="95" builtinId="19" customBuiltin="1"/>
    <cellStyle name="Überschrift 4 2" xfId="81" xr:uid="{00000000-0005-0000-0000-00009E000000}"/>
    <cellStyle name="Überschrift 4 3" xfId="80" xr:uid="{00000000-0005-0000-0000-00009F000000}"/>
    <cellStyle name="Überschrift 5" xfId="82" xr:uid="{00000000-0005-0000-0000-0000A0000000}"/>
    <cellStyle name="Überschrift 6" xfId="73" xr:uid="{00000000-0005-0000-0000-0000A1000000}"/>
    <cellStyle name="Verknüpfte Zelle" xfId="102" builtinId="24" customBuiltin="1"/>
    <cellStyle name="Verknüpfte Zelle 2" xfId="84" xr:uid="{00000000-0005-0000-0000-0000A3000000}"/>
    <cellStyle name="Verknüpfte Zelle 3" xfId="83" xr:uid="{00000000-0005-0000-0000-0000A4000000}"/>
    <cellStyle name="Warnender Text" xfId="104" builtinId="11" customBuiltin="1"/>
    <cellStyle name="Warnender Text 2" xfId="86" xr:uid="{00000000-0005-0000-0000-0000A6000000}"/>
    <cellStyle name="Warnender Text 3" xfId="85" xr:uid="{00000000-0005-0000-0000-0000A7000000}"/>
    <cellStyle name="Zelle überprüfen" xfId="103" builtinId="23" customBuiltin="1"/>
    <cellStyle name="Zelle überprüfen 2" xfId="88" xr:uid="{00000000-0005-0000-0000-0000A9000000}"/>
    <cellStyle name="Zelle überprüfen 3" xfId="87" xr:uid="{00000000-0005-0000-0000-0000AA000000}"/>
    <cellStyle name="Гиперссылка" xfId="163" xr:uid="{00000000-0005-0000-0000-0000AB000000}"/>
    <cellStyle name="Обычный_2++" xfId="164" xr:uid="{00000000-0005-0000-0000-0000AC000000}"/>
  </cellStyles>
  <dxfs count="857">
    <dxf>
      <font>
        <color rgb="FFFF0000"/>
      </font>
    </dxf>
    <dxf>
      <font>
        <color rgb="FFFF0000"/>
      </font>
    </dxf>
    <dxf>
      <fill>
        <patternFill>
          <bgColor indexed="51"/>
        </patternFill>
      </fill>
    </dxf>
    <dxf>
      <font>
        <color rgb="FFFF0000"/>
      </font>
    </dxf>
    <dxf>
      <font>
        <color rgb="FFFF0000"/>
      </font>
    </dxf>
    <dxf>
      <font>
        <b val="0"/>
        <i val="0"/>
        <u/>
        <color rgb="FF0070C0"/>
      </font>
    </dxf>
    <dxf>
      <fill>
        <patternFill>
          <bgColor theme="6" tint="0.59996337778862885"/>
        </patternFill>
      </fill>
    </dxf>
    <dxf>
      <font>
        <color rgb="FFFF0000"/>
      </font>
    </dxf>
    <dxf>
      <font>
        <color rgb="FFFF0000"/>
      </font>
    </dxf>
    <dxf>
      <font>
        <color rgb="FFFF0000"/>
      </font>
    </dxf>
    <dxf>
      <font>
        <color rgb="FFFF0000"/>
      </font>
    </dxf>
    <dxf>
      <font>
        <color rgb="FF70AC2E"/>
      </font>
    </dxf>
    <dxf>
      <font>
        <color rgb="FF70AC2E"/>
      </font>
    </dxf>
    <dxf>
      <font>
        <color rgb="FF70AC2E"/>
      </font>
    </dxf>
    <dxf>
      <font>
        <color rgb="FF70AC2E"/>
      </font>
    </dxf>
    <dxf>
      <font>
        <color rgb="FF70AC2E"/>
      </font>
    </dxf>
    <dxf>
      <font>
        <color rgb="FF70AC2E"/>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color rgb="FF70AC2E"/>
      </font>
    </dxf>
    <dxf>
      <font>
        <u/>
        <color rgb="FF0000FF"/>
      </font>
    </dxf>
    <dxf>
      <font>
        <u/>
        <color rgb="FF0000FF"/>
      </font>
    </dxf>
    <dxf>
      <font>
        <color rgb="FF70AC2E"/>
      </font>
    </dxf>
    <dxf>
      <font>
        <color rgb="FF70AC2E"/>
      </font>
    </dxf>
    <dxf>
      <font>
        <color rgb="FF70AC2E"/>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70AC2E"/>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u/>
        <color rgb="FF0000FF"/>
      </font>
    </dxf>
    <dxf>
      <font>
        <u/>
        <color rgb="FF0000FF"/>
      </font>
    </dxf>
    <dxf>
      <font>
        <u/>
        <color rgb="FF0000FF"/>
      </font>
    </dxf>
    <dxf>
      <font>
        <u/>
        <color rgb="FF0000FF"/>
      </font>
    </dxf>
    <dxf>
      <font>
        <color rgb="FF9C5700"/>
      </font>
      <fill>
        <patternFill>
          <bgColor rgb="FFFFEB9C"/>
        </patternFill>
      </fill>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color theme="0"/>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
      <font>
        <u/>
        <color rgb="FF0000FF"/>
      </font>
    </dxf>
  </dxfs>
  <tableStyles count="0" defaultTableStyle="TableStyleMedium2" defaultPivotStyle="PivotStyleLight16"/>
  <colors>
    <mruColors>
      <color rgb="FF0000FF"/>
      <color rgb="FFFFFFCC"/>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chmi/Documents/_wattweg2008/100prosim_Entwicklung/Versionshistorie/100prosim/Deutschland/Test/_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chmi/Documents/_wattweg2008/100prosim_Entwicklung/Versionshistorie/100prosim/Deutschland/Test/B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schmi/Documents/_wattweg2008/100prosim_Entwicklung/Versionshistorie/100prosim/Deutschland/Test/WS.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izzetkilicarslan/Library/Containers/com.microsoft.Excel/Data/Documents/Users\schmi\Documents\Niedersachsen190916.1205\_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Titel"/>
      <sheetName val="1. Flächen"/>
      <sheetName val="2. Erneuerbare"/>
      <sheetName val="3. Bedarfsniveau"/>
      <sheetName val="4. Verbrauch"/>
      <sheetName val="5. Bilanz"/>
      <sheetName val="6. Fossile"/>
      <sheetName val="7. Verbrauch Status"/>
      <sheetName val="8. Kennzahlen"/>
      <sheetName val="Copyright"/>
      <sheetName val="Kompatibilität"/>
      <sheetName val="Versionen"/>
      <sheetName val="Arbeitsblätter"/>
      <sheetName val="I_"/>
      <sheetName val="WS_"/>
      <sheetName val="O_"/>
      <sheetName val="Stempel"/>
    </sheetNames>
    <sheetDataSet>
      <sheetData sheetId="0"/>
      <sheetData sheetId="1"/>
      <sheetData sheetId="2"/>
      <sheetData sheetId="3">
        <row r="10">
          <cell r="B10" t="str">
            <v>3.10</v>
          </cell>
          <cell r="L10">
            <v>82175684</v>
          </cell>
        </row>
      </sheetData>
      <sheetData sheetId="4"/>
      <sheetData sheetId="5"/>
      <sheetData sheetId="6"/>
      <sheetData sheetId="7"/>
      <sheetData sheetId="8"/>
      <sheetData sheetId="9"/>
      <sheetData sheetId="10"/>
      <sheetData sheetId="11"/>
      <sheetData sheetId="12"/>
      <sheetData sheetId="13">
        <row r="4">
          <cell r="K4" t="str">
            <v>Deutschland 100%EE</v>
          </cell>
        </row>
        <row r="6">
          <cell r="S6" t="str">
            <v>200822</v>
          </cell>
        </row>
      </sheetData>
      <sheetData sheetId="14"/>
      <sheetData sheetId="15"/>
      <sheetData sheetId="16">
        <row r="6">
          <cell r="A6" t="str">
            <v>100prosim (_S.xlsx, 200730.1641_hsk)</v>
          </cell>
        </row>
        <row r="12">
          <cell r="A12" t="str">
            <v>2020</v>
          </cell>
        </row>
        <row r="15">
          <cell r="A15" t="str">
            <v>Hans-Heinrich Schmidt-Kanefendt</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1a."/>
      <sheetName val="2."/>
      <sheetName val="3."/>
      <sheetName val="4. (EVa)"/>
      <sheetName val="5. (EVb)"/>
      <sheetName val="6. (Erneuerb.)"/>
      <sheetName val="7. (Verkehr)"/>
      <sheetName val="8. (EVc)"/>
      <sheetName val="9. (Strom)"/>
      <sheetName val="10. (Gase)"/>
      <sheetName val="11. (Mineralöl)"/>
      <sheetName val="12. (Kohlen)"/>
      <sheetName val="13. (Wärme)"/>
      <sheetName val="14. (Emissionsfaktoren)"/>
      <sheetName val="15. (Dokument)"/>
      <sheetName val="Ketten"/>
      <sheetName val="Abkürzungen"/>
      <sheetName val="Glossar"/>
      <sheetName val="Modell_Begriffe"/>
      <sheetName val="Sektoren"/>
      <sheetName val="PEV"/>
      <sheetName val="Versionen"/>
    </sheetNames>
    <sheetDataSet>
      <sheetData sheetId="0"/>
      <sheetData sheetId="1"/>
      <sheetData sheetId="2">
        <row r="4">
          <cell r="A4" t="str">
            <v>BS.2.4</v>
          </cell>
          <cell r="D4" t="str">
            <v>BS.2.a   Endenergie-Verbrauch+ / Einwohner (direkt/indirekt)</v>
          </cell>
        </row>
        <row r="5">
          <cell r="A5" t="str">
            <v>BS.2.5</v>
          </cell>
          <cell r="E5" t="str">
            <v>Endenergie (kWh)</v>
          </cell>
          <cell r="F5" t="str">
            <v>Anwendung</v>
          </cell>
        </row>
        <row r="6">
          <cell r="A6" t="str">
            <v>BS.2.6</v>
          </cell>
          <cell r="F6" t="str">
            <v>Kraft/Licht/
IKT/Kälte</v>
          </cell>
          <cell r="I6" t="str">
            <v>Gebäudewärme</v>
          </cell>
          <cell r="L6" t="str">
            <v>Prozess-
wärme</v>
          </cell>
          <cell r="O6" t="str">
            <v>Mobile Anwend.</v>
          </cell>
          <cell r="R6" t="str">
            <v>insgesamt</v>
          </cell>
          <cell r="S6" t="str">
            <v>Nicht-</v>
          </cell>
        </row>
        <row r="7">
          <cell r="A7" t="str">
            <v>BS.2.7</v>
          </cell>
          <cell r="I7" t="str">
            <v>Raumw.</v>
          </cell>
          <cell r="K7" t="str">
            <v>Warmwas.</v>
          </cell>
          <cell r="O7" t="str">
            <v>Boden+</v>
          </cell>
          <cell r="Q7" t="str">
            <v>Luft</v>
          </cell>
          <cell r="S7" t="str">
            <v>energet.</v>
          </cell>
        </row>
        <row r="8">
          <cell r="A8" t="str">
            <v>BS.2.8</v>
          </cell>
          <cell r="D8" t="str">
            <v>Endenergie-Träger</v>
          </cell>
          <cell r="E8" t="str">
            <v>Strom</v>
          </cell>
          <cell r="F8">
            <v>4696.6821991173192</v>
          </cell>
          <cell r="I8">
            <v>492.60831291513273</v>
          </cell>
          <cell r="L8">
            <v>1054.8993143518735</v>
          </cell>
          <cell r="O8">
            <v>204.90849991007619</v>
          </cell>
          <cell r="R8">
            <v>6449.0983262944019</v>
          </cell>
        </row>
        <row r="9">
          <cell r="A9" t="str">
            <v>BS.2.9</v>
          </cell>
          <cell r="J9">
            <v>174.89664891314584</v>
          </cell>
          <cell r="K9">
            <v>317.71166400198689</v>
          </cell>
          <cell r="P9">
            <v>204.90849991007619</v>
          </cell>
          <cell r="Q9">
            <v>0</v>
          </cell>
        </row>
        <row r="10">
          <cell r="A10" t="str">
            <v>BS.2.10</v>
          </cell>
          <cell r="E10" t="str">
            <v>Brennst.gasförm.</v>
          </cell>
          <cell r="F10">
            <v>0</v>
          </cell>
          <cell r="I10">
            <v>4974.3780617900657</v>
          </cell>
          <cell r="L10">
            <v>2858.715048408757</v>
          </cell>
          <cell r="O10">
            <v>80.583544745780827</v>
          </cell>
          <cell r="R10">
            <v>7913.6766549446038</v>
          </cell>
          <cell r="S10">
            <v>322.66189459745755</v>
          </cell>
        </row>
        <row r="11">
          <cell r="A11" t="str">
            <v>BS.2.11</v>
          </cell>
          <cell r="J11">
            <v>4225.1166782804939</v>
          </cell>
          <cell r="K11">
            <v>749.2613835095716</v>
          </cell>
          <cell r="P11">
            <v>80.583544745780827</v>
          </cell>
          <cell r="Q11">
            <v>0</v>
          </cell>
        </row>
        <row r="12">
          <cell r="A12" t="str">
            <v>BS.2.12</v>
          </cell>
          <cell r="E12" t="str">
            <v>Brennst.flüssig</v>
          </cell>
          <cell r="F12">
            <v>0</v>
          </cell>
          <cell r="I12">
            <v>2389.2193103993063</v>
          </cell>
          <cell r="L12">
            <v>333.57999901185809</v>
          </cell>
          <cell r="O12">
            <v>9384.7071865953403</v>
          </cell>
          <cell r="R12">
            <v>12107.506496006505</v>
          </cell>
          <cell r="S12">
            <v>2962.259383986212</v>
          </cell>
        </row>
        <row r="13">
          <cell r="A13" t="str">
            <v>BS.2.13</v>
          </cell>
          <cell r="J13">
            <v>2056.3292389965727</v>
          </cell>
          <cell r="K13">
            <v>332.89007140273327</v>
          </cell>
          <cell r="P13">
            <v>8061.1466116122101</v>
          </cell>
          <cell r="Q13">
            <v>1323.5605749831304</v>
          </cell>
        </row>
        <row r="14">
          <cell r="A14" t="str">
            <v>BS.2.14</v>
          </cell>
          <cell r="E14" t="str">
            <v>Brennst.fest</v>
          </cell>
          <cell r="F14">
            <v>0</v>
          </cell>
          <cell r="I14">
            <v>1189.9181474576044</v>
          </cell>
          <cell r="L14">
            <v>1502.9383037175421</v>
          </cell>
          <cell r="O14">
            <v>0</v>
          </cell>
          <cell r="R14">
            <v>2692.8564511751465</v>
          </cell>
          <cell r="S14">
            <v>82.54293915569535</v>
          </cell>
        </row>
        <row r="15">
          <cell r="A15" t="str">
            <v>BS.2.15</v>
          </cell>
          <cell r="J15">
            <v>1157.5079255424168</v>
          </cell>
          <cell r="K15">
            <v>32.410221915187549</v>
          </cell>
          <cell r="P15"/>
          <cell r="Q15"/>
        </row>
        <row r="16">
          <cell r="A16" t="str">
            <v>BS.2.16</v>
          </cell>
          <cell r="E16" t="str">
            <v xml:space="preserve">Wärme </v>
          </cell>
          <cell r="F16">
            <v>0</v>
          </cell>
          <cell r="I16">
            <v>1843.1666706409831</v>
          </cell>
          <cell r="L16">
            <v>709.59054598489354</v>
          </cell>
          <cell r="O16">
            <v>0</v>
          </cell>
          <cell r="R16">
            <v>2552.7572166258765</v>
          </cell>
        </row>
        <row r="17">
          <cell r="A17" t="str">
            <v>BS.2.17</v>
          </cell>
          <cell r="J17">
            <v>1670.8484569730244</v>
          </cell>
          <cell r="K17">
            <v>172.3182136679587</v>
          </cell>
          <cell r="P17"/>
          <cell r="Q17"/>
        </row>
        <row r="18">
          <cell r="A18" t="str">
            <v>BS.2.18</v>
          </cell>
          <cell r="E18" t="str">
            <v>insgesamt</v>
          </cell>
          <cell r="F18">
            <v>4696.6821991173192</v>
          </cell>
          <cell r="I18">
            <v>10889.290503203092</v>
          </cell>
          <cell r="L18">
            <v>6459.7232114749249</v>
          </cell>
          <cell r="O18">
            <v>9670.1992312511975</v>
          </cell>
          <cell r="R18">
            <v>31715.895145046532</v>
          </cell>
          <cell r="S18">
            <v>3367.4642177393648</v>
          </cell>
        </row>
        <row r="19">
          <cell r="A19" t="str">
            <v>BS.2.19</v>
          </cell>
          <cell r="D19" t="str">
            <v>errechnet aus der Tabelle [4.4] mit:</v>
          </cell>
        </row>
        <row r="20">
          <cell r="A20" t="str">
            <v>BS.2.20</v>
          </cell>
          <cell r="E20">
            <v>3.6</v>
          </cell>
          <cell r="F20" t="str">
            <v>PJ/TWh</v>
          </cell>
        </row>
        <row r="21">
          <cell r="A21" t="str">
            <v>BS.2.21</v>
          </cell>
          <cell r="E21">
            <v>1000000000</v>
          </cell>
          <cell r="F21" t="str">
            <v>kWh/TWh</v>
          </cell>
        </row>
        <row r="22">
          <cell r="A22" t="str">
            <v>BS.2.22</v>
          </cell>
          <cell r="E22">
            <v>80523746</v>
          </cell>
          <cell r="F22" t="str">
            <v>Einwohner Deutschland am 31.12.2012</v>
          </cell>
        </row>
        <row r="23">
          <cell r="A23" t="str">
            <v>BS.2.23</v>
          </cell>
        </row>
        <row r="24">
          <cell r="A24" t="str">
            <v>BS.2.24</v>
          </cell>
          <cell r="D24" t="str">
            <v>BS.2.b   Wärme-Endverbrauch pro Einwohner nach Quellen</v>
          </cell>
        </row>
        <row r="25">
          <cell r="A25" t="str">
            <v>BS.2.25</v>
          </cell>
          <cell r="E25" t="str">
            <v>Endenergie in kWh</v>
          </cell>
          <cell r="I25" t="str">
            <v>Gebäudewärme</v>
          </cell>
          <cell r="L25" t="str">
            <v>Prozesswärme</v>
          </cell>
        </row>
        <row r="26">
          <cell r="A26" t="str">
            <v>BS.2.26</v>
          </cell>
          <cell r="I26" t="str">
            <v>fossil</v>
          </cell>
          <cell r="K26" t="str">
            <v>erneuerb.</v>
          </cell>
          <cell r="L26"/>
          <cell r="M26" t="str">
            <v>fossil</v>
          </cell>
          <cell r="N26" t="str">
            <v>erneuerb.</v>
          </cell>
        </row>
        <row r="27">
          <cell r="A27" t="str">
            <v>BS.2.27</v>
          </cell>
          <cell r="E27" t="str">
            <v>Wärme</v>
          </cell>
          <cell r="I27">
            <v>1843.1666706409831</v>
          </cell>
          <cell r="L27">
            <v>709.59054598489354</v>
          </cell>
        </row>
        <row r="28">
          <cell r="A28" t="str">
            <v>BS.2.28</v>
          </cell>
          <cell r="E28" t="str">
            <v>Fernheizwerke    fossil</v>
          </cell>
          <cell r="J28">
            <v>342.8766320527829</v>
          </cell>
          <cell r="M28">
            <v>0</v>
          </cell>
        </row>
        <row r="29">
          <cell r="A29" t="str">
            <v>BS.2.29</v>
          </cell>
          <cell r="E29" t="str">
            <v xml:space="preserve">                              erneuerbar</v>
          </cell>
          <cell r="K29">
            <v>80.721530267605786</v>
          </cell>
          <cell r="N29">
            <v>0</v>
          </cell>
        </row>
        <row r="30">
          <cell r="A30" t="str">
            <v>BS.2.30</v>
          </cell>
          <cell r="E30" t="str">
            <v>Fern-HeizKRAFTwerke</v>
          </cell>
          <cell r="J30">
            <v>951.75619367740853</v>
          </cell>
          <cell r="K30">
            <v>301.02921441334831</v>
          </cell>
          <cell r="M30">
            <v>403.60765133802892</v>
          </cell>
          <cell r="N30">
            <v>0</v>
          </cell>
        </row>
        <row r="31">
          <cell r="A31" t="str">
            <v>BS.2.31</v>
          </cell>
          <cell r="E31" t="str">
            <v xml:space="preserve">Nahwärme Abw./erneuerb. </v>
          </cell>
          <cell r="J31" t="str">
            <v>-</v>
          </cell>
          <cell r="K31">
            <v>166.78310022983777</v>
          </cell>
          <cell r="M31">
            <v>305.98289464686462</v>
          </cell>
          <cell r="N31">
            <v>0</v>
          </cell>
        </row>
        <row r="32">
          <cell r="A32" t="str">
            <v>BS.2.32</v>
          </cell>
        </row>
        <row r="33">
          <cell r="A33" t="str">
            <v>BS.2.33</v>
          </cell>
        </row>
        <row r="34">
          <cell r="A34" t="str">
            <v>BS.2.34</v>
          </cell>
          <cell r="D34" t="str">
            <v>BS.2.c   Jahresnutzungsgrade Endenergie-Anwendung im Wärmebereich</v>
          </cell>
        </row>
        <row r="35">
          <cell r="A35" t="str">
            <v>BS.2.35</v>
          </cell>
          <cell r="E35" t="str">
            <v>Jahresnutzungsgrad in %</v>
          </cell>
          <cell r="I35" t="str">
            <v>Gebäudewärme</v>
          </cell>
          <cell r="L35" t="str">
            <v>Prozesswärme</v>
          </cell>
        </row>
        <row r="36">
          <cell r="A36" t="str">
            <v>BS.2.36</v>
          </cell>
          <cell r="E36" t="str">
            <v>Strom</v>
          </cell>
          <cell r="I36">
            <v>100</v>
          </cell>
          <cell r="L36">
            <v>100</v>
          </cell>
          <cell r="O36"/>
        </row>
        <row r="37">
          <cell r="A37" t="str">
            <v>BS.2.37</v>
          </cell>
          <cell r="E37" t="str">
            <v>Brennst.gasförmig</v>
          </cell>
          <cell r="I37">
            <v>85</v>
          </cell>
          <cell r="L37">
            <v>90</v>
          </cell>
          <cell r="O37"/>
        </row>
        <row r="38">
          <cell r="A38" t="str">
            <v>BS.2.38</v>
          </cell>
          <cell r="E38" t="str">
            <v>Brennst.flüssig</v>
          </cell>
          <cell r="I38">
            <v>80</v>
          </cell>
          <cell r="L38">
            <v>85</v>
          </cell>
          <cell r="O38"/>
        </row>
        <row r="39">
          <cell r="A39" t="str">
            <v>BS.2.39</v>
          </cell>
          <cell r="E39" t="str">
            <v>Brennst.fest</v>
          </cell>
          <cell r="I39">
            <v>75</v>
          </cell>
          <cell r="L39">
            <v>80</v>
          </cell>
          <cell r="O39"/>
        </row>
        <row r="40">
          <cell r="A40" t="str">
            <v>BS.2.40</v>
          </cell>
          <cell r="E40" t="str">
            <v>Wärme-Endverbr.</v>
          </cell>
          <cell r="I40">
            <v>100</v>
          </cell>
          <cell r="L40">
            <v>100</v>
          </cell>
          <cell r="O40"/>
        </row>
        <row r="43">
          <cell r="A43" t="str">
            <v>BS.2.43</v>
          </cell>
          <cell r="D43" t="str">
            <v>BS.2.d   Endverbrauch Anteile Sektoren je Anwendungsbereich</v>
          </cell>
        </row>
        <row r="44">
          <cell r="A44" t="str">
            <v>BS.2.44</v>
          </cell>
        </row>
        <row r="45">
          <cell r="A45" t="str">
            <v>BS.2.45</v>
          </cell>
        </row>
        <row r="46">
          <cell r="A46" t="str">
            <v>BS.2.46</v>
          </cell>
        </row>
        <row r="47">
          <cell r="A47" t="str">
            <v>BS.2.47</v>
          </cell>
          <cell r="D47" t="str">
            <v>Haushalte</v>
          </cell>
          <cell r="F47">
            <v>17.034934792891409</v>
          </cell>
          <cell r="I47">
            <v>67.291728676786718</v>
          </cell>
          <cell r="L47">
            <v>7.5243097082835009</v>
          </cell>
          <cell r="O47">
            <v>0</v>
          </cell>
        </row>
        <row r="48">
          <cell r="A48" t="str">
            <v>BS.2.48</v>
          </cell>
          <cell r="D48" t="str">
            <v>Handel/Dienstl.(ohne Gewerbe)</v>
          </cell>
          <cell r="F48">
            <v>29.610108791134532</v>
          </cell>
          <cell r="I48">
            <v>24.380725601084762</v>
          </cell>
          <cell r="L48">
            <v>0</v>
          </cell>
          <cell r="O48">
            <v>0</v>
          </cell>
        </row>
        <row r="49">
          <cell r="A49" t="str">
            <v>BS.2.49</v>
          </cell>
          <cell r="D49" t="str">
            <v>Industrie+prod.Gewerbe</v>
          </cell>
          <cell r="F49">
            <v>53.354956415974044</v>
          </cell>
          <cell r="I49">
            <v>8.3275457221285176</v>
          </cell>
          <cell r="L49">
            <v>92.475690291716504</v>
          </cell>
          <cell r="O49">
            <v>0</v>
          </cell>
        </row>
        <row r="50">
          <cell r="A50" t="str">
            <v>BS.2.50</v>
          </cell>
          <cell r="D50" t="str">
            <v>Verkehr</v>
          </cell>
          <cell r="F50">
            <v>0</v>
          </cell>
          <cell r="I50">
            <v>0</v>
          </cell>
          <cell r="L50">
            <v>0</v>
          </cell>
          <cell r="O50">
            <v>100</v>
          </cell>
        </row>
      </sheetData>
      <sheetData sheetId="3">
        <row r="2">
          <cell r="A2" t="str">
            <v>BS.3.2</v>
          </cell>
          <cell r="C2" t="str">
            <v>BS.3.   Kennzahlen Energieversorgung Deutschland 2012</v>
          </cell>
        </row>
        <row r="3">
          <cell r="A3"/>
        </row>
        <row r="4">
          <cell r="A4" t="str">
            <v>BS.3.4</v>
          </cell>
          <cell r="D4" t="str">
            <v>BS.3.a   Strommix und Jahresnutzungsgrad (JNG) Kraftwerke</v>
          </cell>
        </row>
        <row r="5">
          <cell r="A5" t="str">
            <v>BS.3.5</v>
          </cell>
          <cell r="D5"/>
          <cell r="H5" t="str">
            <v>Mix-
Anteil</v>
          </cell>
          <cell r="I5" t="str">
            <v>JNG
(NV+/UE)</v>
          </cell>
        </row>
        <row r="6">
          <cell r="A6" t="str">
            <v>BS.3.6</v>
          </cell>
          <cell r="H6" t="str">
            <v>(%)</v>
          </cell>
          <cell r="I6" t="str">
            <v>(%)</v>
          </cell>
        </row>
        <row r="7">
          <cell r="A7" t="str">
            <v>BS.3.7</v>
          </cell>
          <cell r="D7" t="str">
            <v>Fossil/atomar</v>
          </cell>
          <cell r="H7">
            <v>100</v>
          </cell>
        </row>
        <row r="8">
          <cell r="A8" t="str">
            <v>BS.3.8</v>
          </cell>
          <cell r="D8" t="str">
            <v>Braunkohle</v>
          </cell>
          <cell r="H8">
            <v>33.38305129813746</v>
          </cell>
          <cell r="I8">
            <v>34.830877011037032</v>
          </cell>
        </row>
        <row r="9">
          <cell r="A9" t="str">
            <v>BS.3.9</v>
          </cell>
          <cell r="D9" t="str">
            <v>Steinkohle</v>
          </cell>
          <cell r="H9">
            <v>24.180380654033602</v>
          </cell>
          <cell r="I9">
            <v>34.854930032269486</v>
          </cell>
        </row>
        <row r="10">
          <cell r="A10" t="str">
            <v>BS.3.10</v>
          </cell>
          <cell r="D10" t="str">
            <v>Kernenergie</v>
          </cell>
          <cell r="H10">
            <v>20.669655284161017</v>
          </cell>
          <cell r="I10">
            <v>30.471815117070005</v>
          </cell>
        </row>
        <row r="11">
          <cell r="A11" t="str">
            <v>BS.3.11</v>
          </cell>
          <cell r="D11" t="str">
            <v>Naturgase</v>
          </cell>
          <cell r="H11">
            <v>15.870971494571881</v>
          </cell>
          <cell r="I11">
            <v>37.053652723570224</v>
          </cell>
        </row>
        <row r="12">
          <cell r="A12" t="str">
            <v>BS.3.12</v>
          </cell>
          <cell r="D12" t="str">
            <v>Erdöl</v>
          </cell>
          <cell r="H12">
            <v>1.5787877402977262</v>
          </cell>
          <cell r="I12">
            <v>44.448010062121185</v>
          </cell>
        </row>
        <row r="13">
          <cell r="A13" t="str">
            <v>BS.3.13</v>
          </cell>
          <cell r="D13" t="str">
            <v>Abfall u.sonst.</v>
          </cell>
          <cell r="H13">
            <v>4.3171535287983298</v>
          </cell>
          <cell r="I13">
            <v>27.690330479051283</v>
          </cell>
        </row>
        <row r="15">
          <cell r="A15" t="str">
            <v>BS.3.15</v>
          </cell>
        </row>
        <row r="16">
          <cell r="A16" t="str">
            <v>BS.3.16</v>
          </cell>
          <cell r="D16" t="str">
            <v>BS.3.b   Strom: Leitungsverluste / Verbrauch im Umwandlungsbereich</v>
          </cell>
        </row>
        <row r="17">
          <cell r="A17" t="str">
            <v>BS.3.17</v>
          </cell>
          <cell r="D17"/>
          <cell r="H17" t="str">
            <v>(%)</v>
          </cell>
        </row>
        <row r="18">
          <cell r="A18" t="str">
            <v>BS.3.18</v>
          </cell>
          <cell r="D18" t="str">
            <v xml:space="preserve">Leitungsverluste </v>
          </cell>
          <cell r="G18" t="str">
            <v>LV/EV</v>
          </cell>
          <cell r="H18">
            <v>5.4902915217972756</v>
          </cell>
        </row>
        <row r="19">
          <cell r="A19" t="str">
            <v>BS.3.19</v>
          </cell>
          <cell r="D19" t="str">
            <v>Verbr.im Umwandlungsbereich (VU/NV)</v>
          </cell>
          <cell r="G19" t="str">
            <v>VU/NV</v>
          </cell>
          <cell r="H19">
            <v>2.5009875054572666</v>
          </cell>
        </row>
        <row r="21">
          <cell r="A21" t="str">
            <v>BS.3.21</v>
          </cell>
        </row>
        <row r="22">
          <cell r="A22" t="str">
            <v>BS.3.22</v>
          </cell>
          <cell r="D22" t="str">
            <v>BS.3.d   Gasversorgung</v>
          </cell>
        </row>
        <row r="23">
          <cell r="A23" t="str">
            <v>BS.3.23</v>
          </cell>
          <cell r="D23"/>
          <cell r="H23" t="str">
            <v>(%)</v>
          </cell>
        </row>
        <row r="24">
          <cell r="A24" t="str">
            <v>BS.3.24</v>
          </cell>
          <cell r="D24" t="str">
            <v xml:space="preserve">Leitungsverluste </v>
          </cell>
          <cell r="G24" t="str">
            <v>LV/EV+</v>
          </cell>
          <cell r="H24">
            <v>0</v>
          </cell>
        </row>
        <row r="25">
          <cell r="A25" t="str">
            <v>BS.3.25</v>
          </cell>
          <cell r="D25" t="str">
            <v>Fackelverluste</v>
          </cell>
          <cell r="G25" t="str">
            <v>FV/NV.fos</v>
          </cell>
          <cell r="H25">
            <v>0.88273805160108509</v>
          </cell>
        </row>
        <row r="26">
          <cell r="A26" t="str">
            <v>BS.3.26</v>
          </cell>
          <cell r="D26" t="str">
            <v>Verbr.im Umwandlungsbereich</v>
          </cell>
          <cell r="G26" t="str">
            <v>VU/NV.fos</v>
          </cell>
          <cell r="H26">
            <v>3.7822483581768225</v>
          </cell>
        </row>
        <row r="27">
          <cell r="A27" t="str">
            <v>BS.3.27</v>
          </cell>
          <cell r="D27" t="str">
            <v>Jahresnutzungsgrad Umwandl.</v>
          </cell>
          <cell r="G27" t="str">
            <v>NV+/PEV</v>
          </cell>
          <cell r="H27">
            <v>100</v>
          </cell>
        </row>
        <row r="30">
          <cell r="A30" t="str">
            <v>BS.3.30</v>
          </cell>
        </row>
        <row r="31">
          <cell r="A31" t="str">
            <v>BS.3.31</v>
          </cell>
          <cell r="D31" t="str">
            <v>BS.3.e   Mineralölversorgung</v>
          </cell>
        </row>
        <row r="32">
          <cell r="A32" t="str">
            <v>BS.3.32</v>
          </cell>
          <cell r="D32"/>
          <cell r="H32" t="str">
            <v>(%)</v>
          </cell>
        </row>
        <row r="33">
          <cell r="A33" t="str">
            <v>BS.3.33</v>
          </cell>
          <cell r="D33" t="str">
            <v xml:space="preserve">Leitungsverluste </v>
          </cell>
          <cell r="G33" t="str">
            <v>LV/EV+</v>
          </cell>
          <cell r="H33">
            <v>0</v>
          </cell>
        </row>
        <row r="34">
          <cell r="A34" t="str">
            <v>BS.3.34</v>
          </cell>
          <cell r="D34" t="str">
            <v>Fackelverluste</v>
          </cell>
          <cell r="G34" t="str">
            <v>FV/NV.fos</v>
          </cell>
          <cell r="H34">
            <v>0</v>
          </cell>
        </row>
        <row r="35">
          <cell r="A35" t="str">
            <v>BS.3.35</v>
          </cell>
          <cell r="D35" t="str">
            <v>Verbr.im Umwandlungsbereich</v>
          </cell>
          <cell r="G35" t="str">
            <v>VU/NV.fos</v>
          </cell>
          <cell r="H35">
            <v>2.8453107541523628</v>
          </cell>
        </row>
        <row r="36">
          <cell r="A36" t="str">
            <v>BS.3.36</v>
          </cell>
          <cell r="D36" t="str">
            <v>Jahresnutzungsgrad Umwandl.</v>
          </cell>
          <cell r="G36" t="str">
            <v>NE/UE</v>
          </cell>
          <cell r="H36">
            <v>82.832498087589286</v>
          </cell>
        </row>
        <row r="37">
          <cell r="A37" t="str">
            <v>BS.3.37</v>
          </cell>
        </row>
        <row r="38">
          <cell r="A38" t="str">
            <v>BS.3.38</v>
          </cell>
        </row>
        <row r="39">
          <cell r="A39" t="str">
            <v>BS.3.39</v>
          </cell>
          <cell r="D39" t="str">
            <v>BS.3.c   Braun-/Steinkohleversorgung</v>
          </cell>
        </row>
        <row r="40">
          <cell r="A40" t="str">
            <v>BS.3.40</v>
          </cell>
          <cell r="D40" t="str">
            <v>Kohle-Mix</v>
          </cell>
          <cell r="H40" t="str">
            <v>Braunk.</v>
          </cell>
          <cell r="I40" t="str">
            <v>Steink.</v>
          </cell>
        </row>
        <row r="41">
          <cell r="A41" t="str">
            <v>BS.3.41</v>
          </cell>
          <cell r="D41" t="str">
            <v>Gebäudewärme (%)</v>
          </cell>
          <cell r="H41">
            <v>57.767910173374439</v>
          </cell>
          <cell r="I41">
            <v>42.232089826625561</v>
          </cell>
        </row>
        <row r="42">
          <cell r="A42" t="str">
            <v>BS.3.42</v>
          </cell>
          <cell r="D42" t="str">
            <v>Prozesswärme (%)</v>
          </cell>
          <cell r="H42">
            <v>18.092959362357345</v>
          </cell>
          <cell r="I42">
            <v>81.907040637642652</v>
          </cell>
        </row>
        <row r="44">
          <cell r="A44" t="str">
            <v>BS.3.44</v>
          </cell>
          <cell r="D44" t="str">
            <v>Umwandlung (%):</v>
          </cell>
          <cell r="H44" t="str">
            <v>Braunk.</v>
          </cell>
          <cell r="I44" t="str">
            <v>Steink.</v>
          </cell>
        </row>
        <row r="45">
          <cell r="A45" t="str">
            <v>BS.3.45</v>
          </cell>
          <cell r="D45" t="str">
            <v xml:space="preserve">Leitungsverluste </v>
          </cell>
          <cell r="G45" t="str">
            <v>LV/EV+</v>
          </cell>
          <cell r="H45">
            <v>0</v>
          </cell>
          <cell r="I45">
            <v>0</v>
          </cell>
        </row>
        <row r="46">
          <cell r="A46" t="str">
            <v>BS.3.46</v>
          </cell>
          <cell r="D46" t="str">
            <v>Fackelverluste</v>
          </cell>
          <cell r="G46" t="str">
            <v>FV/NV.fos</v>
          </cell>
          <cell r="H46">
            <v>0</v>
          </cell>
          <cell r="I46">
            <v>0</v>
          </cell>
        </row>
        <row r="47">
          <cell r="A47" t="str">
            <v>BS.3.47</v>
          </cell>
          <cell r="D47" t="str">
            <v>Verbr.im Umwandlungsbereich</v>
          </cell>
          <cell r="G47" t="str">
            <v>VU/NV.fos</v>
          </cell>
          <cell r="H47">
            <v>11.180662349195348</v>
          </cell>
          <cell r="I47">
            <v>0.7327825471462599</v>
          </cell>
        </row>
        <row r="48">
          <cell r="A48" t="str">
            <v>BS.3.48</v>
          </cell>
          <cell r="D48" t="str">
            <v>Jahresnutzungsgrad Umwandl.</v>
          </cell>
          <cell r="G48" t="str">
            <v>NV+/PEV</v>
          </cell>
          <cell r="H48">
            <v>100</v>
          </cell>
          <cell r="I48">
            <v>97.720252047452846</v>
          </cell>
        </row>
        <row r="49">
          <cell r="A49" t="str">
            <v>BS.3.49</v>
          </cell>
        </row>
        <row r="50">
          <cell r="A50" t="str">
            <v>BS.3.50</v>
          </cell>
        </row>
        <row r="51">
          <cell r="A51" t="str">
            <v>BS.3.51</v>
          </cell>
          <cell r="D51" t="str">
            <v>BS.3.f   Fernheizwerke: Fossiler Brennstoffmix</v>
          </cell>
        </row>
        <row r="52">
          <cell r="A52" t="str">
            <v>BS.3.52</v>
          </cell>
          <cell r="D52" t="str">
            <v>Mix fossiler Brennstoffe:</v>
          </cell>
          <cell r="H52" t="str">
            <v>(%)</v>
          </cell>
        </row>
        <row r="53">
          <cell r="A53" t="str">
            <v>BS.3.53</v>
          </cell>
          <cell r="D53" t="str">
            <v>Fossile</v>
          </cell>
          <cell r="H53">
            <v>100</v>
          </cell>
        </row>
        <row r="54">
          <cell r="A54" t="str">
            <v>BS.3.54</v>
          </cell>
          <cell r="D54" t="str">
            <v>Braunkohle</v>
          </cell>
          <cell r="H54">
            <v>1.8174723660063772</v>
          </cell>
        </row>
        <row r="55">
          <cell r="A55" t="str">
            <v>BS.3.55</v>
          </cell>
          <cell r="D55" t="str">
            <v>Steinkohle</v>
          </cell>
          <cell r="H55">
            <v>20.737841347648743</v>
          </cell>
        </row>
        <row r="56">
          <cell r="A56" t="str">
            <v>BS.3.56</v>
          </cell>
          <cell r="D56" t="str">
            <v>Erdgas</v>
          </cell>
          <cell r="H56">
            <v>55.499058035959251</v>
          </cell>
        </row>
        <row r="57">
          <cell r="A57" t="str">
            <v>BS.3.57</v>
          </cell>
          <cell r="D57" t="str">
            <v>Mineralölprodukte</v>
          </cell>
          <cell r="H57">
            <v>4.4202196087038699</v>
          </cell>
        </row>
        <row r="58">
          <cell r="A58" t="str">
            <v>BS.3.58</v>
          </cell>
          <cell r="D58" t="str">
            <v>nicht erneuerb.Abfälle</v>
          </cell>
          <cell r="H58">
            <v>17.525408641681757</v>
          </cell>
        </row>
        <row r="60">
          <cell r="A60" t="str">
            <v>BS.3.60</v>
          </cell>
          <cell r="D60" t="str">
            <v>Umwandlung:</v>
          </cell>
          <cell r="H60" t="str">
            <v>(%)</v>
          </cell>
        </row>
        <row r="61">
          <cell r="A61" t="str">
            <v>BS.3.61</v>
          </cell>
          <cell r="D61" t="str">
            <v xml:space="preserve">Leitungsverluste </v>
          </cell>
          <cell r="G61" t="str">
            <v>LV/EV</v>
          </cell>
          <cell r="H61">
            <v>9.4469735680772988</v>
          </cell>
        </row>
        <row r="62">
          <cell r="A62" t="str">
            <v>BS.3.62</v>
          </cell>
          <cell r="D62" t="str">
            <v>Verbr.im Umwandlungsbereich</v>
          </cell>
          <cell r="G62" t="str">
            <v>VU/NV.fos</v>
          </cell>
          <cell r="H62">
            <v>9.8987779069519242</v>
          </cell>
        </row>
        <row r="63">
          <cell r="A63" t="str">
            <v>BS.3.63</v>
          </cell>
          <cell r="D63" t="str">
            <v>Jahresnutzungsgrad Umwandl.</v>
          </cell>
          <cell r="G63" t="str">
            <v>NV+.fos/UE.fos</v>
          </cell>
          <cell r="H63">
            <v>71.410358904386044</v>
          </cell>
        </row>
        <row r="65">
          <cell r="A65" t="str">
            <v>BS.3.65</v>
          </cell>
        </row>
        <row r="66">
          <cell r="A66" t="str">
            <v>BS.3.66</v>
          </cell>
          <cell r="D66" t="str">
            <v>BS.3.g   Brennstoff-Endverbrauch: Fossiler Brennstoffmix</v>
          </cell>
        </row>
        <row r="67">
          <cell r="A67" t="str">
            <v>BS.3.67</v>
          </cell>
          <cell r="D67" t="str">
            <v>Mix fossiler Brennstoffe (%):</v>
          </cell>
          <cell r="H67" t="str">
            <v>GW</v>
          </cell>
          <cell r="I67" t="str">
            <v>PW</v>
          </cell>
        </row>
        <row r="68">
          <cell r="A68" t="str">
            <v>BS.3.68</v>
          </cell>
          <cell r="D68" t="str">
            <v>Fossile</v>
          </cell>
          <cell r="H68">
            <v>100</v>
          </cell>
          <cell r="I68">
            <v>99.999999999999986</v>
          </cell>
        </row>
        <row r="69">
          <cell r="A69" t="str">
            <v>BS.3.69</v>
          </cell>
          <cell r="D69" t="str">
            <v xml:space="preserve">     Braunkohle</v>
          </cell>
          <cell r="H69">
            <v>2.0137929530981458</v>
          </cell>
          <cell r="I69">
            <v>5.0388313458865142</v>
          </cell>
        </row>
        <row r="70">
          <cell r="A70" t="str">
            <v>BS.3.70</v>
          </cell>
          <cell r="D70" t="str">
            <v xml:space="preserve">     Steinkohle</v>
          </cell>
          <cell r="H70">
            <v>1.4722132864460962</v>
          </cell>
          <cell r="I70">
            <v>22.810848990929323</v>
          </cell>
        </row>
        <row r="71">
          <cell r="A71" t="str">
            <v>BS.3.71</v>
          </cell>
          <cell r="D71" t="str">
            <v xml:space="preserve">   Erdgas</v>
          </cell>
          <cell r="H71">
            <v>65.198715919880641</v>
          </cell>
          <cell r="I71">
            <v>64.610946514891623</v>
          </cell>
        </row>
        <row r="72">
          <cell r="A72" t="str">
            <v>BS.3.72</v>
          </cell>
          <cell r="D72" t="str">
            <v xml:space="preserve">   Mineralölprodukte</v>
          </cell>
          <cell r="H72">
            <v>31.315277840575128</v>
          </cell>
          <cell r="I72">
            <v>7.5393731482925306</v>
          </cell>
        </row>
        <row r="74">
          <cell r="A74" t="str">
            <v>BS.3.74</v>
          </cell>
          <cell r="K74"/>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Jahresbilanz_Strom"/>
      <sheetName val="2. Jahresgang Strom"/>
      <sheetName val="Zeitreihen Kalkulation"/>
      <sheetName val="WS_"/>
      <sheetName val="Abgleich-Hinweise"/>
      <sheetName val="2. Jahresgang segmentiert"/>
      <sheetName val="Copyright"/>
      <sheetName val="Versionen"/>
      <sheetName val="Arbeitsblätter"/>
      <sheetName val="Stempel"/>
    </sheetNames>
    <sheetDataSet>
      <sheetData sheetId="0"/>
      <sheetData sheetId="1"/>
      <sheetData sheetId="2"/>
      <sheetData sheetId="3">
        <row r="20">
          <cell r="B20" t="str">
            <v>Wasserstofferzeugung:</v>
          </cell>
        </row>
        <row r="21">
          <cell r="B21">
            <v>65</v>
          </cell>
          <cell r="C21" t="str">
            <v>%</v>
          </cell>
          <cell r="E21" t="str">
            <v>Jahresnutzungsgrad Wasserelektrolyse</v>
          </cell>
        </row>
        <row r="23">
          <cell r="B23" t="str">
            <v>Stromspeicherung:</v>
          </cell>
        </row>
        <row r="24">
          <cell r="B24">
            <v>100</v>
          </cell>
          <cell r="C24" t="str">
            <v>%</v>
          </cell>
          <cell r="D24" t="str">
            <v>Pmax/Pv</v>
          </cell>
          <cell r="E24" t="str">
            <v>Maximale Tages-Elektrolyseleistung relativ zu durchschn. Tagesverbrauch</v>
          </cell>
        </row>
        <row r="25">
          <cell r="B25">
            <v>65.400000000000006</v>
          </cell>
          <cell r="C25" t="str">
            <v>%</v>
          </cell>
          <cell r="D25" t="str">
            <v>Eta ES</v>
          </cell>
          <cell r="E25" t="str">
            <v>Jahres-Nutzungsgrad Wasser-Elektrolyse+Gaseinspeicherung (+ggf.Methanisierung)</v>
          </cell>
        </row>
        <row r="26">
          <cell r="B26">
            <v>0.01</v>
          </cell>
          <cell r="C26" t="str">
            <v>%/L/d</v>
          </cell>
          <cell r="D26">
            <v>0</v>
          </cell>
          <cell r="E26" t="str">
            <v>Tägliche Gasspeicher-Selbstendladungsrate in % pro Ladezustand</v>
          </cell>
        </row>
        <row r="27">
          <cell r="B27">
            <v>58.5</v>
          </cell>
          <cell r="C27" t="str">
            <v>%</v>
          </cell>
          <cell r="D27" t="str">
            <v>Eta RS</v>
          </cell>
          <cell r="E27" t="str">
            <v>Jahres-Nutzungsgrad Gas-Rückverstromung</v>
          </cell>
        </row>
        <row r="28">
          <cell r="B28">
            <v>299414.16266615025</v>
          </cell>
          <cell r="C28" t="str">
            <v>GWh/a</v>
          </cell>
          <cell r="E28" t="str">
            <v>Stromspeicherung Aufnahme Elektrolyse</v>
          </cell>
        </row>
        <row r="29">
          <cell r="B29">
            <v>37.689265930224394</v>
          </cell>
          <cell r="C29" t="str">
            <v>GWh/a</v>
          </cell>
          <cell r="E29" t="str">
            <v>Nutzungsgrad Stromspeicherung</v>
          </cell>
        </row>
        <row r="30">
          <cell r="B30">
            <v>140225</v>
          </cell>
          <cell r="C30" t="str">
            <v xml:space="preserve">GWh </v>
          </cell>
          <cell r="E30" t="str">
            <v>Min. Gasspeicherkapazität</v>
          </cell>
        </row>
        <row r="31">
          <cell r="B31">
            <v>10730.892227226817</v>
          </cell>
          <cell r="C31" t="str">
            <v>GWh/a</v>
          </cell>
          <cell r="E31" t="str">
            <v>Abregelung von Windenergie- und Photovoltaik-Anlagen</v>
          </cell>
        </row>
        <row r="32">
          <cell r="B32">
            <v>948640.6917308172</v>
          </cell>
          <cell r="C32" t="str">
            <v>GWh/a</v>
          </cell>
          <cell r="E32" t="str">
            <v>Prüfsumme: Stromangebot aus eigenen erneuerbaren Energien</v>
          </cell>
        </row>
        <row r="33">
          <cell r="B33" t="str">
            <v/>
          </cell>
          <cell r="E33" t="str">
            <v>Abgleichwarnung</v>
          </cell>
        </row>
      </sheetData>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mpel"/>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Izzet Kilicarslan" id="{9D8A265A-0613-5140-B6EE-E4B0374C70E7}" userId="Izzet Kilicarslan" providerId="None"/>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M419" dT="2021-03-23T09:34:29.43" personId="{9D8A265A-0613-5140-B6EE-E4B0374C70E7}" id="{E38B26F1-0A6D-1A42-85F1-D73761CFA499}">
    <text>=@INDIREKT($W$1&amp;W419)</text>
  </threadedComment>
  <threadedComment ref="M897" dT="2021-03-23T08:58:07.01" personId="{9D8A265A-0613-5140-B6EE-E4B0374C70E7}" id="{8C6E27C8-A9EE-6C4C-B8F6-712896A244F3}">
    <text>@INDIREKT($W$1&amp;W897)</text>
  </threadedComment>
  <threadedComment ref="M945" dT="2021-03-23T09:02:44.66" personId="{9D8A265A-0613-5140-B6EE-E4B0374C70E7}" id="{D2C56D69-7415-2F42-9419-EBDD1A35D89C}">
    <text>@INDIREKT($W$1&amp;W945)</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bwi.info/inhalt1.3.aspx?Text=5.01%20Eigentumsart&amp;prRolle=public&amp;prInv=BWI2012&amp;prKapitel=5.01" TargetMode="External"/><Relationship Id="rId7" Type="http://schemas.microsoft.com/office/2017/10/relationships/threadedComment" Target="../threadedComments/threadedComment1.xml"/><Relationship Id="rId2" Type="http://schemas.openxmlformats.org/officeDocument/2006/relationships/hyperlink" Target="https://bwi.info/inhalt1.3.aspx?Text=1.11%20Nutzungseinschr%C3%A4nkung&amp;prRolle=public&amp;prInv=BWI2012&amp;prKapitel=1.11" TargetMode="External"/><Relationship Id="rId1" Type="http://schemas.openxmlformats.org/officeDocument/2006/relationships/hyperlink" Target="https://bwi.info/inhalt1.3.aspx?Text=1.01%20Waldspezifikation&amp;prRolle=public&amp;prInv=BWI2012&amp;prKapitel=1.01"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hyperlink" Target="http://www.bioenergie-wendland-elbetal.de/fileadmin/bilder/Vortr%C3%A4ge/Retmar_Vollrath_09.08.2013_Kurzversionpdf.pdf" TargetMode="External"/><Relationship Id="rId21" Type="http://schemas.openxmlformats.org/officeDocument/2006/relationships/hyperlink" Target="http://de.statista.com/statistik/daten/studie/1252/umfrage/entwicklung-des-bruttoinlandsprodukts-je-einwohner-seit-1991/" TargetMode="External"/><Relationship Id="rId42" Type="http://schemas.openxmlformats.org/officeDocument/2006/relationships/hyperlink" Target="http://www.umweltbundesamt.de/publikationen/treibhausgasneutrales-deutschland-im-jahr-2050-0" TargetMode="External"/><Relationship Id="rId47" Type="http://schemas.openxmlformats.org/officeDocument/2006/relationships/hyperlink" Target="https://www.vdv.de/statistik-2013.pdfx?forced=true" TargetMode="External"/><Relationship Id="rId63" Type="http://schemas.openxmlformats.org/officeDocument/2006/relationships/hyperlink" Target="https://bwi.info/start.aspx" TargetMode="External"/><Relationship Id="rId68" Type="http://schemas.openxmlformats.org/officeDocument/2006/relationships/hyperlink" Target="https://www.wind-energie.de/sites/default/files/attachments/page/offshore/20180117-factsheet-status-offshore-windenergieausbau-2017.pdf" TargetMode="External"/><Relationship Id="rId84" Type="http://schemas.openxmlformats.org/officeDocument/2006/relationships/comments" Target="../comments4.xml"/><Relationship Id="rId16" Type="http://schemas.openxmlformats.org/officeDocument/2006/relationships/hyperlink" Target="http://www.holzlogistik.iff.fraunhofer.de/media/pdf/2009/4.pdf" TargetMode="External"/><Relationship Id="rId11" Type="http://schemas.openxmlformats.org/officeDocument/2006/relationships/hyperlink" Target="http://www.wbgu.de/fileadmin/user_upload/wbgu.de/templates/dateien/veroeffentlichungen/hauptgutachten/jg2003/wbgu_jg2003_ex03.pdf" TargetMode="External"/><Relationship Id="rId32" Type="http://schemas.openxmlformats.org/officeDocument/2006/relationships/hyperlink" Target="http://www.foederal-erneuerbar.de/landesinfo/bundesland/NI/kategorie/erdwaerme/ausgabe/download" TargetMode="External"/><Relationship Id="rId37" Type="http://schemas.openxmlformats.org/officeDocument/2006/relationships/hyperlink" Target="http://www.geothermie.de/fileadmin/useruploads/Service/Publikationen/Tab84.pdf" TargetMode="External"/><Relationship Id="rId53" Type="http://schemas.openxmlformats.org/officeDocument/2006/relationships/hyperlink" Target="http://www.ml.niedersachsen.de/download/90884/Download_Broschuere_Der_Wald_in_Niedersachsen_Ergebnisse_der_Bundeswaldinventur_3.pdf" TargetMode="External"/><Relationship Id="rId58" Type="http://schemas.openxmlformats.org/officeDocument/2006/relationships/hyperlink" Target="https://www.ifeu.de/energie/pdf/NKI_Endbericht_2011.pdf" TargetMode="External"/><Relationship Id="rId74" Type="http://schemas.openxmlformats.org/officeDocument/2006/relationships/hyperlink" Target="https://www.dvgw.de/medien/dvgw/leistungen/forschung/berichte/g201415.pdf" TargetMode="External"/><Relationship Id="rId79" Type="http://schemas.openxmlformats.org/officeDocument/2006/relationships/hyperlink" Target="https://www.boell.de/de/2019/05/14/plastikatlas?dimension1=ds_plastikatlas" TargetMode="External"/><Relationship Id="rId5" Type="http://schemas.openxmlformats.org/officeDocument/2006/relationships/hyperlink" Target="http://www.solardachkataster-lkos.de/" TargetMode="External"/><Relationship Id="rId61" Type="http://schemas.openxmlformats.org/officeDocument/2006/relationships/hyperlink" Target="http://www.umwelt.niedersachsen.de/themen/energie/rundertisch/runder-tisch-142928.html" TargetMode="External"/><Relationship Id="rId82" Type="http://schemas.openxmlformats.org/officeDocument/2006/relationships/printerSettings" Target="../printerSettings/printerSettings4.bin"/><Relationship Id="rId19" Type="http://schemas.openxmlformats.org/officeDocument/2006/relationships/hyperlink" Target="http://www.ti.bund.de/media/publikationen/thuenen-report/Thuenen-Report_17.pdf" TargetMode="External"/><Relationship Id="rId14" Type="http://schemas.openxmlformats.org/officeDocument/2006/relationships/hyperlink" Target="http://literatur.ti.bund.de/digbib_extern/bitv/dn050857.pdf" TargetMode="External"/><Relationship Id="rId22" Type="http://schemas.openxmlformats.org/officeDocument/2006/relationships/hyperlink" Target="http://de.statista.com/statistik/daten/studie/36846/umfrage/anteil-der-wirtschaftsbereiche-am-bruttoinlandsprodukt/" TargetMode="External"/><Relationship Id="rId27" Type="http://schemas.openxmlformats.org/officeDocument/2006/relationships/hyperlink" Target="https://www.destatis.de/DE/ZahlenFakten/GesellschaftStaat/Bevoelkerung/Bevoelkerungsvorausberechnung/Bevoelkerungsvorausberechnung.html" TargetMode="External"/><Relationship Id="rId30" Type="http://schemas.openxmlformats.org/officeDocument/2006/relationships/hyperlink" Target="http://asue.de/cms/upload/broschueren/2011/bhkw-kenndaten/asue-bhkw-kenndaten-0311.pdf" TargetMode="External"/><Relationship Id="rId35" Type="http://schemas.openxmlformats.org/officeDocument/2006/relationships/hyperlink" Target="https://www.foederal-erneuerbar.de/landesinfo/bundesland/D/kategorie/wasser/ausgabe/download" TargetMode="External"/><Relationship Id="rId43" Type="http://schemas.openxmlformats.org/officeDocument/2006/relationships/hyperlink" Target="http://www.biologischevielfalt.de/fileadmin/NBS/documents/broschuere_biolog_vielfalt_strategie_bf.pdf" TargetMode="External"/><Relationship Id="rId48" Type="http://schemas.openxmlformats.org/officeDocument/2006/relationships/hyperlink" Target="http://www.bmub.bund.de/fileadmin/Daten_BMU/Download_PDF/Verkehr/workshop_effizienz_flugverk_studie.pdf" TargetMode="External"/><Relationship Id="rId56" Type="http://schemas.openxmlformats.org/officeDocument/2006/relationships/hyperlink" Target="http://wp-effizienz.ise.fraunhofer.de/download/wp_effizienz_endbericht_kurzfassung.pdf" TargetMode="External"/><Relationship Id="rId64" Type="http://schemas.openxmlformats.org/officeDocument/2006/relationships/hyperlink" Target="https://www.naturwaelder.de/index.php?tpl=nwr_flaechen" TargetMode="External"/><Relationship Id="rId69" Type="http://schemas.openxmlformats.org/officeDocument/2006/relationships/hyperlink" Target="http://www.bioenergie-emsland.de/index.php/bioenergiekraftwerk/kenndaten" TargetMode="External"/><Relationship Id="rId77" Type="http://schemas.openxmlformats.org/officeDocument/2006/relationships/hyperlink" Target="https://www.bfn.de/themen/awz-zulassungen-in-nord-und-ostsee/offshore-windparks.html" TargetMode="External"/><Relationship Id="rId8" Type="http://schemas.openxmlformats.org/officeDocument/2006/relationships/hyperlink" Target="https://www.fraunhofer.de/content/dam/zv/de/forschungsthemen/energie/Energiewirtschaftliche-Bedeutung-von-Offshore-Windenergie.pdf" TargetMode="External"/><Relationship Id="rId51" Type="http://schemas.openxmlformats.org/officeDocument/2006/relationships/hyperlink" Target="http://www.fvv-net.de/cms/upload/Download/FVV-Kraftstoffstudie_LBST_2013-10-30.pdf" TargetMode="External"/><Relationship Id="rId72" Type="http://schemas.openxmlformats.org/officeDocument/2006/relationships/hyperlink" Target="http://skn.privat.t-online.de/wattweg/media/files/StrukturWindenergieAnlagenbestand.pdf" TargetMode="External"/><Relationship Id="rId80" Type="http://schemas.openxmlformats.org/officeDocument/2006/relationships/hyperlink" Target="https://scilogs.spektrum.de/klimalounge/wie-viel-co2-kann-deutschland-noch-ausstossen/" TargetMode="External"/><Relationship Id="rId3" Type="http://schemas.openxmlformats.org/officeDocument/2006/relationships/hyperlink" Target="http://www.energieagentur.nrw.de/photovoltaik/themen/online-rechner-photovoltaik-15111.asp" TargetMode="External"/><Relationship Id="rId12" Type="http://schemas.openxmlformats.org/officeDocument/2006/relationships/hyperlink" Target="http://mediathek.fnr.de/media/downloadable/files/samples/b/a/basisdaten_9x16_2014_web_v02.pdf" TargetMode="External"/><Relationship Id="rId17" Type="http://schemas.openxmlformats.org/officeDocument/2006/relationships/hyperlink" Target="http://www.prognos.com/fileadmin/pdf/publikationsdatenbank/prognos_Effizienzpotenzial_070915_final.pdf" TargetMode="External"/><Relationship Id="rId25" Type="http://schemas.openxmlformats.org/officeDocument/2006/relationships/hyperlink" Target="http://www.energymap.info/energieregionen/DE/105/116.html" TargetMode="External"/><Relationship Id="rId33" Type="http://schemas.openxmlformats.org/officeDocument/2006/relationships/hyperlink" Target="https://www.foederal-erneuerbar.de/landesinfo/bundesland/D/kategorie/wind/ausgabe/download" TargetMode="External"/><Relationship Id="rId38" Type="http://schemas.openxmlformats.org/officeDocument/2006/relationships/hyperlink" Target="http://www.ag-energiebilanzen.de/index.php?article_id=29&amp;fileName=druck_eb2011_23042013.xlsx" TargetMode="External"/><Relationship Id="rId46" Type="http://schemas.openxmlformats.org/officeDocument/2006/relationships/hyperlink" Target="http://www.wwf.de/fileadmin/fm-wwf/Publikationen-PDF/WWF_Modell_Deutschland_Endbericht.pdf" TargetMode="External"/><Relationship Id="rId59" Type="http://schemas.openxmlformats.org/officeDocument/2006/relationships/hyperlink" Target="https://www.netztransparenz.de/de/file/r2b_EEG_Mittelfristprognose_11112013.pdf" TargetMode="External"/><Relationship Id="rId67" Type="http://schemas.openxmlformats.org/officeDocument/2006/relationships/hyperlink" Target="http://skn.privat.t-online.de/wattweg/media/files/StrukturWindenergieAnlagenbestand.pdf" TargetMode="External"/><Relationship Id="rId20" Type="http://schemas.openxmlformats.org/officeDocument/2006/relationships/hyperlink" Target="http://www.ml.niedersachsen.de/download/91912/Die_niedersaechsische_Landwirtschaft_in_Zahlen_2014.pdf" TargetMode="External"/><Relationship Id="rId41" Type="http://schemas.openxmlformats.org/officeDocument/2006/relationships/hyperlink" Target="http://www.umwelt.niedersachsen.de/download/62952/Abschlussbericht_Flaechenverbrauch_und_Bodenschutz_Dez._2011_.pdf" TargetMode="External"/><Relationship Id="rId54" Type="http://schemas.openxmlformats.org/officeDocument/2006/relationships/hyperlink" Target="https://bundeswaldinventur.de/fileadmin/SITE_MASTER/content/Dokumente/Downloads/BMEL_Wald_Broschuere.pdf" TargetMode="External"/><Relationship Id="rId62" Type="http://schemas.openxmlformats.org/officeDocument/2006/relationships/hyperlink" Target="https://www.destatis.de/DE/ZahlenFakten/Wirtschaftsbereiche/LandForstwirtschaftFischerei/FeldfruechteGruenland/FeldfruechteGruenland.html" TargetMode="External"/><Relationship Id="rId70" Type="http://schemas.openxmlformats.org/officeDocument/2006/relationships/hyperlink" Target="https://www.bmwi.de/Redaktion/DE/Publikationen/Energie/erneuerbare-energien-in-zahlen-2016.pdf?__blob=publicationFile&amp;v=8" TargetMode="External"/><Relationship Id="rId75" Type="http://schemas.openxmlformats.org/officeDocument/2006/relationships/hyperlink" Target="http://www.i-feu.de/I-FEU/Podcast/5B301566-15A0-460E-9BF0-71A5C655BBB4.html" TargetMode="External"/><Relationship Id="rId83" Type="http://schemas.openxmlformats.org/officeDocument/2006/relationships/vmlDrawing" Target="../drawings/vmlDrawing4.vml"/><Relationship Id="rId1" Type="http://schemas.openxmlformats.org/officeDocument/2006/relationships/hyperlink" Target="http://skn.privat.t-online.de/wattweg/media/files/Ho130306.pdf" TargetMode="External"/><Relationship Id="rId6" Type="http://schemas.openxmlformats.org/officeDocument/2006/relationships/hyperlink" Target="http://www.erneuerbare-energien.de/EE/Redaktion/DE/Downloads/erneuerbare-energien-in-zahlen.pdf?__blob=publicationFile&amp;v=5" TargetMode="External"/><Relationship Id="rId15" Type="http://schemas.openxmlformats.org/officeDocument/2006/relationships/hyperlink" Target="http://www.ifeu.de/landwirtschaft/pdf/IFEU%20-%20Positionspapier%20Stroh.pdf" TargetMode="External"/><Relationship Id="rId23" Type="http://schemas.openxmlformats.org/officeDocument/2006/relationships/hyperlink" Target="http://en-q.de/media/links/VDE_Effizienz-_und_Einsparpotentiale_in_Deutschland.pdf" TargetMode="External"/><Relationship Id="rId28" Type="http://schemas.openxmlformats.org/officeDocument/2006/relationships/hyperlink" Target="http://de.statista.com/statistik/daten/studie/1717/umfrage/prognose-zur-entwicklung-der-weltbevoelkerung/" TargetMode="External"/><Relationship Id="rId36" Type="http://schemas.openxmlformats.org/officeDocument/2006/relationships/hyperlink" Target="https://www.foederal-erneuerbar.de/landesinfo/bundesland/D/kategorie/bioenergie/ausgabe/download" TargetMode="External"/><Relationship Id="rId49" Type="http://schemas.openxmlformats.org/officeDocument/2006/relationships/hyperlink" Target="https://www.vde.com/de/regionalorganisation/bezirksvereine/suedbayern/facharbeit%20regional/akenergietechnik/documents/vortrag%2015112012%20elektromobilit%C3%A4t%20und%20energieeffizienz.pdf" TargetMode="External"/><Relationship Id="rId57" Type="http://schemas.openxmlformats.org/officeDocument/2006/relationships/hyperlink" Target="http://www.isi.fraunhofer.de/isi-wAssets/docs/e/de/publikationen/Klimaschutz_Energieeffizienz_undBeschaeftigung.pdf" TargetMode="External"/><Relationship Id="rId10" Type="http://schemas.openxmlformats.org/officeDocument/2006/relationships/hyperlink" Target="http://www.wind-energie.de/shop-potenzial-der-windenergienutzung-land" TargetMode="External"/><Relationship Id="rId31" Type="http://schemas.openxmlformats.org/officeDocument/2006/relationships/hyperlink" Target="http://www.waermepumpe.de/presse/pressemitteilungen/pressemitteilung/article/immer-mehr-bauherren-setzen-auf-waermepumpe.html" TargetMode="External"/><Relationship Id="rId44" Type="http://schemas.openxmlformats.org/officeDocument/2006/relationships/hyperlink" Target="http://www.landesforsten.de/Naturwaelder.2131.98.html" TargetMode="External"/><Relationship Id="rId52" Type="http://schemas.openxmlformats.org/officeDocument/2006/relationships/hyperlink" Target="http://www.agora-energiewende.de/service/publikationen/publikation/pub-action/show/pub-title/entwicklung-der-windenergie-in-deutschland/" TargetMode="External"/><Relationship Id="rId60" Type="http://schemas.openxmlformats.org/officeDocument/2006/relationships/hyperlink" Target="http://www.alpha-ventus.de/fileadmin/user_upload/av_Factsheet_de_Dez2012_2.pdf" TargetMode="External"/><Relationship Id="rId65" Type="http://schemas.openxmlformats.org/officeDocument/2006/relationships/hyperlink" Target="http://docplayer.org/13519950-Natuerliche-waldentwicklung-in-deutschland.html" TargetMode="External"/><Relationship Id="rId73" Type="http://schemas.openxmlformats.org/officeDocument/2006/relationships/hyperlink" Target="https://www.bundesverband-bioenergie.de/application/files/8714/9129/3591/entwicklung_der_erneuerbaren_energien_in_deutschland_im_jahr_2016.pdf" TargetMode="External"/><Relationship Id="rId78" Type="http://schemas.openxmlformats.org/officeDocument/2006/relationships/hyperlink" Target="https://www.efzn.de/fileadmin/documents/Niedersaechsische_Energietage/Vortr%C3%A4ge/2016/FF3-Boor.pdf" TargetMode="External"/><Relationship Id="rId81" Type="http://schemas.openxmlformats.org/officeDocument/2006/relationships/hyperlink" Target="https://wattweg.net/media/files/zukunft-kunststoff-200811.pdf" TargetMode="External"/><Relationship Id="rId4" Type="http://schemas.openxmlformats.org/officeDocument/2006/relationships/hyperlink" Target="http://www.zsd-solar.de/wp-content/uploads/2013/02/Fakten-zur-PV-Fraunhofer-ISE-120202.pdf" TargetMode="External"/><Relationship Id="rId9" Type="http://schemas.openxmlformats.org/officeDocument/2006/relationships/hyperlink" Target="http://www.forschungsradar.de/uploads/media/AEE_Dossier_Studienvergleich_Volllaststunden_juli13.pdf" TargetMode="External"/><Relationship Id="rId13" Type="http://schemas.openxmlformats.org/officeDocument/2006/relationships/hyperlink" Target="http://www.ml.niedersachsen.de/download/3458" TargetMode="External"/><Relationship Id="rId18" Type="http://schemas.openxmlformats.org/officeDocument/2006/relationships/hyperlink" Target="http://skn.privat.t-online.de/wattweg/media/files/BA130306.pdf" TargetMode="External"/><Relationship Id="rId39" Type="http://schemas.openxmlformats.org/officeDocument/2006/relationships/hyperlink" Target="http://www.dlr.de/dlr/Portaldata/1/Resources/bilder/portal/portal_2012_1/leitstudie2011_bf.pdf" TargetMode="External"/><Relationship Id="rId34" Type="http://schemas.openxmlformats.org/officeDocument/2006/relationships/hyperlink" Target="https://www.foederal-erneuerbar.de/landesinfo/bundesland/D/kategorie/solar/ausgabe/download" TargetMode="External"/><Relationship Id="rId50" Type="http://schemas.openxmlformats.org/officeDocument/2006/relationships/hyperlink" Target="http://www.netztransparenz.de/de/Anlagenstammdaten.htm" TargetMode="External"/><Relationship Id="rId55" Type="http://schemas.openxmlformats.org/officeDocument/2006/relationships/hyperlink" Target="http://www.3-n.info/download.php?file=pdf_files/InfomaterialDownloadsFestbrennstoffe/feuerstaettenzaehlung_niedersachsen_2013.pdf" TargetMode="External"/><Relationship Id="rId76" Type="http://schemas.openxmlformats.org/officeDocument/2006/relationships/hyperlink" Target="https://www.bveg.de/Erdgas/Zahlen-und-Fakten" TargetMode="External"/><Relationship Id="rId7" Type="http://schemas.openxmlformats.org/officeDocument/2006/relationships/hyperlink" Target="http://www.windguard.de/_Resources/Persistent/2a1574c37ee9b45a46c5755a5d3b0e18c19242cd/Pressemitteilung-Status-Offshore-2013-2014-01-29.pdf" TargetMode="External"/><Relationship Id="rId71" Type="http://schemas.openxmlformats.org/officeDocument/2006/relationships/hyperlink" Target="http://www.fnr.de/fileadmin/allgemein/pdf/broschueren/broschuere_basisdaten_bioenergie_2017_2.pdf" TargetMode="External"/><Relationship Id="rId2" Type="http://schemas.openxmlformats.org/officeDocument/2006/relationships/hyperlink" Target="https://www.regionalstatistik.de/genesis/online/logon" TargetMode="External"/><Relationship Id="rId29" Type="http://schemas.openxmlformats.org/officeDocument/2006/relationships/hyperlink" Target="http://www.zuckerverbaende.de/ruebe-zucker/bioethanol.html" TargetMode="External"/><Relationship Id="rId24" Type="http://schemas.openxmlformats.org/officeDocument/2006/relationships/hyperlink" Target="http://www.3-n.info/download.php?file=pdf_files/InfomaterialDownloadsBiogas/biogasinventur_niedersachsen_2014.pdf" TargetMode="External"/><Relationship Id="rId40" Type="http://schemas.openxmlformats.org/officeDocument/2006/relationships/hyperlink" Target="http://www.co2online.de/service/publikationen/trendreport-energie/heizenergieverbrauch/" TargetMode="External"/><Relationship Id="rId45" Type="http://schemas.openxmlformats.org/officeDocument/2006/relationships/hyperlink" Target="http://www.ml.niedersachsen.de/portal/live.php?navigation_id=1810&amp;article_id=118824&amp;_psmand=7" TargetMode="External"/><Relationship Id="rId66" Type="http://schemas.openxmlformats.org/officeDocument/2006/relationships/hyperlink" Target="https://www.bmwi.de/Redaktion/DE/Downloads/M-O/marktanalyse-photovoltaik-dachanlagen.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3" Type="http://schemas.openxmlformats.org/officeDocument/2006/relationships/hyperlink" Target="https://www.gnu.org/philosophy/free-sw.de.html" TargetMode="External"/><Relationship Id="rId2" Type="http://schemas.openxmlformats.org/officeDocument/2006/relationships/hyperlink" Target="http://ernes.de/kontakt.html" TargetMode="External"/><Relationship Id="rId1" Type="http://schemas.openxmlformats.org/officeDocument/2006/relationships/hyperlink" Target="https://www.gnu.org/licenses/"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1">
    <tabColor theme="6" tint="0.39997558519241921"/>
    <outlinePr summaryBelow="0" summaryRight="0"/>
  </sheetPr>
  <dimension ref="A1:FA2133"/>
  <sheetViews>
    <sheetView showGridLines="0" showRowColHeaders="0" tabSelected="1" topLeftCell="D1" zoomScaleNormal="100" zoomScaleSheetLayoutView="100" workbookViewId="0">
      <pane ySplit="4" topLeftCell="A406" activePane="bottomLeft" state="frozen"/>
      <selection activeCell="N2" sqref="N2"/>
      <selection pane="bottomLeft" activeCell="AC417" sqref="AC417"/>
    </sheetView>
  </sheetViews>
  <sheetFormatPr baseColWidth="10" defaultColWidth="11.5" defaultRowHeight="15" outlineLevelCol="1"/>
  <cols>
    <col min="1" max="1" width="7.6640625" style="487" hidden="1" customWidth="1"/>
    <col min="2" max="2" width="6.1640625" style="487" hidden="1" customWidth="1"/>
    <col min="3" max="3" width="5.5" style="487" hidden="1" customWidth="1"/>
    <col min="4" max="4" width="4" style="487" customWidth="1"/>
    <col min="5" max="5" width="11.1640625" style="350" customWidth="1"/>
    <col min="6" max="8" width="7.83203125" style="350" customWidth="1"/>
    <col min="9" max="9" width="7.83203125" style="487" customWidth="1"/>
    <col min="10" max="10" width="8.5" style="487" customWidth="1"/>
    <col min="11" max="11" width="10.5" style="487" customWidth="1"/>
    <col min="12" max="12" width="4.6640625" style="487" customWidth="1"/>
    <col min="13" max="13" width="10.5" style="487" customWidth="1"/>
    <col min="14" max="14" width="5.33203125" style="534" customWidth="1"/>
    <col min="15" max="15" width="3.1640625" style="875" bestFit="1" customWidth="1"/>
    <col min="16" max="16" width="9" style="535" customWidth="1" outlineLevel="1"/>
    <col min="17" max="17" width="11.5" style="499" customWidth="1" outlineLevel="1"/>
    <col min="18" max="18" width="1.5" style="892" customWidth="1" collapsed="1"/>
    <col min="19" max="19" width="71" style="499" hidden="1" customWidth="1" outlineLevel="1"/>
    <col min="20" max="20" width="11.5" style="885" customWidth="1"/>
    <col min="21" max="21" width="11.5" style="757" hidden="1" customWidth="1" outlineLevel="1"/>
    <col min="22" max="22" width="1.6640625" style="757" hidden="1" customWidth="1" outlineLevel="1"/>
    <col min="23" max="23" width="11.5" style="757" hidden="1" customWidth="1" outlineLevel="1"/>
    <col min="24" max="24" width="6.1640625" style="757" hidden="1" customWidth="1" outlineLevel="1"/>
    <col min="25" max="25" width="10.5" style="757" hidden="1" customWidth="1" outlineLevel="1"/>
    <col min="26" max="26" width="6.1640625" style="757" hidden="1" customWidth="1" outlineLevel="1"/>
    <col min="27" max="27" width="1.83203125" style="757" customWidth="1" outlineLevel="1"/>
    <col min="28" max="28" width="1.5" style="520" customWidth="1" outlineLevel="1"/>
    <col min="29" max="29" width="9.1640625" style="520" customWidth="1" outlineLevel="1" collapsed="1"/>
    <col min="30" max="48" width="11.5" style="520" hidden="1" customWidth="1" outlineLevel="1"/>
    <col min="49" max="49" width="9.33203125" style="350" customWidth="1" collapsed="1"/>
    <col min="50" max="50" width="11.5" style="350" hidden="1" customWidth="1" outlineLevel="1"/>
    <col min="51" max="51" width="11.5" style="507" hidden="1" customWidth="1" outlineLevel="1"/>
    <col min="52" max="52" width="11.5" style="350" hidden="1" customWidth="1" outlineLevel="1"/>
    <col min="53" max="53" width="11.5" style="507" hidden="1" customWidth="1" outlineLevel="1"/>
    <col min="54" max="55" width="11.5" style="350" hidden="1" customWidth="1" outlineLevel="1"/>
    <col min="56" max="56" width="46.1640625" style="350" hidden="1" customWidth="1" outlineLevel="1"/>
    <col min="57" max="57" width="11.5" style="350" customWidth="1" collapsed="1"/>
    <col min="58" max="60" width="11.5" style="350" hidden="1" customWidth="1" outlineLevel="1"/>
    <col min="61" max="61" width="9" style="350" customWidth="1" collapsed="1"/>
    <col min="62" max="62" width="42.83203125" style="493" hidden="1" customWidth="1" outlineLevel="1"/>
    <col min="63" max="63" width="6.5" style="350" hidden="1" customWidth="1" outlineLevel="1"/>
    <col min="64" max="64" width="4.5" style="350" hidden="1" customWidth="1" outlineLevel="1"/>
    <col min="65" max="65" width="4.83203125" style="350" hidden="1" customWidth="1" outlineLevel="1"/>
    <col min="66" max="66" width="9" style="757" customWidth="1" collapsed="1"/>
    <col min="67" max="67" width="9" style="350" hidden="1" customWidth="1" outlineLevel="1"/>
    <col min="68" max="68" width="65.1640625" style="350" hidden="1" customWidth="1" outlineLevel="1"/>
    <col min="69" max="69" width="7.1640625" style="350" hidden="1" customWidth="1" outlineLevel="1"/>
    <col min="70" max="70" width="6.1640625" style="350" hidden="1" customWidth="1" outlineLevel="1"/>
    <col min="71" max="71" width="11.5" style="350" customWidth="1" collapsed="1"/>
    <col min="72" max="97" width="11.5" style="350" hidden="1" customWidth="1" outlineLevel="1"/>
    <col min="98" max="98" width="11.5" style="350" customWidth="1" collapsed="1"/>
    <col min="99" max="99" width="83.6640625" style="488" hidden="1" customWidth="1" outlineLevel="1"/>
    <col min="100" max="100" width="11.5" style="757" customWidth="1" collapsed="1"/>
    <col min="101" max="101" width="10" style="488" hidden="1" customWidth="1" outlineLevel="1" collapsed="1"/>
    <col min="102" max="102" width="11.5" style="350" hidden="1" customWidth="1" outlineLevel="1"/>
    <col min="103" max="103" width="28.83203125" style="350" hidden="1" customWidth="1" outlineLevel="1"/>
    <col min="104" max="104" width="47.5" style="350" hidden="1" customWidth="1" outlineLevel="1"/>
    <col min="105" max="117" width="11.5" style="350" hidden="1" customWidth="1" outlineLevel="1"/>
    <col min="118" max="118" width="30.83203125" style="350" hidden="1" customWidth="1" outlineLevel="1"/>
    <col min="119" max="122" width="11.5" style="350" hidden="1" customWidth="1" outlineLevel="1"/>
    <col min="123" max="123" width="11.6640625" style="757" customWidth="1" collapsed="1"/>
    <col min="124" max="125" width="11.5" style="350" hidden="1" customWidth="1" outlineLevel="1"/>
    <col min="126" max="126" width="66.5" style="350" hidden="1" customWidth="1" outlineLevel="1"/>
    <col min="127" max="127" width="11.6640625" style="350" hidden="1" customWidth="1" outlineLevel="1"/>
    <col min="128" max="128" width="10.33203125" style="350" hidden="1" customWidth="1" outlineLevel="1"/>
    <col min="129" max="130" width="5.33203125" style="350" hidden="1" customWidth="1" outlineLevel="1"/>
    <col min="131" max="131" width="3.33203125" style="350" hidden="1" customWidth="1" outlineLevel="1"/>
    <col min="132" max="132" width="3" style="350" hidden="1" customWidth="1" outlineLevel="1"/>
    <col min="133" max="133" width="17.5" style="350" hidden="1" customWidth="1" outlineLevel="1"/>
    <col min="134" max="134" width="4.6640625" style="350" hidden="1" customWidth="1" outlineLevel="1"/>
    <col min="135" max="135" width="3.33203125" style="350" hidden="1" customWidth="1" outlineLevel="1"/>
    <col min="136" max="136" width="3" style="350" hidden="1" customWidth="1" outlineLevel="1"/>
    <col min="137" max="137" width="17.5" style="350" hidden="1" customWidth="1" outlineLevel="1"/>
    <col min="138" max="138" width="5" style="350" hidden="1" customWidth="1" outlineLevel="1"/>
    <col min="139" max="139" width="11.5" style="350" customWidth="1" collapsed="1"/>
    <col min="140" max="150" width="11.5" style="350" hidden="1" customWidth="1" outlineLevel="1"/>
    <col min="151" max="151" width="14.5" style="350" customWidth="1" collapsed="1"/>
    <col min="152" max="153" width="5.5" style="821" hidden="1" customWidth="1" outlineLevel="1"/>
    <col min="154" max="16384" width="11.5" style="350"/>
  </cols>
  <sheetData>
    <row r="1" spans="1:153" ht="15" customHeight="1" thickBot="1">
      <c r="A1" s="1016" t="s">
        <v>1883</v>
      </c>
      <c r="F1" s="757"/>
      <c r="O1" s="867" t="s">
        <v>214</v>
      </c>
      <c r="P1" s="580"/>
      <c r="Q1" s="581" t="s">
        <v>249</v>
      </c>
      <c r="R1" s="886"/>
      <c r="S1" s="589"/>
      <c r="T1" s="880" t="s">
        <v>248</v>
      </c>
      <c r="U1" s="1049" t="s">
        <v>1181</v>
      </c>
      <c r="V1" s="1050"/>
      <c r="W1" s="1051" t="str">
        <f>SUBSTITUTE(ADDRESS(1,COLUMN(),4),1,)</f>
        <v>W</v>
      </c>
      <c r="X1" s="1052" t="s">
        <v>1261</v>
      </c>
      <c r="Y1" s="1053"/>
      <c r="Z1" s="1054"/>
      <c r="AB1" s="1055"/>
      <c r="AC1" s="1056"/>
      <c r="AD1" s="1057" t="s">
        <v>1260</v>
      </c>
      <c r="AE1" s="1057"/>
      <c r="AF1" s="1058"/>
      <c r="AG1" s="1058"/>
      <c r="AH1" s="1058"/>
      <c r="AI1" s="1058"/>
      <c r="AJ1" s="1058"/>
      <c r="AK1" s="1058"/>
      <c r="AL1" s="1058"/>
      <c r="AM1" s="1058"/>
      <c r="AN1" s="1058"/>
      <c r="AO1" s="1058"/>
      <c r="AP1" s="1058"/>
      <c r="AQ1" s="1058"/>
      <c r="AR1" s="1058"/>
      <c r="AS1" s="1058"/>
      <c r="AT1" s="1058"/>
      <c r="AU1" s="1058"/>
      <c r="AV1" s="1059"/>
      <c r="AW1" s="879" t="s">
        <v>209</v>
      </c>
      <c r="AX1" s="494"/>
      <c r="AY1" s="498"/>
      <c r="AZ1" s="494"/>
      <c r="BA1" s="498"/>
      <c r="BB1" s="494"/>
      <c r="BC1" s="494"/>
      <c r="BD1" s="472"/>
      <c r="BE1" s="879" t="s">
        <v>247</v>
      </c>
      <c r="BF1" s="475" t="s">
        <v>202</v>
      </c>
      <c r="BG1" s="475" t="s">
        <v>203</v>
      </c>
      <c r="BH1" s="475" t="s">
        <v>204</v>
      </c>
      <c r="BI1" s="879" t="s">
        <v>206</v>
      </c>
      <c r="BJ1" s="490" t="s">
        <v>205</v>
      </c>
      <c r="BK1" s="472" t="s">
        <v>127</v>
      </c>
      <c r="BL1" s="472" t="s">
        <v>128</v>
      </c>
      <c r="BM1" s="472" t="s">
        <v>135</v>
      </c>
      <c r="BN1" s="879" t="s">
        <v>208</v>
      </c>
      <c r="BP1" s="472"/>
      <c r="BQ1" s="472"/>
      <c r="BR1" s="472"/>
      <c r="BS1" s="879" t="s">
        <v>209</v>
      </c>
      <c r="BT1" s="16" t="str">
        <f ca="1">BU1&amp;BW1</f>
        <v>D.1.</v>
      </c>
      <c r="BU1" s="472" t="str">
        <f ca="1">LEFT(BV1,1)&amp;"."</f>
        <v>D.</v>
      </c>
      <c r="BV1" s="452" t="str">
        <f ca="1">MID(BY1,FIND("[",BY1)+1,FIND("xls",BY1)-FIND("[",BY1)-1)</f>
        <v>D_Python.</v>
      </c>
      <c r="BW1" s="452" t="str">
        <f ca="1">LEFT(BX1,FIND(".",BX1))</f>
        <v>1.</v>
      </c>
      <c r="BX1" s="452" t="str">
        <f ca="1">MID(BY1,FIND("]",BY1)+1,255)</f>
        <v>1.</v>
      </c>
      <c r="BY1" s="350" t="str">
        <f ca="1">CELL("dateiname",BY1)</f>
        <v>/Users/izzetkilicarslan/PycharmProjects/Masterarbeit_100prosim/Excel_import/Python_Modell/[D_Python.xlsx]1.</v>
      </c>
      <c r="BZ1" s="472"/>
      <c r="CA1" s="472"/>
      <c r="CB1" s="472"/>
      <c r="CC1" s="472"/>
      <c r="CD1" s="472"/>
      <c r="CE1" s="472" t="s">
        <v>197</v>
      </c>
      <c r="CF1" s="472" t="s">
        <v>198</v>
      </c>
      <c r="CG1" s="473" t="s">
        <v>195</v>
      </c>
      <c r="CH1" s="473" t="s">
        <v>196</v>
      </c>
      <c r="CJ1" s="472" t="str">
        <f ca="1">"["&amp;BV1&amp;"xlsx]"</f>
        <v>[D_Python.xlsx]</v>
      </c>
      <c r="CK1" s="472" t="str">
        <f ca="1">CJ1&amp;BX1&amp;"!D"</f>
        <v>[D_Python.xlsx]1.!D</v>
      </c>
      <c r="CL1" s="523" t="e">
        <f>#REF!</f>
        <v>#REF!</v>
      </c>
      <c r="CM1" s="350" t="str">
        <f ca="1">TEXT(TODAY(),"tt.MM.jjjj")</f>
        <v>23.03.2021</v>
      </c>
      <c r="CN1" s="472" t="str">
        <f ca="1">TEXT(NOW(),"hh:mm")</f>
        <v>10:34</v>
      </c>
      <c r="CO1" s="472" t="e">
        <f ca="1">"100prosim ("&amp;BV1&amp;"xlsx V."&amp;CL1&amp;")   -   "&amp;CM1&amp;"  "&amp;CN1</f>
        <v>#REF!</v>
      </c>
      <c r="CP1" s="472"/>
      <c r="CQ1" s="472"/>
      <c r="CR1" s="472"/>
      <c r="CS1" s="472"/>
      <c r="CT1" s="879" t="s">
        <v>207</v>
      </c>
      <c r="CU1" s="472"/>
      <c r="CV1" s="879" t="s">
        <v>242</v>
      </c>
      <c r="CX1" s="350" t="s">
        <v>233</v>
      </c>
      <c r="CY1" s="350" t="s">
        <v>222</v>
      </c>
      <c r="CZ1" s="350" t="s">
        <v>223</v>
      </c>
      <c r="DA1" s="350" t="s">
        <v>224</v>
      </c>
      <c r="DB1" s="350" t="s">
        <v>225</v>
      </c>
      <c r="DC1" s="350" t="s">
        <v>226</v>
      </c>
      <c r="DD1" s="350" t="s">
        <v>227</v>
      </c>
      <c r="DE1" s="350" t="s">
        <v>228</v>
      </c>
      <c r="DF1" s="350" t="s">
        <v>229</v>
      </c>
      <c r="DG1" s="350" t="s">
        <v>230</v>
      </c>
      <c r="DH1" s="350" t="s">
        <v>231</v>
      </c>
      <c r="DI1" s="350" t="s">
        <v>232</v>
      </c>
      <c r="DJ1" s="350" t="s">
        <v>234</v>
      </c>
      <c r="DK1" s="350" t="s">
        <v>235</v>
      </c>
      <c r="DL1" s="350" t="s">
        <v>236</v>
      </c>
      <c r="DM1" s="350" t="s">
        <v>237</v>
      </c>
      <c r="DN1" s="350" t="s">
        <v>238</v>
      </c>
      <c r="DO1" s="350" t="s">
        <v>239</v>
      </c>
      <c r="DP1" s="350" t="s">
        <v>240</v>
      </c>
      <c r="DQ1" s="350" t="s">
        <v>121</v>
      </c>
      <c r="DR1" s="350" t="s">
        <v>241</v>
      </c>
      <c r="DS1" s="879" t="s">
        <v>210</v>
      </c>
      <c r="DU1" s="494" t="s">
        <v>243</v>
      </c>
      <c r="DV1" s="472" t="s">
        <v>223</v>
      </c>
      <c r="DW1" s="472" t="s">
        <v>224</v>
      </c>
      <c r="DX1" s="472" t="s">
        <v>225</v>
      </c>
      <c r="DY1" s="472" t="s">
        <v>226</v>
      </c>
      <c r="DZ1" s="472" t="s">
        <v>227</v>
      </c>
      <c r="EA1" s="472" t="s">
        <v>228</v>
      </c>
      <c r="EB1" s="472" t="s">
        <v>229</v>
      </c>
      <c r="EC1" s="472" t="s">
        <v>230</v>
      </c>
      <c r="ED1" s="472" t="s">
        <v>231</v>
      </c>
      <c r="EE1" s="472" t="s">
        <v>232</v>
      </c>
      <c r="EF1" s="472" t="s">
        <v>234</v>
      </c>
      <c r="EG1" s="472" t="s">
        <v>235</v>
      </c>
      <c r="EH1" s="350" t="s">
        <v>236</v>
      </c>
      <c r="EI1" s="879" t="s">
        <v>246</v>
      </c>
      <c r="EJ1" s="350" t="str">
        <f ca="1">'9.Quellen'!AE1</f>
        <v>9.</v>
      </c>
      <c r="EK1" s="350" t="str">
        <f ca="1">CJ1&amp;'9.Quellen'!AF1&amp;"!C"</f>
        <v>[D_Python.xlsx]9.Quellen!C</v>
      </c>
      <c r="EN1" s="350" t="str">
        <f ca="1">'7.VerbrauchStatus'!BQ1</f>
        <v>7.</v>
      </c>
      <c r="EO1" s="350" t="str">
        <f ca="1">CJ1&amp;'7.VerbrauchStatus'!BR1&amp;"!D"</f>
        <v>[D_Python.xlsx]7.VerbrauchStatus!D</v>
      </c>
      <c r="ER1" s="350" t="str">
        <f ca="1">'8.Kennzahlen'!BQ1</f>
        <v>8.</v>
      </c>
      <c r="ES1" s="350" t="str">
        <f ca="1">CJ1&amp;'8.Kennzahlen'!BR1&amp;"!D"</f>
        <v>[D_Python.xlsx]8.Kennzahlen!D</v>
      </c>
      <c r="EU1" s="879" t="s">
        <v>861</v>
      </c>
      <c r="EV1" s="1144">
        <v>150424</v>
      </c>
      <c r="EW1" s="1144"/>
    </row>
    <row r="2" spans="1:153" s="472" customFormat="1" ht="12.75" customHeight="1" thickTop="1">
      <c r="A2" s="471" t="str">
        <f ca="1">BT$1&amp;ROW()</f>
        <v>D.1.2</v>
      </c>
      <c r="B2" s="471" t="str">
        <f ca="1">BW$1&amp;ROW()</f>
        <v>1.2</v>
      </c>
      <c r="C2" s="471"/>
      <c r="D2" s="471"/>
      <c r="I2" s="471"/>
      <c r="J2" s="471"/>
      <c r="K2" s="471"/>
      <c r="L2" s="471"/>
      <c r="M2" s="471"/>
      <c r="N2" s="899" t="str">
        <f ca="1">Stempel!$A$11&amp;" - "&amp;Stempel!$B$13&amp;" "&amp;Stempel!$B$14</f>
        <v>100prosim (D_Python.xlsx, 200818.2120_hsk) - 23.03.2021 10:34</v>
      </c>
      <c r="O2" s="1145" t="s">
        <v>919</v>
      </c>
      <c r="P2" s="579"/>
      <c r="Q2" s="496"/>
      <c r="R2" s="852"/>
      <c r="S2" s="496"/>
      <c r="T2" s="864"/>
      <c r="U2" s="497" t="s">
        <v>217</v>
      </c>
      <c r="V2" s="497"/>
      <c r="W2" s="497" t="s">
        <v>218</v>
      </c>
      <c r="X2" s="905"/>
      <c r="Y2" s="905"/>
      <c r="Z2" s="905"/>
      <c r="AA2" s="905"/>
      <c r="AB2" s="801"/>
      <c r="AC2" s="1060">
        <v>44039</v>
      </c>
      <c r="AD2" s="1061"/>
      <c r="AE2" s="801"/>
      <c r="AF2" s="801"/>
      <c r="AG2" s="801"/>
      <c r="AH2" s="801"/>
      <c r="AI2" s="801"/>
      <c r="AJ2" s="801"/>
      <c r="AK2" s="801"/>
      <c r="AL2" s="801"/>
      <c r="AM2" s="801"/>
      <c r="AN2" s="801"/>
      <c r="AO2" s="801"/>
      <c r="AP2" s="801"/>
      <c r="AQ2" s="801"/>
      <c r="AR2" s="801"/>
      <c r="AS2" s="801"/>
      <c r="AT2" s="801"/>
      <c r="AU2" s="801"/>
      <c r="AV2" s="801"/>
      <c r="AY2" s="504"/>
      <c r="BA2" s="504"/>
      <c r="BN2" s="656"/>
      <c r="BO2" s="472" t="s">
        <v>254</v>
      </c>
      <c r="CV2" s="656"/>
      <c r="DS2" s="656"/>
      <c r="EV2" s="1144"/>
      <c r="EW2" s="1144"/>
    </row>
    <row r="3" spans="1:153" s="475" customFormat="1" ht="14">
      <c r="A3" s="474" t="str">
        <f ca="1">BT$1&amp;ROW()</f>
        <v>D.1.3</v>
      </c>
      <c r="B3" s="474" t="str">
        <f ca="1">BW$1&amp;ROW()</f>
        <v>1.3</v>
      </c>
      <c r="C3" s="474"/>
      <c r="D3" s="781" t="str">
        <f ca="1">CU3</f>
        <v>D.1. Datenmodell 'Deutschland 100%EE' (200822)</v>
      </c>
      <c r="E3" s="553"/>
      <c r="F3" s="553"/>
      <c r="G3" s="553"/>
      <c r="H3" s="553"/>
      <c r="I3" s="554"/>
      <c r="J3" s="555" t="s">
        <v>199</v>
      </c>
      <c r="K3" s="555" t="s">
        <v>200</v>
      </c>
      <c r="L3" s="555"/>
      <c r="M3" s="555" t="s">
        <v>201</v>
      </c>
      <c r="N3" s="556"/>
      <c r="O3" s="1145"/>
      <c r="P3" s="565" t="s">
        <v>13</v>
      </c>
      <c r="Q3" s="814" t="s">
        <v>215</v>
      </c>
      <c r="R3" s="887"/>
      <c r="S3" s="815" t="s">
        <v>858</v>
      </c>
      <c r="T3" s="881"/>
      <c r="U3" s="497" t="s">
        <v>216</v>
      </c>
      <c r="V3" s="497"/>
      <c r="W3" s="497" t="s">
        <v>221</v>
      </c>
      <c r="X3" s="497" t="s">
        <v>13</v>
      </c>
      <c r="Y3" s="503" t="s">
        <v>215</v>
      </c>
      <c r="Z3" s="645" t="str">
        <f ca="1">'7.VerbrauchStatus'!BR1</f>
        <v>7.VerbrauchStatus</v>
      </c>
      <c r="AA3" s="658"/>
      <c r="AB3" s="674"/>
      <c r="AC3" s="1061"/>
      <c r="AD3" s="1061"/>
      <c r="AE3" s="674"/>
      <c r="AF3" s="674"/>
      <c r="AG3" s="674"/>
      <c r="AH3" s="674"/>
      <c r="AI3" s="674"/>
      <c r="AJ3" s="674"/>
      <c r="AK3" s="674"/>
      <c r="AL3" s="674"/>
      <c r="AM3" s="674"/>
      <c r="AN3" s="674"/>
      <c r="AO3" s="674"/>
      <c r="AP3" s="674"/>
      <c r="AQ3" s="674"/>
      <c r="AR3" s="674"/>
      <c r="AS3" s="674"/>
      <c r="AT3" s="674"/>
      <c r="AU3" s="674"/>
      <c r="AV3" s="674"/>
      <c r="AY3" s="503" t="s">
        <v>127</v>
      </c>
      <c r="AZ3" s="504"/>
      <c r="BA3" s="502" t="s">
        <v>128</v>
      </c>
      <c r="BB3" s="506"/>
      <c r="BD3" s="497"/>
      <c r="BI3" s="475" t="s">
        <v>126</v>
      </c>
      <c r="BJ3" s="491"/>
      <c r="BN3" s="658"/>
      <c r="BO3" s="475" t="s">
        <v>253</v>
      </c>
      <c r="BP3" s="518" t="s">
        <v>258</v>
      </c>
      <c r="CU3" s="519" t="str">
        <f ca="1">BT1&amp;" "&amp;BP3&amp;" '"&amp;W7&amp;"' ("&amp;W14&amp;")"</f>
        <v>D.1. Datenmodell 'Deutschland 100%EE' (200822)</v>
      </c>
      <c r="CV3" s="658"/>
      <c r="CW3" s="476"/>
      <c r="DS3" s="658"/>
      <c r="EV3" s="1144"/>
      <c r="EW3" s="1144"/>
    </row>
    <row r="4" spans="1:153" s="478" customFormat="1" ht="4">
      <c r="A4" s="677" t="str">
        <f ca="1">BT$1&amp;D4</f>
        <v>D.1.4</v>
      </c>
      <c r="B4" s="677">
        <v>3</v>
      </c>
      <c r="C4" s="477"/>
      <c r="D4" s="522">
        <f>ROW()</f>
        <v>4</v>
      </c>
      <c r="E4" s="528"/>
      <c r="F4" s="528"/>
      <c r="G4" s="528"/>
      <c r="H4" s="528"/>
      <c r="I4" s="527"/>
      <c r="J4" s="527"/>
      <c r="K4" s="527"/>
      <c r="L4" s="527"/>
      <c r="M4" s="527"/>
      <c r="N4" s="528"/>
      <c r="O4" s="868"/>
      <c r="P4" s="566"/>
      <c r="Q4" s="567"/>
      <c r="R4" s="888"/>
      <c r="S4" s="479"/>
      <c r="T4" s="882"/>
      <c r="U4" s="661"/>
      <c r="V4" s="661"/>
      <c r="W4" s="661"/>
      <c r="X4" s="661"/>
      <c r="Y4" s="661"/>
      <c r="Z4" s="661"/>
      <c r="AA4" s="661"/>
      <c r="AB4" s="675"/>
      <c r="AC4" s="675"/>
      <c r="AD4" s="675"/>
      <c r="AE4" s="675"/>
      <c r="AF4" s="675"/>
      <c r="AG4" s="675"/>
      <c r="AH4" s="675"/>
      <c r="AI4" s="675"/>
      <c r="AJ4" s="675"/>
      <c r="AK4" s="675"/>
      <c r="AL4" s="675"/>
      <c r="AM4" s="675"/>
      <c r="AN4" s="675"/>
      <c r="AO4" s="675"/>
      <c r="AP4" s="675"/>
      <c r="AQ4" s="675"/>
      <c r="AR4" s="675"/>
      <c r="AS4" s="675"/>
      <c r="AT4" s="675"/>
      <c r="AU4" s="675"/>
      <c r="AV4" s="675"/>
      <c r="AZ4" s="505"/>
      <c r="BB4" s="505"/>
      <c r="BI4" s="478" t="s">
        <v>126</v>
      </c>
      <c r="BJ4" s="489"/>
      <c r="BN4" s="661"/>
      <c r="CU4" s="479"/>
      <c r="CV4" s="661"/>
      <c r="CW4" s="479"/>
      <c r="DS4" s="661"/>
      <c r="EV4" s="818"/>
      <c r="EW4" s="818"/>
    </row>
    <row r="5" spans="1:153" s="472" customFormat="1" ht="13">
      <c r="A5" s="654" t="str">
        <f ca="1">BT$1&amp;D5</f>
        <v>D.1.5</v>
      </c>
      <c r="B5" s="654" t="str">
        <f ca="1">BW$1&amp;D5</f>
        <v>1.5</v>
      </c>
      <c r="C5" s="654" t="str">
        <f t="shared" ref="C5:C74" si="0">CE$1&amp;D5&amp;CF$1</f>
        <v>[5]</v>
      </c>
      <c r="D5" s="654">
        <f>ROW()</f>
        <v>5</v>
      </c>
      <c r="E5" s="481" t="str">
        <f>BP5</f>
        <v>Szenario-Grunddaten</v>
      </c>
      <c r="F5" s="482"/>
      <c r="G5" s="482"/>
      <c r="H5" s="482"/>
      <c r="I5" s="483"/>
      <c r="J5" s="484"/>
      <c r="K5" s="484"/>
      <c r="L5" s="484"/>
      <c r="M5" s="484"/>
      <c r="N5" s="532"/>
      <c r="O5" s="869">
        <v>5</v>
      </c>
      <c r="P5" s="568"/>
      <c r="Q5" s="569"/>
      <c r="R5" s="852"/>
      <c r="S5" s="804"/>
      <c r="T5" s="864"/>
      <c r="U5" s="905" t="s">
        <v>860</v>
      </c>
      <c r="V5" s="905"/>
      <c r="W5" s="905"/>
      <c r="X5" s="905"/>
      <c r="Y5" s="905"/>
      <c r="Z5" s="905"/>
      <c r="AA5" s="905"/>
      <c r="AB5" s="801"/>
      <c r="AC5" s="801"/>
      <c r="AD5" s="801"/>
      <c r="AE5" s="801"/>
      <c r="AF5" s="801"/>
      <c r="AG5" s="801"/>
      <c r="AH5" s="801"/>
      <c r="AI5" s="801"/>
      <c r="AJ5" s="801"/>
      <c r="AK5" s="801"/>
      <c r="AL5" s="801"/>
      <c r="AM5" s="801"/>
      <c r="AN5" s="801"/>
      <c r="AO5" s="801"/>
      <c r="AP5" s="801"/>
      <c r="AQ5" s="801"/>
      <c r="AR5" s="801"/>
      <c r="AS5" s="801"/>
      <c r="AT5" s="801"/>
      <c r="AU5" s="801"/>
      <c r="AV5" s="801"/>
      <c r="AZ5" s="504"/>
      <c r="BB5" s="506"/>
      <c r="BI5" s="472" t="s">
        <v>126</v>
      </c>
      <c r="BJ5" s="490"/>
      <c r="BN5" s="656"/>
      <c r="BO5" s="472" t="s">
        <v>250</v>
      </c>
      <c r="BP5" s="518" t="s">
        <v>255</v>
      </c>
      <c r="CU5" s="480"/>
      <c r="CV5" s="656"/>
      <c r="CW5" s="480"/>
      <c r="DS5" s="656"/>
      <c r="EV5" s="819">
        <f>IF(U5&amp;BP5="","",D5)</f>
        <v>5</v>
      </c>
      <c r="EW5" s="819"/>
    </row>
    <row r="6" spans="1:153" s="528" customFormat="1" ht="4">
      <c r="A6" s="540" t="str">
        <f t="shared" ref="A6:A69" ca="1" si="1">BT$1&amp;D6</f>
        <v>D.1.6</v>
      </c>
      <c r="B6" s="540" t="str">
        <f t="shared" ref="B6:B69" ca="1" si="2">BW$1&amp;D6</f>
        <v>1.6</v>
      </c>
      <c r="C6" s="540" t="str">
        <f t="shared" si="0"/>
        <v>[6]</v>
      </c>
      <c r="D6" s="540">
        <f>ROW()</f>
        <v>6</v>
      </c>
      <c r="I6" s="527"/>
      <c r="J6" s="527"/>
      <c r="K6" s="527"/>
      <c r="L6" s="527"/>
      <c r="M6" s="527"/>
      <c r="O6" s="870">
        <v>6</v>
      </c>
      <c r="P6" s="566"/>
      <c r="Q6" s="567"/>
      <c r="R6" s="889"/>
      <c r="S6" s="802"/>
      <c r="T6" s="883"/>
      <c r="U6" s="661"/>
      <c r="V6" s="661"/>
      <c r="W6" s="661"/>
      <c r="X6" s="661"/>
      <c r="Y6" s="661"/>
      <c r="Z6" s="661"/>
      <c r="AA6" s="661"/>
      <c r="AB6" s="675"/>
      <c r="AC6" s="675"/>
      <c r="AD6" s="675"/>
      <c r="AE6" s="675"/>
      <c r="AF6" s="675"/>
      <c r="AG6" s="675"/>
      <c r="AH6" s="675"/>
      <c r="AI6" s="675"/>
      <c r="AJ6" s="675"/>
      <c r="AK6" s="675"/>
      <c r="AL6" s="675"/>
      <c r="AM6" s="675"/>
      <c r="AN6" s="675"/>
      <c r="AO6" s="675"/>
      <c r="AP6" s="675"/>
      <c r="AQ6" s="675"/>
      <c r="AR6" s="675"/>
      <c r="AS6" s="675"/>
      <c r="AT6" s="675"/>
      <c r="AU6" s="675"/>
      <c r="AV6" s="675"/>
      <c r="AZ6" s="541"/>
      <c r="BB6" s="541"/>
      <c r="BI6" s="528" t="s">
        <v>126</v>
      </c>
      <c r="BJ6" s="542"/>
      <c r="BN6" s="680"/>
      <c r="CU6" s="543"/>
      <c r="CV6" s="680"/>
      <c r="CW6" s="543"/>
      <c r="DS6" s="680"/>
      <c r="EV6" s="820" t="str">
        <f t="shared" ref="EV6:EV69" si="3">IF(U6&amp;BP6="","",D6)</f>
        <v/>
      </c>
      <c r="EW6" s="820"/>
    </row>
    <row r="7" spans="1:153" s="475" customFormat="1" ht="13.5" customHeight="1">
      <c r="A7" s="654" t="str">
        <f t="shared" ca="1" si="1"/>
        <v>D.1.7</v>
      </c>
      <c r="B7" s="654" t="str">
        <f t="shared" ca="1" si="2"/>
        <v>1.7</v>
      </c>
      <c r="C7" s="654" t="str">
        <f t="shared" si="0"/>
        <v>[7]</v>
      </c>
      <c r="D7" s="654">
        <f>ROW()</f>
        <v>7</v>
      </c>
      <c r="E7" s="1129" t="str">
        <f>BP7</f>
        <v>Zielregion / Szenario</v>
      </c>
      <c r="F7" s="1129"/>
      <c r="G7" s="1129"/>
      <c r="H7" s="1129"/>
      <c r="I7" s="1129"/>
      <c r="J7" s="1158" t="str">
        <f ca="1">INDIRECT($W$1&amp;U7)</f>
        <v>Deutschland 100%EE</v>
      </c>
      <c r="K7" s="1159"/>
      <c r="L7" s="1159"/>
      <c r="M7" s="1160"/>
      <c r="N7" s="533" t="str">
        <f ca="1">HYPERLINK($CK$1&amp;U7,$CE$1&amp;U7&amp;$CF$1)</f>
        <v>[7]</v>
      </c>
      <c r="O7" s="869">
        <v>7</v>
      </c>
      <c r="P7" s="570"/>
      <c r="Q7" s="583"/>
      <c r="R7" s="852"/>
      <c r="S7" s="784"/>
      <c r="T7" s="864"/>
      <c r="U7" s="536">
        <f>D7</f>
        <v>7</v>
      </c>
      <c r="V7" s="905" t="s">
        <v>126</v>
      </c>
      <c r="W7" s="1062" t="str">
        <f>AD7&amp;" 100%EE"</f>
        <v>Deutschland 100%EE</v>
      </c>
      <c r="X7" s="1025"/>
      <c r="Y7" s="1025"/>
      <c r="Z7" s="1025"/>
      <c r="AA7" s="905"/>
      <c r="AB7" s="801"/>
      <c r="AC7" s="1020">
        <v>44045</v>
      </c>
      <c r="AD7" s="674" t="s">
        <v>1283</v>
      </c>
      <c r="AE7" s="674"/>
      <c r="AF7" s="674"/>
      <c r="AG7" s="674"/>
      <c r="AH7" s="674"/>
      <c r="AI7" s="674"/>
      <c r="AJ7" s="674"/>
      <c r="AK7" s="674"/>
      <c r="AL7" s="674"/>
      <c r="AM7" s="674"/>
      <c r="AN7" s="674"/>
      <c r="AO7" s="674"/>
      <c r="AP7" s="674"/>
      <c r="AQ7" s="674"/>
      <c r="AR7" s="674"/>
      <c r="AS7" s="674"/>
      <c r="AT7" s="674"/>
      <c r="AU7" s="674"/>
      <c r="AV7" s="674"/>
      <c r="AX7" s="475" t="s">
        <v>244</v>
      </c>
      <c r="AY7" s="537" t="str">
        <f ca="1">DA7</f>
        <v>Niedersachsen</v>
      </c>
      <c r="AZ7" s="508" t="str">
        <f ca="1">HYPERLINK(DN7,DC7)</f>
        <v xml:space="preserve"> 4</v>
      </c>
      <c r="BA7" s="537" t="str">
        <f ca="1">DB7</f>
        <v>#</v>
      </c>
      <c r="BB7" s="508">
        <f ca="1">HYPERLINK(DO7,DD7)</f>
        <v>0</v>
      </c>
      <c r="BC7" s="475" t="str">
        <f ca="1">CY7&amp;" | "&amp;CZ7</f>
        <v>Region | Zielregion</v>
      </c>
      <c r="BI7" s="475" t="s">
        <v>126</v>
      </c>
      <c r="BJ7" s="492" t="str">
        <f>E7</f>
        <v>Zielregion / Szenario</v>
      </c>
      <c r="BK7" s="486" t="str">
        <f ca="1">J7</f>
        <v>Deutschland 100%EE</v>
      </c>
      <c r="BL7" s="486">
        <f>M7</f>
        <v>0</v>
      </c>
      <c r="BM7" s="472">
        <f>D7</f>
        <v>7</v>
      </c>
      <c r="BN7" s="658"/>
      <c r="BO7" s="475" t="s">
        <v>256</v>
      </c>
      <c r="BP7" s="538" t="s">
        <v>821</v>
      </c>
      <c r="CU7" s="476"/>
      <c r="CV7" s="658"/>
      <c r="CW7" s="539">
        <v>16</v>
      </c>
      <c r="CY7" s="472" t="str">
        <f t="shared" ref="CY7:DO7" ca="1" si="4">INDIRECT($CX$1&amp;CY$1&amp;$CW7)</f>
        <v>Region</v>
      </c>
      <c r="CZ7" s="472" t="str">
        <f t="shared" ca="1" si="4"/>
        <v>Zielregion</v>
      </c>
      <c r="DA7" s="472" t="str">
        <f t="shared" ca="1" si="4"/>
        <v>Niedersachsen</v>
      </c>
      <c r="DB7" s="472" t="str">
        <f t="shared" ca="1" si="4"/>
        <v>#</v>
      </c>
      <c r="DC7" s="472" t="str">
        <f t="shared" ca="1" si="4"/>
        <v xml:space="preserve"> 4</v>
      </c>
      <c r="DD7" s="472">
        <f t="shared" ca="1" si="4"/>
        <v>0</v>
      </c>
      <c r="DE7" s="472" t="str">
        <f t="shared" ca="1" si="4"/>
        <v>Ba221</v>
      </c>
      <c r="DF7" s="472" t="str">
        <f t="shared" ca="1" si="4"/>
        <v>#</v>
      </c>
      <c r="DG7" s="472" t="str">
        <f t="shared" ca="1" si="4"/>
        <v>Ba</v>
      </c>
      <c r="DH7" s="472" t="str">
        <f t="shared" ca="1" si="4"/>
        <v>221</v>
      </c>
      <c r="DI7" s="472" t="str">
        <f t="shared" ca="1" si="4"/>
        <v>[Ba.xls]TEXT!Z221S5</v>
      </c>
      <c r="DJ7" s="472" t="str">
        <f t="shared" ca="1" si="4"/>
        <v>#</v>
      </c>
      <c r="DK7" s="472" t="str">
        <f t="shared" ca="1" si="4"/>
        <v/>
      </c>
      <c r="DL7" s="472" t="str">
        <f t="shared" ca="1" si="4"/>
        <v>[#.xls]TEXT!ZS5</v>
      </c>
      <c r="DM7" s="472">
        <f t="shared" ca="1" si="4"/>
        <v>16</v>
      </c>
      <c r="DN7" s="472" t="str">
        <f t="shared" ca="1" si="4"/>
        <v>[Region.xls]PARAMETER!Z4S6</v>
      </c>
      <c r="DO7" s="472" t="str">
        <f t="shared" ca="1" si="4"/>
        <v>[Region.xls]PARAMETER!Z0S6</v>
      </c>
      <c r="DP7" s="472"/>
      <c r="DS7" s="656"/>
      <c r="DV7" s="472"/>
      <c r="DW7" s="472"/>
      <c r="DX7" s="472"/>
      <c r="DY7" s="472"/>
      <c r="DZ7" s="472"/>
      <c r="EA7" s="472"/>
      <c r="EB7" s="472"/>
      <c r="EC7" s="472"/>
      <c r="ED7" s="472"/>
      <c r="EE7" s="472"/>
      <c r="EF7" s="472"/>
      <c r="EG7" s="472"/>
      <c r="EH7" s="472"/>
      <c r="EI7" s="472"/>
      <c r="EJ7" s="472"/>
      <c r="EK7" s="472"/>
      <c r="EV7" s="819">
        <f t="shared" si="3"/>
        <v>7</v>
      </c>
      <c r="EW7" s="819"/>
    </row>
    <row r="8" spans="1:153" s="528" customFormat="1" ht="4">
      <c r="A8" s="540" t="str">
        <f t="shared" ca="1" si="1"/>
        <v>D.1.8</v>
      </c>
      <c r="B8" s="540" t="str">
        <f t="shared" ca="1" si="2"/>
        <v>1.8</v>
      </c>
      <c r="C8" s="540" t="str">
        <f t="shared" si="0"/>
        <v>[8]</v>
      </c>
      <c r="D8" s="540">
        <f>ROW()</f>
        <v>8</v>
      </c>
      <c r="I8" s="527"/>
      <c r="J8" s="527"/>
      <c r="K8" s="527"/>
      <c r="L8" s="527"/>
      <c r="M8" s="527"/>
      <c r="O8" s="870">
        <v>8</v>
      </c>
      <c r="P8" s="566"/>
      <c r="Q8" s="567"/>
      <c r="R8" s="889"/>
      <c r="S8" s="802"/>
      <c r="T8" s="883"/>
      <c r="U8" s="661"/>
      <c r="V8" s="661"/>
      <c r="W8" s="661"/>
      <c r="X8" s="661"/>
      <c r="Y8" s="661"/>
      <c r="Z8" s="661"/>
      <c r="AA8" s="661"/>
      <c r="AB8" s="675"/>
      <c r="AC8" s="675"/>
      <c r="AD8" s="675"/>
      <c r="AE8" s="675"/>
      <c r="AF8" s="675"/>
      <c r="AG8" s="675"/>
      <c r="AH8" s="675"/>
      <c r="AI8" s="675"/>
      <c r="AJ8" s="675"/>
      <c r="AK8" s="675"/>
      <c r="AL8" s="675"/>
      <c r="AM8" s="675"/>
      <c r="AN8" s="675"/>
      <c r="AO8" s="675"/>
      <c r="AP8" s="675"/>
      <c r="AQ8" s="675"/>
      <c r="AR8" s="675"/>
      <c r="AS8" s="675"/>
      <c r="AT8" s="675"/>
      <c r="AU8" s="675"/>
      <c r="AV8" s="675"/>
      <c r="AZ8" s="541"/>
      <c r="BB8" s="541"/>
      <c r="BI8" s="528" t="s">
        <v>126</v>
      </c>
      <c r="BJ8" s="542"/>
      <c r="BN8" s="680"/>
      <c r="CU8" s="543"/>
      <c r="CV8" s="680"/>
      <c r="CW8" s="543"/>
      <c r="DS8" s="680"/>
      <c r="EV8" s="820" t="str">
        <f t="shared" si="3"/>
        <v/>
      </c>
      <c r="EW8" s="820"/>
    </row>
    <row r="9" spans="1:153" s="478" customFormat="1" ht="4">
      <c r="A9" s="677" t="str">
        <f t="shared" ca="1" si="1"/>
        <v>D.1.9</v>
      </c>
      <c r="B9" s="677" t="str">
        <f t="shared" ca="1" si="2"/>
        <v>1.9</v>
      </c>
      <c r="C9" s="677" t="str">
        <f t="shared" si="0"/>
        <v>[9]</v>
      </c>
      <c r="D9" s="677">
        <f>ROW()</f>
        <v>9</v>
      </c>
      <c r="E9" s="550"/>
      <c r="F9" s="550"/>
      <c r="G9" s="550"/>
      <c r="H9" s="550"/>
      <c r="I9" s="551"/>
      <c r="J9" s="552"/>
      <c r="K9" s="552"/>
      <c r="L9" s="552"/>
      <c r="M9" s="552"/>
      <c r="N9" s="550"/>
      <c r="O9" s="871">
        <v>9</v>
      </c>
      <c r="P9" s="571"/>
      <c r="Q9" s="572"/>
      <c r="R9" s="888"/>
      <c r="S9" s="802"/>
      <c r="T9" s="882"/>
      <c r="U9" s="661"/>
      <c r="V9" s="661"/>
      <c r="W9" s="661"/>
      <c r="X9" s="661"/>
      <c r="Y9" s="661"/>
      <c r="Z9" s="661"/>
      <c r="AA9" s="661"/>
      <c r="AB9" s="675"/>
      <c r="AC9" s="675"/>
      <c r="AD9" s="675"/>
      <c r="AE9" s="675"/>
      <c r="AF9" s="675"/>
      <c r="AG9" s="675"/>
      <c r="AH9" s="675"/>
      <c r="AI9" s="675"/>
      <c r="AJ9" s="675"/>
      <c r="AK9" s="675"/>
      <c r="AL9" s="675"/>
      <c r="AM9" s="675"/>
      <c r="AN9" s="675"/>
      <c r="AO9" s="675"/>
      <c r="AP9" s="675"/>
      <c r="AQ9" s="675"/>
      <c r="AR9" s="675"/>
      <c r="AS9" s="675"/>
      <c r="AT9" s="675"/>
      <c r="AU9" s="675"/>
      <c r="AV9" s="675"/>
      <c r="AZ9" s="505"/>
      <c r="BB9" s="505"/>
      <c r="BI9" s="478" t="s">
        <v>126</v>
      </c>
      <c r="BJ9" s="489"/>
      <c r="BN9" s="661"/>
      <c r="CU9" s="479"/>
      <c r="CV9" s="661"/>
      <c r="CW9" s="479"/>
      <c r="DS9" s="661"/>
      <c r="EV9" s="818" t="str">
        <f t="shared" si="3"/>
        <v/>
      </c>
      <c r="EW9" s="818"/>
    </row>
    <row r="10" spans="1:153" s="475" customFormat="1" ht="13.5" customHeight="1">
      <c r="A10" s="654" t="str">
        <f t="shared" ca="1" si="1"/>
        <v>D.1.10</v>
      </c>
      <c r="B10" s="654" t="str">
        <f t="shared" ca="1" si="2"/>
        <v>1.10</v>
      </c>
      <c r="C10" s="654" t="str">
        <f t="shared" si="0"/>
        <v>[10]</v>
      </c>
      <c r="D10" s="654">
        <f>ROW()</f>
        <v>10</v>
      </c>
      <c r="E10" s="1129" t="str">
        <f>BP10</f>
        <v>Regions-Kennung</v>
      </c>
      <c r="F10" s="1129"/>
      <c r="G10" s="1129"/>
      <c r="H10" s="1129"/>
      <c r="I10" s="1129"/>
      <c r="J10" s="1158" t="str">
        <f ca="1">INDIRECT($W$1&amp;U10)</f>
        <v>D</v>
      </c>
      <c r="K10" s="1159"/>
      <c r="L10" s="1159"/>
      <c r="M10" s="1160"/>
      <c r="N10" s="533" t="str">
        <f ca="1">HYPERLINK($CK$1&amp;U10,$CE$1&amp;U10&amp;$CF$1)</f>
        <v>[10]</v>
      </c>
      <c r="O10" s="869">
        <v>10</v>
      </c>
      <c r="P10" s="570"/>
      <c r="Q10" s="583"/>
      <c r="R10" s="852"/>
      <c r="S10" s="784"/>
      <c r="T10" s="864"/>
      <c r="U10" s="672">
        <f>D10</f>
        <v>10</v>
      </c>
      <c r="V10" s="905" t="s">
        <v>126</v>
      </c>
      <c r="W10" s="1063" t="s">
        <v>225</v>
      </c>
      <c r="X10" s="1025"/>
      <c r="Y10" s="1025"/>
      <c r="Z10" s="1025"/>
      <c r="AA10" s="905"/>
      <c r="AB10" s="801"/>
      <c r="AC10" s="801"/>
      <c r="AD10" s="674"/>
      <c r="AE10" s="674"/>
      <c r="AF10" s="674"/>
      <c r="AG10" s="674"/>
      <c r="AH10" s="674"/>
      <c r="AI10" s="674"/>
      <c r="AJ10" s="674"/>
      <c r="AK10" s="674"/>
      <c r="AL10" s="674"/>
      <c r="AM10" s="674"/>
      <c r="AN10" s="674"/>
      <c r="AO10" s="674"/>
      <c r="AP10" s="674"/>
      <c r="AQ10" s="674"/>
      <c r="AR10" s="674"/>
      <c r="AS10" s="674"/>
      <c r="AT10" s="674"/>
      <c r="AU10" s="674"/>
      <c r="AV10" s="674"/>
      <c r="AX10" s="475" t="s">
        <v>244</v>
      </c>
      <c r="AY10" s="500" t="str">
        <f ca="1">DA10</f>
        <v>Nds.</v>
      </c>
      <c r="AZ10" s="508" t="str">
        <f ca="1">HYPERLINK(DN10,DC10)</f>
        <v xml:space="preserve"> 5</v>
      </c>
      <c r="BA10" s="500" t="str">
        <f ca="1">DB10</f>
        <v>#</v>
      </c>
      <c r="BB10" s="508">
        <f ca="1">HYPERLINK(DO10,DD10)</f>
        <v>0</v>
      </c>
      <c r="BC10" s="475" t="str">
        <f ca="1">CY10&amp;" | "&amp;CZ10</f>
        <v>0 | Regionskennung, z. B. KFZ-Kennzeichen</v>
      </c>
      <c r="BI10" s="475" t="s">
        <v>126</v>
      </c>
      <c r="BJ10" s="492" t="str">
        <f>E10</f>
        <v>Regions-Kennung</v>
      </c>
      <c r="BK10" s="486" t="str">
        <f ca="1">J10</f>
        <v>D</v>
      </c>
      <c r="BL10" s="486">
        <f>M10</f>
        <v>0</v>
      </c>
      <c r="BM10" s="472">
        <f>D10</f>
        <v>10</v>
      </c>
      <c r="BN10" s="658"/>
      <c r="BO10" s="475" t="s">
        <v>256</v>
      </c>
      <c r="BP10" s="521" t="s">
        <v>257</v>
      </c>
      <c r="CU10" s="476"/>
      <c r="CV10" s="658"/>
      <c r="CW10" s="518">
        <v>17</v>
      </c>
      <c r="CY10" s="472">
        <f t="shared" ref="CY10:DO10" ca="1" si="5">INDIRECT($CX$1&amp;CY$1&amp;$CW10)</f>
        <v>0</v>
      </c>
      <c r="CZ10" s="472" t="str">
        <f t="shared" ca="1" si="5"/>
        <v>Regionskennung, z. B. KFZ-Kennzeichen</v>
      </c>
      <c r="DA10" s="472" t="str">
        <f t="shared" ca="1" si="5"/>
        <v>Nds.</v>
      </c>
      <c r="DB10" s="472" t="str">
        <f t="shared" ca="1" si="5"/>
        <v>#</v>
      </c>
      <c r="DC10" s="472" t="str">
        <f t="shared" ca="1" si="5"/>
        <v xml:space="preserve"> 5</v>
      </c>
      <c r="DD10" s="472">
        <f t="shared" ca="1" si="5"/>
        <v>0</v>
      </c>
      <c r="DE10" s="472" t="str">
        <f t="shared" ca="1" si="5"/>
        <v>Ba278</v>
      </c>
      <c r="DF10" s="472" t="str">
        <f t="shared" ca="1" si="5"/>
        <v>#</v>
      </c>
      <c r="DG10" s="472" t="str">
        <f t="shared" ca="1" si="5"/>
        <v>Ba</v>
      </c>
      <c r="DH10" s="472" t="str">
        <f t="shared" ca="1" si="5"/>
        <v>278</v>
      </c>
      <c r="DI10" s="472" t="str">
        <f t="shared" ca="1" si="5"/>
        <v>[Ba.xls]TEXT!Z278S5</v>
      </c>
      <c r="DJ10" s="472" t="str">
        <f t="shared" ca="1" si="5"/>
        <v>#</v>
      </c>
      <c r="DK10" s="472" t="str">
        <f t="shared" ca="1" si="5"/>
        <v/>
      </c>
      <c r="DL10" s="472" t="str">
        <f t="shared" ca="1" si="5"/>
        <v>[#.xls]TEXT!ZS5</v>
      </c>
      <c r="DM10" s="472">
        <f t="shared" ca="1" si="5"/>
        <v>17</v>
      </c>
      <c r="DN10" s="472" t="str">
        <f t="shared" ca="1" si="5"/>
        <v>[Region.xls]PARAMETER!Z5S6</v>
      </c>
      <c r="DO10" s="472" t="str">
        <f t="shared" ca="1" si="5"/>
        <v>[Region.xls]PARAMETER!Z0S6</v>
      </c>
      <c r="DP10" s="472"/>
      <c r="DS10" s="656"/>
      <c r="DV10" s="472"/>
      <c r="DW10" s="472"/>
      <c r="DX10" s="472"/>
      <c r="DY10" s="472"/>
      <c r="DZ10" s="472"/>
      <c r="EA10" s="472"/>
      <c r="EB10" s="472"/>
      <c r="EC10" s="472"/>
      <c r="ED10" s="472"/>
      <c r="EE10" s="472"/>
      <c r="EF10" s="472"/>
      <c r="EG10" s="472"/>
      <c r="EH10" s="472"/>
      <c r="EI10" s="472"/>
      <c r="EJ10" s="472"/>
      <c r="EK10" s="472"/>
      <c r="EV10" s="819">
        <f t="shared" si="3"/>
        <v>10</v>
      </c>
      <c r="EW10" s="819"/>
    </row>
    <row r="11" spans="1:153" s="528" customFormat="1" ht="4">
      <c r="A11" s="540" t="str">
        <f t="shared" ca="1" si="1"/>
        <v>D.1.11</v>
      </c>
      <c r="B11" s="540" t="str">
        <f t="shared" ca="1" si="2"/>
        <v>1.11</v>
      </c>
      <c r="C11" s="540" t="str">
        <f t="shared" si="0"/>
        <v>[11]</v>
      </c>
      <c r="D11" s="540">
        <f>ROW()</f>
        <v>11</v>
      </c>
      <c r="I11" s="527"/>
      <c r="J11" s="527"/>
      <c r="K11" s="527"/>
      <c r="L11" s="527"/>
      <c r="M11" s="527"/>
      <c r="O11" s="870">
        <v>11</v>
      </c>
      <c r="P11" s="566"/>
      <c r="Q11" s="567"/>
      <c r="R11" s="889"/>
      <c r="S11" s="802"/>
      <c r="T11" s="883"/>
      <c r="U11" s="661"/>
      <c r="V11" s="661"/>
      <c r="W11" s="661"/>
      <c r="X11" s="661"/>
      <c r="Y11" s="661"/>
      <c r="Z11" s="661"/>
      <c r="AA11" s="661"/>
      <c r="AB11" s="675"/>
      <c r="AC11" s="675"/>
      <c r="AD11" s="675"/>
      <c r="AE11" s="675"/>
      <c r="AF11" s="675"/>
      <c r="AG11" s="675"/>
      <c r="AH11" s="675"/>
      <c r="AI11" s="675"/>
      <c r="AJ11" s="675"/>
      <c r="AK11" s="675"/>
      <c r="AL11" s="675"/>
      <c r="AM11" s="675"/>
      <c r="AN11" s="675"/>
      <c r="AO11" s="675"/>
      <c r="AP11" s="675"/>
      <c r="AQ11" s="675"/>
      <c r="AR11" s="675"/>
      <c r="AS11" s="675"/>
      <c r="AT11" s="675"/>
      <c r="AU11" s="675"/>
      <c r="AV11" s="675"/>
      <c r="AZ11" s="541"/>
      <c r="BB11" s="541"/>
      <c r="BI11" s="528" t="s">
        <v>126</v>
      </c>
      <c r="BJ11" s="542"/>
      <c r="BN11" s="680"/>
      <c r="CU11" s="543"/>
      <c r="CV11" s="680"/>
      <c r="CW11" s="543"/>
      <c r="DS11" s="680"/>
      <c r="EV11" s="820" t="str">
        <f t="shared" si="3"/>
        <v/>
      </c>
      <c r="EW11" s="820"/>
    </row>
    <row r="12" spans="1:153" s="478" customFormat="1" ht="4">
      <c r="A12" s="677" t="str">
        <f t="shared" ca="1" si="1"/>
        <v>D.1.12</v>
      </c>
      <c r="B12" s="677" t="str">
        <f t="shared" ca="1" si="2"/>
        <v>1.12</v>
      </c>
      <c r="C12" s="677" t="str">
        <f t="shared" si="0"/>
        <v>[12]</v>
      </c>
      <c r="D12" s="677">
        <f>ROW()</f>
        <v>12</v>
      </c>
      <c r="E12" s="550"/>
      <c r="F12" s="550"/>
      <c r="G12" s="550"/>
      <c r="H12" s="550"/>
      <c r="I12" s="551"/>
      <c r="J12" s="552"/>
      <c r="K12" s="552"/>
      <c r="L12" s="552"/>
      <c r="M12" s="552"/>
      <c r="N12" s="550"/>
      <c r="O12" s="871">
        <v>12</v>
      </c>
      <c r="P12" s="571"/>
      <c r="Q12" s="572"/>
      <c r="R12" s="888"/>
      <c r="S12" s="802"/>
      <c r="T12" s="882"/>
      <c r="U12" s="661"/>
      <c r="V12" s="661"/>
      <c r="W12" s="661"/>
      <c r="X12" s="661"/>
      <c r="Y12" s="661"/>
      <c r="Z12" s="661"/>
      <c r="AA12" s="661"/>
      <c r="AB12" s="675"/>
      <c r="AC12" s="675"/>
      <c r="AD12" s="675"/>
      <c r="AE12" s="675"/>
      <c r="AF12" s="675"/>
      <c r="AG12" s="675"/>
      <c r="AH12" s="675"/>
      <c r="AI12" s="675"/>
      <c r="AJ12" s="675"/>
      <c r="AK12" s="675"/>
      <c r="AL12" s="675"/>
      <c r="AM12" s="675"/>
      <c r="AN12" s="675"/>
      <c r="AO12" s="675"/>
      <c r="AP12" s="675"/>
      <c r="AQ12" s="675"/>
      <c r="AR12" s="675"/>
      <c r="AS12" s="675"/>
      <c r="AT12" s="675"/>
      <c r="AU12" s="675"/>
      <c r="AV12" s="675"/>
      <c r="AZ12" s="505"/>
      <c r="BB12" s="505"/>
      <c r="BI12" s="478" t="s">
        <v>126</v>
      </c>
      <c r="BJ12" s="489"/>
      <c r="BN12" s="661"/>
      <c r="CU12" s="479"/>
      <c r="CV12" s="661"/>
      <c r="CW12" s="479"/>
      <c r="DS12" s="661"/>
      <c r="EV12" s="818" t="str">
        <f t="shared" si="3"/>
        <v/>
      </c>
      <c r="EW12" s="818"/>
    </row>
    <row r="13" spans="1:153" s="475" customFormat="1" ht="13.5" customHeight="1">
      <c r="A13" s="654" t="str">
        <f t="shared" ca="1" si="1"/>
        <v>D.1.13</v>
      </c>
      <c r="B13" s="654" t="str">
        <f t="shared" ca="1" si="2"/>
        <v>1.13</v>
      </c>
      <c r="C13" s="654" t="str">
        <f t="shared" si="0"/>
        <v>[13]</v>
      </c>
      <c r="D13" s="654">
        <f>ROW()</f>
        <v>13</v>
      </c>
      <c r="E13" s="1129" t="str">
        <f>BP13</f>
        <v>Szenario Version</v>
      </c>
      <c r="F13" s="1129"/>
      <c r="G13" s="1129"/>
      <c r="H13" s="1129"/>
      <c r="I13" s="1129"/>
      <c r="J13" s="1158" t="str">
        <f ca="1">INDIRECT($W$1&amp;U13)</f>
        <v>200822</v>
      </c>
      <c r="K13" s="1159"/>
      <c r="L13" s="1159"/>
      <c r="M13" s="1160"/>
      <c r="N13" s="533" t="str">
        <f ca="1">HYPERLINK($CK$1&amp;U13,$CE$1&amp;U13&amp;$CF$1)</f>
        <v>[14]</v>
      </c>
      <c r="O13" s="869">
        <v>13</v>
      </c>
      <c r="P13" s="570"/>
      <c r="Q13" s="583"/>
      <c r="R13" s="852"/>
      <c r="S13" s="784"/>
      <c r="T13" s="864"/>
      <c r="U13" s="672">
        <f>D14</f>
        <v>14</v>
      </c>
      <c r="V13" s="905" t="s">
        <v>126</v>
      </c>
      <c r="W13" s="1025"/>
      <c r="X13" s="1025"/>
      <c r="Y13" s="1025"/>
      <c r="Z13" s="1025"/>
      <c r="AA13" s="905"/>
      <c r="AB13" s="801"/>
      <c r="AC13" s="801"/>
      <c r="AD13" s="674"/>
      <c r="AE13" s="674"/>
      <c r="AF13" s="674"/>
      <c r="AG13" s="674"/>
      <c r="AH13" s="674"/>
      <c r="AI13" s="674"/>
      <c r="AJ13" s="674"/>
      <c r="AK13" s="674"/>
      <c r="AL13" s="674"/>
      <c r="AM13" s="674"/>
      <c r="AN13" s="674"/>
      <c r="AO13" s="674"/>
      <c r="AP13" s="674"/>
      <c r="AQ13" s="674"/>
      <c r="AR13" s="674"/>
      <c r="AS13" s="674"/>
      <c r="AT13" s="674"/>
      <c r="AU13" s="674"/>
      <c r="AV13" s="674"/>
      <c r="AX13" s="475" t="s">
        <v>244</v>
      </c>
      <c r="AY13" s="500" t="str">
        <f ca="1">DA13</f>
        <v>150116</v>
      </c>
      <c r="AZ13" s="508" t="str">
        <f ca="1">HYPERLINK(DN13,DC13)</f>
        <v xml:space="preserve"> 6</v>
      </c>
      <c r="BA13" s="500" t="str">
        <f ca="1">DB13</f>
        <v>131030e</v>
      </c>
      <c r="BB13" s="508">
        <f ca="1">HYPERLINK(DO13,DD13)</f>
        <v>0</v>
      </c>
      <c r="BC13" s="475" t="str">
        <f ca="1">CY13&amp;" | "&amp;CZ13</f>
        <v>0 | Regionaldaten Version(Status) / Software-Version (Ziel)</v>
      </c>
      <c r="BI13" s="475" t="s">
        <v>126</v>
      </c>
      <c r="BJ13" s="492" t="str">
        <f>E13</f>
        <v>Szenario Version</v>
      </c>
      <c r="BK13" s="486" t="str">
        <f ca="1">J13</f>
        <v>200822</v>
      </c>
      <c r="BL13" s="486">
        <f>M13</f>
        <v>0</v>
      </c>
      <c r="BM13" s="472">
        <f>D13</f>
        <v>13</v>
      </c>
      <c r="BN13" s="658"/>
      <c r="BO13" s="475" t="s">
        <v>256</v>
      </c>
      <c r="BP13" s="521" t="s">
        <v>922</v>
      </c>
      <c r="CU13" s="476"/>
      <c r="CV13" s="658"/>
      <c r="CW13" s="518">
        <v>18</v>
      </c>
      <c r="CY13" s="472">
        <f t="shared" ref="CY13:DO13" ca="1" si="6">INDIRECT($CX$1&amp;CY$1&amp;$CW13)</f>
        <v>0</v>
      </c>
      <c r="CZ13" s="472" t="str">
        <f t="shared" ca="1" si="6"/>
        <v>Regionaldaten Version(Status) / Software-Version (Ziel)</v>
      </c>
      <c r="DA13" s="472" t="str">
        <f t="shared" ca="1" si="6"/>
        <v>150116</v>
      </c>
      <c r="DB13" s="472" t="str">
        <f t="shared" ca="1" si="6"/>
        <v>131030e</v>
      </c>
      <c r="DC13" s="472" t="str">
        <f t="shared" ca="1" si="6"/>
        <v xml:space="preserve"> 6</v>
      </c>
      <c r="DD13" s="472">
        <f t="shared" ca="1" si="6"/>
        <v>0</v>
      </c>
      <c r="DE13" s="472" t="str">
        <f t="shared" ca="1" si="6"/>
        <v>Ba271</v>
      </c>
      <c r="DF13" s="472">
        <f t="shared" ca="1" si="6"/>
        <v>0</v>
      </c>
      <c r="DG13" s="472" t="str">
        <f t="shared" ca="1" si="6"/>
        <v>Ba</v>
      </c>
      <c r="DH13" s="472" t="str">
        <f t="shared" ca="1" si="6"/>
        <v>271</v>
      </c>
      <c r="DI13" s="472" t="str">
        <f t="shared" ca="1" si="6"/>
        <v>[Ba.xls]TEXT!Z271S5</v>
      </c>
      <c r="DJ13" s="472" t="str">
        <f t="shared" ca="1" si="6"/>
        <v>0</v>
      </c>
      <c r="DK13" s="472" t="str">
        <f t="shared" ca="1" si="6"/>
        <v/>
      </c>
      <c r="DL13" s="472" t="str">
        <f t="shared" ca="1" si="6"/>
        <v>[0.xls]TEXT!ZS5</v>
      </c>
      <c r="DM13" s="472">
        <f t="shared" ca="1" si="6"/>
        <v>18</v>
      </c>
      <c r="DN13" s="472" t="str">
        <f t="shared" ca="1" si="6"/>
        <v>[Region.xls]PARAMETER!Z6S6</v>
      </c>
      <c r="DO13" s="472" t="str">
        <f t="shared" ca="1" si="6"/>
        <v>[Region.xls]PARAMETER!Z0S6</v>
      </c>
      <c r="DP13" s="472"/>
      <c r="DS13" s="656"/>
      <c r="DV13" s="472"/>
      <c r="DW13" s="472"/>
      <c r="DX13" s="472"/>
      <c r="DY13" s="472"/>
      <c r="DZ13" s="472"/>
      <c r="EA13" s="472"/>
      <c r="EB13" s="472"/>
      <c r="EC13" s="472"/>
      <c r="ED13" s="472"/>
      <c r="EE13" s="472"/>
      <c r="EF13" s="472"/>
      <c r="EG13" s="472"/>
      <c r="EH13" s="472"/>
      <c r="EI13" s="472"/>
      <c r="EJ13" s="472"/>
      <c r="EK13" s="472"/>
      <c r="EV13" s="819">
        <f t="shared" si="3"/>
        <v>13</v>
      </c>
      <c r="EW13" s="819"/>
    </row>
    <row r="14" spans="1:153" s="472" customFormat="1" ht="102.5" customHeight="1">
      <c r="A14" s="654" t="str">
        <f t="shared" ca="1" si="1"/>
        <v>D.1.14</v>
      </c>
      <c r="B14" s="654" t="str">
        <f t="shared" ca="1" si="2"/>
        <v>1.14</v>
      </c>
      <c r="C14" s="654" t="str">
        <f t="shared" si="0"/>
        <v>[14]</v>
      </c>
      <c r="D14" s="654">
        <f>ROW()</f>
        <v>14</v>
      </c>
      <c r="E14" s="1139" t="str">
        <f>CU14</f>
        <v xml:space="preserve">Vorlagen: 
Szenario Land Niedersachsen für den 2. Runden Tisch Energiewende,
Finale Version vom 26.08.2015. Edition vom 13.01.2016 (150826).
Anpassung an verfeinerte Algorithmen im Sommer 2016 (150826').
Übertragung auf Deutschland für Start BAG-Konvent Sektorenkoppelung (160616).
Unverändert übernommen für AG100prosim in (181016).
Unverändert, aber nach erneutem Feinabgleich übernommen in (191007).
Übernommen, Zieljahr von 2050 auf 2040 geändert, Kunststoffproduktion differenziert. </v>
      </c>
      <c r="F14" s="1139"/>
      <c r="G14" s="1139"/>
      <c r="H14" s="1139"/>
      <c r="I14" s="1139"/>
      <c r="J14" s="1139"/>
      <c r="K14" s="1139"/>
      <c r="L14" s="1139"/>
      <c r="M14" s="1139"/>
      <c r="N14" s="1140"/>
      <c r="O14" s="869">
        <v>14</v>
      </c>
      <c r="P14" s="573" t="str">
        <f ca="1">HYPERLINK(EK14,EJ14)</f>
        <v>9.105</v>
      </c>
      <c r="Q14" s="574" t="str">
        <f>Y14</f>
        <v>Anhang D</v>
      </c>
      <c r="R14" s="852"/>
      <c r="S14" s="784"/>
      <c r="T14" s="884"/>
      <c r="U14" s="1033" t="str">
        <f>"Vorlagen: 
Szenario Land Niedersachsen für den 2. Runden Tisch Energiewende,
Finale Version vom 26.08.2015. Edition vom 13.01.2016 (150826).
Anpassung an verfeinerte Algorithmen im Sommer 2016 (150826')."&amp;"
Übertragung auf Deutschland für Start BAG-Konvent Sektorenkoppelung (160616).
Unverändert übernommen für AG100prosim in (181016).
Unverändert, aber nach erneutem Feinabgleich übernommen in (191007)."&amp;"
Übernommen, Zieljahr von 2050 auf 2040 geändert, Kunststoffproduktion differenziert. "</f>
        <v xml:space="preserve">Vorlagen: 
Szenario Land Niedersachsen für den 2. Runden Tisch Energiewende,
Finale Version vom 26.08.2015. Edition vom 13.01.2016 (150826).
Anpassung an verfeinerte Algorithmen im Sommer 2016 (150826').
Übertragung auf Deutschland für Start BAG-Konvent Sektorenkoppelung (160616).
Unverändert übernommen für AG100prosim in (181016).
Unverändert, aber nach erneutem Feinabgleich übernommen in (191007).
Übernommen, Zieljahr von 2050 auf 2040 geändert, Kunststoffproduktion differenziert. </v>
      </c>
      <c r="V14" s="905" t="s">
        <v>126</v>
      </c>
      <c r="W14" s="1064" t="s">
        <v>1889</v>
      </c>
      <c r="X14" s="672">
        <f>'9.Quellen'!C105</f>
        <v>105</v>
      </c>
      <c r="Y14" s="672" t="s">
        <v>926</v>
      </c>
      <c r="Z14" s="1025"/>
      <c r="AA14" s="905"/>
      <c r="AB14" s="801"/>
      <c r="AC14" s="1020">
        <v>44065</v>
      </c>
      <c r="AD14" s="801"/>
      <c r="AE14" s="801"/>
      <c r="AF14" s="801"/>
      <c r="AG14" s="801"/>
      <c r="AH14" s="801"/>
      <c r="AI14" s="801"/>
      <c r="AJ14" s="801"/>
      <c r="AK14" s="801"/>
      <c r="AL14" s="801"/>
      <c r="AM14" s="801"/>
      <c r="AN14" s="801"/>
      <c r="AO14" s="801"/>
      <c r="AP14" s="801"/>
      <c r="AQ14" s="801"/>
      <c r="AR14" s="801"/>
      <c r="AS14" s="801"/>
      <c r="AT14" s="801"/>
      <c r="AU14" s="801"/>
      <c r="AV14" s="801"/>
      <c r="BF14" s="473"/>
      <c r="BI14" s="472" t="s">
        <v>126</v>
      </c>
      <c r="BJ14" s="490"/>
      <c r="BN14" s="656"/>
      <c r="BO14" s="472" t="s">
        <v>259</v>
      </c>
      <c r="CU14" s="480" t="str">
        <f>IF(U14="",BF14,U14)</f>
        <v xml:space="preserve">Vorlagen: 
Szenario Land Niedersachsen für den 2. Runden Tisch Energiewende,
Finale Version vom 26.08.2015. Edition vom 13.01.2016 (150826).
Anpassung an verfeinerte Algorithmen im Sommer 2016 (150826').
Übertragung auf Deutschland für Start BAG-Konvent Sektorenkoppelung (160616).
Unverändert übernommen für AG100prosim in (181016).
Unverändert, aber nach erneutem Feinabgleich übernommen in (191007).
Übernommen, Zieljahr von 2050 auf 2040 geändert, Kunststoffproduktion differenziert. </v>
      </c>
      <c r="CV14" s="656"/>
      <c r="CW14" s="480"/>
      <c r="DS14" s="656"/>
      <c r="EJ14" s="472" t="str">
        <f ca="1">IF(X14=0,"",EJ$1&amp;X14)</f>
        <v>9.105</v>
      </c>
      <c r="EK14" s="472" t="str">
        <f ca="1">EK$1&amp;X14</f>
        <v>[D_Python.xlsx]9.Quellen!C105</v>
      </c>
      <c r="EV14" s="819">
        <f t="shared" si="3"/>
        <v>14</v>
      </c>
      <c r="EW14" s="819"/>
    </row>
    <row r="15" spans="1:153" s="478" customFormat="1" ht="4">
      <c r="A15" s="677" t="str">
        <f t="shared" ca="1" si="1"/>
        <v>D.1.15</v>
      </c>
      <c r="B15" s="677" t="str">
        <f t="shared" ca="1" si="2"/>
        <v>1.15</v>
      </c>
      <c r="C15" s="677" t="str">
        <f t="shared" si="0"/>
        <v>[15]</v>
      </c>
      <c r="D15" s="677">
        <f>ROW()</f>
        <v>15</v>
      </c>
      <c r="E15" s="548"/>
      <c r="F15" s="548"/>
      <c r="G15" s="548"/>
      <c r="H15" s="548"/>
      <c r="I15" s="549"/>
      <c r="J15" s="549"/>
      <c r="K15" s="549"/>
      <c r="L15" s="549"/>
      <c r="M15" s="549"/>
      <c r="N15" s="548"/>
      <c r="O15" s="871">
        <v>15</v>
      </c>
      <c r="P15" s="575"/>
      <c r="Q15" s="576"/>
      <c r="R15" s="888"/>
      <c r="S15" s="802"/>
      <c r="T15" s="882"/>
      <c r="U15" s="661"/>
      <c r="V15" s="661"/>
      <c r="W15" s="661"/>
      <c r="X15" s="661"/>
      <c r="Y15" s="661"/>
      <c r="Z15" s="661"/>
      <c r="AA15" s="661"/>
      <c r="AB15" s="675"/>
      <c r="AC15" s="675"/>
      <c r="AD15" s="675"/>
      <c r="AE15" s="675"/>
      <c r="AF15" s="675"/>
      <c r="AG15" s="675"/>
      <c r="AH15" s="675"/>
      <c r="AI15" s="675"/>
      <c r="AJ15" s="675"/>
      <c r="AK15" s="675"/>
      <c r="AL15" s="675"/>
      <c r="AM15" s="675"/>
      <c r="AN15" s="675"/>
      <c r="AO15" s="675"/>
      <c r="AP15" s="675"/>
      <c r="AQ15" s="675"/>
      <c r="AR15" s="675"/>
      <c r="AS15" s="675"/>
      <c r="AT15" s="675"/>
      <c r="AU15" s="675"/>
      <c r="AV15" s="675"/>
      <c r="AZ15" s="505"/>
      <c r="BB15" s="505"/>
      <c r="BI15" s="478" t="s">
        <v>126</v>
      </c>
      <c r="BJ15" s="489"/>
      <c r="BN15" s="661"/>
      <c r="CU15" s="479"/>
      <c r="CV15" s="661"/>
      <c r="CW15" s="479"/>
      <c r="DS15" s="661"/>
      <c r="EV15" s="818" t="str">
        <f t="shared" si="3"/>
        <v/>
      </c>
      <c r="EW15" s="818"/>
    </row>
    <row r="16" spans="1:153" s="475" customFormat="1" ht="19.5" customHeight="1">
      <c r="A16" s="654" t="str">
        <f t="shared" ca="1" si="1"/>
        <v>D.1.16</v>
      </c>
      <c r="B16" s="654" t="str">
        <f t="shared" ca="1" si="2"/>
        <v>1.16</v>
      </c>
      <c r="C16" s="654" t="str">
        <f t="shared" si="0"/>
        <v>[16]</v>
      </c>
      <c r="D16" s="654">
        <f>ROW()</f>
        <v>16</v>
      </c>
      <c r="E16" s="1165" t="s">
        <v>925</v>
      </c>
      <c r="F16" s="1165"/>
      <c r="G16" s="1165"/>
      <c r="H16" s="1165"/>
      <c r="I16" s="1165"/>
      <c r="J16" s="876" t="str">
        <f ca="1">INDIRECT($W$1&amp;U16)</f>
        <v xml:space="preserve">Hans-Heinrich Schmidt-Kanefendt
</v>
      </c>
      <c r="K16" s="877"/>
      <c r="L16" s="877"/>
      <c r="M16" s="878"/>
      <c r="N16" s="533"/>
      <c r="O16" s="869">
        <v>16</v>
      </c>
      <c r="P16" s="570"/>
      <c r="Q16" s="583"/>
      <c r="R16" s="852"/>
      <c r="S16" s="784"/>
      <c r="T16" s="864"/>
      <c r="U16" s="672">
        <f>D16</f>
        <v>16</v>
      </c>
      <c r="V16" s="905" t="s">
        <v>126</v>
      </c>
      <c r="W16" s="1065" t="s">
        <v>1208</v>
      </c>
      <c r="X16" s="1066"/>
      <c r="Y16" s="1066"/>
      <c r="Z16" s="1066"/>
      <c r="AA16" s="905"/>
      <c r="AB16" s="801"/>
      <c r="AC16" s="801"/>
      <c r="AD16" s="674"/>
      <c r="AE16" s="674"/>
      <c r="AF16" s="674"/>
      <c r="AG16" s="674"/>
      <c r="AH16" s="674"/>
      <c r="AI16" s="674"/>
      <c r="AJ16" s="674"/>
      <c r="AK16" s="674"/>
      <c r="AL16" s="674"/>
      <c r="AM16" s="674"/>
      <c r="AN16" s="674"/>
      <c r="AO16" s="674"/>
      <c r="AP16" s="674"/>
      <c r="AQ16" s="674"/>
      <c r="AR16" s="674"/>
      <c r="AS16" s="674"/>
      <c r="AT16" s="674"/>
      <c r="AU16" s="674"/>
      <c r="AV16" s="674"/>
      <c r="AX16" s="475" t="s">
        <v>244</v>
      </c>
      <c r="AY16" s="600" t="str">
        <f ca="1">DA16</f>
        <v>Hans-H. Schmidt-Kanefendt</v>
      </c>
      <c r="AZ16" s="508" t="str">
        <f ca="1">HYPERLINK(DN16,DC16)</f>
        <v xml:space="preserve"> 3</v>
      </c>
      <c r="BA16" s="500">
        <f ca="1">DB16</f>
        <v>0</v>
      </c>
      <c r="BB16" s="508">
        <f ca="1">HYPERLINK(DO16,DD16)</f>
        <v>0</v>
      </c>
      <c r="BC16" s="475" t="str">
        <f ca="1">CY16&amp;" | "&amp;CZ16</f>
        <v>0 | Autor der Festlegungen für die Zielregion in dieser Tabelle als Urheber des Szenarios.</v>
      </c>
      <c r="BI16" s="475" t="s">
        <v>126</v>
      </c>
      <c r="BJ16" s="492" t="str">
        <f>E16</f>
        <v>Szenario-Realisierung</v>
      </c>
      <c r="BK16" s="486" t="str">
        <f ca="1">J16</f>
        <v xml:space="preserve">Hans-Heinrich Schmidt-Kanefendt
</v>
      </c>
      <c r="BL16" s="486">
        <f>M16</f>
        <v>0</v>
      </c>
      <c r="BM16" s="472">
        <f>D16</f>
        <v>16</v>
      </c>
      <c r="BN16" s="658"/>
      <c r="BO16" s="475" t="s">
        <v>256</v>
      </c>
      <c r="BP16" s="521" t="s">
        <v>443</v>
      </c>
      <c r="CU16" s="476"/>
      <c r="CV16" s="658"/>
      <c r="CW16" s="518">
        <v>36</v>
      </c>
      <c r="CY16" s="472">
        <f t="shared" ref="CY16:DO16" ca="1" si="7">INDIRECT($CX$1&amp;CY$1&amp;$CW16)</f>
        <v>0</v>
      </c>
      <c r="CZ16" s="472" t="str">
        <f t="shared" ca="1" si="7"/>
        <v>Autor der Festlegungen für die Zielregion in dieser Tabelle als Urheber des Szenarios.</v>
      </c>
      <c r="DA16" s="472" t="str">
        <f t="shared" ca="1" si="7"/>
        <v>Hans-H. Schmidt-Kanefendt</v>
      </c>
      <c r="DB16" s="472">
        <f t="shared" ca="1" si="7"/>
        <v>0</v>
      </c>
      <c r="DC16" s="472" t="str">
        <f t="shared" ca="1" si="7"/>
        <v xml:space="preserve"> 3</v>
      </c>
      <c r="DD16" s="472">
        <f t="shared" ca="1" si="7"/>
        <v>0</v>
      </c>
      <c r="DE16" s="472" t="str">
        <f t="shared" ca="1" si="7"/>
        <v>Ba270</v>
      </c>
      <c r="DF16" s="472">
        <f t="shared" ca="1" si="7"/>
        <v>0</v>
      </c>
      <c r="DG16" s="472" t="str">
        <f t="shared" ca="1" si="7"/>
        <v>Ba</v>
      </c>
      <c r="DH16" s="472" t="str">
        <f t="shared" ca="1" si="7"/>
        <v>270</v>
      </c>
      <c r="DI16" s="472" t="str">
        <f t="shared" ca="1" si="7"/>
        <v>[Ba.xls]TEXT!Z270S5</v>
      </c>
      <c r="DJ16" s="472" t="str">
        <f t="shared" ca="1" si="7"/>
        <v>0</v>
      </c>
      <c r="DK16" s="472" t="str">
        <f t="shared" ca="1" si="7"/>
        <v/>
      </c>
      <c r="DL16" s="472" t="str">
        <f t="shared" ca="1" si="7"/>
        <v>[0.xls]TEXT!ZS5</v>
      </c>
      <c r="DM16" s="472">
        <f t="shared" ca="1" si="7"/>
        <v>36</v>
      </c>
      <c r="DN16" s="472" t="str">
        <f t="shared" ca="1" si="7"/>
        <v>[Region.xls]PARAMETER!Z3S6</v>
      </c>
      <c r="DO16" s="472" t="str">
        <f t="shared" ca="1" si="7"/>
        <v>[Region.xls]PARAMETER!Z0S6</v>
      </c>
      <c r="DP16" s="472"/>
      <c r="DS16" s="656"/>
      <c r="DV16" s="472"/>
      <c r="DW16" s="472"/>
      <c r="DX16" s="472"/>
      <c r="DY16" s="472"/>
      <c r="DZ16" s="472"/>
      <c r="EA16" s="472"/>
      <c r="EB16" s="472"/>
      <c r="EC16" s="472"/>
      <c r="ED16" s="472"/>
      <c r="EE16" s="472"/>
      <c r="EF16" s="472"/>
      <c r="EG16" s="472"/>
      <c r="EH16" s="472"/>
      <c r="EI16" s="472"/>
      <c r="EJ16" s="472"/>
      <c r="EK16" s="472"/>
      <c r="EV16" s="819">
        <f t="shared" si="3"/>
        <v>16</v>
      </c>
      <c r="EW16" s="819"/>
    </row>
    <row r="17" spans="1:153" s="680" customFormat="1" ht="4">
      <c r="A17" s="540" t="str">
        <f t="shared" ca="1" si="1"/>
        <v>D.1.17</v>
      </c>
      <c r="B17" s="540" t="str">
        <f t="shared" ca="1" si="2"/>
        <v>1.17</v>
      </c>
      <c r="C17" s="540" t="str">
        <f t="shared" ref="C17" si="8">CE$1&amp;D17&amp;CF$1</f>
        <v>[17]</v>
      </c>
      <c r="D17" s="540">
        <f>ROW()</f>
        <v>17</v>
      </c>
      <c r="I17" s="679"/>
      <c r="J17" s="799"/>
      <c r="K17" s="679"/>
      <c r="L17" s="679"/>
      <c r="M17" s="679"/>
      <c r="O17" s="870">
        <v>17</v>
      </c>
      <c r="P17" s="688"/>
      <c r="Q17" s="689"/>
      <c r="R17" s="889"/>
      <c r="S17" s="802"/>
      <c r="T17" s="883"/>
      <c r="U17" s="661"/>
      <c r="V17" s="661"/>
      <c r="W17" s="661"/>
      <c r="X17" s="661"/>
      <c r="Y17" s="661"/>
      <c r="Z17" s="661"/>
      <c r="AA17" s="661"/>
      <c r="AB17" s="675"/>
      <c r="AC17" s="675"/>
      <c r="AD17" s="675"/>
      <c r="AE17" s="675"/>
      <c r="AF17" s="675"/>
      <c r="AG17" s="675"/>
      <c r="AH17" s="675"/>
      <c r="AI17" s="675"/>
      <c r="AJ17" s="675"/>
      <c r="AK17" s="675"/>
      <c r="AL17" s="675"/>
      <c r="AM17" s="675"/>
      <c r="AN17" s="675"/>
      <c r="AO17" s="675"/>
      <c r="AP17" s="675"/>
      <c r="AQ17" s="675"/>
      <c r="AR17" s="675"/>
      <c r="AS17" s="675"/>
      <c r="AT17" s="675"/>
      <c r="AU17" s="675"/>
      <c r="AV17" s="675"/>
      <c r="AZ17" s="541"/>
      <c r="BB17" s="541"/>
      <c r="BI17" s="680" t="s">
        <v>126</v>
      </c>
      <c r="BJ17" s="542"/>
      <c r="CU17" s="543"/>
      <c r="CW17" s="543"/>
      <c r="EV17" s="820" t="str">
        <f t="shared" si="3"/>
        <v/>
      </c>
      <c r="EW17" s="820"/>
    </row>
    <row r="18" spans="1:153" s="472" customFormat="1" ht="51.75" customHeight="1">
      <c r="A18" s="654" t="str">
        <f t="shared" ca="1" si="1"/>
        <v>D.1.18</v>
      </c>
      <c r="B18" s="654" t="str">
        <f t="shared" ca="1" si="2"/>
        <v>1.18</v>
      </c>
      <c r="C18" s="654" t="str">
        <f t="shared" si="0"/>
        <v>[18]</v>
      </c>
      <c r="D18" s="654">
        <f>ROW()</f>
        <v>18</v>
      </c>
      <c r="E18" s="1125" t="str">
        <f>CU18</f>
        <v>auf Grundlage 'Niedersachsen 100%EE' (150826) 
im Wissenschaftlichen Gutachten [D.9.105],
erstellt von einem Autorenteam,
vertreten durch Prof. Dr.-Ing. Martin Faulstich.</v>
      </c>
      <c r="F18" s="1125"/>
      <c r="G18" s="1125"/>
      <c r="H18" s="1125"/>
      <c r="I18" s="1125"/>
      <c r="J18" s="1125"/>
      <c r="K18" s="1125"/>
      <c r="L18" s="1125"/>
      <c r="M18" s="1125"/>
      <c r="N18" s="1132"/>
      <c r="O18" s="869">
        <v>18</v>
      </c>
      <c r="P18" s="573" t="str">
        <f ca="1">HYPERLINK(EK18,EJ18)</f>
        <v>9.105</v>
      </c>
      <c r="Q18" s="692" t="str">
        <f>Y18</f>
        <v>Anhang D</v>
      </c>
      <c r="R18" s="852"/>
      <c r="S18" s="784"/>
      <c r="T18" s="884"/>
      <c r="U18" s="1067" t="str">
        <f>"auf Grundlage 'Niedersachsen 100%EE' (150826) 
im Wissenschaftlichen Gutachten [D.9."&amp;'9.Quellen'!C105&amp;"],
erstellt von einem Autorenteam,
vertreten durch Prof. Dr.-Ing. Martin Faulstich."</f>
        <v>auf Grundlage 'Niedersachsen 100%EE' (150826) 
im Wissenschaftlichen Gutachten [D.9.105],
erstellt von einem Autorenteam,
vertreten durch Prof. Dr.-Ing. Martin Faulstich.</v>
      </c>
      <c r="V18" s="905" t="s">
        <v>126</v>
      </c>
      <c r="W18" s="1025"/>
      <c r="X18" s="672">
        <f>'9.Quellen'!C105</f>
        <v>105</v>
      </c>
      <c r="Y18" s="672" t="s">
        <v>926</v>
      </c>
      <c r="Z18" s="1025"/>
      <c r="AA18" s="905"/>
      <c r="AB18" s="801"/>
      <c r="AC18" s="1020"/>
      <c r="AD18" s="801"/>
      <c r="AE18" s="801"/>
      <c r="AF18" s="801"/>
      <c r="AG18" s="801"/>
      <c r="AH18" s="801"/>
      <c r="AI18" s="801"/>
      <c r="AJ18" s="801"/>
      <c r="AK18" s="801"/>
      <c r="AL18" s="801"/>
      <c r="AM18" s="801"/>
      <c r="AN18" s="801"/>
      <c r="AO18" s="801"/>
      <c r="AP18" s="801"/>
      <c r="AQ18" s="801"/>
      <c r="AR18" s="801"/>
      <c r="AS18" s="801"/>
      <c r="AT18" s="801"/>
      <c r="AU18" s="801"/>
      <c r="AV18" s="801"/>
      <c r="BF18" s="473"/>
      <c r="BI18" s="472" t="s">
        <v>126</v>
      </c>
      <c r="BJ18" s="490"/>
      <c r="BN18" s="656"/>
      <c r="BO18" s="472" t="s">
        <v>259</v>
      </c>
      <c r="CU18" s="480" t="str">
        <f>IF(U18="",BF18,U18)</f>
        <v>auf Grundlage 'Niedersachsen 100%EE' (150826) 
im Wissenschaftlichen Gutachten [D.9.105],
erstellt von einem Autorenteam,
vertreten durch Prof. Dr.-Ing. Martin Faulstich.</v>
      </c>
      <c r="CV18" s="656"/>
      <c r="CW18" s="480"/>
      <c r="DS18" s="656"/>
      <c r="EJ18" s="472" t="str">
        <f ca="1">IF(X18=0,"",EJ$1&amp;X18)</f>
        <v>9.105</v>
      </c>
      <c r="EK18" s="472" t="str">
        <f ca="1">EK$1&amp;X18</f>
        <v>[D_Python.xlsx]9.Quellen!C105</v>
      </c>
      <c r="EV18" s="819">
        <f t="shared" si="3"/>
        <v>18</v>
      </c>
      <c r="EW18" s="819"/>
    </row>
    <row r="19" spans="1:153" s="528" customFormat="1" ht="4" hidden="1">
      <c r="A19" s="540" t="str">
        <f t="shared" ca="1" si="1"/>
        <v>D.1.19</v>
      </c>
      <c r="B19" s="540" t="str">
        <f t="shared" ca="1" si="2"/>
        <v>1.19</v>
      </c>
      <c r="C19" s="540" t="str">
        <f>CE$1&amp;D19&amp;CF$1</f>
        <v>[19]</v>
      </c>
      <c r="D19" s="540">
        <f>ROW()</f>
        <v>19</v>
      </c>
      <c r="I19" s="527"/>
      <c r="J19" s="527"/>
      <c r="K19" s="527"/>
      <c r="L19" s="527"/>
      <c r="M19" s="527"/>
      <c r="O19" s="870">
        <v>19</v>
      </c>
      <c r="P19" s="566"/>
      <c r="Q19" s="567"/>
      <c r="R19" s="889"/>
      <c r="S19" s="802"/>
      <c r="T19" s="883"/>
      <c r="U19" s="661"/>
      <c r="V19" s="661"/>
      <c r="W19" s="661"/>
      <c r="X19" s="661"/>
      <c r="Y19" s="661"/>
      <c r="Z19" s="661"/>
      <c r="AA19" s="661"/>
      <c r="AB19" s="675"/>
      <c r="AC19" s="675"/>
      <c r="AD19" s="675"/>
      <c r="AE19" s="675"/>
      <c r="AF19" s="675"/>
      <c r="AG19" s="675"/>
      <c r="AH19" s="675"/>
      <c r="AI19" s="675"/>
      <c r="AJ19" s="675"/>
      <c r="AK19" s="675"/>
      <c r="AL19" s="675"/>
      <c r="AM19" s="675"/>
      <c r="AN19" s="675"/>
      <c r="AO19" s="675"/>
      <c r="AP19" s="675"/>
      <c r="AQ19" s="675"/>
      <c r="AR19" s="675"/>
      <c r="AS19" s="675"/>
      <c r="AT19" s="675"/>
      <c r="AU19" s="675"/>
      <c r="AV19" s="675"/>
      <c r="AZ19" s="541"/>
      <c r="BB19" s="541"/>
      <c r="BI19" s="528" t="s">
        <v>126</v>
      </c>
      <c r="BJ19" s="542"/>
      <c r="BN19" s="680"/>
      <c r="CU19" s="543"/>
      <c r="CV19" s="680"/>
      <c r="CW19" s="543"/>
      <c r="DS19" s="680"/>
      <c r="EV19" s="820" t="str">
        <f t="shared" si="3"/>
        <v/>
      </c>
      <c r="EW19" s="820"/>
    </row>
    <row r="20" spans="1:153" s="472" customFormat="1" ht="0.75" customHeight="1">
      <c r="A20" s="654" t="str">
        <f t="shared" ca="1" si="1"/>
        <v>D.1.20</v>
      </c>
      <c r="B20" s="654" t="str">
        <f t="shared" ca="1" si="2"/>
        <v>1.20</v>
      </c>
      <c r="C20" s="654" t="str">
        <f>CE$1&amp;D20&amp;CF$1</f>
        <v>[20]</v>
      </c>
      <c r="D20" s="654">
        <f>ROW()</f>
        <v>20</v>
      </c>
      <c r="E20" s="1125" t="str">
        <f t="shared" ref="E20" si="9">CU20</f>
        <v xml:space="preserve"> </v>
      </c>
      <c r="F20" s="1125"/>
      <c r="G20" s="1125"/>
      <c r="H20" s="1125"/>
      <c r="I20" s="1125"/>
      <c r="J20" s="1125"/>
      <c r="K20" s="1125"/>
      <c r="L20" s="1125"/>
      <c r="M20" s="1125"/>
      <c r="N20" s="1132"/>
      <c r="O20" s="869">
        <v>20</v>
      </c>
      <c r="P20" s="573" t="str">
        <f ca="1">HYPERLINK(EK20,EJ20)</f>
        <v/>
      </c>
      <c r="Q20" s="574"/>
      <c r="R20" s="852"/>
      <c r="S20" s="784"/>
      <c r="T20" s="864"/>
      <c r="U20" s="1065" t="s">
        <v>126</v>
      </c>
      <c r="V20" s="905" t="s">
        <v>126</v>
      </c>
      <c r="W20" s="1025"/>
      <c r="X20" s="1025"/>
      <c r="Y20" s="1025"/>
      <c r="Z20" s="1025"/>
      <c r="AA20" s="905"/>
      <c r="AB20" s="801"/>
      <c r="AC20" s="801"/>
      <c r="AD20" s="801"/>
      <c r="AE20" s="801"/>
      <c r="AF20" s="801"/>
      <c r="AG20" s="801"/>
      <c r="AH20" s="801"/>
      <c r="AI20" s="801"/>
      <c r="AJ20" s="801"/>
      <c r="AK20" s="801"/>
      <c r="AL20" s="801"/>
      <c r="AM20" s="801"/>
      <c r="AN20" s="801"/>
      <c r="AO20" s="801"/>
      <c r="AP20" s="801"/>
      <c r="AQ20" s="801"/>
      <c r="AR20" s="801"/>
      <c r="AS20" s="801"/>
      <c r="AT20" s="801"/>
      <c r="AU20" s="801"/>
      <c r="AV20" s="801"/>
      <c r="BF20" s="473"/>
      <c r="BI20" s="472" t="s">
        <v>126</v>
      </c>
      <c r="BJ20" s="490"/>
      <c r="BN20" s="656"/>
      <c r="BO20" s="472" t="s">
        <v>259</v>
      </c>
      <c r="CU20" s="480" t="str">
        <f>IF(U20="",BF20,U20)</f>
        <v xml:space="preserve"> </v>
      </c>
      <c r="CV20" s="656"/>
      <c r="CW20" s="480"/>
      <c r="DS20" s="656"/>
      <c r="EJ20" s="472" t="str">
        <f>IF(X20=0,"",EJ$1&amp;X20)</f>
        <v/>
      </c>
      <c r="EK20" s="472" t="str">
        <f ca="1">EK$1&amp;X20</f>
        <v>[D_Python.xlsx]9.Quellen!C</v>
      </c>
      <c r="EV20" s="819">
        <f t="shared" si="3"/>
        <v>20</v>
      </c>
      <c r="EW20" s="819"/>
    </row>
    <row r="21" spans="1:153" s="478" customFormat="1" ht="4">
      <c r="A21" s="677" t="str">
        <f t="shared" ca="1" si="1"/>
        <v>D.1.21</v>
      </c>
      <c r="B21" s="677" t="str">
        <f t="shared" ca="1" si="2"/>
        <v>1.21</v>
      </c>
      <c r="C21" s="677" t="str">
        <f t="shared" si="0"/>
        <v>[21]</v>
      </c>
      <c r="D21" s="677">
        <f>ROW()</f>
        <v>21</v>
      </c>
      <c r="E21" s="548"/>
      <c r="F21" s="548"/>
      <c r="G21" s="548"/>
      <c r="H21" s="548"/>
      <c r="I21" s="549"/>
      <c r="J21" s="549"/>
      <c r="K21" s="549"/>
      <c r="L21" s="549"/>
      <c r="M21" s="549"/>
      <c r="N21" s="548"/>
      <c r="O21" s="871">
        <v>21</v>
      </c>
      <c r="P21" s="575"/>
      <c r="Q21" s="576"/>
      <c r="R21" s="888"/>
      <c r="S21" s="802"/>
      <c r="T21" s="882"/>
      <c r="U21" s="661"/>
      <c r="V21" s="661"/>
      <c r="W21" s="661"/>
      <c r="X21" s="661"/>
      <c r="Y21" s="661"/>
      <c r="Z21" s="661"/>
      <c r="AA21" s="661"/>
      <c r="AB21" s="675"/>
      <c r="AC21" s="675"/>
      <c r="AD21" s="675"/>
      <c r="AE21" s="675"/>
      <c r="AF21" s="675"/>
      <c r="AG21" s="675"/>
      <c r="AH21" s="675"/>
      <c r="AI21" s="675"/>
      <c r="AJ21" s="675"/>
      <c r="AK21" s="675"/>
      <c r="AL21" s="675"/>
      <c r="AM21" s="675"/>
      <c r="AN21" s="675"/>
      <c r="AO21" s="675"/>
      <c r="AP21" s="675"/>
      <c r="AQ21" s="675"/>
      <c r="AR21" s="675"/>
      <c r="AS21" s="675"/>
      <c r="AT21" s="675"/>
      <c r="AU21" s="675"/>
      <c r="AV21" s="675"/>
      <c r="AZ21" s="505"/>
      <c r="BB21" s="505"/>
      <c r="BI21" s="478" t="s">
        <v>126</v>
      </c>
      <c r="BJ21" s="489"/>
      <c r="BN21" s="661"/>
      <c r="CU21" s="479"/>
      <c r="CV21" s="661"/>
      <c r="CW21" s="479"/>
      <c r="DS21" s="661"/>
      <c r="EV21" s="818" t="str">
        <f t="shared" si="3"/>
        <v/>
      </c>
      <c r="EW21" s="818"/>
    </row>
    <row r="22" spans="1:153" s="475" customFormat="1" ht="13.5" customHeight="1">
      <c r="A22" s="654" t="str">
        <f t="shared" ca="1" si="1"/>
        <v>D.1.22</v>
      </c>
      <c r="B22" s="654" t="str">
        <f t="shared" ca="1" si="2"/>
        <v>1.22</v>
      </c>
      <c r="C22" s="654" t="str">
        <f t="shared" si="0"/>
        <v>[22]</v>
      </c>
      <c r="D22" s="654">
        <f>ROW()</f>
        <v>22</v>
      </c>
      <c r="E22" s="1164" t="str">
        <f>BP22</f>
        <v>100prosim Softwareversion</v>
      </c>
      <c r="F22" s="1164"/>
      <c r="G22" s="1164"/>
      <c r="H22" s="1164"/>
      <c r="I22" s="1164"/>
      <c r="J22" s="1161" t="str">
        <f ca="1">Stempel!$A$3</f>
        <v>200818.2120</v>
      </c>
      <c r="K22" s="1162" t="e">
        <f>#REF!</f>
        <v>#REF!</v>
      </c>
      <c r="L22" s="1162" t="s">
        <v>126</v>
      </c>
      <c r="M22" s="1163" t="e">
        <f>#REF!</f>
        <v>#REF!</v>
      </c>
      <c r="N22" s="533" t="str">
        <f ca="1">HYPERLINK($CK$1&amp;U22,$CE$1&amp;U22&amp;$CF$1)</f>
        <v>[22]</v>
      </c>
      <c r="O22" s="869">
        <v>22</v>
      </c>
      <c r="P22" s="570"/>
      <c r="Q22" s="583"/>
      <c r="R22" s="852"/>
      <c r="S22" s="784"/>
      <c r="T22" s="864"/>
      <c r="U22" s="1068">
        <f>D22</f>
        <v>22</v>
      </c>
      <c r="V22" s="1069" t="s">
        <v>126</v>
      </c>
      <c r="W22" s="1070" t="str">
        <f ca="1">Stempel!A3</f>
        <v>200818.2120</v>
      </c>
      <c r="X22" s="530" t="str">
        <f ca="1">BU1</f>
        <v>D.</v>
      </c>
      <c r="Y22" s="531" t="s">
        <v>266</v>
      </c>
      <c r="Z22" s="1071"/>
      <c r="AA22" s="905"/>
      <c r="AB22" s="801"/>
      <c r="AC22" s="1020"/>
      <c r="AD22" s="674"/>
      <c r="AE22" s="674"/>
      <c r="AF22" s="674"/>
      <c r="AG22" s="674"/>
      <c r="AH22" s="674"/>
      <c r="AI22" s="674"/>
      <c r="AJ22" s="674"/>
      <c r="AK22" s="674"/>
      <c r="AL22" s="674"/>
      <c r="AM22" s="674"/>
      <c r="AN22" s="674"/>
      <c r="AO22" s="674"/>
      <c r="AP22" s="674"/>
      <c r="AQ22" s="674"/>
      <c r="AR22" s="674"/>
      <c r="AS22" s="674"/>
      <c r="AT22" s="674"/>
      <c r="AU22" s="674"/>
      <c r="AV22" s="674"/>
      <c r="AX22" s="475" t="s">
        <v>244</v>
      </c>
      <c r="AY22" s="500" t="str">
        <f ca="1">DA22</f>
        <v>150116</v>
      </c>
      <c r="AZ22" s="508" t="str">
        <f ca="1">HYPERLINK(DN22,DC22)</f>
        <v xml:space="preserve"> 6</v>
      </c>
      <c r="BA22" s="500" t="str">
        <f ca="1">DB22</f>
        <v>131030e</v>
      </c>
      <c r="BB22" s="508">
        <f ca="1">HYPERLINK(DO22,DD22)</f>
        <v>0</v>
      </c>
      <c r="BC22" s="475" t="str">
        <f ca="1">CY22&amp;" | "&amp;CZ22</f>
        <v>0 | Regionaldaten Version(Status) / Software-Version (Ziel)</v>
      </c>
      <c r="BI22" s="475" t="s">
        <v>126</v>
      </c>
      <c r="BJ22" s="492" t="str">
        <f>E22</f>
        <v>100prosim Softwareversion</v>
      </c>
      <c r="BK22" s="486" t="str">
        <f ca="1">J22</f>
        <v>200818.2120</v>
      </c>
      <c r="BL22" s="486" t="e">
        <f>M22</f>
        <v>#REF!</v>
      </c>
      <c r="BM22" s="472">
        <f>D22</f>
        <v>22</v>
      </c>
      <c r="BN22" s="658"/>
      <c r="BO22" s="475" t="s">
        <v>256</v>
      </c>
      <c r="BP22" s="521" t="s">
        <v>854</v>
      </c>
      <c r="CU22" s="476"/>
      <c r="CV22" s="658"/>
      <c r="CW22" s="518">
        <v>18</v>
      </c>
      <c r="CY22" s="472">
        <f t="shared" ref="CY22:DO22" ca="1" si="10">INDIRECT($CX$1&amp;CY$1&amp;$CW22)</f>
        <v>0</v>
      </c>
      <c r="CZ22" s="472" t="str">
        <f t="shared" ca="1" si="10"/>
        <v>Regionaldaten Version(Status) / Software-Version (Ziel)</v>
      </c>
      <c r="DA22" s="472" t="str">
        <f t="shared" ca="1" si="10"/>
        <v>150116</v>
      </c>
      <c r="DB22" s="472" t="str">
        <f t="shared" ca="1" si="10"/>
        <v>131030e</v>
      </c>
      <c r="DC22" s="472" t="str">
        <f t="shared" ca="1" si="10"/>
        <v xml:space="preserve"> 6</v>
      </c>
      <c r="DD22" s="472">
        <f t="shared" ca="1" si="10"/>
        <v>0</v>
      </c>
      <c r="DE22" s="472" t="str">
        <f t="shared" ca="1" si="10"/>
        <v>Ba271</v>
      </c>
      <c r="DF22" s="472">
        <f t="shared" ca="1" si="10"/>
        <v>0</v>
      </c>
      <c r="DG22" s="472" t="str">
        <f t="shared" ca="1" si="10"/>
        <v>Ba</v>
      </c>
      <c r="DH22" s="472" t="str">
        <f t="shared" ca="1" si="10"/>
        <v>271</v>
      </c>
      <c r="DI22" s="472" t="str">
        <f t="shared" ca="1" si="10"/>
        <v>[Ba.xls]TEXT!Z271S5</v>
      </c>
      <c r="DJ22" s="472" t="str">
        <f t="shared" ca="1" si="10"/>
        <v>0</v>
      </c>
      <c r="DK22" s="472" t="str">
        <f t="shared" ca="1" si="10"/>
        <v/>
      </c>
      <c r="DL22" s="472" t="str">
        <f t="shared" ca="1" si="10"/>
        <v>[0.xls]TEXT!ZS5</v>
      </c>
      <c r="DM22" s="472">
        <f t="shared" ca="1" si="10"/>
        <v>18</v>
      </c>
      <c r="DN22" s="472" t="str">
        <f t="shared" ca="1" si="10"/>
        <v>[Region.xls]PARAMETER!Z6S6</v>
      </c>
      <c r="DO22" s="472" t="str">
        <f t="shared" ca="1" si="10"/>
        <v>[Region.xls]PARAMETER!Z0S6</v>
      </c>
      <c r="DP22" s="472"/>
      <c r="DS22" s="656"/>
      <c r="DV22" s="472"/>
      <c r="DW22" s="472"/>
      <c r="DX22" s="472"/>
      <c r="DY22" s="472"/>
      <c r="DZ22" s="472"/>
      <c r="EA22" s="472"/>
      <c r="EB22" s="472"/>
      <c r="EC22" s="472"/>
      <c r="ED22" s="472"/>
      <c r="EE22" s="472"/>
      <c r="EF22" s="472"/>
      <c r="EG22" s="472"/>
      <c r="EH22" s="472"/>
      <c r="EI22" s="472"/>
      <c r="EJ22" s="472"/>
      <c r="EK22" s="472"/>
      <c r="EV22" s="819">
        <f t="shared" si="3"/>
        <v>22</v>
      </c>
      <c r="EW22" s="819"/>
    </row>
    <row r="23" spans="1:153" s="528" customFormat="1" ht="4">
      <c r="A23" s="540" t="str">
        <f t="shared" ca="1" si="1"/>
        <v>D.1.23</v>
      </c>
      <c r="B23" s="540" t="str">
        <f t="shared" ca="1" si="2"/>
        <v>1.23</v>
      </c>
      <c r="C23" s="540" t="str">
        <f>CE$1&amp;D23&amp;CF$1</f>
        <v>[23]</v>
      </c>
      <c r="D23" s="540">
        <f>ROW()</f>
        <v>23</v>
      </c>
      <c r="I23" s="527"/>
      <c r="J23" s="527"/>
      <c r="K23" s="527"/>
      <c r="L23" s="527"/>
      <c r="M23" s="527"/>
      <c r="O23" s="870">
        <v>23</v>
      </c>
      <c r="P23" s="566"/>
      <c r="Q23" s="567"/>
      <c r="R23" s="889"/>
      <c r="S23" s="802"/>
      <c r="T23" s="883"/>
      <c r="U23" s="661"/>
      <c r="V23" s="661"/>
      <c r="W23" s="661"/>
      <c r="X23" s="661"/>
      <c r="Y23" s="661"/>
      <c r="Z23" s="661"/>
      <c r="AA23" s="661"/>
      <c r="AB23" s="675"/>
      <c r="AC23" s="675"/>
      <c r="AD23" s="675"/>
      <c r="AE23" s="675"/>
      <c r="AF23" s="675"/>
      <c r="AG23" s="675"/>
      <c r="AH23" s="675"/>
      <c r="AI23" s="675"/>
      <c r="AJ23" s="675"/>
      <c r="AK23" s="675"/>
      <c r="AL23" s="675"/>
      <c r="AM23" s="675"/>
      <c r="AN23" s="675"/>
      <c r="AO23" s="675"/>
      <c r="AP23" s="675"/>
      <c r="AQ23" s="675"/>
      <c r="AR23" s="675"/>
      <c r="AS23" s="675"/>
      <c r="AT23" s="675"/>
      <c r="AU23" s="675"/>
      <c r="AV23" s="675"/>
      <c r="AZ23" s="541"/>
      <c r="BB23" s="541"/>
      <c r="BI23" s="528" t="s">
        <v>126</v>
      </c>
      <c r="BJ23" s="542"/>
      <c r="BN23" s="680"/>
      <c r="CU23" s="543"/>
      <c r="CV23" s="680"/>
      <c r="CW23" s="543"/>
      <c r="DS23" s="680"/>
      <c r="EV23" s="820" t="str">
        <f t="shared" si="3"/>
        <v/>
      </c>
      <c r="EW23" s="820"/>
    </row>
    <row r="24" spans="1:153" s="472" customFormat="1" ht="39">
      <c r="A24" s="654" t="str">
        <f t="shared" ca="1" si="1"/>
        <v>D.1.24</v>
      </c>
      <c r="B24" s="654" t="str">
        <f t="shared" ca="1" si="2"/>
        <v>1.24</v>
      </c>
      <c r="C24" s="654" t="str">
        <f>CE$1&amp;D24&amp;CF$1</f>
        <v>[24]</v>
      </c>
      <c r="D24" s="654">
        <f>ROW()</f>
        <v>24</v>
      </c>
      <c r="E24" s="1125" t="str">
        <f t="shared" ref="E24" si="11">CU24</f>
        <v>100prosim  -   
100-Prozent-Erneuerbare-Enerigen-Simulationssystem 
von Hans-Heinrich Schmidt-Kanefendt</v>
      </c>
      <c r="F24" s="1125"/>
      <c r="G24" s="1125"/>
      <c r="H24" s="1125"/>
      <c r="I24" s="1125"/>
      <c r="J24" s="1125"/>
      <c r="K24" s="1125"/>
      <c r="L24" s="1125"/>
      <c r="M24" s="1125"/>
      <c r="N24" s="1132"/>
      <c r="O24" s="869">
        <v>24</v>
      </c>
      <c r="P24" s="573" t="str">
        <f ca="1">HYPERLINK(EK24,EJ24)</f>
        <v/>
      </c>
      <c r="Q24" s="574"/>
      <c r="R24" s="852"/>
      <c r="S24" s="784"/>
      <c r="T24" s="864"/>
      <c r="U24" s="905" t="s">
        <v>855</v>
      </c>
      <c r="V24" s="905"/>
      <c r="W24" s="905"/>
      <c r="X24" s="905"/>
      <c r="Y24" s="905"/>
      <c r="Z24" s="1025"/>
      <c r="AA24" s="905"/>
      <c r="AB24" s="801"/>
      <c r="AC24" s="801"/>
      <c r="AD24" s="801"/>
      <c r="AE24" s="801"/>
      <c r="AF24" s="801"/>
      <c r="AG24" s="801"/>
      <c r="AH24" s="801"/>
      <c r="AI24" s="801"/>
      <c r="AJ24" s="801"/>
      <c r="AK24" s="801"/>
      <c r="AL24" s="801"/>
      <c r="AM24" s="801"/>
      <c r="AN24" s="801"/>
      <c r="AO24" s="801"/>
      <c r="AP24" s="801"/>
      <c r="AQ24" s="801"/>
      <c r="AR24" s="801"/>
      <c r="AS24" s="801"/>
      <c r="AT24" s="801"/>
      <c r="AU24" s="801"/>
      <c r="AV24" s="801"/>
      <c r="BF24" s="473"/>
      <c r="BI24" s="472" t="s">
        <v>126</v>
      </c>
      <c r="BJ24" s="490"/>
      <c r="BN24" s="656"/>
      <c r="BO24" s="472" t="s">
        <v>259</v>
      </c>
      <c r="CU24" s="480" t="str">
        <f>IF(U24="",BF24,U24)</f>
        <v>100prosim  -   
100-Prozent-Erneuerbare-Enerigen-Simulationssystem 
von Hans-Heinrich Schmidt-Kanefendt</v>
      </c>
      <c r="CV24" s="656"/>
      <c r="CW24" s="480"/>
      <c r="DS24" s="656"/>
      <c r="EJ24" s="472" t="str">
        <f>IF(X24=0,"",EJ$1&amp;X24)</f>
        <v/>
      </c>
      <c r="EK24" s="472" t="str">
        <f ca="1">EK$1&amp;X24</f>
        <v>[D_Python.xlsx]9.Quellen!C</v>
      </c>
      <c r="EV24" s="819">
        <f t="shared" si="3"/>
        <v>24</v>
      </c>
      <c r="EW24" s="819"/>
    </row>
    <row r="25" spans="1:153" s="528" customFormat="1" ht="4">
      <c r="A25" s="540" t="str">
        <f t="shared" ca="1" si="1"/>
        <v>D.1.25</v>
      </c>
      <c r="B25" s="540" t="str">
        <f t="shared" ca="1" si="2"/>
        <v>1.25</v>
      </c>
      <c r="C25" s="540" t="str">
        <f t="shared" si="0"/>
        <v>[25]</v>
      </c>
      <c r="D25" s="540">
        <f>ROW()</f>
        <v>25</v>
      </c>
      <c r="I25" s="527"/>
      <c r="J25" s="527"/>
      <c r="K25" s="527"/>
      <c r="L25" s="527"/>
      <c r="M25" s="527"/>
      <c r="O25" s="870">
        <v>25</v>
      </c>
      <c r="P25" s="566"/>
      <c r="Q25" s="567"/>
      <c r="R25" s="889"/>
      <c r="S25" s="802"/>
      <c r="T25" s="883"/>
      <c r="U25" s="661"/>
      <c r="V25" s="661"/>
      <c r="W25" s="661"/>
      <c r="X25" s="661"/>
      <c r="Y25" s="661"/>
      <c r="Z25" s="661"/>
      <c r="AA25" s="661"/>
      <c r="AB25" s="675"/>
      <c r="AC25" s="675"/>
      <c r="AD25" s="675"/>
      <c r="AE25" s="675"/>
      <c r="AF25" s="675"/>
      <c r="AG25" s="675"/>
      <c r="AH25" s="675"/>
      <c r="AI25" s="675"/>
      <c r="AJ25" s="675"/>
      <c r="AK25" s="675"/>
      <c r="AL25" s="675"/>
      <c r="AM25" s="675"/>
      <c r="AN25" s="675"/>
      <c r="AO25" s="675"/>
      <c r="AP25" s="675"/>
      <c r="AQ25" s="675"/>
      <c r="AR25" s="675"/>
      <c r="AS25" s="675"/>
      <c r="AT25" s="675"/>
      <c r="AU25" s="675"/>
      <c r="AV25" s="675"/>
      <c r="AZ25" s="541"/>
      <c r="BB25" s="541"/>
      <c r="BI25" s="528" t="s">
        <v>126</v>
      </c>
      <c r="BJ25" s="542"/>
      <c r="BN25" s="680"/>
      <c r="CU25" s="543"/>
      <c r="CV25" s="680"/>
      <c r="CW25" s="543"/>
      <c r="DS25" s="680"/>
      <c r="EV25" s="820" t="str">
        <f t="shared" si="3"/>
        <v/>
      </c>
      <c r="EW25" s="820"/>
    </row>
    <row r="26" spans="1:153" s="478" customFormat="1" ht="4">
      <c r="A26" s="677" t="str">
        <f t="shared" ca="1" si="1"/>
        <v>D.1.26</v>
      </c>
      <c r="B26" s="677" t="str">
        <f t="shared" ca="1" si="2"/>
        <v>1.26</v>
      </c>
      <c r="C26" s="677" t="str">
        <f t="shared" si="0"/>
        <v>[26]</v>
      </c>
      <c r="D26" s="677">
        <f>ROW()</f>
        <v>26</v>
      </c>
      <c r="E26" s="548"/>
      <c r="F26" s="548"/>
      <c r="G26" s="548"/>
      <c r="H26" s="548"/>
      <c r="I26" s="549"/>
      <c r="J26" s="549"/>
      <c r="K26" s="549"/>
      <c r="L26" s="549"/>
      <c r="M26" s="549"/>
      <c r="N26" s="548"/>
      <c r="O26" s="871">
        <v>26</v>
      </c>
      <c r="P26" s="575"/>
      <c r="Q26" s="576"/>
      <c r="R26" s="888"/>
      <c r="S26" s="802"/>
      <c r="T26" s="882"/>
      <c r="U26" s="661"/>
      <c r="V26" s="661"/>
      <c r="W26" s="661"/>
      <c r="X26" s="661"/>
      <c r="Y26" s="661"/>
      <c r="Z26" s="661"/>
      <c r="AA26" s="661"/>
      <c r="AB26" s="675"/>
      <c r="AC26" s="675"/>
      <c r="AD26" s="675"/>
      <c r="AE26" s="675"/>
      <c r="AF26" s="675"/>
      <c r="AG26" s="675"/>
      <c r="AH26" s="675"/>
      <c r="AI26" s="675"/>
      <c r="AJ26" s="675"/>
      <c r="AK26" s="675"/>
      <c r="AL26" s="675"/>
      <c r="AM26" s="675"/>
      <c r="AN26" s="675"/>
      <c r="AO26" s="675"/>
      <c r="AP26" s="675"/>
      <c r="AQ26" s="675"/>
      <c r="AR26" s="675"/>
      <c r="AS26" s="675"/>
      <c r="AT26" s="675"/>
      <c r="AU26" s="675"/>
      <c r="AV26" s="675"/>
      <c r="AZ26" s="505"/>
      <c r="BB26" s="505"/>
      <c r="BI26" s="478" t="s">
        <v>126</v>
      </c>
      <c r="BJ26" s="489"/>
      <c r="BN26" s="661"/>
      <c r="CU26" s="479"/>
      <c r="CV26" s="661"/>
      <c r="CW26" s="479"/>
      <c r="DS26" s="661"/>
      <c r="EV26" s="818" t="str">
        <f t="shared" si="3"/>
        <v/>
      </c>
      <c r="EW26" s="818"/>
    </row>
    <row r="27" spans="1:153" s="475" customFormat="1" ht="13.5" customHeight="1">
      <c r="A27" s="654" t="str">
        <f t="shared" ca="1" si="1"/>
        <v>D.1.27</v>
      </c>
      <c r="B27" s="654" t="str">
        <f t="shared" ca="1" si="2"/>
        <v>1.27</v>
      </c>
      <c r="C27" s="654" t="str">
        <f t="shared" si="0"/>
        <v>[27]</v>
      </c>
      <c r="D27" s="654">
        <f>ROW()</f>
        <v>27</v>
      </c>
      <c r="E27" s="1129" t="str">
        <f>BP27</f>
        <v>Betrachtungszeitpunkte</v>
      </c>
      <c r="F27" s="1129"/>
      <c r="G27" s="1129"/>
      <c r="H27" s="1129"/>
      <c r="I27" s="1129"/>
      <c r="J27" s="471" t="s">
        <v>263</v>
      </c>
      <c r="K27" s="544">
        <f ca="1">INDIRECT($W$1&amp;U27)</f>
        <v>2016</v>
      </c>
      <c r="L27" s="485" t="str">
        <f ca="1">HYPERLINK($CK$1&amp;U27,$CE$1&amp;U27&amp;$CF$1)</f>
        <v>[28]</v>
      </c>
      <c r="M27" s="698">
        <f ca="1">INDIRECT($W$1&amp;W27)</f>
        <v>2040</v>
      </c>
      <c r="N27" s="533" t="str">
        <f ca="1">HYPERLINK($CK$1&amp;W27,$CE$1&amp;W27&amp;$CF$1)</f>
        <v>[30]</v>
      </c>
      <c r="O27" s="869">
        <v>27</v>
      </c>
      <c r="P27" s="570"/>
      <c r="Q27" s="583"/>
      <c r="R27" s="852"/>
      <c r="S27" s="784"/>
      <c r="T27" s="864"/>
      <c r="U27" s="672">
        <f>D28</f>
        <v>28</v>
      </c>
      <c r="V27" s="905" t="s">
        <v>126</v>
      </c>
      <c r="W27" s="672">
        <f>D30</f>
        <v>30</v>
      </c>
      <c r="X27" s="658"/>
      <c r="Y27" s="658"/>
      <c r="Z27" s="658"/>
      <c r="AA27" s="658"/>
      <c r="AB27" s="801"/>
      <c r="AC27" s="801"/>
      <c r="AD27" s="674"/>
      <c r="AE27" s="674"/>
      <c r="AF27" s="674"/>
      <c r="AG27" s="674"/>
      <c r="AH27" s="674"/>
      <c r="AI27" s="674"/>
      <c r="AJ27" s="674"/>
      <c r="AK27" s="674"/>
      <c r="AL27" s="674"/>
      <c r="AM27" s="674"/>
      <c r="AN27" s="674"/>
      <c r="AO27" s="674"/>
      <c r="AP27" s="674"/>
      <c r="AQ27" s="674"/>
      <c r="AR27" s="674"/>
      <c r="AS27" s="674"/>
      <c r="AT27" s="674"/>
      <c r="AU27" s="674"/>
      <c r="AV27" s="674"/>
      <c r="AX27" s="475" t="s">
        <v>244</v>
      </c>
      <c r="AY27" s="500" t="str">
        <f ca="1">DA27</f>
        <v>2012/ 2013</v>
      </c>
      <c r="AZ27" s="508" t="str">
        <f ca="1">HYPERLINK(DN27,DC27)</f>
        <v xml:space="preserve"> 15</v>
      </c>
      <c r="BA27" s="500" t="str">
        <f ca="1">DB27</f>
        <v>(k.A.)</v>
      </c>
      <c r="BB27" s="508" t="str">
        <f ca="1">HYPERLINK(DO27,DD27)</f>
        <v xml:space="preserve"> 17</v>
      </c>
      <c r="BC27" s="475" t="str">
        <f ca="1">CY27&amp;" | "&amp;CZ27</f>
        <v>0 | 1.1 Basisjahr</v>
      </c>
      <c r="BI27" s="475" t="s">
        <v>126</v>
      </c>
      <c r="BJ27" s="492" t="str">
        <f>E27</f>
        <v>Betrachtungszeitpunkte</v>
      </c>
      <c r="BK27" s="486">
        <f ca="1">K27</f>
        <v>2016</v>
      </c>
      <c r="BL27" s="486">
        <f ca="1">M27</f>
        <v>2040</v>
      </c>
      <c r="BM27" s="472">
        <f>D27</f>
        <v>27</v>
      </c>
      <c r="BN27" s="658"/>
      <c r="BO27" s="475" t="s">
        <v>251</v>
      </c>
      <c r="BP27" s="521" t="s">
        <v>262</v>
      </c>
      <c r="CU27" s="476"/>
      <c r="CV27" s="658"/>
      <c r="CW27" s="518">
        <v>37</v>
      </c>
      <c r="CY27" s="472">
        <f t="shared" ref="CY27:DO27" ca="1" si="12">INDIRECT($CX$1&amp;CY$1&amp;$CW27)</f>
        <v>0</v>
      </c>
      <c r="CZ27" s="472" t="str">
        <f t="shared" ca="1" si="12"/>
        <v>1.1 Basisjahr</v>
      </c>
      <c r="DA27" s="472" t="str">
        <f t="shared" ca="1" si="12"/>
        <v>2012/ 2013</v>
      </c>
      <c r="DB27" s="472" t="str">
        <f t="shared" ca="1" si="12"/>
        <v>(k.A.)</v>
      </c>
      <c r="DC27" s="472" t="str">
        <f t="shared" ca="1" si="12"/>
        <v xml:space="preserve"> 15</v>
      </c>
      <c r="DD27" s="472" t="str">
        <f t="shared" ca="1" si="12"/>
        <v xml:space="preserve"> 17</v>
      </c>
      <c r="DE27" s="472" t="str">
        <f t="shared" ca="1" si="12"/>
        <v>Ba15</v>
      </c>
      <c r="DF27" s="472" t="str">
        <f t="shared" ca="1" si="12"/>
        <v>Ba9</v>
      </c>
      <c r="DG27" s="472" t="str">
        <f t="shared" ca="1" si="12"/>
        <v>Ba</v>
      </c>
      <c r="DH27" s="472" t="str">
        <f t="shared" ca="1" si="12"/>
        <v>15</v>
      </c>
      <c r="DI27" s="472" t="str">
        <f t="shared" ca="1" si="12"/>
        <v>[Ba.xls]TEXT!Z15S5</v>
      </c>
      <c r="DJ27" s="472" t="str">
        <f t="shared" ca="1" si="12"/>
        <v>Ba</v>
      </c>
      <c r="DK27" s="472" t="str">
        <f t="shared" ca="1" si="12"/>
        <v>9</v>
      </c>
      <c r="DL27" s="472" t="str">
        <f t="shared" ca="1" si="12"/>
        <v>[Ba.xls]TEXT!Z9S5</v>
      </c>
      <c r="DM27" s="472">
        <f t="shared" ca="1" si="12"/>
        <v>37</v>
      </c>
      <c r="DN27" s="472" t="str">
        <f t="shared" ca="1" si="12"/>
        <v>[Region.xls]PARAMETER!Z15S6</v>
      </c>
      <c r="DO27" s="472" t="str">
        <f t="shared" ca="1" si="12"/>
        <v>[Region.xls]PARAMETER!Z17S6</v>
      </c>
      <c r="DP27" s="472"/>
      <c r="DS27" s="656"/>
      <c r="DV27" s="472"/>
      <c r="DW27" s="472"/>
      <c r="DX27" s="472"/>
      <c r="DY27" s="472"/>
      <c r="DZ27" s="472"/>
      <c r="EA27" s="472"/>
      <c r="EB27" s="472"/>
      <c r="EC27" s="472"/>
      <c r="ED27" s="472"/>
      <c r="EE27" s="472"/>
      <c r="EF27" s="472"/>
      <c r="EG27" s="472"/>
      <c r="EH27" s="472"/>
      <c r="EI27" s="472"/>
      <c r="EJ27" s="472"/>
      <c r="EK27" s="472"/>
      <c r="EV27" s="819">
        <f t="shared" si="3"/>
        <v>27</v>
      </c>
      <c r="EW27" s="819"/>
    </row>
    <row r="28" spans="1:153" s="472" customFormat="1" ht="65">
      <c r="A28" s="654" t="str">
        <f t="shared" ca="1" si="1"/>
        <v>D.1.28</v>
      </c>
      <c r="B28" s="654" t="str">
        <f t="shared" ca="1" si="2"/>
        <v>1.28</v>
      </c>
      <c r="C28" s="654" t="str">
        <f t="shared" si="0"/>
        <v>[28]</v>
      </c>
      <c r="D28" s="654">
        <f>ROW()</f>
        <v>28</v>
      </c>
      <c r="E28" s="1130" t="str">
        <f>CU28</f>
        <v>- STATUS-Ansatz: Für das Statusmodell wurden  in Anlehnung an die genutzte Vorlage überwiegend Daten aus dem Jahr 2016 gewählt, besonders bei den stärkeren Veränderungen unterworfenen Erzeugungs-Daten.  Die  Verbrauchsdaten beziehen sich dagegen auf das Jahr 2012. Wegen der vergleichsweise niedrigen Veränderungsrate erscheinen die daraus resultierenden Inkonsistenzen für diese Abschätzung vertretbar und wurden in Kauf genommen.</v>
      </c>
      <c r="F28" s="1130"/>
      <c r="G28" s="1130"/>
      <c r="H28" s="1130"/>
      <c r="I28" s="1130"/>
      <c r="J28" s="1130"/>
      <c r="K28" s="1130"/>
      <c r="L28" s="1130"/>
      <c r="M28" s="1130"/>
      <c r="N28" s="1131"/>
      <c r="O28" s="869">
        <v>28</v>
      </c>
      <c r="P28" s="573" t="str">
        <f ca="1">HYPERLINK(EK28,EJ28)</f>
        <v/>
      </c>
      <c r="Q28" s="574" t="str">
        <f>Y28</f>
        <v xml:space="preserve"> </v>
      </c>
      <c r="R28" s="852"/>
      <c r="S28" s="784"/>
      <c r="T28" s="864"/>
      <c r="U28" s="1023" t="str">
        <f>"Für das Statusmodell wurden  in Anlehnung an die genutzte Vorlage überwiegend Daten aus dem Jahr "&amp;W28&amp;" gewählt, besonders bei den stärkeren Veränderungen unterworfenen Erzeugungs-Daten.  Die "&amp;AE28&amp;" beziehen sich dagegen auf das Jahr "&amp;AD28&amp;". "&amp;"Wegen der vergleichsweise niedrigen Veränderungsrate erscheinen die daraus resultierenden Inkonsistenzen für diese Abschätzung vertretbar und wurden in Kauf genommen."</f>
        <v>Für das Statusmodell wurden  in Anlehnung an die genutzte Vorlage überwiegend Daten aus dem Jahr 2016 gewählt, besonders bei den stärkeren Veränderungen unterworfenen Erzeugungs-Daten.  Die  Verbrauchsdaten beziehen sich dagegen auf das Jahr 2012. Wegen der vergleichsweise niedrigen Veränderungsrate erscheinen die daraus resultierenden Inkonsistenzen für diese Abschätzung vertretbar und wurden in Kauf genommen.</v>
      </c>
      <c r="V28" s="905" t="s">
        <v>126</v>
      </c>
      <c r="W28" s="1063">
        <v>2016</v>
      </c>
      <c r="X28" s="672"/>
      <c r="Y28" s="672" t="s">
        <v>126</v>
      </c>
      <c r="Z28" s="1025"/>
      <c r="AA28" s="658"/>
      <c r="AB28" s="801"/>
      <c r="AC28" s="1020">
        <v>44065</v>
      </c>
      <c r="AD28" s="801">
        <v>2012</v>
      </c>
      <c r="AE28" s="801" t="s">
        <v>1884</v>
      </c>
      <c r="AF28" s="801"/>
      <c r="AG28" s="801"/>
      <c r="AH28" s="801"/>
      <c r="AI28" s="801"/>
      <c r="AJ28" s="801"/>
      <c r="AK28" s="801"/>
      <c r="AL28" s="801"/>
      <c r="AM28" s="801"/>
      <c r="AN28" s="801"/>
      <c r="AO28" s="801"/>
      <c r="AP28" s="801"/>
      <c r="AQ28" s="801"/>
      <c r="AR28" s="801"/>
      <c r="AS28" s="801"/>
      <c r="AT28" s="801"/>
      <c r="AU28" s="801"/>
      <c r="AV28" s="801"/>
      <c r="BF28" s="473"/>
      <c r="BI28" s="472" t="s">
        <v>126</v>
      </c>
      <c r="BJ28" s="490"/>
      <c r="BN28" s="656"/>
      <c r="BO28" s="472" t="s">
        <v>259</v>
      </c>
      <c r="CU28" s="480" t="str">
        <f>CG$1&amp;IF(U28="",BF28,U28)</f>
        <v>- STATUS-Ansatz: Für das Statusmodell wurden  in Anlehnung an die genutzte Vorlage überwiegend Daten aus dem Jahr 2016 gewählt, besonders bei den stärkeren Veränderungen unterworfenen Erzeugungs-Daten.  Die  Verbrauchsdaten beziehen sich dagegen auf das Jahr 2012. Wegen der vergleichsweise niedrigen Veränderungsrate erscheinen die daraus resultierenden Inkonsistenzen für diese Abschätzung vertretbar und wurden in Kauf genommen.</v>
      </c>
      <c r="CV28" s="656"/>
      <c r="CW28" s="480"/>
      <c r="DS28" s="656"/>
      <c r="EJ28" s="472" t="str">
        <f>IF(X28=0,"",EJ$1&amp;X28)</f>
        <v/>
      </c>
      <c r="EK28" s="472" t="str">
        <f ca="1">EK$1&amp;X28</f>
        <v>[D_Python.xlsx]9.Quellen!C</v>
      </c>
      <c r="EV28" s="819">
        <f t="shared" si="3"/>
        <v>28</v>
      </c>
      <c r="EW28" s="819"/>
    </row>
    <row r="29" spans="1:153" s="680" customFormat="1" ht="4">
      <c r="A29" s="540" t="str">
        <f t="shared" ca="1" si="1"/>
        <v>D.1.29</v>
      </c>
      <c r="B29" s="540" t="str">
        <f t="shared" ca="1" si="2"/>
        <v>1.29</v>
      </c>
      <c r="C29" s="540" t="str">
        <f t="shared" si="0"/>
        <v>[29]</v>
      </c>
      <c r="D29" s="540">
        <f>ROW()</f>
        <v>29</v>
      </c>
      <c r="I29" s="679"/>
      <c r="J29" s="679"/>
      <c r="K29" s="679"/>
      <c r="L29" s="679"/>
      <c r="M29" s="679"/>
      <c r="O29" s="870">
        <v>29</v>
      </c>
      <c r="P29" s="688"/>
      <c r="Q29" s="689"/>
      <c r="R29" s="889"/>
      <c r="S29" s="802"/>
      <c r="T29" s="883"/>
      <c r="U29" s="661"/>
      <c r="V29" s="661"/>
      <c r="W29" s="661"/>
      <c r="X29" s="661"/>
      <c r="Y29" s="661"/>
      <c r="Z29" s="661"/>
      <c r="AA29" s="661"/>
      <c r="AB29" s="675"/>
      <c r="AC29" s="675"/>
      <c r="AD29" s="675"/>
      <c r="AE29" s="675"/>
      <c r="AF29" s="675"/>
      <c r="AG29" s="675"/>
      <c r="AH29" s="675"/>
      <c r="AI29" s="675"/>
      <c r="AJ29" s="675"/>
      <c r="AK29" s="675"/>
      <c r="AL29" s="675"/>
      <c r="AM29" s="675"/>
      <c r="AN29" s="675"/>
      <c r="AO29" s="675"/>
      <c r="AP29" s="675"/>
      <c r="AQ29" s="675"/>
      <c r="AR29" s="675"/>
      <c r="AS29" s="675"/>
      <c r="AT29" s="675"/>
      <c r="AU29" s="675"/>
      <c r="AV29" s="675"/>
      <c r="AZ29" s="541"/>
      <c r="BB29" s="541"/>
      <c r="BI29" s="680" t="s">
        <v>126</v>
      </c>
      <c r="BJ29" s="542"/>
      <c r="CU29" s="543"/>
      <c r="CW29" s="543"/>
      <c r="EV29" s="820" t="str">
        <f t="shared" si="3"/>
        <v/>
      </c>
      <c r="EW29" s="820"/>
    </row>
    <row r="30" spans="1:153" s="472" customFormat="1" ht="85.5" customHeight="1">
      <c r="A30" s="654" t="str">
        <f t="shared" ca="1" si="1"/>
        <v>D.1.30</v>
      </c>
      <c r="B30" s="654" t="str">
        <f t="shared" ca="1" si="2"/>
        <v>1.30</v>
      </c>
      <c r="C30" s="654" t="str">
        <f t="shared" si="0"/>
        <v>[30]</v>
      </c>
      <c r="D30" s="654">
        <f>ROW()</f>
        <v>30</v>
      </c>
      <c r="E30" s="1125" t="str">
        <f t="shared" ref="E30" si="13">CU30</f>
        <v xml:space="preserve">- ZIEL-Ansatz: Es wird die Situation im Jahr 2040 betrachtet, für das der erfolgte Übergang zu einer vollständig auf regenerativen Quellen basierenden, auf lange Sicht aufrecht zu erhaltenden Energieversorgung angenommen wird. Orientiert ist dies an dem im Klimaabkommen von Paris 2015 vereinbarten Ziel, die Erderwärmung keinesfalls über 2°C steigen zu lassen und möglichst auf 1,5°C zu begrenzen. Ein fairer Beitrag Deutschlands für ein Ziel von 1,75°C würde es erfordern, die verursachten Treibhausgasemissionen bereits bis zum Jahr 2036 auf Null zu senken, wenn die Transformation gleich im Jahr 2020 mit voller Kraft begänne. </v>
      </c>
      <c r="F30" s="1125"/>
      <c r="G30" s="1125"/>
      <c r="H30" s="1125"/>
      <c r="I30" s="1125"/>
      <c r="J30" s="1125"/>
      <c r="K30" s="1125"/>
      <c r="L30" s="1125"/>
      <c r="M30" s="1125"/>
      <c r="N30" s="1132"/>
      <c r="O30" s="869">
        <v>30</v>
      </c>
      <c r="P30" s="573" t="str">
        <f ca="1">HYPERLINK(EK30,EJ30)</f>
        <v>9.196</v>
      </c>
      <c r="Q30" s="574" t="str">
        <f>Y30</f>
        <v>Grafik</v>
      </c>
      <c r="R30" s="852"/>
      <c r="S30" s="784"/>
      <c r="T30" s="864"/>
      <c r="U30" s="1033" t="str">
        <f>"Es wird die Situation im Jahr "&amp;W30&amp;" betrachtet, für das der erfolgte Übergang zu einer vollständig auf regenerativen Quellen basierenden, auf lange Sicht aufrecht zu erhaltenden Energieversorgung angenommen wird. "&amp;"Orientiert ist dies an dem im Klimaabkommen von Paris 2015 vereinbarten Ziel, die Erderwärmung keinesfalls über 2°C steigen zu lassen und möglichst auf 1,5°C zu begrenzen."&amp;" Ein fairer Beitrag Deutschlands für ein Ziel von 1,75°C würde es erfordern, die verursachten Treibhausgasemissionen bereits bis zum Jahr 2036 auf Null zu senken, wenn die Transformation gleich im Jahr 2020 mit voller Kraft begänne. "</f>
        <v xml:space="preserve">Es wird die Situation im Jahr 2040 betrachtet, für das der erfolgte Übergang zu einer vollständig auf regenerativen Quellen basierenden, auf lange Sicht aufrecht zu erhaltenden Energieversorgung angenommen wird. Orientiert ist dies an dem im Klimaabkommen von Paris 2015 vereinbarten Ziel, die Erderwärmung keinesfalls über 2°C steigen zu lassen und möglichst auf 1,5°C zu begrenzen. Ein fairer Beitrag Deutschlands für ein Ziel von 1,75°C würde es erfordern, die verursachten Treibhausgasemissionen bereits bis zum Jahr 2036 auf Null zu senken, wenn die Transformation gleich im Jahr 2020 mit voller Kraft begänne. </v>
      </c>
      <c r="V30" s="905" t="s">
        <v>126</v>
      </c>
      <c r="W30" s="1063">
        <v>2040</v>
      </c>
      <c r="X30" s="672">
        <f>'9.Quellen'!C196</f>
        <v>196</v>
      </c>
      <c r="Y30" s="672" t="s">
        <v>1888</v>
      </c>
      <c r="Z30" s="1025"/>
      <c r="AA30" s="905"/>
      <c r="AB30" s="801"/>
      <c r="AC30" s="1020">
        <v>44065</v>
      </c>
      <c r="AD30" s="801"/>
      <c r="AE30" s="801"/>
      <c r="AF30" s="801"/>
      <c r="AG30" s="801"/>
      <c r="AH30" s="801"/>
      <c r="AI30" s="801"/>
      <c r="AJ30" s="801"/>
      <c r="AK30" s="801"/>
      <c r="AL30" s="801"/>
      <c r="AM30" s="801"/>
      <c r="AN30" s="801"/>
      <c r="AO30" s="801"/>
      <c r="AP30" s="801"/>
      <c r="AQ30" s="801"/>
      <c r="AR30" s="801"/>
      <c r="AS30" s="801"/>
      <c r="AT30" s="801"/>
      <c r="AU30" s="801"/>
      <c r="AV30" s="801"/>
      <c r="BF30" s="473"/>
      <c r="BI30" s="472" t="s">
        <v>126</v>
      </c>
      <c r="BJ30" s="490"/>
      <c r="BN30" s="656"/>
      <c r="BO30" s="472" t="s">
        <v>259</v>
      </c>
      <c r="CU30" s="480" t="str">
        <f>CH$1&amp;IF(U30="",BF30,U30)</f>
        <v xml:space="preserve">- ZIEL-Ansatz: Es wird die Situation im Jahr 2040 betrachtet, für das der erfolgte Übergang zu einer vollständig auf regenerativen Quellen basierenden, auf lange Sicht aufrecht zu erhaltenden Energieversorgung angenommen wird. Orientiert ist dies an dem im Klimaabkommen von Paris 2015 vereinbarten Ziel, die Erderwärmung keinesfalls über 2°C steigen zu lassen und möglichst auf 1,5°C zu begrenzen. Ein fairer Beitrag Deutschlands für ein Ziel von 1,75°C würde es erfordern, die verursachten Treibhausgasemissionen bereits bis zum Jahr 2036 auf Null zu senken, wenn die Transformation gleich im Jahr 2020 mit voller Kraft begänne. </v>
      </c>
      <c r="CV30" s="656"/>
      <c r="CW30" s="480"/>
      <c r="DS30" s="656"/>
      <c r="EJ30" s="472" t="str">
        <f ca="1">IF(X30=0,"",EJ$1&amp;X30)</f>
        <v>9.196</v>
      </c>
      <c r="EK30" s="472" t="str">
        <f ca="1">EK$1&amp;X30</f>
        <v>[D_Python.xlsx]9.Quellen!C196</v>
      </c>
      <c r="EV30" s="819">
        <f t="shared" si="3"/>
        <v>30</v>
      </c>
      <c r="EW30" s="819"/>
    </row>
    <row r="31" spans="1:153" s="528" customFormat="1" ht="4">
      <c r="A31" s="540" t="str">
        <f t="shared" ca="1" si="1"/>
        <v>D.1.31</v>
      </c>
      <c r="B31" s="540" t="str">
        <f t="shared" ca="1" si="2"/>
        <v>1.31</v>
      </c>
      <c r="C31" s="540" t="str">
        <f t="shared" si="0"/>
        <v>[31]</v>
      </c>
      <c r="D31" s="540">
        <f>ROW()</f>
        <v>31</v>
      </c>
      <c r="I31" s="527"/>
      <c r="J31" s="527"/>
      <c r="K31" s="527"/>
      <c r="L31" s="527"/>
      <c r="M31" s="527"/>
      <c r="O31" s="870">
        <v>31</v>
      </c>
      <c r="P31" s="566"/>
      <c r="Q31" s="567"/>
      <c r="R31" s="889"/>
      <c r="S31" s="802"/>
      <c r="T31" s="883"/>
      <c r="U31" s="661"/>
      <c r="V31" s="661"/>
      <c r="W31" s="661"/>
      <c r="X31" s="661"/>
      <c r="Y31" s="661"/>
      <c r="Z31" s="661"/>
      <c r="AA31" s="661"/>
      <c r="AB31" s="675"/>
      <c r="AC31" s="675"/>
      <c r="AD31" s="675"/>
      <c r="AE31" s="675"/>
      <c r="AF31" s="675"/>
      <c r="AG31" s="675"/>
      <c r="AH31" s="675"/>
      <c r="AI31" s="675"/>
      <c r="AJ31" s="675"/>
      <c r="AK31" s="675"/>
      <c r="AL31" s="675"/>
      <c r="AM31" s="675"/>
      <c r="AN31" s="675"/>
      <c r="AO31" s="675"/>
      <c r="AP31" s="675"/>
      <c r="AQ31" s="675"/>
      <c r="AR31" s="675"/>
      <c r="AS31" s="675"/>
      <c r="AT31" s="675"/>
      <c r="AU31" s="675"/>
      <c r="AV31" s="675"/>
      <c r="AZ31" s="541"/>
      <c r="BB31" s="541"/>
      <c r="BI31" s="528" t="s">
        <v>126</v>
      </c>
      <c r="BJ31" s="542"/>
      <c r="BN31" s="680"/>
      <c r="CU31" s="543"/>
      <c r="CV31" s="680"/>
      <c r="CW31" s="543"/>
      <c r="DS31" s="680"/>
      <c r="EV31" s="820" t="str">
        <f t="shared" si="3"/>
        <v/>
      </c>
      <c r="EW31" s="820"/>
    </row>
    <row r="32" spans="1:153" s="472" customFormat="1" ht="13">
      <c r="A32" s="654" t="str">
        <f t="shared" ca="1" si="1"/>
        <v>D.1.32</v>
      </c>
      <c r="B32" s="654" t="str">
        <f t="shared" ca="1" si="2"/>
        <v>1.32</v>
      </c>
      <c r="C32" s="654" t="str">
        <f t="shared" si="0"/>
        <v>[32]</v>
      </c>
      <c r="D32" s="654">
        <f>ROW()</f>
        <v>32</v>
      </c>
      <c r="E32" s="481" t="str">
        <f>BP32</f>
        <v>Regions-Grunddaten</v>
      </c>
      <c r="F32" s="482"/>
      <c r="G32" s="482"/>
      <c r="H32" s="482"/>
      <c r="I32" s="483"/>
      <c r="J32" s="484"/>
      <c r="K32" s="484"/>
      <c r="L32" s="484"/>
      <c r="M32" s="484"/>
      <c r="N32" s="532"/>
      <c r="O32" s="869">
        <v>32</v>
      </c>
      <c r="P32" s="568"/>
      <c r="Q32" s="569"/>
      <c r="R32" s="852"/>
      <c r="S32" s="804"/>
      <c r="T32" s="864"/>
      <c r="U32" s="905"/>
      <c r="V32" s="905"/>
      <c r="W32" s="905"/>
      <c r="X32" s="905"/>
      <c r="Y32" s="905"/>
      <c r="Z32" s="905"/>
      <c r="AA32" s="905"/>
      <c r="AB32" s="801"/>
      <c r="AC32" s="801"/>
      <c r="AD32" s="801"/>
      <c r="AE32" s="801"/>
      <c r="AF32" s="801"/>
      <c r="AG32" s="801"/>
      <c r="AH32" s="801"/>
      <c r="AI32" s="801"/>
      <c r="AJ32" s="801"/>
      <c r="AK32" s="801"/>
      <c r="AL32" s="801"/>
      <c r="AM32" s="801"/>
      <c r="AN32" s="801"/>
      <c r="AO32" s="801"/>
      <c r="AP32" s="801"/>
      <c r="AQ32" s="801"/>
      <c r="AR32" s="801"/>
      <c r="AS32" s="801"/>
      <c r="AT32" s="801"/>
      <c r="AU32" s="801"/>
      <c r="AV32" s="801"/>
      <c r="AZ32" s="504"/>
      <c r="BB32" s="506"/>
      <c r="BI32" s="472" t="s">
        <v>126</v>
      </c>
      <c r="BJ32" s="490"/>
      <c r="BN32" s="656"/>
      <c r="BO32" s="472" t="s">
        <v>250</v>
      </c>
      <c r="BP32" s="518" t="s">
        <v>264</v>
      </c>
      <c r="CU32" s="480"/>
      <c r="CV32" s="656"/>
      <c r="CW32" s="480"/>
      <c r="DS32" s="656"/>
      <c r="EV32" s="819">
        <f t="shared" si="3"/>
        <v>32</v>
      </c>
      <c r="EW32" s="819"/>
    </row>
    <row r="33" spans="1:153" s="478" customFormat="1" ht="4">
      <c r="A33" s="677" t="str">
        <f t="shared" ca="1" si="1"/>
        <v>D.1.33</v>
      </c>
      <c r="B33" s="677" t="str">
        <f t="shared" ca="1" si="2"/>
        <v>1.33</v>
      </c>
      <c r="C33" s="677" t="str">
        <f t="shared" si="0"/>
        <v>[33]</v>
      </c>
      <c r="D33" s="677">
        <f>ROW()</f>
        <v>33</v>
      </c>
      <c r="E33" s="528"/>
      <c r="F33" s="528"/>
      <c r="G33" s="528"/>
      <c r="H33" s="528"/>
      <c r="I33" s="527"/>
      <c r="J33" s="527"/>
      <c r="K33" s="527"/>
      <c r="L33" s="527"/>
      <c r="M33" s="527"/>
      <c r="N33" s="528"/>
      <c r="O33" s="871">
        <v>33</v>
      </c>
      <c r="P33" s="566"/>
      <c r="Q33" s="567"/>
      <c r="R33" s="888"/>
      <c r="S33" s="802"/>
      <c r="T33" s="882"/>
      <c r="U33" s="661"/>
      <c r="V33" s="661"/>
      <c r="W33" s="661"/>
      <c r="X33" s="661"/>
      <c r="Y33" s="661"/>
      <c r="Z33" s="661"/>
      <c r="AA33" s="661"/>
      <c r="AB33" s="675"/>
      <c r="AC33" s="675"/>
      <c r="AD33" s="675"/>
      <c r="AE33" s="675"/>
      <c r="AF33" s="675"/>
      <c r="AG33" s="675"/>
      <c r="AH33" s="675"/>
      <c r="AI33" s="675"/>
      <c r="AJ33" s="675"/>
      <c r="AK33" s="675"/>
      <c r="AL33" s="675"/>
      <c r="AM33" s="675"/>
      <c r="AN33" s="675"/>
      <c r="AO33" s="675"/>
      <c r="AP33" s="675"/>
      <c r="AQ33" s="675"/>
      <c r="AR33" s="675"/>
      <c r="AS33" s="675"/>
      <c r="AT33" s="675"/>
      <c r="AU33" s="675"/>
      <c r="AV33" s="675"/>
      <c r="BI33" s="478" t="s">
        <v>126</v>
      </c>
      <c r="BJ33" s="489"/>
      <c r="BN33" s="661"/>
      <c r="CU33" s="479"/>
      <c r="CV33" s="661"/>
      <c r="CW33" s="479"/>
      <c r="DS33" s="661"/>
      <c r="EV33" s="818" t="str">
        <f t="shared" si="3"/>
        <v/>
      </c>
      <c r="EW33" s="818"/>
    </row>
    <row r="34" spans="1:153" s="475" customFormat="1">
      <c r="A34" s="654" t="str">
        <f t="shared" ca="1" si="1"/>
        <v>D.1.34</v>
      </c>
      <c r="B34" s="654" t="str">
        <f t="shared" ca="1" si="2"/>
        <v>1.34</v>
      </c>
      <c r="C34" s="654" t="str">
        <f t="shared" si="0"/>
        <v>[34]</v>
      </c>
      <c r="D34" s="654">
        <f>ROW()</f>
        <v>34</v>
      </c>
      <c r="E34" s="1129" t="str">
        <f>BP34</f>
        <v>Energieverbrauch ermittelt gemäß:</v>
      </c>
      <c r="F34" s="1129"/>
      <c r="G34" s="1129"/>
      <c r="H34" s="1129"/>
      <c r="I34" s="1129"/>
      <c r="J34" s="1158" t="str">
        <f ca="1">INDIRECT($W$1&amp;U34)</f>
        <v>Verursacher-Prinzip</v>
      </c>
      <c r="K34" s="1159"/>
      <c r="L34" s="1159"/>
      <c r="M34" s="1160"/>
      <c r="N34" s="533" t="str">
        <f ca="1">HYPERLINK($CK$1&amp;U34,$CE$1&amp;U34&amp;$CF$1)</f>
        <v>[34]</v>
      </c>
      <c r="O34" s="869">
        <v>34</v>
      </c>
      <c r="P34" s="570"/>
      <c r="Q34" s="583"/>
      <c r="R34" s="887"/>
      <c r="S34" s="784"/>
      <c r="T34" s="881"/>
      <c r="U34" s="672">
        <f>D34</f>
        <v>34</v>
      </c>
      <c r="V34" s="905" t="s">
        <v>126</v>
      </c>
      <c r="W34" s="1063" t="s">
        <v>270</v>
      </c>
      <c r="X34" s="1025"/>
      <c r="Y34" s="1025"/>
      <c r="Z34" s="1025"/>
      <c r="AA34" s="905"/>
      <c r="AB34" s="801"/>
      <c r="AC34" s="674"/>
      <c r="AD34" s="674" t="str">
        <f>W34</f>
        <v>Verursacher-Prinzip</v>
      </c>
      <c r="AE34" s="674">
        <f>IF(W34=BQ34,W43,IF(W34=BQ35,W52,"Verursacher/Solidar falsch"))</f>
        <v>82175684</v>
      </c>
      <c r="AF34" s="674" t="s">
        <v>127</v>
      </c>
      <c r="AG34" s="674">
        <f>IF(W34=BQ34,W45,IF(W34=BQ35,W56,"Verursacher/Solidar falsch"))</f>
        <v>82175684</v>
      </c>
      <c r="AH34" s="674" t="s">
        <v>128</v>
      </c>
      <c r="AI34" s="674"/>
      <c r="AJ34" s="674"/>
      <c r="AK34" s="674"/>
      <c r="AL34" s="674"/>
      <c r="AM34" s="674"/>
      <c r="AN34" s="674"/>
      <c r="AO34" s="674"/>
      <c r="AP34" s="674"/>
      <c r="AQ34" s="674"/>
      <c r="AR34" s="674"/>
      <c r="AS34" s="674"/>
      <c r="AT34" s="674"/>
      <c r="AU34" s="674"/>
      <c r="AV34" s="674"/>
      <c r="AX34" s="475" t="s">
        <v>244</v>
      </c>
      <c r="AY34" s="500">
        <f ca="1">DA34</f>
        <v>5</v>
      </c>
      <c r="AZ34" s="508" t="str">
        <f ca="1">HYPERLINK(DN34,DC34)</f>
        <v xml:space="preserve"> 85</v>
      </c>
      <c r="BA34" s="500" t="str">
        <f ca="1">DB34</f>
        <v>#</v>
      </c>
      <c r="BB34" s="508">
        <f ca="1">HYPERLINK(DO34,DD34)</f>
        <v>0</v>
      </c>
      <c r="BC34" s="475" t="str">
        <f ca="1">CY34&amp;" | "&amp;CZ34</f>
        <v>0 | Maßstab für Deckungsgrad</v>
      </c>
      <c r="BI34" s="475" t="s">
        <v>126</v>
      </c>
      <c r="BJ34" s="492" t="str">
        <f>E34</f>
        <v>Energieverbrauch ermittelt gemäß:</v>
      </c>
      <c r="BK34" s="486" t="str">
        <f ca="1">J34</f>
        <v>Verursacher-Prinzip</v>
      </c>
      <c r="BL34" s="486">
        <f>M34</f>
        <v>0</v>
      </c>
      <c r="BM34" s="472">
        <f>D34</f>
        <v>34</v>
      </c>
      <c r="BN34" s="658"/>
      <c r="BO34" s="475" t="s">
        <v>256</v>
      </c>
      <c r="BP34" s="521" t="s">
        <v>279</v>
      </c>
      <c r="BQ34" s="524" t="s">
        <v>270</v>
      </c>
      <c r="CU34" s="476"/>
      <c r="CV34" s="658"/>
      <c r="CW34" s="518">
        <v>3</v>
      </c>
      <c r="CY34" s="472">
        <f t="shared" ref="CY34:DO34" ca="1" si="14">INDIRECT($CX$1&amp;CY$1&amp;$CW34)</f>
        <v>0</v>
      </c>
      <c r="CZ34" s="472" t="str">
        <f t="shared" ca="1" si="14"/>
        <v>Maßstab für Deckungsgrad</v>
      </c>
      <c r="DA34" s="472">
        <f t="shared" ca="1" si="14"/>
        <v>5</v>
      </c>
      <c r="DB34" s="472" t="str">
        <f t="shared" ca="1" si="14"/>
        <v>#</v>
      </c>
      <c r="DC34" s="472" t="str">
        <f t="shared" ca="1" si="14"/>
        <v xml:space="preserve"> 85</v>
      </c>
      <c r="DD34" s="472">
        <f t="shared" ca="1" si="14"/>
        <v>0</v>
      </c>
      <c r="DE34" s="472" t="str">
        <f t="shared" ca="1" si="14"/>
        <v>Ba41</v>
      </c>
      <c r="DF34" s="472" t="str">
        <f t="shared" ca="1" si="14"/>
        <v>#</v>
      </c>
      <c r="DG34" s="472" t="str">
        <f t="shared" ca="1" si="14"/>
        <v>Ba</v>
      </c>
      <c r="DH34" s="472" t="str">
        <f t="shared" ca="1" si="14"/>
        <v>41</v>
      </c>
      <c r="DI34" s="472" t="str">
        <f t="shared" ca="1" si="14"/>
        <v>[Ba.xls]TEXT!Z41S5</v>
      </c>
      <c r="DJ34" s="472">
        <f t="shared" ca="1" si="14"/>
        <v>0</v>
      </c>
      <c r="DK34" s="472">
        <f t="shared" ca="1" si="14"/>
        <v>0</v>
      </c>
      <c r="DL34" s="472">
        <f t="shared" ca="1" si="14"/>
        <v>0</v>
      </c>
      <c r="DM34" s="472">
        <f t="shared" ca="1" si="14"/>
        <v>3</v>
      </c>
      <c r="DN34" s="472" t="str">
        <f t="shared" ca="1" si="14"/>
        <v>[Region.xls]PARAMETER!Z85S6</v>
      </c>
      <c r="DO34" s="472" t="str">
        <f t="shared" ca="1" si="14"/>
        <v>[Region.xls]PARAMETER!Z0S6</v>
      </c>
      <c r="DP34" s="472"/>
      <c r="DS34" s="656"/>
      <c r="DV34" s="472"/>
      <c r="DW34" s="472"/>
      <c r="DX34" s="472"/>
      <c r="DY34" s="472"/>
      <c r="DZ34" s="472"/>
      <c r="EA34" s="472"/>
      <c r="EB34" s="472"/>
      <c r="EC34" s="472"/>
      <c r="ED34" s="472"/>
      <c r="EE34" s="472"/>
      <c r="EF34" s="472"/>
      <c r="EG34" s="472"/>
      <c r="EH34" s="472"/>
      <c r="EI34" s="472"/>
      <c r="EJ34" s="472"/>
      <c r="EK34" s="472"/>
      <c r="EV34" s="819">
        <f t="shared" si="3"/>
        <v>34</v>
      </c>
      <c r="EW34" s="819"/>
    </row>
    <row r="35" spans="1:153" s="472" customFormat="1" ht="78">
      <c r="A35" s="654" t="str">
        <f t="shared" ca="1" si="1"/>
        <v>D.1.35</v>
      </c>
      <c r="B35" s="654" t="str">
        <f t="shared" ca="1" si="2"/>
        <v>1.35</v>
      </c>
      <c r="C35" s="654" t="str">
        <f t="shared" si="0"/>
        <v>[35]</v>
      </c>
      <c r="D35" s="654">
        <f>ROW()</f>
        <v>35</v>
      </c>
      <c r="E35" s="1125" t="str">
        <f t="shared" ref="E35" si="15">CU35</f>
        <v>Beim Verursacher-Prinzip wird der von der Bevölkerung direkt und indirekt im Land verursachte Energieverbrauch angesetzt, errechnet aus dem Deutschen Pro-Kopf-Verbrauch und der Bevölkerungszahl.  Im Fall eines Szenarios für ganz Deutschland stimmt dieser mit dem tatsächlichen Energieverbrauch nach demTerritorial-Prinzip überein.  Auf diese Weise ergibt das deutsche Verbrauchsniveau als Voraussetzung für den erreichten Lebensstandard einen stabilen Maßstab für die Bewertung der Ziel-Situation. (Das Solidar-Prinzip [50] ist zur angemessenen Abbildung von Teilregionen bestimmt, im Fall von Deutschland insgesamt aber irrelevant).</v>
      </c>
      <c r="F35" s="1125"/>
      <c r="G35" s="1125"/>
      <c r="H35" s="1125"/>
      <c r="I35" s="1125"/>
      <c r="J35" s="1125"/>
      <c r="K35" s="1125"/>
      <c r="L35" s="1125"/>
      <c r="M35" s="1125"/>
      <c r="N35" s="1132"/>
      <c r="O35" s="869">
        <v>35</v>
      </c>
      <c r="P35" s="573" t="str">
        <f ca="1">HYPERLINK(EK35,EJ35)</f>
        <v/>
      </c>
      <c r="Q35" s="574" t="str">
        <f>Y35</f>
        <v xml:space="preserve"> </v>
      </c>
      <c r="R35" s="852"/>
      <c r="S35" s="784"/>
      <c r="T35" s="864"/>
      <c r="U35" s="1033" t="str">
        <f>IF(AD35=AH35,U50,IF(AD37=AE35,U41,"###"))</f>
        <v>Beim Verursacher-Prinzip wird der von der Bevölkerung direkt und indirekt im Land verursachte Energieverbrauch angesetzt, errechnet aus dem Deutschen Pro-Kopf-Verbrauch und der Bevölkerungszahl.  Im Fall eines Szenarios für ganz Deutschland stimmt dieser mit dem tatsächlichen Energieverbrauch nach demTerritorial-Prinzip überein.  Auf diese Weise ergibt das deutsche Verbrauchsniveau als Voraussetzung für den erreichten Lebensstandard einen stabilen Maßstab für die Bewertung der Ziel-Situation. (Das Solidar-Prinzip [50] ist zur angemessenen Abbildung von Teilregionen bestimmt, im Fall von Deutschland insgesamt aber irrelevant).</v>
      </c>
      <c r="V35" s="905" t="s">
        <v>126</v>
      </c>
      <c r="W35" s="757"/>
      <c r="X35" s="672"/>
      <c r="Y35" s="672" t="s">
        <v>126</v>
      </c>
      <c r="Z35" s="1025"/>
      <c r="AA35" s="905"/>
      <c r="AB35" s="801"/>
      <c r="AC35" s="801"/>
      <c r="AD35" s="801" t="str">
        <f>AD34</f>
        <v>Verursacher-Prinzip</v>
      </c>
      <c r="AE35" s="801" t="str">
        <f>AE37</f>
        <v>Verursacher-Prinzip</v>
      </c>
      <c r="AF35" s="801"/>
      <c r="AG35" s="801"/>
      <c r="AH35" s="801" t="str">
        <f>AH37</f>
        <v>Solidar-Prinzip</v>
      </c>
      <c r="AI35" s="801"/>
      <c r="AJ35" s="801"/>
      <c r="AK35" s="801"/>
      <c r="AL35" s="801"/>
      <c r="AM35" s="801"/>
      <c r="AN35" s="801"/>
      <c r="AO35" s="801"/>
      <c r="AP35" s="801"/>
      <c r="AQ35" s="801"/>
      <c r="AR35" s="801"/>
      <c r="AS35" s="801"/>
      <c r="AT35" s="801"/>
      <c r="AU35" s="801"/>
      <c r="AV35" s="801"/>
      <c r="BF35" s="473" t="s">
        <v>126</v>
      </c>
      <c r="BI35" s="472" t="s">
        <v>126</v>
      </c>
      <c r="BJ35" s="490"/>
      <c r="BN35" s="656"/>
      <c r="BO35" s="472" t="s">
        <v>259</v>
      </c>
      <c r="BQ35" s="524" t="s">
        <v>271</v>
      </c>
      <c r="CU35" s="480" t="str">
        <f>IF(U35="",BF35,U35)</f>
        <v>Beim Verursacher-Prinzip wird der von der Bevölkerung direkt und indirekt im Land verursachte Energieverbrauch angesetzt, errechnet aus dem Deutschen Pro-Kopf-Verbrauch und der Bevölkerungszahl.  Im Fall eines Szenarios für ganz Deutschland stimmt dieser mit dem tatsächlichen Energieverbrauch nach demTerritorial-Prinzip überein.  Auf diese Weise ergibt das deutsche Verbrauchsniveau als Voraussetzung für den erreichten Lebensstandard einen stabilen Maßstab für die Bewertung der Ziel-Situation. (Das Solidar-Prinzip [50] ist zur angemessenen Abbildung von Teilregionen bestimmt, im Fall von Deutschland insgesamt aber irrelevant).</v>
      </c>
      <c r="CV35" s="656"/>
      <c r="CW35" s="480"/>
      <c r="DS35" s="656"/>
      <c r="EJ35" s="472" t="str">
        <f>IF(X35=0,"",EJ$1&amp;X35)</f>
        <v/>
      </c>
      <c r="EK35" s="472" t="str">
        <f ca="1">EK$1&amp;X35</f>
        <v>[D_Python.xlsx]9.Quellen!C</v>
      </c>
      <c r="EV35" s="819">
        <f t="shared" si="3"/>
        <v>35</v>
      </c>
      <c r="EW35" s="819"/>
    </row>
    <row r="36" spans="1:153" s="680" customFormat="1" ht="4">
      <c r="A36" s="540" t="str">
        <f t="shared" ca="1" si="1"/>
        <v>D.1.36</v>
      </c>
      <c r="B36" s="540" t="str">
        <f t="shared" ca="1" si="2"/>
        <v>1.36</v>
      </c>
      <c r="C36" s="540" t="str">
        <f t="shared" si="0"/>
        <v>[36]</v>
      </c>
      <c r="D36" s="540">
        <f>ROW()</f>
        <v>36</v>
      </c>
      <c r="I36" s="679"/>
      <c r="J36" s="679"/>
      <c r="K36" s="679"/>
      <c r="L36" s="679"/>
      <c r="M36" s="679"/>
      <c r="O36" s="870">
        <v>36</v>
      </c>
      <c r="P36" s="688"/>
      <c r="Q36" s="689"/>
      <c r="R36" s="889"/>
      <c r="S36" s="802"/>
      <c r="T36" s="883"/>
      <c r="U36" s="661"/>
      <c r="V36" s="661"/>
      <c r="W36" s="661"/>
      <c r="X36" s="661"/>
      <c r="Y36" s="661"/>
      <c r="Z36" s="661"/>
      <c r="AA36" s="661"/>
      <c r="AB36" s="675"/>
      <c r="AC36" s="675"/>
      <c r="AD36" s="675"/>
      <c r="AE36" s="675"/>
      <c r="AF36" s="675"/>
      <c r="AG36" s="675"/>
      <c r="AH36" s="675"/>
      <c r="AI36" s="675"/>
      <c r="AJ36" s="675"/>
      <c r="AK36" s="675"/>
      <c r="AL36" s="675"/>
      <c r="AM36" s="675"/>
      <c r="AN36" s="675"/>
      <c r="AO36" s="675"/>
      <c r="AP36" s="675"/>
      <c r="AQ36" s="675"/>
      <c r="AR36" s="675"/>
      <c r="AS36" s="675"/>
      <c r="AT36" s="675"/>
      <c r="AU36" s="675"/>
      <c r="AV36" s="675"/>
      <c r="AZ36" s="541"/>
      <c r="BB36" s="541"/>
      <c r="BI36" s="680" t="s">
        <v>126</v>
      </c>
      <c r="BJ36" s="542"/>
      <c r="CU36" s="543"/>
      <c r="CW36" s="543"/>
      <c r="EV36" s="820" t="str">
        <f t="shared" si="3"/>
        <v/>
      </c>
      <c r="EW36" s="820"/>
    </row>
    <row r="37" spans="1:153" s="658" customFormat="1" ht="13.5" customHeight="1">
      <c r="A37" s="654" t="str">
        <f t="shared" ca="1" si="1"/>
        <v>D.1.37</v>
      </c>
      <c r="B37" s="654" t="str">
        <f t="shared" ca="1" si="2"/>
        <v>1.37</v>
      </c>
      <c r="C37" s="654" t="str">
        <f t="shared" si="0"/>
        <v>[37]</v>
      </c>
      <c r="D37" s="654">
        <f>ROW()</f>
        <v>37</v>
      </c>
      <c r="E37" s="1129" t="str">
        <f>BP37&amp;"(nach "&amp;AD37&amp;")"</f>
        <v>Energieverbraucher (nach Verursacher-Prinzip)</v>
      </c>
      <c r="F37" s="1129"/>
      <c r="G37" s="1129"/>
      <c r="H37" s="1129"/>
      <c r="I37" s="1129"/>
      <c r="J37" s="655" t="s">
        <v>38</v>
      </c>
      <c r="K37" s="684">
        <f ca="1">INDIRECT($W$1&amp;U37)</f>
        <v>82175684</v>
      </c>
      <c r="L37" s="485" t="str">
        <f ca="1">HYPERLINK($CK$1&amp;U37,$CE$1&amp;U37&amp;$CF$1)</f>
        <v>[43]</v>
      </c>
      <c r="M37" s="547">
        <f ca="1">INDIRECT($W$1&amp;W37)</f>
        <v>82175684</v>
      </c>
      <c r="N37" s="681" t="str">
        <f ca="1">HYPERLINK($CK$1&amp;W37,$CE$1&amp;W37&amp;$CF$1)</f>
        <v>[45]</v>
      </c>
      <c r="O37" s="869">
        <v>37</v>
      </c>
      <c r="P37" s="690"/>
      <c r="Q37" s="695"/>
      <c r="R37" s="852"/>
      <c r="S37" s="784"/>
      <c r="T37" s="864"/>
      <c r="U37" s="672">
        <f>IF(AD37=AH37,AI37,IF(AD37=AE37,AF37,"###"))</f>
        <v>43</v>
      </c>
      <c r="V37" s="905" t="s">
        <v>126</v>
      </c>
      <c r="W37" s="672">
        <f>IF(AD37=AH37,AJ37,IF(AD37=AE37,AG37,"###"))</f>
        <v>45</v>
      </c>
      <c r="AB37" s="801"/>
      <c r="AC37" s="801"/>
      <c r="AD37" s="674" t="str">
        <f>AD34</f>
        <v>Verursacher-Prinzip</v>
      </c>
      <c r="AE37" s="674" t="s">
        <v>270</v>
      </c>
      <c r="AF37" s="674">
        <f>D43</f>
        <v>43</v>
      </c>
      <c r="AG37" s="674">
        <f>D45</f>
        <v>45</v>
      </c>
      <c r="AH37" s="674" t="s">
        <v>271</v>
      </c>
      <c r="AI37" s="674">
        <f>D52</f>
        <v>52</v>
      </c>
      <c r="AJ37" s="674">
        <f>D56</f>
        <v>56</v>
      </c>
      <c r="AK37" s="674"/>
      <c r="AL37" s="674"/>
      <c r="AM37" s="674"/>
      <c r="AN37" s="674"/>
      <c r="AO37" s="674"/>
      <c r="AP37" s="674"/>
      <c r="AQ37" s="674"/>
      <c r="AR37" s="674"/>
      <c r="AS37" s="674"/>
      <c r="AT37" s="674"/>
      <c r="AU37" s="674"/>
      <c r="AV37" s="674"/>
      <c r="AX37" s="658" t="s">
        <v>244</v>
      </c>
      <c r="AY37" s="668">
        <f ca="1">DA37</f>
        <v>10899662.098242724</v>
      </c>
      <c r="AZ37" s="670" t="str">
        <f ca="1">HYPERLINK(DN37,DC37)</f>
        <v xml:space="preserve"> 12</v>
      </c>
      <c r="BA37" s="668">
        <f ca="1">DB37</f>
        <v>10899662.098242724</v>
      </c>
      <c r="BB37" s="670" t="str">
        <f ca="1">HYPERLINK(DO37,DD37)</f>
        <v xml:space="preserve"> 13</v>
      </c>
      <c r="BC37" s="658" t="str">
        <f ca="1">CY37&amp;" | "&amp;CZ37</f>
        <v>Energieverbraucher zu versorgen* | Energieverbraucher bei Bevölkerungsdichte nach deutschem Durchschnitt</v>
      </c>
      <c r="BI37" s="658" t="s">
        <v>126</v>
      </c>
      <c r="BJ37" s="667" t="str">
        <f>E37</f>
        <v>Energieverbraucher (nach Verursacher-Prinzip)</v>
      </c>
      <c r="BK37" s="664">
        <f ca="1">K37</f>
        <v>82175684</v>
      </c>
      <c r="BL37" s="664">
        <f ca="1">M37</f>
        <v>82175684</v>
      </c>
      <c r="BM37" s="656">
        <f>D37</f>
        <v>37</v>
      </c>
      <c r="BO37" s="658" t="s">
        <v>251</v>
      </c>
      <c r="BP37" s="676" t="s">
        <v>571</v>
      </c>
      <c r="CU37" s="659"/>
      <c r="CW37" s="671">
        <v>34</v>
      </c>
      <c r="CY37" s="656" t="str">
        <f t="shared" ref="CY37:DO37" ca="1" si="16">INDIRECT($CX$1&amp;CY$1&amp;$CW37)</f>
        <v>Energieverbraucher zu versorgen*</v>
      </c>
      <c r="CZ37" s="656" t="str">
        <f t="shared" ca="1" si="16"/>
        <v>Energieverbraucher bei Bevölkerungsdichte nach deutschem Durchschnitt</v>
      </c>
      <c r="DA37" s="656">
        <f t="shared" ca="1" si="16"/>
        <v>10899662.098242724</v>
      </c>
      <c r="DB37" s="656">
        <f t="shared" ca="1" si="16"/>
        <v>10899662.098242724</v>
      </c>
      <c r="DC37" s="656" t="str">
        <f t="shared" ca="1" si="16"/>
        <v xml:space="preserve"> 12</v>
      </c>
      <c r="DD37" s="656" t="str">
        <f t="shared" ca="1" si="16"/>
        <v xml:space="preserve"> 13</v>
      </c>
      <c r="DE37" s="656" t="str">
        <f t="shared" ca="1" si="16"/>
        <v>Ba49</v>
      </c>
      <c r="DF37" s="656" t="str">
        <f t="shared" ca="1" si="16"/>
        <v>Ba63</v>
      </c>
      <c r="DG37" s="656" t="str">
        <f t="shared" ca="1" si="16"/>
        <v>Ba</v>
      </c>
      <c r="DH37" s="656" t="str">
        <f t="shared" ca="1" si="16"/>
        <v>49</v>
      </c>
      <c r="DI37" s="656" t="str">
        <f t="shared" ca="1" si="16"/>
        <v>[Ba.xls]TEXT!Z49S5</v>
      </c>
      <c r="DJ37" s="656" t="str">
        <f t="shared" ca="1" si="16"/>
        <v>Ba</v>
      </c>
      <c r="DK37" s="656" t="str">
        <f t="shared" ca="1" si="16"/>
        <v>63</v>
      </c>
      <c r="DL37" s="656" t="str">
        <f t="shared" ca="1" si="16"/>
        <v>[Ba.xls]TEXT!Z63S5</v>
      </c>
      <c r="DM37" s="656">
        <f t="shared" ca="1" si="16"/>
        <v>34</v>
      </c>
      <c r="DN37" s="656" t="str">
        <f t="shared" ca="1" si="16"/>
        <v>[Region.xls]PARAMETER!Z12S6</v>
      </c>
      <c r="DO37" s="656" t="str">
        <f t="shared" ca="1" si="16"/>
        <v>[Region.xls]PARAMETER!Z13S6</v>
      </c>
      <c r="DP37" s="656"/>
      <c r="DS37" s="656"/>
      <c r="DV37" s="656"/>
      <c r="DW37" s="656"/>
      <c r="DX37" s="656"/>
      <c r="DY37" s="656"/>
      <c r="DZ37" s="656"/>
      <c r="EA37" s="656"/>
      <c r="EB37" s="656"/>
      <c r="EC37" s="656"/>
      <c r="ED37" s="656"/>
      <c r="EE37" s="656"/>
      <c r="EF37" s="656"/>
      <c r="EG37" s="656"/>
      <c r="EH37" s="656"/>
      <c r="EI37" s="656"/>
      <c r="EJ37" s="656"/>
      <c r="EK37" s="656"/>
      <c r="EV37" s="819">
        <f t="shared" si="3"/>
        <v>37</v>
      </c>
      <c r="EW37" s="819"/>
    </row>
    <row r="38" spans="1:153" s="661" customFormat="1" ht="4">
      <c r="A38" s="677" t="str">
        <f t="shared" ca="1" si="1"/>
        <v>D.1.38</v>
      </c>
      <c r="B38" s="677" t="str">
        <f t="shared" ca="1" si="2"/>
        <v>1.38</v>
      </c>
      <c r="C38" s="677" t="str">
        <f t="shared" si="0"/>
        <v>[38]</v>
      </c>
      <c r="D38" s="677">
        <f>ROW()</f>
        <v>38</v>
      </c>
      <c r="E38" s="680"/>
      <c r="F38" s="680"/>
      <c r="G38" s="680"/>
      <c r="H38" s="680"/>
      <c r="I38" s="679"/>
      <c r="J38" s="679"/>
      <c r="K38" s="679"/>
      <c r="L38" s="679"/>
      <c r="M38" s="679"/>
      <c r="N38" s="680"/>
      <c r="O38" s="871">
        <v>38</v>
      </c>
      <c r="P38" s="688"/>
      <c r="Q38" s="689"/>
      <c r="R38" s="888"/>
      <c r="S38" s="802"/>
      <c r="T38" s="882"/>
      <c r="AB38" s="675"/>
      <c r="AC38" s="675"/>
      <c r="AD38" s="675"/>
      <c r="AE38" s="675"/>
      <c r="AF38" s="675"/>
      <c r="AG38" s="675"/>
      <c r="AH38" s="675"/>
      <c r="AI38" s="675"/>
      <c r="AJ38" s="675"/>
      <c r="AK38" s="675"/>
      <c r="AL38" s="675"/>
      <c r="AM38" s="675"/>
      <c r="AN38" s="675"/>
      <c r="AO38" s="675"/>
      <c r="AP38" s="675"/>
      <c r="AQ38" s="675"/>
      <c r="AR38" s="675"/>
      <c r="AS38" s="675"/>
      <c r="AT38" s="675"/>
      <c r="AU38" s="675"/>
      <c r="AV38" s="675"/>
      <c r="BI38" s="661" t="s">
        <v>126</v>
      </c>
      <c r="BJ38" s="665"/>
      <c r="CU38" s="662"/>
      <c r="CW38" s="662"/>
      <c r="EV38" s="818" t="str">
        <f t="shared" si="3"/>
        <v/>
      </c>
      <c r="EW38" s="818"/>
    </row>
    <row r="39" spans="1:153" s="478" customFormat="1" ht="4">
      <c r="A39" s="677" t="str">
        <f t="shared" ca="1" si="1"/>
        <v>D.1.39</v>
      </c>
      <c r="B39" s="677" t="str">
        <f t="shared" ca="1" si="2"/>
        <v>1.39</v>
      </c>
      <c r="C39" s="677" t="str">
        <f t="shared" si="0"/>
        <v>[39]</v>
      </c>
      <c r="D39" s="677">
        <f>ROW()</f>
        <v>39</v>
      </c>
      <c r="E39" s="548"/>
      <c r="F39" s="548"/>
      <c r="G39" s="548"/>
      <c r="H39" s="548"/>
      <c r="I39" s="549"/>
      <c r="J39" s="549"/>
      <c r="K39" s="549"/>
      <c r="L39" s="549"/>
      <c r="M39" s="549"/>
      <c r="N39" s="548"/>
      <c r="O39" s="871">
        <v>39</v>
      </c>
      <c r="P39" s="575"/>
      <c r="Q39" s="576"/>
      <c r="R39" s="888"/>
      <c r="S39" s="802"/>
      <c r="T39" s="882"/>
      <c r="U39" s="661"/>
      <c r="V39" s="661"/>
      <c r="W39" s="661"/>
      <c r="X39" s="661"/>
      <c r="Y39" s="661"/>
      <c r="Z39" s="661"/>
      <c r="AA39" s="661"/>
      <c r="AB39" s="675"/>
      <c r="AC39" s="675"/>
      <c r="AD39" s="675"/>
      <c r="AE39" s="675"/>
      <c r="AF39" s="675"/>
      <c r="AG39" s="675"/>
      <c r="AH39" s="675"/>
      <c r="AI39" s="675"/>
      <c r="AJ39" s="675"/>
      <c r="AK39" s="675"/>
      <c r="AL39" s="675"/>
      <c r="AM39" s="675"/>
      <c r="AN39" s="675"/>
      <c r="AO39" s="675"/>
      <c r="AP39" s="675"/>
      <c r="AQ39" s="675"/>
      <c r="AR39" s="675"/>
      <c r="AS39" s="675"/>
      <c r="AT39" s="675"/>
      <c r="AU39" s="675"/>
      <c r="AV39" s="675"/>
      <c r="AZ39" s="505"/>
      <c r="BB39" s="505"/>
      <c r="BI39" s="478" t="s">
        <v>126</v>
      </c>
      <c r="BJ39" s="489"/>
      <c r="BN39" s="661"/>
      <c r="CU39" s="479"/>
      <c r="CV39" s="661"/>
      <c r="CW39" s="479"/>
      <c r="DS39" s="661"/>
      <c r="EV39" s="818" t="str">
        <f t="shared" si="3"/>
        <v/>
      </c>
      <c r="EW39" s="818"/>
    </row>
    <row r="40" spans="1:153" s="475" customFormat="1" ht="28">
      <c r="A40" s="654" t="str">
        <f t="shared" ca="1" si="1"/>
        <v>D.1.40</v>
      </c>
      <c r="B40" s="654" t="str">
        <f t="shared" ca="1" si="2"/>
        <v>1.40</v>
      </c>
      <c r="C40" s="654" t="str">
        <f t="shared" si="0"/>
        <v>[40]</v>
      </c>
      <c r="D40" s="654">
        <f>ROW()</f>
        <v>40</v>
      </c>
      <c r="E40" s="1129" t="str">
        <f>BP40</f>
        <v>Einwohner
=Energieverbraucher nach Verursacher-Prinzip</v>
      </c>
      <c r="F40" s="1129"/>
      <c r="G40" s="1129"/>
      <c r="H40" s="1129"/>
      <c r="I40" s="1129"/>
      <c r="J40" s="471" t="s">
        <v>38</v>
      </c>
      <c r="K40" s="546">
        <f ca="1">INDIRECT($W$1&amp;U40)</f>
        <v>82175684</v>
      </c>
      <c r="L40" s="485" t="str">
        <f ca="1">HYPERLINK($CK$1&amp;U40,$CE$1&amp;U40&amp;$CF$1)</f>
        <v>[43]</v>
      </c>
      <c r="M40" s="547">
        <f ca="1">INDIRECT($W$1&amp;W40)</f>
        <v>82175684</v>
      </c>
      <c r="N40" s="533" t="str">
        <f ca="1">HYPERLINK($CK$1&amp;W40,$CE$1&amp;W40&amp;$CF$1)</f>
        <v>[45]</v>
      </c>
      <c r="O40" s="869">
        <v>40</v>
      </c>
      <c r="P40" s="570"/>
      <c r="Q40" s="583"/>
      <c r="R40" s="852"/>
      <c r="S40" s="784"/>
      <c r="T40" s="864"/>
      <c r="U40" s="672">
        <f>D43</f>
        <v>43</v>
      </c>
      <c r="V40" s="905" t="s">
        <v>126</v>
      </c>
      <c r="W40" s="672">
        <f>D45</f>
        <v>45</v>
      </c>
      <c r="X40" s="658"/>
      <c r="Y40" s="658"/>
      <c r="Z40" s="658"/>
      <c r="AA40" s="658"/>
      <c r="AB40" s="801"/>
      <c r="AC40" s="801"/>
      <c r="AD40" s="674"/>
      <c r="AE40" s="674"/>
      <c r="AF40" s="674"/>
      <c r="AG40" s="674"/>
      <c r="AH40" s="674"/>
      <c r="AI40" s="674"/>
      <c r="AJ40" s="674"/>
      <c r="AK40" s="674"/>
      <c r="AL40" s="674"/>
      <c r="AM40" s="674"/>
      <c r="AN40" s="674"/>
      <c r="AO40" s="674"/>
      <c r="AP40" s="674"/>
      <c r="AQ40" s="674"/>
      <c r="AR40" s="674"/>
      <c r="AS40" s="674"/>
      <c r="AT40" s="674"/>
      <c r="AU40" s="674"/>
      <c r="AV40" s="674"/>
      <c r="AX40" s="475" t="s">
        <v>244</v>
      </c>
      <c r="AY40" s="500">
        <f ca="1">DA40</f>
        <v>7913502</v>
      </c>
      <c r="AZ40" s="508" t="str">
        <f ca="1">HYPERLINK(DN40,DC40)</f>
        <v xml:space="preserve"> 9</v>
      </c>
      <c r="BA40" s="500">
        <f ca="1">DB40</f>
        <v>7913502</v>
      </c>
      <c r="BB40" s="508" t="str">
        <f ca="1">HYPERLINK(DO40,DD40)</f>
        <v xml:space="preserve"> 10</v>
      </c>
      <c r="BC40" s="475" t="str">
        <f ca="1">CY40&amp;" | "&amp;CZ40</f>
        <v xml:space="preserve">Einwohner tatsächlich | Anzahl Einwohner  </v>
      </c>
      <c r="BI40" s="475" t="s">
        <v>126</v>
      </c>
      <c r="BJ40" s="492" t="str">
        <f>E40</f>
        <v>Einwohner
=Energieverbraucher nach Verursacher-Prinzip</v>
      </c>
      <c r="BK40" s="486">
        <f ca="1">K40</f>
        <v>82175684</v>
      </c>
      <c r="BL40" s="486">
        <f ca="1">M40</f>
        <v>82175684</v>
      </c>
      <c r="BM40" s="472">
        <f>D40</f>
        <v>40</v>
      </c>
      <c r="BN40" s="658"/>
      <c r="BO40" s="475" t="s">
        <v>251</v>
      </c>
      <c r="BP40" s="529" t="s">
        <v>268</v>
      </c>
      <c r="CU40" s="476"/>
      <c r="CV40" s="658"/>
      <c r="CW40" s="518">
        <v>20</v>
      </c>
      <c r="CY40" s="472" t="str">
        <f t="shared" ref="CY40:DO40" ca="1" si="17">INDIRECT($CX$1&amp;CY$1&amp;$CW40)</f>
        <v>Einwohner tatsächlich</v>
      </c>
      <c r="CZ40" s="472" t="str">
        <f t="shared" ca="1" si="17"/>
        <v xml:space="preserve">Anzahl Einwohner  </v>
      </c>
      <c r="DA40" s="472">
        <f t="shared" ca="1" si="17"/>
        <v>7913502</v>
      </c>
      <c r="DB40" s="472">
        <f t="shared" ca="1" si="17"/>
        <v>7913502</v>
      </c>
      <c r="DC40" s="472" t="str">
        <f t="shared" ca="1" si="17"/>
        <v xml:space="preserve"> 9</v>
      </c>
      <c r="DD40" s="472" t="str">
        <f t="shared" ca="1" si="17"/>
        <v xml:space="preserve"> 10</v>
      </c>
      <c r="DE40" s="472" t="str">
        <f t="shared" ca="1" si="17"/>
        <v>Ba56</v>
      </c>
      <c r="DF40" s="472" t="str">
        <f t="shared" ca="1" si="17"/>
        <v>Ba63</v>
      </c>
      <c r="DG40" s="472" t="str">
        <f t="shared" ca="1" si="17"/>
        <v>Ba</v>
      </c>
      <c r="DH40" s="472" t="str">
        <f t="shared" ca="1" si="17"/>
        <v>56</v>
      </c>
      <c r="DI40" s="472" t="str">
        <f t="shared" ca="1" si="17"/>
        <v>[Ba.xls]TEXT!Z56S5</v>
      </c>
      <c r="DJ40" s="472" t="str">
        <f t="shared" ca="1" si="17"/>
        <v>Ba</v>
      </c>
      <c r="DK40" s="472" t="str">
        <f t="shared" ca="1" si="17"/>
        <v>63</v>
      </c>
      <c r="DL40" s="472" t="str">
        <f t="shared" ca="1" si="17"/>
        <v>[Ba.xls]TEXT!Z63S5</v>
      </c>
      <c r="DM40" s="472">
        <f t="shared" ca="1" si="17"/>
        <v>20</v>
      </c>
      <c r="DN40" s="472" t="str">
        <f t="shared" ca="1" si="17"/>
        <v>[Region.xls]PARAMETER!Z9S6</v>
      </c>
      <c r="DO40" s="472" t="str">
        <f t="shared" ca="1" si="17"/>
        <v>[Region.xls]PARAMETER!Z10S6</v>
      </c>
      <c r="DP40" s="472"/>
      <c r="DS40" s="656"/>
      <c r="DV40" s="472"/>
      <c r="DW40" s="472"/>
      <c r="DX40" s="472"/>
      <c r="DY40" s="472"/>
      <c r="DZ40" s="472"/>
      <c r="EA40" s="472"/>
      <c r="EB40" s="472"/>
      <c r="EC40" s="472"/>
      <c r="ED40" s="472"/>
      <c r="EE40" s="472"/>
      <c r="EF40" s="472"/>
      <c r="EG40" s="472"/>
      <c r="EH40" s="472"/>
      <c r="EI40" s="472"/>
      <c r="EJ40" s="472"/>
      <c r="EK40" s="472"/>
      <c r="EV40" s="819">
        <f t="shared" si="3"/>
        <v>40</v>
      </c>
      <c r="EW40" s="819"/>
    </row>
    <row r="41" spans="1:153" s="656" customFormat="1" ht="78">
      <c r="A41" s="654" t="str">
        <f t="shared" ca="1" si="1"/>
        <v>D.1.41</v>
      </c>
      <c r="B41" s="654" t="str">
        <f t="shared" ca="1" si="2"/>
        <v>1.41</v>
      </c>
      <c r="C41" s="654" t="str">
        <f t="shared" si="0"/>
        <v>[41]</v>
      </c>
      <c r="D41" s="654">
        <f>ROW()</f>
        <v>41</v>
      </c>
      <c r="E41" s="1125" t="str">
        <f>CU41</f>
        <v>Beim Verursacher-Prinzip wird der von der Bevölkerung direkt und indirekt im Land verursachte Energieverbrauch angesetzt, errechnet aus dem Deutschen Pro-Kopf-Verbrauch und der Bevölkerungszahl.  Im Fall eines Szenarios für ganz Deutschland stimmt dieser mit dem tatsächlichen Energieverbrauch nach demTerritorial-Prinzip überein.  Auf diese Weise ergibt das deutsche Verbrauchsniveau als Voraussetzung für den erreichten Lebensstandard einen stabilen Maßstab für die Bewertung der Ziel-Situation. (Das Solidar-Prinzip [50] ist zur angemessenen Abbildung von Teilregionen bestimmt, im Fall von Deutschland insgesamt aber irrelevant).</v>
      </c>
      <c r="F41" s="1125"/>
      <c r="G41" s="1125"/>
      <c r="H41" s="1125"/>
      <c r="I41" s="1125"/>
      <c r="J41" s="1125"/>
      <c r="K41" s="1125"/>
      <c r="L41" s="1125"/>
      <c r="M41" s="1125"/>
      <c r="N41" s="1132"/>
      <c r="O41" s="869">
        <v>41</v>
      </c>
      <c r="P41" s="691" t="str">
        <f ca="1">HYPERLINK(EK41,EJ41)</f>
        <v/>
      </c>
      <c r="Q41" s="692" t="str">
        <f>Y41</f>
        <v xml:space="preserve"> </v>
      </c>
      <c r="R41" s="852"/>
      <c r="S41" s="784"/>
      <c r="T41" s="864"/>
      <c r="U41" s="1033" t="str">
        <f>"Beim Verursacher-Prinzip wird der von der Bevölkerung direkt und indirekt im Land verursachte Energieverbrauch angesetzt, errechnet aus dem Deutschen Pro-Kopf-Verbrauch und der Bevölkerungszahl. "&amp;" Im Fall eines Szenarios für ganz Deutschland stimmt dieser mit dem tatsächlichen Energieverbrauch nach demTerritorial-Prinzip überein. "&amp;" Auf diese Weise ergibt das deutsche Verbrauchsniveau als Voraussetzung für den erreichten Lebensstandard einen stabilen Maßstab für die Bewertung der Ziel-Situation. "&amp;"(Das Solidar-Prinzip "&amp;C50&amp;" ist zur angemessenen Abbildung von Teilregionen bestimmt, im Fall von Deutschland insgesamt aber irrelevant)."</f>
        <v>Beim Verursacher-Prinzip wird der von der Bevölkerung direkt und indirekt im Land verursachte Energieverbrauch angesetzt, errechnet aus dem Deutschen Pro-Kopf-Verbrauch und der Bevölkerungszahl.  Im Fall eines Szenarios für ganz Deutschland stimmt dieser mit dem tatsächlichen Energieverbrauch nach demTerritorial-Prinzip überein.  Auf diese Weise ergibt das deutsche Verbrauchsniveau als Voraussetzung für den erreichten Lebensstandard einen stabilen Maßstab für die Bewertung der Ziel-Situation. (Das Solidar-Prinzip [50] ist zur angemessenen Abbildung von Teilregionen bestimmt, im Fall von Deutschland insgesamt aber irrelevant).</v>
      </c>
      <c r="V41" s="905" t="s">
        <v>126</v>
      </c>
      <c r="W41" s="757"/>
      <c r="X41" s="672"/>
      <c r="Y41" s="672" t="s">
        <v>126</v>
      </c>
      <c r="Z41" s="1025"/>
      <c r="AA41" s="905"/>
      <c r="AB41" s="801"/>
      <c r="AC41" s="801"/>
      <c r="AD41" s="801"/>
      <c r="AE41" s="801"/>
      <c r="AF41" s="801"/>
      <c r="AG41" s="801"/>
      <c r="AH41" s="801"/>
      <c r="AI41" s="801"/>
      <c r="AJ41" s="801"/>
      <c r="AK41" s="801"/>
      <c r="AL41" s="801"/>
      <c r="AM41" s="801"/>
      <c r="AN41" s="801"/>
      <c r="AO41" s="801"/>
      <c r="AP41" s="801"/>
      <c r="AQ41" s="801"/>
      <c r="AR41" s="801"/>
      <c r="AS41" s="801"/>
      <c r="AT41" s="801"/>
      <c r="AU41" s="801"/>
      <c r="AV41" s="801"/>
      <c r="BF41" s="657" t="s">
        <v>126</v>
      </c>
      <c r="BI41" s="656" t="s">
        <v>126</v>
      </c>
      <c r="BJ41" s="666"/>
      <c r="BO41" s="656" t="s">
        <v>259</v>
      </c>
      <c r="BQ41" s="678" t="s">
        <v>271</v>
      </c>
      <c r="CU41" s="663" t="str">
        <f>IF(U41="",BF41,U41)</f>
        <v>Beim Verursacher-Prinzip wird der von der Bevölkerung direkt und indirekt im Land verursachte Energieverbrauch angesetzt, errechnet aus dem Deutschen Pro-Kopf-Verbrauch und der Bevölkerungszahl.  Im Fall eines Szenarios für ganz Deutschland stimmt dieser mit dem tatsächlichen Energieverbrauch nach demTerritorial-Prinzip überein.  Auf diese Weise ergibt das deutsche Verbrauchsniveau als Voraussetzung für den erreichten Lebensstandard einen stabilen Maßstab für die Bewertung der Ziel-Situation. (Das Solidar-Prinzip [50] ist zur angemessenen Abbildung von Teilregionen bestimmt, im Fall von Deutschland insgesamt aber irrelevant).</v>
      </c>
      <c r="CW41" s="663"/>
      <c r="EJ41" s="656" t="str">
        <f>IF(X41=0,"",EJ$1&amp;X41)</f>
        <v/>
      </c>
      <c r="EK41" s="656" t="str">
        <f ca="1">EK$1&amp;X41</f>
        <v>[D_Python.xlsx]9.Quellen!C</v>
      </c>
      <c r="EV41" s="819">
        <f t="shared" si="3"/>
        <v>41</v>
      </c>
      <c r="EW41" s="819"/>
    </row>
    <row r="42" spans="1:153" s="680" customFormat="1" ht="4.5" customHeight="1">
      <c r="A42" s="540" t="str">
        <f t="shared" ca="1" si="1"/>
        <v>D.1.42</v>
      </c>
      <c r="B42" s="540" t="str">
        <f t="shared" ca="1" si="2"/>
        <v>1.42</v>
      </c>
      <c r="C42" s="540" t="str">
        <f t="shared" si="0"/>
        <v>[42]</v>
      </c>
      <c r="D42" s="540">
        <f>ROW()</f>
        <v>42</v>
      </c>
      <c r="I42" s="679"/>
      <c r="J42" s="679"/>
      <c r="K42" s="679"/>
      <c r="L42" s="679"/>
      <c r="M42" s="679"/>
      <c r="O42" s="870">
        <v>42</v>
      </c>
      <c r="P42" s="688"/>
      <c r="Q42" s="689"/>
      <c r="R42" s="889"/>
      <c r="S42" s="802"/>
      <c r="T42" s="883"/>
      <c r="U42" s="661"/>
      <c r="V42" s="905" t="s">
        <v>126</v>
      </c>
      <c r="W42" s="661"/>
      <c r="X42" s="661"/>
      <c r="Y42" s="661"/>
      <c r="Z42" s="661"/>
      <c r="AA42" s="661"/>
      <c r="AB42" s="675"/>
      <c r="AC42" s="675"/>
      <c r="AD42" s="675"/>
      <c r="AE42" s="675"/>
      <c r="AF42" s="675"/>
      <c r="AG42" s="675"/>
      <c r="AH42" s="675"/>
      <c r="AI42" s="675"/>
      <c r="AJ42" s="675"/>
      <c r="AK42" s="675"/>
      <c r="AL42" s="675"/>
      <c r="AM42" s="675"/>
      <c r="AN42" s="675"/>
      <c r="AO42" s="675"/>
      <c r="AP42" s="675"/>
      <c r="AQ42" s="675"/>
      <c r="AR42" s="675"/>
      <c r="AS42" s="675"/>
      <c r="AT42" s="675"/>
      <c r="AU42" s="675"/>
      <c r="AV42" s="675"/>
      <c r="AZ42" s="541"/>
      <c r="BB42" s="541"/>
      <c r="BI42" s="680" t="s">
        <v>126</v>
      </c>
      <c r="BJ42" s="542"/>
      <c r="CU42" s="543"/>
      <c r="CW42" s="543"/>
      <c r="DS42" s="798"/>
      <c r="EV42" s="820" t="str">
        <f t="shared" si="3"/>
        <v/>
      </c>
      <c r="EW42" s="820"/>
    </row>
    <row r="43" spans="1:153" s="472" customFormat="1" ht="26">
      <c r="A43" s="654" t="str">
        <f t="shared" ca="1" si="1"/>
        <v>D.1.43</v>
      </c>
      <c r="B43" s="654" t="str">
        <f t="shared" ca="1" si="2"/>
        <v>1.43</v>
      </c>
      <c r="C43" s="654" t="str">
        <f t="shared" si="0"/>
        <v>[43]</v>
      </c>
      <c r="D43" s="654">
        <f>ROW()</f>
        <v>43</v>
      </c>
      <c r="E43" s="1130" t="str">
        <f ca="1">CU43</f>
        <v>- STATUS-Ansatz: GENESIS [9.232], Tabelle 12411-01-01-4, Einwohner gesamt am 31.12.2015:. (Zum Vergleich: 80523746 am 31.12.2012:)</v>
      </c>
      <c r="F43" s="1130"/>
      <c r="G43" s="1130"/>
      <c r="H43" s="1130"/>
      <c r="I43" s="1130"/>
      <c r="J43" s="1130"/>
      <c r="K43" s="1130"/>
      <c r="L43" s="1130"/>
      <c r="M43" s="1130"/>
      <c r="N43" s="1131"/>
      <c r="O43" s="869">
        <v>43</v>
      </c>
      <c r="P43" s="573" t="str">
        <f ca="1">HYPERLINK(EK43,EJ43)</f>
        <v>9.232</v>
      </c>
      <c r="Q43" s="574" t="str">
        <f>Y43</f>
        <v>12411-01-01-4</v>
      </c>
      <c r="R43" s="852"/>
      <c r="S43" s="784"/>
      <c r="T43" s="864"/>
      <c r="U43" s="1023" t="str">
        <f ca="1">"GENESIS ["&amp;P43&amp;"], Tabelle "&amp;Q43&amp;", Einwohner gesamt am "&amp;AD43&amp;". (Zum Vergleich: "&amp;AG43&amp;" am "&amp;AF43&amp;")"</f>
        <v>GENESIS [9.232], Tabelle 12411-01-01-4, Einwohner gesamt am 31.12.2015:. (Zum Vergleich: 80523746 am 31.12.2012:)</v>
      </c>
      <c r="V43" s="905" t="s">
        <v>126</v>
      </c>
      <c r="W43" s="1024">
        <f>AE43</f>
        <v>82175684</v>
      </c>
      <c r="X43" s="672">
        <f>'9.Quellen'!C232</f>
        <v>232</v>
      </c>
      <c r="Y43" s="525" t="s">
        <v>929</v>
      </c>
      <c r="Z43" s="1072"/>
      <c r="AA43" s="658"/>
      <c r="AB43" s="801"/>
      <c r="AC43" s="801"/>
      <c r="AD43" s="835" t="s">
        <v>928</v>
      </c>
      <c r="AE43" s="1073">
        <v>82175684</v>
      </c>
      <c r="AF43" s="836" t="s">
        <v>927</v>
      </c>
      <c r="AG43" s="1074">
        <v>80523746</v>
      </c>
      <c r="AH43" s="801"/>
      <c r="AI43" s="801"/>
      <c r="AJ43" s="801"/>
      <c r="AK43" s="801"/>
      <c r="AL43" s="801"/>
      <c r="AM43" s="801"/>
      <c r="AN43" s="801"/>
      <c r="AO43" s="801"/>
      <c r="AP43" s="801"/>
      <c r="AQ43" s="801"/>
      <c r="AR43" s="801"/>
      <c r="AS43" s="801"/>
      <c r="AT43" s="801"/>
      <c r="AU43" s="801"/>
      <c r="AV43" s="801"/>
      <c r="AX43" s="472" t="s">
        <v>245</v>
      </c>
      <c r="AY43" s="500">
        <f ca="1">DW43</f>
        <v>0</v>
      </c>
      <c r="AZ43" s="508">
        <f ca="1">HYPERLINK(EC43,DY43)</f>
        <v>0</v>
      </c>
      <c r="BA43" s="500">
        <f ca="1">DX43</f>
        <v>0</v>
      </c>
      <c r="BB43" s="508" t="str">
        <f ca="1">HYPERLINK(EC43,DZ43)</f>
        <v xml:space="preserve">So24 </v>
      </c>
      <c r="BC43" s="472" t="str">
        <f ca="1">DV43</f>
        <v>Ansatz für Anteil solar-geeigneter Dachflächen an Gebäude- &amp; Freiflächen</v>
      </c>
      <c r="BF43" s="473"/>
      <c r="BI43" s="472" t="s">
        <v>126</v>
      </c>
      <c r="BJ43" s="490"/>
      <c r="BN43" s="656"/>
      <c r="BO43" s="472" t="s">
        <v>212</v>
      </c>
      <c r="CU43" s="480" t="str">
        <f ca="1">CG$1&amp;IF(U43="",BF43,U43)</f>
        <v>- STATUS-Ansatz: GENESIS [9.232], Tabelle 12411-01-01-4, Einwohner gesamt am 31.12.2015:. (Zum Vergleich: 80523746 am 31.12.2012:)</v>
      </c>
      <c r="CV43" s="656"/>
      <c r="CW43" s="480"/>
      <c r="DS43" s="798"/>
      <c r="DT43" s="518">
        <f>I_Basisdaten!A48</f>
        <v>48</v>
      </c>
      <c r="DV43" s="472" t="str">
        <f t="shared" ref="DV43:EH45" ca="1" si="18">INDIRECT($DU$1&amp;DV$1&amp;$DT43)</f>
        <v>Ansatz für Anteil solar-geeigneter Dachflächen an Gebäude- &amp; Freiflächen</v>
      </c>
      <c r="DW43" s="472">
        <f t="shared" ca="1" si="18"/>
        <v>0</v>
      </c>
      <c r="DX43" s="472">
        <f t="shared" ca="1" si="18"/>
        <v>0</v>
      </c>
      <c r="DY43" s="472">
        <f t="shared" ca="1" si="18"/>
        <v>0</v>
      </c>
      <c r="DZ43" s="472" t="str">
        <f t="shared" ca="1" si="18"/>
        <v xml:space="preserve">So24 </v>
      </c>
      <c r="EA43" s="472">
        <f t="shared" ca="1" si="18"/>
        <v>0</v>
      </c>
      <c r="EB43" s="472">
        <f t="shared" ca="1" si="18"/>
        <v>0</v>
      </c>
      <c r="EC43" s="472">
        <f t="shared" ca="1" si="18"/>
        <v>0</v>
      </c>
      <c r="ED43" s="472">
        <f t="shared" ca="1" si="18"/>
        <v>0</v>
      </c>
      <c r="EE43" s="472" t="str">
        <f t="shared" ca="1" si="18"/>
        <v>So</v>
      </c>
      <c r="EF43" s="472" t="str">
        <f t="shared" ca="1" si="18"/>
        <v xml:space="preserve">24 </v>
      </c>
      <c r="EG43" s="472" t="str">
        <f t="shared" ca="1" si="18"/>
        <v>[So.xls]TEXT!Z24 S5</v>
      </c>
      <c r="EH43" s="472">
        <f t="shared" ca="1" si="18"/>
        <v>0</v>
      </c>
      <c r="EJ43" s="472" t="str">
        <f ca="1">IF(X43=0,"",EJ$1&amp;X43)</f>
        <v>9.232</v>
      </c>
      <c r="EK43" s="472" t="str">
        <f ca="1">EK$1&amp;X43</f>
        <v>[D_Python.xlsx]9.Quellen!C232</v>
      </c>
      <c r="EV43" s="819">
        <f t="shared" ca="1" si="3"/>
        <v>43</v>
      </c>
      <c r="EW43" s="819"/>
    </row>
    <row r="44" spans="1:153" s="680" customFormat="1" ht="2.25" customHeight="1">
      <c r="A44" s="540" t="str">
        <f t="shared" ca="1" si="1"/>
        <v>D.1.44</v>
      </c>
      <c r="B44" s="540" t="str">
        <f t="shared" ca="1" si="2"/>
        <v>1.44</v>
      </c>
      <c r="C44" s="540" t="str">
        <f t="shared" si="0"/>
        <v>[44]</v>
      </c>
      <c r="D44" s="540">
        <f>ROW()</f>
        <v>44</v>
      </c>
      <c r="I44" s="679"/>
      <c r="J44" s="679"/>
      <c r="K44" s="679"/>
      <c r="L44" s="679"/>
      <c r="M44" s="679"/>
      <c r="O44" s="870">
        <v>44</v>
      </c>
      <c r="P44" s="688"/>
      <c r="Q44" s="689"/>
      <c r="R44" s="889"/>
      <c r="S44" s="802"/>
      <c r="T44" s="883"/>
      <c r="U44" s="661"/>
      <c r="V44" s="905" t="s">
        <v>126</v>
      </c>
      <c r="W44" s="661"/>
      <c r="X44" s="661"/>
      <c r="Y44" s="661"/>
      <c r="Z44" s="661"/>
      <c r="AA44" s="661"/>
      <c r="AB44" s="675"/>
      <c r="AC44" s="675"/>
      <c r="AD44" s="675"/>
      <c r="AE44" s="675"/>
      <c r="AF44" s="675"/>
      <c r="AG44" s="675"/>
      <c r="AH44" s="675"/>
      <c r="AI44" s="675"/>
      <c r="AJ44" s="675"/>
      <c r="AK44" s="675"/>
      <c r="AL44" s="675"/>
      <c r="AM44" s="675"/>
      <c r="AN44" s="675"/>
      <c r="AO44" s="675"/>
      <c r="AP44" s="675"/>
      <c r="AQ44" s="675"/>
      <c r="AR44" s="675"/>
      <c r="AS44" s="675"/>
      <c r="AT44" s="675"/>
      <c r="AU44" s="675"/>
      <c r="AV44" s="675"/>
      <c r="AZ44" s="541"/>
      <c r="BB44" s="541"/>
      <c r="BI44" s="680" t="s">
        <v>126</v>
      </c>
      <c r="BJ44" s="542"/>
      <c r="CU44" s="543"/>
      <c r="CW44" s="543"/>
      <c r="DS44" s="798"/>
      <c r="EV44" s="820" t="str">
        <f t="shared" si="3"/>
        <v/>
      </c>
      <c r="EW44" s="820"/>
    </row>
    <row r="45" spans="1:153" s="472" customFormat="1" ht="78">
      <c r="A45" s="654" t="str">
        <f t="shared" ca="1" si="1"/>
        <v>D.1.45</v>
      </c>
      <c r="B45" s="654" t="str">
        <f t="shared" ca="1" si="2"/>
        <v>1.45</v>
      </c>
      <c r="C45" s="654" t="str">
        <f t="shared" si="0"/>
        <v>[45]</v>
      </c>
      <c r="D45" s="654">
        <f>ROW()</f>
        <v>45</v>
      </c>
      <c r="E45" s="1125" t="str">
        <f t="shared" ref="E45:E46" si="19">CU45</f>
        <v>- ZIEL-Ansatz: Abweichend von den Schätzungen für die Bevölkerungsentwicklung in Deutschland [62] wird hier vom Statusniveau ausgegangen. Danach wäre bis 2050 mit einer Veränderung  von -3,9 % zu rechnen. Dies würde sich zwar als Entlastung beim verursachten Energieverbrauch auswirken. Allerdings birgt das starke globale Bevölkerungswachstum von prognostizierten 38,0 % [47] erhebliche Unsicherheiten, weil der daraus resultierende Migrationsdruck schwer einschätzbar ist. Aus diesem Grund wird hier von einer gegenüber heute gleichbleibenden Bevölkerungszahl ausgegangen.</v>
      </c>
      <c r="F45" s="1125"/>
      <c r="G45" s="1125"/>
      <c r="H45" s="1125"/>
      <c r="I45" s="1125"/>
      <c r="J45" s="1125"/>
      <c r="K45" s="1125"/>
      <c r="L45" s="1125"/>
      <c r="M45" s="1125"/>
      <c r="N45" s="1132"/>
      <c r="O45" s="869">
        <v>45</v>
      </c>
      <c r="P45" s="573" t="str">
        <f ca="1">HYPERLINK(EK45,EJ45)</f>
        <v/>
      </c>
      <c r="Q45" s="574" t="str">
        <f>Y45</f>
        <v xml:space="preserve"> </v>
      </c>
      <c r="R45" s="852"/>
      <c r="S45" s="784"/>
      <c r="T45" s="864"/>
      <c r="U45" s="1033" t="str">
        <f>U61</f>
        <v>Abweichend von den Schätzungen für die Bevölkerungsentwicklung in Deutschland [62] wird hier vom Statusniveau ausgegangen. Danach wäre bis 2050 mit einer Veränderung  von -3,9 % zu rechnen. Dies würde sich zwar als Entlastung beim verursachten Energieverbrauch auswirken. Allerdings birgt das starke globale Bevölkerungswachstum von prognostizierten 38,0 % [47] erhebliche Unsicherheiten, weil der daraus resultierende Migrationsdruck schwer einschätzbar ist. Aus diesem Grund wird hier von einer gegenüber heute gleichbleibenden Bevölkerungszahl ausgegangen.</v>
      </c>
      <c r="V45" s="905" t="s">
        <v>126</v>
      </c>
      <c r="W45" s="1024">
        <f>AG45</f>
        <v>82175684</v>
      </c>
      <c r="X45" s="526"/>
      <c r="Y45" s="672" t="s">
        <v>126</v>
      </c>
      <c r="Z45" s="1025"/>
      <c r="AA45" s="905"/>
      <c r="AB45" s="801"/>
      <c r="AC45" s="801"/>
      <c r="AD45" s="801">
        <f>AE43</f>
        <v>82175684</v>
      </c>
      <c r="AE45" s="801">
        <v>0</v>
      </c>
      <c r="AF45" s="801" t="s">
        <v>972</v>
      </c>
      <c r="AG45" s="837">
        <f>AD45*(100+AE45)%</f>
        <v>82175684</v>
      </c>
      <c r="AH45" s="801">
        <f>AI62</f>
        <v>-3.8929440389294436</v>
      </c>
      <c r="AI45" s="801">
        <f>AD45*(100+AH45)%</f>
        <v>78976630.608272508</v>
      </c>
      <c r="AJ45" s="801"/>
      <c r="AK45" s="801">
        <f>AF47</f>
        <v>38.005780346820821</v>
      </c>
      <c r="AL45" s="801">
        <f>AF46*1000</f>
        <v>6838500</v>
      </c>
      <c r="AM45" s="801">
        <f>AG46</f>
        <v>-91.678195218916585</v>
      </c>
      <c r="AN45" s="801" t="str">
        <f>AH46</f>
        <v xml:space="preserve">% </v>
      </c>
      <c r="AO45" s="801"/>
      <c r="AP45" s="801"/>
      <c r="AQ45" s="801"/>
      <c r="AR45" s="801"/>
      <c r="AS45" s="801"/>
      <c r="AT45" s="801"/>
      <c r="AU45" s="801"/>
      <c r="AV45" s="801"/>
      <c r="AX45" s="472" t="s">
        <v>245</v>
      </c>
      <c r="AY45" s="500">
        <f ca="1">DW45</f>
        <v>0</v>
      </c>
      <c r="AZ45" s="508">
        <f ca="1">HYPERLINK(EC45,DY45)</f>
        <v>0</v>
      </c>
      <c r="BA45" s="500">
        <f ca="1">DX45</f>
        <v>30</v>
      </c>
      <c r="BB45" s="508" t="str">
        <f ca="1">HYPERLINK(EC45,DZ45)</f>
        <v>Ho36</v>
      </c>
      <c r="BC45" s="472" t="str">
        <f ca="1">DV45</f>
        <v>Vertretbarer Nutz-Anteil = Empfehlung für energetisch nutzbaren Anteil am Holzzuwachs in deutschen Wäldern</v>
      </c>
      <c r="BF45" s="473"/>
      <c r="BI45" s="472" t="s">
        <v>126</v>
      </c>
      <c r="BJ45" s="490"/>
      <c r="BN45" s="656"/>
      <c r="BO45" s="472" t="s">
        <v>211</v>
      </c>
      <c r="CU45" s="480" t="str">
        <f>CH$1&amp;IF(U45="",BF45,U45)</f>
        <v>- ZIEL-Ansatz: Abweichend von den Schätzungen für die Bevölkerungsentwicklung in Deutschland [62] wird hier vom Statusniveau ausgegangen. Danach wäre bis 2050 mit einer Veränderung  von -3,9 % zu rechnen. Dies würde sich zwar als Entlastung beim verursachten Energieverbrauch auswirken. Allerdings birgt das starke globale Bevölkerungswachstum von prognostizierten 38,0 % [47] erhebliche Unsicherheiten, weil der daraus resultierende Migrationsdruck schwer einschätzbar ist. Aus diesem Grund wird hier von einer gegenüber heute gleichbleibenden Bevölkerungszahl ausgegangen.</v>
      </c>
      <c r="CV45" s="656"/>
      <c r="CW45" s="480"/>
      <c r="DS45" s="798"/>
      <c r="DT45" s="518">
        <v>53</v>
      </c>
      <c r="DV45" s="472" t="str">
        <f t="shared" ca="1" si="18"/>
        <v>Vertretbarer Nutz-Anteil = Empfehlung für energetisch nutzbaren Anteil am Holzzuwachs in deutschen Wäldern</v>
      </c>
      <c r="DW45" s="472">
        <f t="shared" ca="1" si="18"/>
        <v>0</v>
      </c>
      <c r="DX45" s="472">
        <f t="shared" ca="1" si="18"/>
        <v>30</v>
      </c>
      <c r="DY45" s="472">
        <f t="shared" ca="1" si="18"/>
        <v>0</v>
      </c>
      <c r="DZ45" s="472" t="str">
        <f t="shared" ca="1" si="18"/>
        <v>Ho36</v>
      </c>
      <c r="EA45" s="472">
        <f t="shared" ca="1" si="18"/>
        <v>0</v>
      </c>
      <c r="EB45" s="472">
        <f t="shared" ca="1" si="18"/>
        <v>0</v>
      </c>
      <c r="EC45" s="472">
        <f t="shared" ca="1" si="18"/>
        <v>0</v>
      </c>
      <c r="ED45" s="472">
        <f t="shared" ca="1" si="18"/>
        <v>0</v>
      </c>
      <c r="EE45" s="472" t="str">
        <f t="shared" ca="1" si="18"/>
        <v>Ho</v>
      </c>
      <c r="EF45" s="472" t="str">
        <f t="shared" ca="1" si="18"/>
        <v>36</v>
      </c>
      <c r="EG45" s="472" t="str">
        <f t="shared" ca="1" si="18"/>
        <v>[Ho.xls]TEXT!Z36S5</v>
      </c>
      <c r="EH45" s="472">
        <f t="shared" ca="1" si="18"/>
        <v>211</v>
      </c>
      <c r="EJ45" s="472" t="str">
        <f>IF(X45=0,"",EJ$1&amp;X45)</f>
        <v/>
      </c>
      <c r="EK45" s="472" t="str">
        <f ca="1">EK$1&amp;X45</f>
        <v>[D_Python.xlsx]9.Quellen!C</v>
      </c>
      <c r="EV45" s="819">
        <f t="shared" si="3"/>
        <v>45</v>
      </c>
      <c r="EW45" s="819"/>
    </row>
    <row r="46" spans="1:153" s="656" customFormat="1" ht="2.25" customHeight="1">
      <c r="A46" s="654" t="str">
        <f t="shared" ca="1" si="1"/>
        <v>D.1.46</v>
      </c>
      <c r="B46" s="654" t="str">
        <f t="shared" ca="1" si="2"/>
        <v>1.46</v>
      </c>
      <c r="C46" s="654" t="str">
        <f t="shared" si="0"/>
        <v>[46]</v>
      </c>
      <c r="D46" s="654">
        <f>ROW()</f>
        <v>46</v>
      </c>
      <c r="E46" s="1125" t="str">
        <f t="shared" ca="1" si="19"/>
        <v>Für Niedersachsen 2050 werden gemäß Bevölkerungsvorausberechnung des Statistischen Bundesamtes [9.238] folgende Bevölkerungszahlen geschätzt: 7.045.000 (Obergrenze),  6.632.000 (Untergrenze). Der Mittelwert beträgt 6.838.500 entsprechend einer Bevölkerungsentwicklung gegenüber dem Status [40] von -91,7% .</v>
      </c>
      <c r="F46" s="1125"/>
      <c r="G46" s="1125"/>
      <c r="H46" s="1125"/>
      <c r="I46" s="1125"/>
      <c r="J46" s="1125"/>
      <c r="K46" s="1125"/>
      <c r="L46" s="1125"/>
      <c r="M46" s="1125"/>
      <c r="N46" s="1132"/>
      <c r="O46" s="869">
        <v>46</v>
      </c>
      <c r="P46" s="691" t="str">
        <f ca="1">HYPERLINK(EK46,EJ46)</f>
        <v>9.238</v>
      </c>
      <c r="Q46" s="692" t="str">
        <f>Y46</f>
        <v xml:space="preserve"> </v>
      </c>
      <c r="R46" s="852"/>
      <c r="S46" s="784"/>
      <c r="T46" s="864"/>
      <c r="U46" s="1033" t="str">
        <f ca="1">"Für Niedersachsen 2050 werden gemäß Bevölkerungsvorausberechnung des Statistischen Bundesamtes ["&amp;P46&amp;"] folgende Bevölkerungszahlen geschätzt: "&amp;TEXT(AD46*1000,"0.000")&amp;" (Obergrenze),  "&amp;TEXT(AE46*1000,"0.000")&amp;" (Untergrenze). Der Mittelwert beträgt "&amp;TEXT(AF46*1000,"0.000")&amp;" entsprechend einer Bevölkerungsentwicklung gegenüber dem Status "&amp;C40&amp;" von "&amp;TEXT(AG46,"0,0")&amp;AH46&amp;"."</f>
        <v>Für Niedersachsen 2050 werden gemäß Bevölkerungsvorausberechnung des Statistischen Bundesamtes [9.238] folgende Bevölkerungszahlen geschätzt: 7.045.000 (Obergrenze),  6.632.000 (Untergrenze). Der Mittelwert beträgt 6.838.500 entsprechend einer Bevölkerungsentwicklung gegenüber dem Status [40] von -91,7% .</v>
      </c>
      <c r="V46" s="905" t="s">
        <v>126</v>
      </c>
      <c r="W46" s="757"/>
      <c r="X46" s="672">
        <f>'9.Quellen'!C238</f>
        <v>238</v>
      </c>
      <c r="Y46" s="672" t="s">
        <v>126</v>
      </c>
      <c r="Z46" s="1025"/>
      <c r="AA46" s="905"/>
      <c r="AB46" s="801"/>
      <c r="AC46" s="801"/>
      <c r="AD46" s="801">
        <v>7045</v>
      </c>
      <c r="AE46" s="801">
        <v>6632</v>
      </c>
      <c r="AF46" s="801">
        <f>(AD46+AE46)/2</f>
        <v>6838.5</v>
      </c>
      <c r="AG46" s="801">
        <f>(AF46*1000-W43)/W43%</f>
        <v>-91.678195218916585</v>
      </c>
      <c r="AH46" s="801" t="s">
        <v>835</v>
      </c>
      <c r="AI46" s="801"/>
      <c r="AJ46" s="801"/>
      <c r="AK46" s="801"/>
      <c r="AL46" s="801"/>
      <c r="AM46" s="801"/>
      <c r="AN46" s="801"/>
      <c r="AO46" s="801"/>
      <c r="AP46" s="801"/>
      <c r="AQ46" s="801"/>
      <c r="AR46" s="801"/>
      <c r="AS46" s="801"/>
      <c r="AT46" s="801"/>
      <c r="AU46" s="801"/>
      <c r="AV46" s="801"/>
      <c r="BF46" s="657" t="s">
        <v>126</v>
      </c>
      <c r="BI46" s="656" t="s">
        <v>126</v>
      </c>
      <c r="BJ46" s="666"/>
      <c r="BO46" s="656" t="s">
        <v>259</v>
      </c>
      <c r="BQ46" s="678" t="s">
        <v>271</v>
      </c>
      <c r="CU46" s="663" t="str">
        <f ca="1">IF(U46="",BF46,U46)</f>
        <v>Für Niedersachsen 2050 werden gemäß Bevölkerungsvorausberechnung des Statistischen Bundesamtes [9.238] folgende Bevölkerungszahlen geschätzt: 7.045.000 (Obergrenze),  6.632.000 (Untergrenze). Der Mittelwert beträgt 6.838.500 entsprechend einer Bevölkerungsentwicklung gegenüber dem Status [40] von -91,7% .</v>
      </c>
      <c r="CW46" s="663"/>
      <c r="DS46" s="798"/>
      <c r="EJ46" s="656" t="str">
        <f ca="1">IF(X46=0,"",EJ$1&amp;X46)</f>
        <v>9.238</v>
      </c>
      <c r="EK46" s="656" t="str">
        <f ca="1">EK$1&amp;X46</f>
        <v>[D_Python.xlsx]9.Quellen!C238</v>
      </c>
      <c r="EV46" s="819">
        <f t="shared" ca="1" si="3"/>
        <v>46</v>
      </c>
      <c r="EW46" s="819"/>
    </row>
    <row r="47" spans="1:153" s="656" customFormat="1" ht="26">
      <c r="A47" s="654" t="str">
        <f t="shared" ca="1" si="1"/>
        <v>D.1.47</v>
      </c>
      <c r="B47" s="654" t="str">
        <f t="shared" ca="1" si="2"/>
        <v>1.47</v>
      </c>
      <c r="C47" s="654" t="str">
        <f t="shared" si="0"/>
        <v>[47]</v>
      </c>
      <c r="D47" s="654">
        <f>ROW()</f>
        <v>47</v>
      </c>
      <c r="E47" s="1132" t="str">
        <f t="shared" ref="E47" ca="1" si="20">CU47</f>
        <v>Gemäß Prognose der UN [9.252] wird eine Zunahme der Weltbevölkerung von 6,9 Milliarden (2010) auf  9,6 Milliarden geschätzt, entsprechend einem Zuwachs von 38,0% .</v>
      </c>
      <c r="F47" s="1132"/>
      <c r="G47" s="1132"/>
      <c r="H47" s="1132"/>
      <c r="I47" s="1132"/>
      <c r="J47" s="1132"/>
      <c r="K47" s="1132"/>
      <c r="L47" s="1132"/>
      <c r="M47" s="1132"/>
      <c r="N47" s="1132"/>
      <c r="O47" s="872">
        <v>47</v>
      </c>
      <c r="P47" s="838" t="str">
        <f ca="1">HYPERLINK(EK47,EJ47)</f>
        <v>9.252</v>
      </c>
      <c r="Q47" s="839" t="str">
        <f>Y47</f>
        <v xml:space="preserve"> </v>
      </c>
      <c r="R47" s="852"/>
      <c r="S47" s="784"/>
      <c r="T47" s="864"/>
      <c r="U47" s="1033" t="str">
        <f ca="1">"Gemäß Prognose der UN ["&amp;P47&amp;"] wird eine Zunahme der Weltbevölkerung von "&amp;TEXT(AD47,"0,0")&amp;" Milliarden (2010) auf  "&amp;TEXT(AE47,"0,0")&amp;" Milliarden geschätzt, entsprechend einem Zuwachs von "&amp;TEXT(AF47,"0,0")&amp;AG47&amp;"."</f>
        <v>Gemäß Prognose der UN [9.252] wird eine Zunahme der Weltbevölkerung von 6,9 Milliarden (2010) auf  9,6 Milliarden geschätzt, entsprechend einem Zuwachs von 38,0% .</v>
      </c>
      <c r="V47" s="905" t="s">
        <v>126</v>
      </c>
      <c r="W47" s="757"/>
      <c r="X47" s="672">
        <f>'9.Quellen'!C252</f>
        <v>252</v>
      </c>
      <c r="Y47" s="672" t="s">
        <v>126</v>
      </c>
      <c r="Z47" s="1025"/>
      <c r="AA47" s="905"/>
      <c r="AB47" s="801"/>
      <c r="AC47" s="801"/>
      <c r="AD47" s="801">
        <v>6.92</v>
      </c>
      <c r="AE47" s="801">
        <v>9.5500000000000007</v>
      </c>
      <c r="AF47" s="801">
        <f>(AE47-AD47)/AD47%</f>
        <v>38.005780346820821</v>
      </c>
      <c r="AG47" s="801" t="s">
        <v>835</v>
      </c>
      <c r="AH47" s="801"/>
      <c r="AI47" s="801"/>
      <c r="AJ47" s="801"/>
      <c r="AK47" s="801"/>
      <c r="AL47" s="801"/>
      <c r="AM47" s="801"/>
      <c r="AN47" s="801"/>
      <c r="AO47" s="801"/>
      <c r="AP47" s="801"/>
      <c r="AQ47" s="801"/>
      <c r="AR47" s="801"/>
      <c r="AS47" s="801"/>
      <c r="AT47" s="801"/>
      <c r="AU47" s="801"/>
      <c r="AV47" s="801"/>
      <c r="BF47" s="657" t="s">
        <v>126</v>
      </c>
      <c r="BI47" s="656" t="s">
        <v>126</v>
      </c>
      <c r="BJ47" s="666"/>
      <c r="BO47" s="656" t="s">
        <v>259</v>
      </c>
      <c r="BQ47" s="678" t="s">
        <v>271</v>
      </c>
      <c r="CU47" s="663" t="str">
        <f ca="1">IF(U47="",BF47,U47)</f>
        <v>Gemäß Prognose der UN [9.252] wird eine Zunahme der Weltbevölkerung von 6,9 Milliarden (2010) auf  9,6 Milliarden geschätzt, entsprechend einem Zuwachs von 38,0% .</v>
      </c>
      <c r="CW47" s="663"/>
      <c r="DS47" s="798"/>
      <c r="EJ47" s="656" t="str">
        <f ca="1">IF(X47=0,"",EJ$1&amp;X47)</f>
        <v>9.252</v>
      </c>
      <c r="EK47" s="656" t="str">
        <f ca="1">EK$1&amp;X47</f>
        <v>[D_Python.xlsx]9.Quellen!C252</v>
      </c>
      <c r="EV47" s="819">
        <f t="shared" ca="1" si="3"/>
        <v>47</v>
      </c>
      <c r="EW47" s="819"/>
    </row>
    <row r="48" spans="1:153" s="478" customFormat="1" ht="3" customHeight="1">
      <c r="A48" s="677" t="str">
        <f t="shared" ca="1" si="1"/>
        <v>D.1.48</v>
      </c>
      <c r="B48" s="677" t="str">
        <f t="shared" ca="1" si="2"/>
        <v>1.48</v>
      </c>
      <c r="C48" s="677" t="str">
        <f t="shared" si="0"/>
        <v>[48]</v>
      </c>
      <c r="D48" s="677">
        <f>ROW()</f>
        <v>48</v>
      </c>
      <c r="E48" s="680"/>
      <c r="F48" s="680"/>
      <c r="G48" s="680"/>
      <c r="H48" s="680"/>
      <c r="I48" s="679"/>
      <c r="J48" s="679"/>
      <c r="K48" s="679"/>
      <c r="L48" s="679"/>
      <c r="M48" s="679"/>
      <c r="N48" s="680"/>
      <c r="O48" s="871">
        <v>48</v>
      </c>
      <c r="P48" s="688"/>
      <c r="Q48" s="689"/>
      <c r="R48" s="888"/>
      <c r="S48" s="802"/>
      <c r="T48" s="882"/>
      <c r="U48" s="661"/>
      <c r="V48" s="661"/>
      <c r="W48" s="661"/>
      <c r="X48" s="661"/>
      <c r="Y48" s="661"/>
      <c r="Z48" s="661"/>
      <c r="AA48" s="661"/>
      <c r="AB48" s="675"/>
      <c r="AC48" s="675"/>
      <c r="AD48" s="675"/>
      <c r="AE48" s="675"/>
      <c r="AF48" s="675"/>
      <c r="AG48" s="675"/>
      <c r="AH48" s="675"/>
      <c r="AI48" s="675"/>
      <c r="AJ48" s="675"/>
      <c r="AK48" s="675"/>
      <c r="AL48" s="675"/>
      <c r="AM48" s="675"/>
      <c r="AN48" s="675"/>
      <c r="AO48" s="675"/>
      <c r="AP48" s="675"/>
      <c r="AQ48" s="675"/>
      <c r="AR48" s="675"/>
      <c r="AS48" s="675"/>
      <c r="AT48" s="675"/>
      <c r="AU48" s="675"/>
      <c r="AV48" s="675"/>
      <c r="AZ48" s="505"/>
      <c r="BB48" s="505"/>
      <c r="BI48" s="478" t="s">
        <v>126</v>
      </c>
      <c r="BJ48" s="489"/>
      <c r="BN48" s="661"/>
      <c r="CU48" s="479"/>
      <c r="CV48" s="661"/>
      <c r="CW48" s="479"/>
      <c r="DS48" s="798"/>
      <c r="EV48" s="818" t="str">
        <f t="shared" si="3"/>
        <v/>
      </c>
      <c r="EW48" s="818"/>
    </row>
    <row r="49" spans="1:153" s="475" customFormat="1" ht="13.5" hidden="1" customHeight="1">
      <c r="A49" s="654" t="str">
        <f t="shared" ca="1" si="1"/>
        <v>D.1.49</v>
      </c>
      <c r="B49" s="654" t="str">
        <f t="shared" ca="1" si="2"/>
        <v>1.49</v>
      </c>
      <c r="C49" s="654" t="str">
        <f t="shared" si="0"/>
        <v>[49]</v>
      </c>
      <c r="D49" s="654">
        <f>ROW()</f>
        <v>49</v>
      </c>
      <c r="E49" s="1129" t="str">
        <f>BP49</f>
        <v>Energieverbraucher nach Solidar-Prinzip</v>
      </c>
      <c r="F49" s="1129"/>
      <c r="G49" s="1129"/>
      <c r="H49" s="1129"/>
      <c r="I49" s="1129"/>
      <c r="J49" s="471" t="s">
        <v>38</v>
      </c>
      <c r="K49" s="546">
        <f ca="1">INDIRECT($W$1&amp;U49)</f>
        <v>82270261.077058181</v>
      </c>
      <c r="L49" s="485" t="str">
        <f ca="1">HYPERLINK($CK$1&amp;U49,$CE$1&amp;U49&amp;$CF$1)</f>
        <v>[52]</v>
      </c>
      <c r="M49" s="547">
        <f ca="1">INDIRECT($W$1&amp;W49)</f>
        <v>82270261.077058181</v>
      </c>
      <c r="N49" s="533" t="str">
        <f ca="1">HYPERLINK($CK$1&amp;W49,$CE$1&amp;W49&amp;$CF$1)</f>
        <v>[56]</v>
      </c>
      <c r="O49" s="869">
        <v>49</v>
      </c>
      <c r="P49" s="570"/>
      <c r="Q49" s="583"/>
      <c r="R49" s="852"/>
      <c r="S49" s="784"/>
      <c r="T49" s="864"/>
      <c r="U49" s="672">
        <f>D52</f>
        <v>52</v>
      </c>
      <c r="V49" s="905" t="s">
        <v>126</v>
      </c>
      <c r="W49" s="672">
        <f>D56</f>
        <v>56</v>
      </c>
      <c r="X49" s="658"/>
      <c r="Y49" s="658"/>
      <c r="Z49" s="658"/>
      <c r="AA49" s="658"/>
      <c r="AB49" s="801"/>
      <c r="AC49" s="801"/>
      <c r="AD49" s="674"/>
      <c r="AE49" s="674"/>
      <c r="AF49" s="674"/>
      <c r="AG49" s="674"/>
      <c r="AH49" s="674"/>
      <c r="AI49" s="674"/>
      <c r="AJ49" s="674"/>
      <c r="AK49" s="674"/>
      <c r="AL49" s="674"/>
      <c r="AM49" s="674"/>
      <c r="AN49" s="674"/>
      <c r="AO49" s="674"/>
      <c r="AP49" s="674"/>
      <c r="AQ49" s="674"/>
      <c r="AR49" s="674"/>
      <c r="AS49" s="674"/>
      <c r="AT49" s="674"/>
      <c r="AU49" s="674"/>
      <c r="AV49" s="674"/>
      <c r="AX49" s="475" t="s">
        <v>244</v>
      </c>
      <c r="AY49" s="500">
        <f ca="1">DA49</f>
        <v>10899662.098242724</v>
      </c>
      <c r="AZ49" s="508" t="str">
        <f ca="1">HYPERLINK(DN49,DC49)</f>
        <v xml:space="preserve"> 12</v>
      </c>
      <c r="BA49" s="500">
        <f ca="1">DB49</f>
        <v>10899662.098242724</v>
      </c>
      <c r="BB49" s="508" t="str">
        <f ca="1">HYPERLINK(DO49,DD49)</f>
        <v xml:space="preserve"> 13</v>
      </c>
      <c r="BC49" s="475" t="str">
        <f ca="1">CY49&amp;" | "&amp;CZ49</f>
        <v>Energieverbraucher zu versorgen* | Energieverbraucher bei Bevölkerungsdichte nach deutschem Durchschnitt</v>
      </c>
      <c r="BI49" s="475" t="s">
        <v>126</v>
      </c>
      <c r="BJ49" s="492" t="str">
        <f>E49</f>
        <v>Energieverbraucher nach Solidar-Prinzip</v>
      </c>
      <c r="BK49" s="486">
        <f ca="1">K49</f>
        <v>82270261.077058181</v>
      </c>
      <c r="BL49" s="486">
        <f ca="1">M49</f>
        <v>82270261.077058181</v>
      </c>
      <c r="BM49" s="472">
        <f>D49</f>
        <v>49</v>
      </c>
      <c r="BN49" s="658"/>
      <c r="BO49" s="475" t="s">
        <v>251</v>
      </c>
      <c r="BP49" s="521" t="s">
        <v>269</v>
      </c>
      <c r="CU49" s="476"/>
      <c r="CV49" s="658"/>
      <c r="CW49" s="518">
        <v>34</v>
      </c>
      <c r="CY49" s="472" t="str">
        <f t="shared" ref="CY49:DO49" ca="1" si="21">INDIRECT($CX$1&amp;CY$1&amp;$CW49)</f>
        <v>Energieverbraucher zu versorgen*</v>
      </c>
      <c r="CZ49" s="472" t="str">
        <f t="shared" ca="1" si="21"/>
        <v>Energieverbraucher bei Bevölkerungsdichte nach deutschem Durchschnitt</v>
      </c>
      <c r="DA49" s="472">
        <f t="shared" ca="1" si="21"/>
        <v>10899662.098242724</v>
      </c>
      <c r="DB49" s="472">
        <f t="shared" ca="1" si="21"/>
        <v>10899662.098242724</v>
      </c>
      <c r="DC49" s="472" t="str">
        <f t="shared" ca="1" si="21"/>
        <v xml:space="preserve"> 12</v>
      </c>
      <c r="DD49" s="472" t="str">
        <f t="shared" ca="1" si="21"/>
        <v xml:space="preserve"> 13</v>
      </c>
      <c r="DE49" s="472" t="str">
        <f t="shared" ca="1" si="21"/>
        <v>Ba49</v>
      </c>
      <c r="DF49" s="472" t="str">
        <f t="shared" ca="1" si="21"/>
        <v>Ba63</v>
      </c>
      <c r="DG49" s="472" t="str">
        <f t="shared" ca="1" si="21"/>
        <v>Ba</v>
      </c>
      <c r="DH49" s="472" t="str">
        <f t="shared" ca="1" si="21"/>
        <v>49</v>
      </c>
      <c r="DI49" s="472" t="str">
        <f t="shared" ca="1" si="21"/>
        <v>[Ba.xls]TEXT!Z49S5</v>
      </c>
      <c r="DJ49" s="472" t="str">
        <f t="shared" ca="1" si="21"/>
        <v>Ba</v>
      </c>
      <c r="DK49" s="472" t="str">
        <f t="shared" ca="1" si="21"/>
        <v>63</v>
      </c>
      <c r="DL49" s="472" t="str">
        <f t="shared" ca="1" si="21"/>
        <v>[Ba.xls]TEXT!Z63S5</v>
      </c>
      <c r="DM49" s="472">
        <f t="shared" ca="1" si="21"/>
        <v>34</v>
      </c>
      <c r="DN49" s="472" t="str">
        <f t="shared" ca="1" si="21"/>
        <v>[Region.xls]PARAMETER!Z12S6</v>
      </c>
      <c r="DO49" s="472" t="str">
        <f t="shared" ca="1" si="21"/>
        <v>[Region.xls]PARAMETER!Z13S6</v>
      </c>
      <c r="DP49" s="472"/>
      <c r="DS49" s="798"/>
      <c r="DV49" s="472"/>
      <c r="DW49" s="472"/>
      <c r="DX49" s="472"/>
      <c r="DY49" s="472"/>
      <c r="DZ49" s="472"/>
      <c r="EA49" s="472"/>
      <c r="EB49" s="472"/>
      <c r="EC49" s="472"/>
      <c r="ED49" s="472"/>
      <c r="EE49" s="472"/>
      <c r="EF49" s="472"/>
      <c r="EG49" s="472"/>
      <c r="EH49" s="472"/>
      <c r="EI49" s="472"/>
      <c r="EJ49" s="472"/>
      <c r="EK49" s="472"/>
      <c r="EV49" s="819">
        <f t="shared" si="3"/>
        <v>49</v>
      </c>
      <c r="EW49" s="819"/>
    </row>
    <row r="50" spans="1:153" s="656" customFormat="1" ht="65" hidden="1">
      <c r="A50" s="654" t="str">
        <f t="shared" ca="1" si="1"/>
        <v>D.1.50</v>
      </c>
      <c r="B50" s="654" t="str">
        <f t="shared" ca="1" si="2"/>
        <v>1.50</v>
      </c>
      <c r="C50" s="654" t="str">
        <f t="shared" si="0"/>
        <v>[50]</v>
      </c>
      <c r="D50" s="654">
        <f>ROW()</f>
        <v>50</v>
      </c>
      <c r="E50" s="1125" t="str">
        <f t="shared" ref="E50" si="22">CU50</f>
        <v>Nach dem Solidar-Prinzip kann die künftige Gesamtsituation einer postfossilen Energieversorgung gegenüber dem Verursacher-Prinzip [41] realistischer abbildet werden:  Damit wird nicht nur der Energieverbrauch gedeckt, der von der  Bevölkerung Niedersachsens verusacht wird, sondern auch Bevölkerungsteile benachbarter Ballungszentren mitversorgt,  die nicht über ausreichend Flächen für eigene Energiegewinnung aus erneuerbaren Quellen verfügen. Umgekehrt führen die Energie-Exporte zu einer Stärkung der Wirtschaftskraft Niedersachsens.</v>
      </c>
      <c r="F50" s="1125"/>
      <c r="G50" s="1125"/>
      <c r="H50" s="1125"/>
      <c r="I50" s="1125"/>
      <c r="J50" s="1125"/>
      <c r="K50" s="1125"/>
      <c r="L50" s="1125"/>
      <c r="M50" s="1125"/>
      <c r="N50" s="1132"/>
      <c r="O50" s="869">
        <v>50</v>
      </c>
      <c r="P50" s="691" t="str">
        <f ca="1">HYPERLINK(EK50,EJ50)</f>
        <v/>
      </c>
      <c r="Q50" s="692" t="str">
        <f>Y50</f>
        <v xml:space="preserve"> </v>
      </c>
      <c r="R50" s="852"/>
      <c r="S50" s="784"/>
      <c r="T50" s="864"/>
      <c r="U50" s="1033" t="str">
        <f>"Nach dem Solidar-Prinzip kann die künftige Gesamtsituation einer postfossilen Energieversorgung gegenüber dem Verursacher-Prinzip "&amp;C41&amp;" realistischer abbildet werden: "&amp;" Damit wird nicht nur der Energieverbrauch gedeckt, der von der  Bevölkerung Niedersachsens verusacht wird, sondern auch Bevölkerungsteile benachbarter Ballungszentren mitversorgt, "&amp;" die nicht über ausreichend Flächen für eigene Energiegewinnung aus erneuerbaren Quellen verfügen. "&amp;"Umgekehrt führen die Energie-Exporte zu einer Stärkung der Wirtschaftskraft Niedersachsens."</f>
        <v>Nach dem Solidar-Prinzip kann die künftige Gesamtsituation einer postfossilen Energieversorgung gegenüber dem Verursacher-Prinzip [41] realistischer abbildet werden:  Damit wird nicht nur der Energieverbrauch gedeckt, der von der  Bevölkerung Niedersachsens verusacht wird, sondern auch Bevölkerungsteile benachbarter Ballungszentren mitversorgt,  die nicht über ausreichend Flächen für eigene Energiegewinnung aus erneuerbaren Quellen verfügen. Umgekehrt führen die Energie-Exporte zu einer Stärkung der Wirtschaftskraft Niedersachsens.</v>
      </c>
      <c r="V50" s="905" t="s">
        <v>126</v>
      </c>
      <c r="W50" s="757"/>
      <c r="X50" s="672"/>
      <c r="Y50" s="672" t="s">
        <v>126</v>
      </c>
      <c r="Z50" s="1025"/>
      <c r="AA50" s="905"/>
      <c r="AB50" s="801"/>
      <c r="AC50" s="801"/>
      <c r="AD50" s="801"/>
      <c r="AE50" s="801"/>
      <c r="AF50" s="801"/>
      <c r="AG50" s="801"/>
      <c r="AH50" s="801"/>
      <c r="AI50" s="801"/>
      <c r="AJ50" s="801"/>
      <c r="AK50" s="801"/>
      <c r="AL50" s="801"/>
      <c r="AM50" s="801"/>
      <c r="AN50" s="801"/>
      <c r="AO50" s="801"/>
      <c r="AP50" s="801"/>
      <c r="AQ50" s="801"/>
      <c r="AR50" s="801"/>
      <c r="AS50" s="801"/>
      <c r="AT50" s="801"/>
      <c r="AU50" s="801"/>
      <c r="AV50" s="801"/>
      <c r="BF50" s="657" t="s">
        <v>126</v>
      </c>
      <c r="BI50" s="656" t="s">
        <v>126</v>
      </c>
      <c r="BJ50" s="666"/>
      <c r="BO50" s="656" t="s">
        <v>259</v>
      </c>
      <c r="BQ50" s="678" t="s">
        <v>271</v>
      </c>
      <c r="CU50" s="663" t="str">
        <f>IF(U50="",BF50,U50)</f>
        <v>Nach dem Solidar-Prinzip kann die künftige Gesamtsituation einer postfossilen Energieversorgung gegenüber dem Verursacher-Prinzip [41] realistischer abbildet werden:  Damit wird nicht nur der Energieverbrauch gedeckt, der von der  Bevölkerung Niedersachsens verusacht wird, sondern auch Bevölkerungsteile benachbarter Ballungszentren mitversorgt,  die nicht über ausreichend Flächen für eigene Energiegewinnung aus erneuerbaren Quellen verfügen. Umgekehrt führen die Energie-Exporte zu einer Stärkung der Wirtschaftskraft Niedersachsens.</v>
      </c>
      <c r="CW50" s="663"/>
      <c r="DS50" s="798"/>
      <c r="EJ50" s="656" t="str">
        <f>IF(X50=0,"",EJ$1&amp;X50)</f>
        <v/>
      </c>
      <c r="EK50" s="656" t="str">
        <f ca="1">EK$1&amp;X50</f>
        <v>[D_Python.xlsx]9.Quellen!C</v>
      </c>
      <c r="EV50" s="819">
        <f t="shared" si="3"/>
        <v>50</v>
      </c>
      <c r="EW50" s="819"/>
    </row>
    <row r="51" spans="1:153" s="661" customFormat="1" ht="13" hidden="1">
      <c r="A51" s="677" t="str">
        <f t="shared" ca="1" si="1"/>
        <v>D.1.51</v>
      </c>
      <c r="B51" s="677" t="str">
        <f t="shared" ca="1" si="2"/>
        <v>1.51</v>
      </c>
      <c r="C51" s="677" t="str">
        <f t="shared" ref="C51" si="23">CE$1&amp;D51&amp;CF$1</f>
        <v>[51]</v>
      </c>
      <c r="D51" s="677">
        <f>ROW()</f>
        <v>51</v>
      </c>
      <c r="E51" s="680"/>
      <c r="F51" s="680"/>
      <c r="G51" s="680"/>
      <c r="H51" s="680"/>
      <c r="I51" s="679"/>
      <c r="J51" s="679"/>
      <c r="K51" s="679"/>
      <c r="L51" s="679"/>
      <c r="M51" s="679"/>
      <c r="N51" s="680"/>
      <c r="O51" s="871">
        <v>51</v>
      </c>
      <c r="P51" s="688"/>
      <c r="Q51" s="689"/>
      <c r="R51" s="888"/>
      <c r="S51" s="802"/>
      <c r="T51" s="882"/>
      <c r="AB51" s="675"/>
      <c r="AC51" s="675"/>
      <c r="AD51" s="675"/>
      <c r="AE51" s="675"/>
      <c r="AF51" s="675"/>
      <c r="AG51" s="675"/>
      <c r="AH51" s="675"/>
      <c r="AI51" s="675"/>
      <c r="AJ51" s="675"/>
      <c r="AK51" s="675"/>
      <c r="AL51" s="675"/>
      <c r="AM51" s="675"/>
      <c r="AN51" s="675"/>
      <c r="AO51" s="675"/>
      <c r="AP51" s="675"/>
      <c r="AQ51" s="675"/>
      <c r="AR51" s="675"/>
      <c r="AS51" s="675"/>
      <c r="AT51" s="675"/>
      <c r="AU51" s="675"/>
      <c r="AV51" s="675"/>
      <c r="BI51" s="661" t="s">
        <v>126</v>
      </c>
      <c r="BJ51" s="665"/>
      <c r="CU51" s="662"/>
      <c r="CW51" s="662"/>
      <c r="DS51" s="798"/>
      <c r="EV51" s="818" t="str">
        <f t="shared" si="3"/>
        <v/>
      </c>
      <c r="EW51" s="818"/>
    </row>
    <row r="52" spans="1:153" s="472" customFormat="1" ht="39" hidden="1">
      <c r="A52" s="654" t="str">
        <f t="shared" ca="1" si="1"/>
        <v>D.1.52</v>
      </c>
      <c r="B52" s="654" t="str">
        <f t="shared" ca="1" si="2"/>
        <v>1.52</v>
      </c>
      <c r="C52" s="654" t="str">
        <f t="shared" si="0"/>
        <v>[52]</v>
      </c>
      <c r="D52" s="654">
        <f>ROW()</f>
        <v>52</v>
      </c>
      <c r="E52" s="1130" t="str">
        <f>CU52</f>
        <v>- STATUS-Ansatz: 82.270.261 Energieverbraucher sind von der Fläche der betrachteten Region [65] zu versorgen unter der Annahme einer durchschnittlichen deutschen Bevölkerungsdichte entsprechend Einwohnerzahl [53] / Bodenfläche [54].</v>
      </c>
      <c r="F52" s="1130"/>
      <c r="G52" s="1130"/>
      <c r="H52" s="1130"/>
      <c r="I52" s="1130"/>
      <c r="J52" s="1130"/>
      <c r="K52" s="1130"/>
      <c r="L52" s="1130"/>
      <c r="M52" s="1130"/>
      <c r="N52" s="1131"/>
      <c r="O52" s="869">
        <v>52</v>
      </c>
      <c r="P52" s="573" t="str">
        <f ca="1">HYPERLINK(EK52,EJ52)</f>
        <v/>
      </c>
      <c r="Q52" s="574" t="str">
        <f>Y52</f>
        <v xml:space="preserve"> </v>
      </c>
      <c r="R52" s="852"/>
      <c r="S52" s="784"/>
      <c r="T52" s="864"/>
      <c r="U52" s="1023" t="str">
        <f>TEXT(W52,"0.000")&amp;" Energieverbraucher sind von der Fläche der betrachteten Region "&amp;C65&amp;" zu versorgen unter der Annahme einer durchschnittlichen deutschen Bevölkerungsdichte entsprechend Einwohnerzahl "&amp;C53&amp;" / Bodenfläche "&amp;C54&amp;"."</f>
        <v>82.270.261 Energieverbraucher sind von der Fläche der betrachteten Region [65] zu versorgen unter der Annahme einer durchschnittlichen deutschen Bevölkerungsdichte entsprechend Einwohnerzahl [53] / Bodenfläche [54].</v>
      </c>
      <c r="V52" s="905" t="s">
        <v>126</v>
      </c>
      <c r="W52" s="1024">
        <f>W65*W53/W54</f>
        <v>82270261.077058181</v>
      </c>
      <c r="X52" s="672"/>
      <c r="Y52" s="525" t="s">
        <v>126</v>
      </c>
      <c r="Z52" s="1072"/>
      <c r="AA52" s="658"/>
      <c r="AB52" s="801"/>
      <c r="AC52" s="801"/>
      <c r="AD52" s="801"/>
      <c r="AE52" s="801"/>
      <c r="AF52" s="801"/>
      <c r="AG52" s="801"/>
      <c r="AH52" s="801"/>
      <c r="AI52" s="801"/>
      <c r="AJ52" s="801"/>
      <c r="AK52" s="801"/>
      <c r="AL52" s="801"/>
      <c r="AM52" s="801"/>
      <c r="AN52" s="801"/>
      <c r="AO52" s="801"/>
      <c r="AP52" s="801"/>
      <c r="AQ52" s="801"/>
      <c r="AR52" s="801"/>
      <c r="AS52" s="801"/>
      <c r="AT52" s="801"/>
      <c r="AU52" s="801"/>
      <c r="AV52" s="801"/>
      <c r="BF52" s="473"/>
      <c r="BI52" s="472" t="s">
        <v>126</v>
      </c>
      <c r="BJ52" s="490"/>
      <c r="BN52" s="656"/>
      <c r="BO52" s="472" t="s">
        <v>212</v>
      </c>
      <c r="CU52" s="480" t="str">
        <f>CG$1&amp;IF(U52="",BF52,U52)</f>
        <v>- STATUS-Ansatz: 82.270.261 Energieverbraucher sind von der Fläche der betrachteten Region [65] zu versorgen unter der Annahme einer durchschnittlichen deutschen Bevölkerungsdichte entsprechend Einwohnerzahl [53] / Bodenfläche [54].</v>
      </c>
      <c r="CV52" s="656"/>
      <c r="CW52" s="480"/>
      <c r="DS52" s="798"/>
      <c r="DT52" s="518"/>
      <c r="EJ52" s="472" t="str">
        <f>IF(X52=0,"",EJ$1&amp;X52)</f>
        <v/>
      </c>
      <c r="EK52" s="472" t="str">
        <f ca="1">EK$1&amp;X52</f>
        <v>[D_Python.xlsx]9.Quellen!C</v>
      </c>
      <c r="EV52" s="819">
        <f t="shared" si="3"/>
        <v>52</v>
      </c>
      <c r="EW52" s="819"/>
    </row>
    <row r="53" spans="1:153" s="472" customFormat="1" hidden="1">
      <c r="A53" s="654" t="str">
        <f t="shared" ca="1" si="1"/>
        <v>D.1.53</v>
      </c>
      <c r="B53" s="654" t="str">
        <f t="shared" ca="1" si="2"/>
        <v>1.53</v>
      </c>
      <c r="C53" s="654" t="str">
        <f t="shared" si="0"/>
        <v>[53]</v>
      </c>
      <c r="D53" s="654">
        <f>ROW()</f>
        <v>53</v>
      </c>
      <c r="E53" s="1130" t="str">
        <f>CU53</f>
        <v>Einwohnerzahl Deutschland 31.12.2012 gemäß GENESIS [59]:    82.175.684</v>
      </c>
      <c r="F53" s="1130"/>
      <c r="G53" s="1130"/>
      <c r="H53" s="1130"/>
      <c r="I53" s="1130"/>
      <c r="J53" s="1130"/>
      <c r="K53" s="1130"/>
      <c r="L53" s="1130"/>
      <c r="M53" s="1130"/>
      <c r="N53" s="1131"/>
      <c r="O53" s="869">
        <v>53</v>
      </c>
      <c r="P53" s="573" t="str">
        <f ca="1">HYPERLINK(EK53,EJ53)</f>
        <v/>
      </c>
      <c r="Q53" s="574" t="str">
        <f>Y53</f>
        <v xml:space="preserve"> </v>
      </c>
      <c r="R53" s="852"/>
      <c r="S53" s="784"/>
      <c r="T53" s="864"/>
      <c r="U53" s="1033" t="str">
        <f>"Einwohnerzahl Deutschland 31.12.2012 gemäß GENESIS "&amp;C59&amp;":    "&amp;TEXT(W53,"0.000")</f>
        <v>Einwohnerzahl Deutschland 31.12.2012 gemäß GENESIS [59]:    82.175.684</v>
      </c>
      <c r="V53" s="905" t="s">
        <v>126</v>
      </c>
      <c r="W53" s="1024">
        <f>W59</f>
        <v>82175684</v>
      </c>
      <c r="X53" s="672"/>
      <c r="Y53" s="672" t="s">
        <v>126</v>
      </c>
      <c r="Z53" s="1025"/>
      <c r="AA53" s="905"/>
      <c r="AB53" s="801"/>
      <c r="AC53" s="801"/>
      <c r="AD53" s="801">
        <v>2</v>
      </c>
      <c r="AE53" s="801">
        <v>3</v>
      </c>
      <c r="AF53" s="801">
        <v>4</v>
      </c>
      <c r="AG53" s="801"/>
      <c r="AH53" s="801"/>
      <c r="AI53" s="801"/>
      <c r="AJ53" s="801"/>
      <c r="AK53" s="801"/>
      <c r="AL53" s="801"/>
      <c r="AM53" s="801"/>
      <c r="AN53" s="801"/>
      <c r="AO53" s="801"/>
      <c r="AP53" s="801"/>
      <c r="AQ53" s="801"/>
      <c r="AR53" s="801"/>
      <c r="AS53" s="801"/>
      <c r="AT53" s="801"/>
      <c r="AU53" s="801"/>
      <c r="AV53" s="801"/>
      <c r="BF53" s="473"/>
      <c r="BI53" s="472" t="s">
        <v>126</v>
      </c>
      <c r="BJ53" s="490"/>
      <c r="BN53" s="656"/>
      <c r="BO53" s="472" t="s">
        <v>252</v>
      </c>
      <c r="CU53" s="480" t="str">
        <f>IF(U53="",BF53,U53)</f>
        <v>Einwohnerzahl Deutschland 31.12.2012 gemäß GENESIS [59]:    82.175.684</v>
      </c>
      <c r="CV53" s="656"/>
      <c r="CW53" s="480"/>
      <c r="DS53" s="798"/>
      <c r="DT53" s="518"/>
      <c r="EJ53" s="472" t="str">
        <f>IF(X53=0,"",EJ$1&amp;X53)</f>
        <v/>
      </c>
      <c r="EK53" s="472" t="str">
        <f ca="1">EK$1&amp;X53</f>
        <v>[D_Python.xlsx]9.Quellen!C</v>
      </c>
      <c r="EV53" s="819">
        <f t="shared" si="3"/>
        <v>53</v>
      </c>
      <c r="EW53" s="819"/>
    </row>
    <row r="54" spans="1:153" s="472" customFormat="1" hidden="1">
      <c r="A54" s="654" t="str">
        <f t="shared" ca="1" si="1"/>
        <v>D.1.54</v>
      </c>
      <c r="B54" s="654" t="str">
        <f t="shared" ca="1" si="2"/>
        <v>1.54</v>
      </c>
      <c r="C54" s="654" t="str">
        <f t="shared" si="0"/>
        <v>[54]</v>
      </c>
      <c r="D54" s="654">
        <f>ROW()</f>
        <v>54</v>
      </c>
      <c r="E54" s="1130" t="str">
        <f ca="1">CU54</f>
        <v>Bodenfläche Deutschland 31.12.2012 gemäß GENESIS [9.232], Tabelle 449-01-5:   35.716.856 ha.</v>
      </c>
      <c r="F54" s="1130"/>
      <c r="G54" s="1130"/>
      <c r="H54" s="1130"/>
      <c r="I54" s="1130"/>
      <c r="J54" s="1130"/>
      <c r="K54" s="1130"/>
      <c r="L54" s="1130"/>
      <c r="M54" s="1130"/>
      <c r="N54" s="1131"/>
      <c r="O54" s="869">
        <v>54</v>
      </c>
      <c r="P54" s="573" t="str">
        <f ca="1">HYPERLINK(EK54,EJ54)</f>
        <v>9.232</v>
      </c>
      <c r="Q54" s="574" t="str">
        <f>Y54</f>
        <v>449-01-5</v>
      </c>
      <c r="R54" s="852"/>
      <c r="S54" s="784"/>
      <c r="T54" s="864"/>
      <c r="U54" s="1033" t="str">
        <f ca="1">"Bodenfläche Deutschland 31.12.2012 gemäß GENESIS ["&amp;P54&amp;"], Tabelle "&amp;Q54&amp;":   "&amp;TEXT(W54,"0.000")&amp;" ha."</f>
        <v>Bodenfläche Deutschland 31.12.2012 gemäß GENESIS [9.232], Tabelle 449-01-5:   35.716.856 ha.</v>
      </c>
      <c r="V54" s="905" t="s">
        <v>126</v>
      </c>
      <c r="W54" s="1024">
        <v>35716856</v>
      </c>
      <c r="X54" s="672">
        <f>'9.Quellen'!C232</f>
        <v>232</v>
      </c>
      <c r="Y54" s="672" t="s">
        <v>267</v>
      </c>
      <c r="Z54" s="1025"/>
      <c r="AA54" s="905"/>
      <c r="AB54" s="801"/>
      <c r="AC54" s="801"/>
      <c r="AD54" s="801">
        <v>2</v>
      </c>
      <c r="AE54" s="801">
        <v>3</v>
      </c>
      <c r="AF54" s="801">
        <v>4</v>
      </c>
      <c r="AG54" s="801"/>
      <c r="AH54" s="801">
        <f>W53/W54</f>
        <v>2.3007535713669758</v>
      </c>
      <c r="AI54" s="801"/>
      <c r="AJ54" s="801"/>
      <c r="AK54" s="801"/>
      <c r="AL54" s="801"/>
      <c r="AM54" s="801"/>
      <c r="AN54" s="801"/>
      <c r="AO54" s="801"/>
      <c r="AP54" s="801"/>
      <c r="AQ54" s="801"/>
      <c r="AR54" s="801"/>
      <c r="AS54" s="801"/>
      <c r="AT54" s="801"/>
      <c r="AU54" s="801"/>
      <c r="AV54" s="801"/>
      <c r="BF54" s="473"/>
      <c r="BI54" s="472" t="s">
        <v>126</v>
      </c>
      <c r="BJ54" s="490"/>
      <c r="BN54" s="656"/>
      <c r="BO54" s="472" t="s">
        <v>252</v>
      </c>
      <c r="CU54" s="480" t="str">
        <f ca="1">IF(U54="",BF54,U54)</f>
        <v>Bodenfläche Deutschland 31.12.2012 gemäß GENESIS [9.232], Tabelle 449-01-5:   35.716.856 ha.</v>
      </c>
      <c r="CV54" s="656"/>
      <c r="CW54" s="480"/>
      <c r="DS54" s="798"/>
      <c r="DT54" s="518"/>
      <c r="EJ54" s="472" t="str">
        <f ca="1">IF(X54=0,"",EJ$1&amp;X54)</f>
        <v>9.232</v>
      </c>
      <c r="EK54" s="472" t="str">
        <f ca="1">EK$1&amp;X54</f>
        <v>[D_Python.xlsx]9.Quellen!C232</v>
      </c>
      <c r="EV54" s="819">
        <f t="shared" ca="1" si="3"/>
        <v>54</v>
      </c>
      <c r="EW54" s="819"/>
    </row>
    <row r="55" spans="1:153" s="661" customFormat="1" ht="13" hidden="1">
      <c r="A55" s="677" t="str">
        <f t="shared" ca="1" si="1"/>
        <v>D.1.55</v>
      </c>
      <c r="B55" s="677" t="str">
        <f t="shared" ca="1" si="2"/>
        <v>1.55</v>
      </c>
      <c r="C55" s="677" t="str">
        <f t="shared" si="0"/>
        <v>[55]</v>
      </c>
      <c r="D55" s="677">
        <f>ROW()</f>
        <v>55</v>
      </c>
      <c r="E55" s="680"/>
      <c r="F55" s="680"/>
      <c r="G55" s="680"/>
      <c r="H55" s="680"/>
      <c r="I55" s="679"/>
      <c r="J55" s="679"/>
      <c r="K55" s="679"/>
      <c r="L55" s="679"/>
      <c r="M55" s="679"/>
      <c r="N55" s="680"/>
      <c r="O55" s="871">
        <v>55</v>
      </c>
      <c r="P55" s="688"/>
      <c r="Q55" s="689"/>
      <c r="R55" s="888"/>
      <c r="S55" s="802"/>
      <c r="T55" s="882"/>
      <c r="AB55" s="675"/>
      <c r="AC55" s="675"/>
      <c r="AD55" s="675"/>
      <c r="AE55" s="675"/>
      <c r="AF55" s="675"/>
      <c r="AG55" s="675"/>
      <c r="AH55" s="675"/>
      <c r="AI55" s="675"/>
      <c r="AJ55" s="675"/>
      <c r="AK55" s="675"/>
      <c r="AL55" s="675"/>
      <c r="AM55" s="675"/>
      <c r="AN55" s="675"/>
      <c r="AO55" s="675"/>
      <c r="AP55" s="675"/>
      <c r="AQ55" s="675"/>
      <c r="AR55" s="675"/>
      <c r="AS55" s="675"/>
      <c r="AT55" s="675"/>
      <c r="AU55" s="675"/>
      <c r="AV55" s="675"/>
      <c r="BI55" s="661" t="s">
        <v>126</v>
      </c>
      <c r="BJ55" s="665"/>
      <c r="CU55" s="662"/>
      <c r="CW55" s="662"/>
      <c r="DS55" s="798"/>
      <c r="EV55" s="818" t="str">
        <f t="shared" si="3"/>
        <v/>
      </c>
      <c r="EW55" s="818"/>
    </row>
    <row r="56" spans="1:153" s="472" customFormat="1" ht="65" hidden="1">
      <c r="A56" s="654" t="str">
        <f t="shared" ca="1" si="1"/>
        <v>D.1.56</v>
      </c>
      <c r="B56" s="654" t="str">
        <f t="shared" ca="1" si="2"/>
        <v>1.56</v>
      </c>
      <c r="C56" s="654" t="str">
        <f t="shared" si="0"/>
        <v>[56]</v>
      </c>
      <c r="D56" s="654">
        <f>ROW()</f>
        <v>56</v>
      </c>
      <c r="E56" s="1125" t="str">
        <f ca="1">CU56</f>
        <v>- ZIEL-Ansatz: 82.270.261 Energieverbraucher sollen von der Fläche Niedersachsens [64] versorgt werden unter der Annahme einer durchschnittlichen deutschen Bevölkerungsdichte entsprechend Einwohnerzahl [61] / Bodenfläche [54]. In Bezug auf den Energieverbrauch der Einwohner Niedersachsens werden zusätzliche 0%  Energie im Land gewonnen und in benachbarte Ballungszentren exportiert. In Bezug auf die im Land gewonnene Energie werden 100% von den Einwohnern Niedersachsens verbraucht und der Rest exportiert.</v>
      </c>
      <c r="F56" s="1125"/>
      <c r="G56" s="1125"/>
      <c r="H56" s="1125"/>
      <c r="I56" s="1125"/>
      <c r="J56" s="1125"/>
      <c r="K56" s="1125"/>
      <c r="L56" s="1125"/>
      <c r="M56" s="1125"/>
      <c r="N56" s="1132"/>
      <c r="O56" s="869">
        <v>56</v>
      </c>
      <c r="P56" s="573" t="str">
        <f ca="1">HYPERLINK(EK56,EJ56)</f>
        <v/>
      </c>
      <c r="Q56" s="574" t="str">
        <f>Y56</f>
        <v xml:space="preserve"> </v>
      </c>
      <c r="R56" s="852"/>
      <c r="S56" s="784"/>
      <c r="T56" s="864"/>
      <c r="U56" s="1023" t="str">
        <f ca="1">TEXT(W56,"0.000")&amp;" Energieverbraucher sollen von der Fläche Niedersachsens "&amp;C64&amp;" versorgt werden unter der Annahme einer durchschnittlichen deutschen Bevölkerungsdichte entsprechend Einwohnerzahl "&amp;C61&amp;" / Bodenfläche "&amp;C54&amp;". In Bezug auf den Energieverbrauch der Einwohner Niedersachsens werden zusätzliche "&amp;AN56-100&amp;AO56&amp;" Energie im Land gewonnen und in benachbarte Ballungszentren exportiert. In Bezug auf die im Land gewonnene Energie werden "&amp;AP56&amp;AQ56&amp;"von den Einwohnern Niedersachsens verbraucht und der Rest exportiert."</f>
        <v>82.270.261 Energieverbraucher sollen von der Fläche Niedersachsens [64] versorgt werden unter der Annahme einer durchschnittlichen deutschen Bevölkerungsdichte entsprechend Einwohnerzahl [61] / Bodenfläche [54]. In Bezug auf den Energieverbrauch der Einwohner Niedersachsens werden zusätzliche 0%  Energie im Land gewonnen und in benachbarte Ballungszentren exportiert. In Bezug auf die im Land gewonnene Energie werden 100% von den Einwohnern Niedersachsens verbraucht und der Rest exportiert.</v>
      </c>
      <c r="V56" s="905" t="s">
        <v>126</v>
      </c>
      <c r="W56" s="1024">
        <f ca="1">AJ56</f>
        <v>82270261.077058181</v>
      </c>
      <c r="X56" s="526"/>
      <c r="Y56" s="672" t="s">
        <v>126</v>
      </c>
      <c r="Z56" s="1025"/>
      <c r="AA56" s="905"/>
      <c r="AB56" s="801"/>
      <c r="AC56" s="801"/>
      <c r="AD56" s="687">
        <f>W61</f>
        <v>82175684</v>
      </c>
      <c r="AE56" s="801" t="s">
        <v>572</v>
      </c>
      <c r="AF56" s="687">
        <f ca="1">M64</f>
        <v>35757963</v>
      </c>
      <c r="AG56" s="801" t="s">
        <v>573</v>
      </c>
      <c r="AH56" s="687">
        <f>W54</f>
        <v>35716856</v>
      </c>
      <c r="AI56" s="801" t="s">
        <v>574</v>
      </c>
      <c r="AJ56" s="801">
        <f ca="1">AD56*AF56/AH56</f>
        <v>82270261.077058181</v>
      </c>
      <c r="AK56" s="801" t="s">
        <v>833</v>
      </c>
      <c r="AL56" s="687">
        <f>W45</f>
        <v>82175684</v>
      </c>
      <c r="AM56" s="801" t="s">
        <v>834</v>
      </c>
      <c r="AN56" s="801">
        <f ca="1">ROUND(AJ56/AL56%,0)</f>
        <v>100</v>
      </c>
      <c r="AO56" s="801" t="s">
        <v>835</v>
      </c>
      <c r="AP56" s="801">
        <f ca="1">ROUND(AL56/AJ56%,0)</f>
        <v>100</v>
      </c>
      <c r="AQ56" s="801" t="s">
        <v>835</v>
      </c>
      <c r="AR56" s="801"/>
      <c r="AS56" s="801"/>
      <c r="AT56" s="801"/>
      <c r="AU56" s="801"/>
      <c r="AV56" s="801"/>
      <c r="BF56" s="473"/>
      <c r="BI56" s="472" t="s">
        <v>126</v>
      </c>
      <c r="BJ56" s="490"/>
      <c r="BN56" s="656"/>
      <c r="BO56" s="472" t="s">
        <v>211</v>
      </c>
      <c r="CU56" s="480" t="str">
        <f ca="1">CH$1&amp;IF(U56="",BF56,U56)</f>
        <v>- ZIEL-Ansatz: 82.270.261 Energieverbraucher sollen von der Fläche Niedersachsens [64] versorgt werden unter der Annahme einer durchschnittlichen deutschen Bevölkerungsdichte entsprechend Einwohnerzahl [61] / Bodenfläche [54]. In Bezug auf den Energieverbrauch der Einwohner Niedersachsens werden zusätzliche 0%  Energie im Land gewonnen und in benachbarte Ballungszentren exportiert. In Bezug auf die im Land gewonnene Energie werden 100% von den Einwohnern Niedersachsens verbraucht und der Rest exportiert.</v>
      </c>
      <c r="CV56" s="656"/>
      <c r="CW56" s="480"/>
      <c r="DS56" s="798"/>
      <c r="DT56" s="518"/>
      <c r="EJ56" s="472" t="str">
        <f>IF(X56=0,"",EJ$1&amp;X56)</f>
        <v/>
      </c>
      <c r="EK56" s="472" t="str">
        <f ca="1">EK$1&amp;X56</f>
        <v>[D_Python.xlsx]9.Quellen!C</v>
      </c>
      <c r="EV56" s="819">
        <f t="shared" ca="1" si="3"/>
        <v>56</v>
      </c>
      <c r="EW56" s="819"/>
    </row>
    <row r="57" spans="1:153" s="478" customFormat="1" ht="3.75" customHeight="1">
      <c r="A57" s="677" t="str">
        <f t="shared" ca="1" si="1"/>
        <v>D.1.57</v>
      </c>
      <c r="B57" s="677" t="str">
        <f t="shared" ca="1" si="2"/>
        <v>1.57</v>
      </c>
      <c r="C57" s="677" t="str">
        <f t="shared" si="0"/>
        <v>[57]</v>
      </c>
      <c r="D57" s="677">
        <f>ROW()</f>
        <v>57</v>
      </c>
      <c r="E57" s="548"/>
      <c r="F57" s="548"/>
      <c r="G57" s="548"/>
      <c r="H57" s="548"/>
      <c r="I57" s="549"/>
      <c r="J57" s="549"/>
      <c r="K57" s="549"/>
      <c r="L57" s="549"/>
      <c r="M57" s="549"/>
      <c r="N57" s="548"/>
      <c r="O57" s="871">
        <v>57</v>
      </c>
      <c r="P57" s="575"/>
      <c r="Q57" s="576"/>
      <c r="R57" s="888"/>
      <c r="S57" s="802"/>
      <c r="T57" s="882"/>
      <c r="U57" s="661"/>
      <c r="V57" s="661"/>
      <c r="W57" s="661"/>
      <c r="X57" s="661"/>
      <c r="Y57" s="661"/>
      <c r="Z57" s="661"/>
      <c r="AA57" s="661"/>
      <c r="AB57" s="675"/>
      <c r="AC57" s="675"/>
      <c r="AD57" s="675"/>
      <c r="AE57" s="675"/>
      <c r="AF57" s="675"/>
      <c r="AG57" s="675"/>
      <c r="AH57" s="675"/>
      <c r="AI57" s="675"/>
      <c r="AJ57" s="675"/>
      <c r="AK57" s="675"/>
      <c r="AL57" s="675"/>
      <c r="AM57" s="675"/>
      <c r="AN57" s="675"/>
      <c r="AO57" s="675"/>
      <c r="AP57" s="675"/>
      <c r="AQ57" s="675"/>
      <c r="AR57" s="675"/>
      <c r="AS57" s="675"/>
      <c r="AT57" s="675"/>
      <c r="AU57" s="675"/>
      <c r="AV57" s="675"/>
      <c r="AZ57" s="505"/>
      <c r="BB57" s="505"/>
      <c r="BI57" s="478" t="s">
        <v>126</v>
      </c>
      <c r="BJ57" s="489"/>
      <c r="BN57" s="661"/>
      <c r="CU57" s="479"/>
      <c r="CV57" s="661"/>
      <c r="CW57" s="479"/>
      <c r="DS57" s="798"/>
      <c r="EV57" s="818" t="str">
        <f t="shared" si="3"/>
        <v/>
      </c>
      <c r="EW57" s="818"/>
    </row>
    <row r="58" spans="1:153" s="475" customFormat="1">
      <c r="A58" s="654" t="str">
        <f t="shared" ca="1" si="1"/>
        <v>D.1.58</v>
      </c>
      <c r="B58" s="654" t="str">
        <f t="shared" ca="1" si="2"/>
        <v>1.58</v>
      </c>
      <c r="C58" s="654" t="str">
        <f t="shared" si="0"/>
        <v>[58]</v>
      </c>
      <c r="D58" s="654">
        <f>ROW()</f>
        <v>58</v>
      </c>
      <c r="E58" s="1129" t="str">
        <f>BP58</f>
        <v>Einwohner Deutschlands (Referenz)</v>
      </c>
      <c r="F58" s="1129"/>
      <c r="G58" s="1129"/>
      <c r="H58" s="1129"/>
      <c r="I58" s="1129"/>
      <c r="J58" s="471" t="s">
        <v>38</v>
      </c>
      <c r="K58" s="546">
        <f ca="1">INDIRECT($W$1&amp;U58)</f>
        <v>82175684</v>
      </c>
      <c r="L58" s="485" t="str">
        <f ca="1">HYPERLINK($CK$1&amp;U58,$CE$1&amp;U58&amp;$CF$1)</f>
        <v>[59]</v>
      </c>
      <c r="M58" s="547">
        <f ca="1">INDIRECT($W$1&amp;W58)</f>
        <v>82175684</v>
      </c>
      <c r="N58" s="533" t="str">
        <f ca="1">HYPERLINK($CK$1&amp;W58,$CE$1&amp;W58&amp;$CF$1)</f>
        <v>[61]</v>
      </c>
      <c r="O58" s="869">
        <v>58</v>
      </c>
      <c r="P58" s="570"/>
      <c r="Q58" s="583"/>
      <c r="R58" s="852"/>
      <c r="S58" s="784"/>
      <c r="T58" s="864"/>
      <c r="U58" s="672">
        <f>D59</f>
        <v>59</v>
      </c>
      <c r="V58" s="905" t="s">
        <v>126</v>
      </c>
      <c r="W58" s="672">
        <f>D61</f>
        <v>61</v>
      </c>
      <c r="X58" s="658"/>
      <c r="Y58" s="658"/>
      <c r="Z58" s="658"/>
      <c r="AA58" s="658"/>
      <c r="AB58" s="801"/>
      <c r="AC58" s="801"/>
      <c r="AD58" s="674"/>
      <c r="AE58" s="674"/>
      <c r="AF58" s="674"/>
      <c r="AG58" s="674"/>
      <c r="AH58" s="674"/>
      <c r="AI58" s="674"/>
      <c r="AJ58" s="674"/>
      <c r="AK58" s="674"/>
      <c r="AL58" s="674"/>
      <c r="AM58" s="674"/>
      <c r="AN58" s="674"/>
      <c r="AO58" s="674"/>
      <c r="AP58" s="674"/>
      <c r="AQ58" s="674"/>
      <c r="AR58" s="674"/>
      <c r="AS58" s="674"/>
      <c r="AT58" s="674"/>
      <c r="AU58" s="674"/>
      <c r="AV58" s="674"/>
      <c r="AX58" s="475" t="s">
        <v>244</v>
      </c>
      <c r="AY58" s="500">
        <f ca="1">DA58</f>
        <v>7913502</v>
      </c>
      <c r="AZ58" s="508" t="str">
        <f ca="1">HYPERLINK(DN58,DC58)</f>
        <v xml:space="preserve"> 9</v>
      </c>
      <c r="BA58" s="500">
        <f ca="1">DB58</f>
        <v>7913502</v>
      </c>
      <c r="BB58" s="508" t="str">
        <f ca="1">HYPERLINK(DO58,DD58)</f>
        <v xml:space="preserve"> 10</v>
      </c>
      <c r="BC58" s="475" t="str">
        <f ca="1">CY58&amp;" | "&amp;CZ58</f>
        <v xml:space="preserve">Einwohner tatsächlich | Anzahl Einwohner  </v>
      </c>
      <c r="BI58" s="475" t="s">
        <v>126</v>
      </c>
      <c r="BJ58" s="492" t="str">
        <f>E58</f>
        <v>Einwohner Deutschlands (Referenz)</v>
      </c>
      <c r="BK58" s="486">
        <f ca="1">K58</f>
        <v>82175684</v>
      </c>
      <c r="BL58" s="486">
        <f ca="1">M58</f>
        <v>82175684</v>
      </c>
      <c r="BM58" s="472">
        <f>D58</f>
        <v>58</v>
      </c>
      <c r="BN58" s="658"/>
      <c r="BO58" s="475" t="s">
        <v>251</v>
      </c>
      <c r="BP58" s="529" t="s">
        <v>340</v>
      </c>
      <c r="CU58" s="476"/>
      <c r="CV58" s="658"/>
      <c r="CW58" s="518">
        <v>20</v>
      </c>
      <c r="CY58" s="472" t="str">
        <f t="shared" ref="CY58:DO58" ca="1" si="24">INDIRECT($CX$1&amp;CY$1&amp;$CW58)</f>
        <v>Einwohner tatsächlich</v>
      </c>
      <c r="CZ58" s="472" t="str">
        <f t="shared" ca="1" si="24"/>
        <v xml:space="preserve">Anzahl Einwohner  </v>
      </c>
      <c r="DA58" s="472">
        <f t="shared" ca="1" si="24"/>
        <v>7913502</v>
      </c>
      <c r="DB58" s="472">
        <f t="shared" ca="1" si="24"/>
        <v>7913502</v>
      </c>
      <c r="DC58" s="472" t="str">
        <f t="shared" ca="1" si="24"/>
        <v xml:space="preserve"> 9</v>
      </c>
      <c r="DD58" s="472" t="str">
        <f t="shared" ca="1" si="24"/>
        <v xml:space="preserve"> 10</v>
      </c>
      <c r="DE58" s="472" t="str">
        <f t="shared" ca="1" si="24"/>
        <v>Ba56</v>
      </c>
      <c r="DF58" s="472" t="str">
        <f t="shared" ca="1" si="24"/>
        <v>Ba63</v>
      </c>
      <c r="DG58" s="472" t="str">
        <f t="shared" ca="1" si="24"/>
        <v>Ba</v>
      </c>
      <c r="DH58" s="472" t="str">
        <f t="shared" ca="1" si="24"/>
        <v>56</v>
      </c>
      <c r="DI58" s="472" t="str">
        <f t="shared" ca="1" si="24"/>
        <v>[Ba.xls]TEXT!Z56S5</v>
      </c>
      <c r="DJ58" s="472" t="str">
        <f t="shared" ca="1" si="24"/>
        <v>Ba</v>
      </c>
      <c r="DK58" s="472" t="str">
        <f t="shared" ca="1" si="24"/>
        <v>63</v>
      </c>
      <c r="DL58" s="472" t="str">
        <f t="shared" ca="1" si="24"/>
        <v>[Ba.xls]TEXT!Z63S5</v>
      </c>
      <c r="DM58" s="472">
        <f t="shared" ca="1" si="24"/>
        <v>20</v>
      </c>
      <c r="DN58" s="472" t="str">
        <f t="shared" ca="1" si="24"/>
        <v>[Region.xls]PARAMETER!Z9S6</v>
      </c>
      <c r="DO58" s="472" t="str">
        <f t="shared" ca="1" si="24"/>
        <v>[Region.xls]PARAMETER!Z10S6</v>
      </c>
      <c r="DP58" s="472"/>
      <c r="DS58" s="798"/>
      <c r="DV58" s="472"/>
      <c r="DW58" s="472"/>
      <c r="DX58" s="472"/>
      <c r="DY58" s="472"/>
      <c r="DZ58" s="472"/>
      <c r="EA58" s="472"/>
      <c r="EB58" s="472"/>
      <c r="EC58" s="472"/>
      <c r="ED58" s="472"/>
      <c r="EE58" s="472"/>
      <c r="EF58" s="472"/>
      <c r="EG58" s="472"/>
      <c r="EH58" s="472"/>
      <c r="EI58" s="472"/>
      <c r="EJ58" s="472"/>
      <c r="EK58" s="472"/>
      <c r="EV58" s="819">
        <f t="shared" si="3"/>
        <v>58</v>
      </c>
      <c r="EW58" s="819"/>
    </row>
    <row r="59" spans="1:153" s="472" customFormat="1" ht="26">
      <c r="A59" s="654" t="str">
        <f t="shared" ca="1" si="1"/>
        <v>D.1.59</v>
      </c>
      <c r="B59" s="654" t="str">
        <f t="shared" ca="1" si="2"/>
        <v>1.59</v>
      </c>
      <c r="C59" s="654" t="str">
        <f t="shared" si="0"/>
        <v>[59]</v>
      </c>
      <c r="D59" s="654">
        <f>ROW()</f>
        <v>59</v>
      </c>
      <c r="E59" s="1130" t="str">
        <f ca="1">CU59</f>
        <v>- STATUS-Ansatz: GENESIS [9.232], Tabelle 12411-01-01-4, Einwohner gesamt am 31.12.2015:. (Zum Vergleich: 80.523.746 am 31.12.2012:)</v>
      </c>
      <c r="F59" s="1130"/>
      <c r="G59" s="1130"/>
      <c r="H59" s="1130"/>
      <c r="I59" s="1130"/>
      <c r="J59" s="1130"/>
      <c r="K59" s="1130"/>
      <c r="L59" s="1130"/>
      <c r="M59" s="1130"/>
      <c r="N59" s="1131"/>
      <c r="O59" s="869">
        <v>59</v>
      </c>
      <c r="P59" s="573" t="str">
        <f ca="1">HYPERLINK(EK59,EJ59)</f>
        <v>9.232</v>
      </c>
      <c r="Q59" s="574" t="str">
        <f>Y59</f>
        <v>12411-01-01-4</v>
      </c>
      <c r="R59" s="852"/>
      <c r="S59" s="784"/>
      <c r="T59" s="864"/>
      <c r="U59" s="1023" t="str">
        <f ca="1">"GENESIS ["&amp;P59&amp;"], Tabelle "&amp;Q59&amp;", Einwohner gesamt am "&amp;AD59&amp;". (Zum Vergleich: "&amp;AG59&amp;" am "&amp;AF59&amp;")"</f>
        <v>GENESIS [9.232], Tabelle 12411-01-01-4, Einwohner gesamt am 31.12.2015:. (Zum Vergleich: 80.523.746 am 31.12.2012:)</v>
      </c>
      <c r="V59" s="905" t="s">
        <v>126</v>
      </c>
      <c r="W59" s="1024">
        <f>AE59</f>
        <v>82175684</v>
      </c>
      <c r="X59" s="672">
        <f>'9.Quellen'!C232</f>
        <v>232</v>
      </c>
      <c r="Y59" s="525" t="s">
        <v>929</v>
      </c>
      <c r="Z59" s="1072"/>
      <c r="AA59" s="658"/>
      <c r="AB59" s="801"/>
      <c r="AC59" s="801"/>
      <c r="AD59" s="835" t="s">
        <v>928</v>
      </c>
      <c r="AE59" s="777">
        <v>82175684</v>
      </c>
      <c r="AF59" s="836" t="s">
        <v>927</v>
      </c>
      <c r="AG59" s="1075" t="s">
        <v>930</v>
      </c>
      <c r="AH59" s="801"/>
      <c r="AI59" s="801"/>
      <c r="AJ59" s="801"/>
      <c r="AK59" s="801"/>
      <c r="AL59" s="801"/>
      <c r="AM59" s="801"/>
      <c r="AN59" s="801"/>
      <c r="AO59" s="801"/>
      <c r="AP59" s="801"/>
      <c r="AQ59" s="801"/>
      <c r="AR59" s="801"/>
      <c r="AS59" s="801"/>
      <c r="AT59" s="801"/>
      <c r="AU59" s="801"/>
      <c r="AV59" s="801"/>
      <c r="AX59" s="472" t="s">
        <v>245</v>
      </c>
      <c r="AY59" s="500" t="str">
        <f ca="1">DW59</f>
        <v>130306</v>
      </c>
      <c r="AZ59" s="508" t="str">
        <f ca="1">HYPERLINK(EC59,DY59)</f>
        <v>Ho5</v>
      </c>
      <c r="BA59" s="500">
        <f ca="1">DX59</f>
        <v>0</v>
      </c>
      <c r="BB59" s="508">
        <f ca="1">HYPERLINK(EC59,DZ59)</f>
        <v>0</v>
      </c>
      <c r="BC59" s="472" t="str">
        <f ca="1">DV59</f>
        <v>Holz - Basisdaten für 100%-Szenarien</v>
      </c>
      <c r="BF59" s="473"/>
      <c r="BI59" s="472" t="s">
        <v>126</v>
      </c>
      <c r="BJ59" s="490"/>
      <c r="BN59" s="656"/>
      <c r="BO59" s="472" t="s">
        <v>212</v>
      </c>
      <c r="CU59" s="480" t="str">
        <f ca="1">CG$1&amp;IF(U59="",BF59,U59)</f>
        <v>- STATUS-Ansatz: GENESIS [9.232], Tabelle 12411-01-01-4, Einwohner gesamt am 31.12.2015:. (Zum Vergleich: 80.523.746 am 31.12.2012:)</v>
      </c>
      <c r="CV59" s="656"/>
      <c r="CW59" s="480"/>
      <c r="DS59" s="798"/>
      <c r="DT59" s="518">
        <f>I_Basisdaten!A52</f>
        <v>52</v>
      </c>
      <c r="DV59" s="472" t="str">
        <f t="shared" ref="DV59:EH61" ca="1" si="25">INDIRECT($DU$1&amp;DV$1&amp;$DT59)</f>
        <v>Holz - Basisdaten für 100%-Szenarien</v>
      </c>
      <c r="DW59" s="472" t="str">
        <f t="shared" ca="1" si="25"/>
        <v>130306</v>
      </c>
      <c r="DX59" s="472">
        <f t="shared" ca="1" si="25"/>
        <v>0</v>
      </c>
      <c r="DY59" s="472" t="str">
        <f t="shared" ca="1" si="25"/>
        <v>Ho5</v>
      </c>
      <c r="DZ59" s="472">
        <f t="shared" ca="1" si="25"/>
        <v>0</v>
      </c>
      <c r="EA59" s="472" t="str">
        <f t="shared" ca="1" si="25"/>
        <v>Ho</v>
      </c>
      <c r="EB59" s="472" t="str">
        <f t="shared" ca="1" si="25"/>
        <v>5</v>
      </c>
      <c r="EC59" s="472" t="str">
        <f t="shared" ca="1" si="25"/>
        <v>[Ho.xls]TEXT!Z5S5</v>
      </c>
      <c r="ED59" s="472">
        <f t="shared" ca="1" si="25"/>
        <v>211</v>
      </c>
      <c r="EE59" s="472">
        <f t="shared" ca="1" si="25"/>
        <v>0</v>
      </c>
      <c r="EF59" s="472">
        <f t="shared" ca="1" si="25"/>
        <v>0</v>
      </c>
      <c r="EG59" s="472">
        <f t="shared" ca="1" si="25"/>
        <v>0</v>
      </c>
      <c r="EH59" s="472">
        <f t="shared" ca="1" si="25"/>
        <v>0</v>
      </c>
      <c r="EJ59" s="472" t="str">
        <f ca="1">IF(X59=0,"",EJ$1&amp;X59)</f>
        <v>9.232</v>
      </c>
      <c r="EK59" s="472" t="str">
        <f ca="1">EK$1&amp;X59</f>
        <v>[D_Python.xlsx]9.Quellen!C232</v>
      </c>
      <c r="EV59" s="819">
        <f t="shared" ca="1" si="3"/>
        <v>59</v>
      </c>
      <c r="EW59" s="819"/>
    </row>
    <row r="60" spans="1:153" s="680" customFormat="1" ht="4.5" customHeight="1">
      <c r="A60" s="540" t="str">
        <f t="shared" ca="1" si="1"/>
        <v>D.1.60</v>
      </c>
      <c r="B60" s="540" t="str">
        <f t="shared" ca="1" si="2"/>
        <v>1.60</v>
      </c>
      <c r="C60" s="540" t="str">
        <f t="shared" si="0"/>
        <v>[60]</v>
      </c>
      <c r="D60" s="540">
        <f>ROW()</f>
        <v>60</v>
      </c>
      <c r="I60" s="679"/>
      <c r="J60" s="679"/>
      <c r="K60" s="679"/>
      <c r="L60" s="679"/>
      <c r="M60" s="679"/>
      <c r="O60" s="870">
        <v>60</v>
      </c>
      <c r="P60" s="688"/>
      <c r="Q60" s="689"/>
      <c r="R60" s="889"/>
      <c r="S60" s="802"/>
      <c r="T60" s="883"/>
      <c r="U60" s="661"/>
      <c r="V60" s="661"/>
      <c r="W60" s="661"/>
      <c r="X60" s="661"/>
      <c r="Y60" s="661"/>
      <c r="Z60" s="661"/>
      <c r="AA60" s="661"/>
      <c r="AB60" s="675"/>
      <c r="AC60" s="675"/>
      <c r="AD60" s="675"/>
      <c r="AE60" s="675"/>
      <c r="AF60" s="675"/>
      <c r="AG60" s="675"/>
      <c r="AH60" s="675"/>
      <c r="AI60" s="675"/>
      <c r="AJ60" s="675"/>
      <c r="AK60" s="675"/>
      <c r="AL60" s="675"/>
      <c r="AM60" s="675"/>
      <c r="AN60" s="675"/>
      <c r="AO60" s="675"/>
      <c r="AP60" s="675"/>
      <c r="AQ60" s="675"/>
      <c r="AR60" s="675"/>
      <c r="AS60" s="675"/>
      <c r="AT60" s="675"/>
      <c r="AU60" s="675"/>
      <c r="AV60" s="675"/>
      <c r="AZ60" s="541"/>
      <c r="BB60" s="541"/>
      <c r="BI60" s="680" t="s">
        <v>126</v>
      </c>
      <c r="BJ60" s="542"/>
      <c r="CU60" s="543"/>
      <c r="CW60" s="543"/>
      <c r="DS60" s="798"/>
      <c r="EV60" s="820" t="str">
        <f t="shared" si="3"/>
        <v/>
      </c>
      <c r="EW60" s="820"/>
    </row>
    <row r="61" spans="1:153" s="472" customFormat="1" ht="78">
      <c r="A61" s="654" t="str">
        <f t="shared" ca="1" si="1"/>
        <v>D.1.61</v>
      </c>
      <c r="B61" s="654" t="str">
        <f t="shared" ca="1" si="2"/>
        <v>1.61</v>
      </c>
      <c r="C61" s="654" t="str">
        <f t="shared" si="0"/>
        <v>[61]</v>
      </c>
      <c r="D61" s="654">
        <f>ROW()</f>
        <v>61</v>
      </c>
      <c r="E61" s="1125" t="str">
        <f t="shared" ref="E61" si="26">CU61</f>
        <v>- ZIEL-Ansatz: Abweichend von den Schätzungen für die Bevölkerungsentwicklung in Deutschland [62] wird hier vom Statusniveau ausgegangen. Danach wäre bis 2050 mit einer Veränderung  von -3,9 % zu rechnen. Dies würde sich zwar als Entlastung beim verursachten Energieverbrauch auswirken. Allerdings birgt das starke globale Bevölkerungswachstum von prognostizierten 38,0 % [47] erhebliche Unsicherheiten, weil der daraus resultierende Migrationsdruck schwer einschätzbar ist. Aus diesem Grund wird hier von einer gegenüber heute gleichbleibenden Bevölkerungszahl ausgegangen.</v>
      </c>
      <c r="F61" s="1125"/>
      <c r="G61" s="1125"/>
      <c r="H61" s="1125"/>
      <c r="I61" s="1125"/>
      <c r="J61" s="1125"/>
      <c r="K61" s="1125"/>
      <c r="L61" s="1125"/>
      <c r="M61" s="1125"/>
      <c r="N61" s="1132"/>
      <c r="O61" s="869">
        <v>61</v>
      </c>
      <c r="P61" s="573" t="str">
        <f ca="1">HYPERLINK(EK61,EJ61)</f>
        <v/>
      </c>
      <c r="Q61" s="574" t="str">
        <f>Y61</f>
        <v xml:space="preserve"> </v>
      </c>
      <c r="R61" s="852"/>
      <c r="S61" s="784"/>
      <c r="T61" s="864"/>
      <c r="U61" s="1033" t="str">
        <f>"Abweichend von den Schätzungen für die Bevölkerungsentwicklung in Deutschland "&amp;C62&amp;" wird hier vom Statusniveau ausgegangen. Danach wäre bis 2050 mit einer Veränderung  von "&amp;TEXT(AD61,"0,0")&amp;" % zu rechnen. Dies würde sich zwar als Entlastung beim verursachten Energieverbrauch auswirken. Allerdings birgt das starke globale Bevölkerungswachstum von prognostizierten "&amp;TEXT(AI61,"0,0")&amp;" % "&amp;C47&amp;" erhebliche Unsicherheiten, weil der daraus resultierende Migrationsdruck schwer einschätzbar ist. Aus diesem Grund wird hier von einer gegenüber heute gleichbleibenden Bevölkerungszahl ausgegangen."</f>
        <v>Abweichend von den Schätzungen für die Bevölkerungsentwicklung in Deutschland [62] wird hier vom Statusniveau ausgegangen. Danach wäre bis 2050 mit einer Veränderung  von -3,9 % zu rechnen. Dies würde sich zwar als Entlastung beim verursachten Energieverbrauch auswirken. Allerdings birgt das starke globale Bevölkerungswachstum von prognostizierten 38,0 % [47] erhebliche Unsicherheiten, weil der daraus resultierende Migrationsdruck schwer einschätzbar ist. Aus diesem Grund wird hier von einer gegenüber heute gleichbleibenden Bevölkerungszahl ausgegangen.</v>
      </c>
      <c r="V61" s="905" t="s">
        <v>126</v>
      </c>
      <c r="W61" s="1024">
        <f>AF61</f>
        <v>82175684</v>
      </c>
      <c r="X61" s="526"/>
      <c r="Y61" s="672" t="s">
        <v>126</v>
      </c>
      <c r="Z61" s="1025"/>
      <c r="AA61" s="905"/>
      <c r="AB61" s="801"/>
      <c r="AC61" s="801"/>
      <c r="AD61" s="801">
        <f>AI62</f>
        <v>-3.8929440389294436</v>
      </c>
      <c r="AE61" s="801" t="s">
        <v>835</v>
      </c>
      <c r="AF61" s="687">
        <f>W59</f>
        <v>82175684</v>
      </c>
      <c r="AG61" s="801">
        <f>AF61*(1+AD61%)</f>
        <v>78976630.608272508</v>
      </c>
      <c r="AH61" s="801"/>
      <c r="AI61" s="801">
        <f>AF47</f>
        <v>38.005780346820821</v>
      </c>
      <c r="AJ61" s="801" t="str">
        <f>AG47</f>
        <v xml:space="preserve">% </v>
      </c>
      <c r="AK61" s="801"/>
      <c r="AL61" s="801"/>
      <c r="AM61" s="801"/>
      <c r="AN61" s="801"/>
      <c r="AO61" s="801"/>
      <c r="AP61" s="801"/>
      <c r="AQ61" s="801"/>
      <c r="AR61" s="801"/>
      <c r="AS61" s="801"/>
      <c r="AT61" s="801"/>
      <c r="AU61" s="801"/>
      <c r="AV61" s="801"/>
      <c r="AX61" s="472" t="s">
        <v>245</v>
      </c>
      <c r="AY61" s="500">
        <f ca="1">DW61</f>
        <v>0</v>
      </c>
      <c r="AZ61" s="508">
        <f ca="1">HYPERLINK(EC61,DY61)</f>
        <v>0</v>
      </c>
      <c r="BA61" s="500">
        <f ca="1">DX61</f>
        <v>30</v>
      </c>
      <c r="BB61" s="508" t="str">
        <f ca="1">HYPERLINK(EC61,DZ61)</f>
        <v>Ho36</v>
      </c>
      <c r="BC61" s="472" t="str">
        <f ca="1">DV61</f>
        <v>Vertretbarer Nutz-Anteil = Empfehlung für energetisch nutzbaren Anteil am Holzzuwachs in deutschen Wäldern</v>
      </c>
      <c r="BF61" s="473"/>
      <c r="BI61" s="472" t="s">
        <v>126</v>
      </c>
      <c r="BJ61" s="490"/>
      <c r="BN61" s="656"/>
      <c r="BO61" s="472" t="s">
        <v>211</v>
      </c>
      <c r="CU61" s="480" t="str">
        <f>CH$1&amp;IF(U61="",BF61,U61)</f>
        <v>- ZIEL-Ansatz: Abweichend von den Schätzungen für die Bevölkerungsentwicklung in Deutschland [62] wird hier vom Statusniveau ausgegangen. Danach wäre bis 2050 mit einer Veränderung  von -3,9 % zu rechnen. Dies würde sich zwar als Entlastung beim verursachten Energieverbrauch auswirken. Allerdings birgt das starke globale Bevölkerungswachstum von prognostizierten 38,0 % [47] erhebliche Unsicherheiten, weil der daraus resultierende Migrationsdruck schwer einschätzbar ist. Aus diesem Grund wird hier von einer gegenüber heute gleichbleibenden Bevölkerungszahl ausgegangen.</v>
      </c>
      <c r="CV61" s="656"/>
      <c r="CW61" s="480"/>
      <c r="DS61" s="798"/>
      <c r="DT61" s="518">
        <v>53</v>
      </c>
      <c r="DV61" s="472" t="str">
        <f t="shared" ca="1" si="25"/>
        <v>Vertretbarer Nutz-Anteil = Empfehlung für energetisch nutzbaren Anteil am Holzzuwachs in deutschen Wäldern</v>
      </c>
      <c r="DW61" s="472">
        <f t="shared" ca="1" si="25"/>
        <v>0</v>
      </c>
      <c r="DX61" s="472">
        <f t="shared" ca="1" si="25"/>
        <v>30</v>
      </c>
      <c r="DY61" s="472">
        <f t="shared" ca="1" si="25"/>
        <v>0</v>
      </c>
      <c r="DZ61" s="472" t="str">
        <f t="shared" ca="1" si="25"/>
        <v>Ho36</v>
      </c>
      <c r="EA61" s="472">
        <f t="shared" ca="1" si="25"/>
        <v>0</v>
      </c>
      <c r="EB61" s="472">
        <f t="shared" ca="1" si="25"/>
        <v>0</v>
      </c>
      <c r="EC61" s="472">
        <f t="shared" ca="1" si="25"/>
        <v>0</v>
      </c>
      <c r="ED61" s="472">
        <f t="shared" ca="1" si="25"/>
        <v>0</v>
      </c>
      <c r="EE61" s="472" t="str">
        <f t="shared" ca="1" si="25"/>
        <v>Ho</v>
      </c>
      <c r="EF61" s="472" t="str">
        <f t="shared" ca="1" si="25"/>
        <v>36</v>
      </c>
      <c r="EG61" s="472" t="str">
        <f t="shared" ca="1" si="25"/>
        <v>[Ho.xls]TEXT!Z36S5</v>
      </c>
      <c r="EH61" s="472">
        <f t="shared" ca="1" si="25"/>
        <v>211</v>
      </c>
      <c r="EJ61" s="472" t="str">
        <f>IF(X61=0,"",EJ$1&amp;X61)</f>
        <v/>
      </c>
      <c r="EK61" s="472" t="str">
        <f ca="1">EK$1&amp;X61</f>
        <v>[D_Python.xlsx]9.Quellen!C</v>
      </c>
      <c r="EV61" s="819">
        <f t="shared" si="3"/>
        <v>61</v>
      </c>
      <c r="EW61" s="819"/>
    </row>
    <row r="62" spans="1:153" s="656" customFormat="1" ht="39">
      <c r="A62" s="654" t="str">
        <f t="shared" ca="1" si="1"/>
        <v>D.1.62</v>
      </c>
      <c r="B62" s="654" t="str">
        <f t="shared" ca="1" si="2"/>
        <v>1.62</v>
      </c>
      <c r="C62" s="654" t="str">
        <f t="shared" si="0"/>
        <v>[62]</v>
      </c>
      <c r="D62" s="654">
        <f>ROW()</f>
        <v>62</v>
      </c>
      <c r="E62" s="1125" t="str">
        <f t="shared" ref="E62" ca="1" si="27">CU62</f>
        <v>Für Deutschland 2050 werden gemäß Bevölkerungsvorausberechnung des Statistischen Bundesamtes [9.241] eine Bevölkerungszahl von 79,0 Millionen geschätzt. Das entspricht einer Bevölkerungsentwicklung gegenüber dem Jahr 2015 (82,2 Millionen) von -3,9% .</v>
      </c>
      <c r="F62" s="1125"/>
      <c r="G62" s="1125"/>
      <c r="H62" s="1125"/>
      <c r="I62" s="1125"/>
      <c r="J62" s="1125"/>
      <c r="K62" s="1125"/>
      <c r="L62" s="1125"/>
      <c r="M62" s="1125"/>
      <c r="N62" s="1132"/>
      <c r="O62" s="869">
        <v>62</v>
      </c>
      <c r="P62" s="691" t="str">
        <f ca="1">HYPERLINK(EK62,EJ62)</f>
        <v>9.241</v>
      </c>
      <c r="Q62" s="692" t="str">
        <f>Y62</f>
        <v xml:space="preserve"> </v>
      </c>
      <c r="R62" s="852"/>
      <c r="S62" s="784"/>
      <c r="T62" s="864"/>
      <c r="U62" s="1033" t="str">
        <f ca="1">"Für Deutschland 2050 werden gemäß Bevölkerungsvorausberechnung des Statistischen Bundesamtes ["&amp;P62&amp;"] eine Bevölkerungszahl von "&amp;TEXT(AF62,"0,0")&amp;" Millionen geschätzt. Das entspricht einer Bevölkerungsentwicklung gegenüber dem Jahr 2015 ("&amp;TEXT(AG62,"0,0")&amp;" Millionen) von "&amp;TEXT(AI62,"0,0")&amp;AJ62&amp;"."</f>
        <v>Für Deutschland 2050 werden gemäß Bevölkerungsvorausberechnung des Statistischen Bundesamtes [9.241] eine Bevölkerungszahl von 79,0 Millionen geschätzt. Das entspricht einer Bevölkerungsentwicklung gegenüber dem Jahr 2015 (82,2 Millionen) von -3,9% .</v>
      </c>
      <c r="V62" s="905" t="s">
        <v>126</v>
      </c>
      <c r="W62" s="757"/>
      <c r="X62" s="672">
        <f>'9.Quellen'!C241</f>
        <v>241</v>
      </c>
      <c r="Y62" s="672" t="s">
        <v>126</v>
      </c>
      <c r="Z62" s="1025"/>
      <c r="AA62" s="905"/>
      <c r="AB62" s="801"/>
      <c r="AC62" s="801"/>
      <c r="AD62" s="801"/>
      <c r="AE62" s="801"/>
      <c r="AF62" s="801">
        <v>79</v>
      </c>
      <c r="AG62" s="1076">
        <v>82.2</v>
      </c>
      <c r="AH62" s="801"/>
      <c r="AI62" s="801">
        <f>(AF62-AG62)/AG62%</f>
        <v>-3.8929440389294436</v>
      </c>
      <c r="AJ62" s="801" t="s">
        <v>835</v>
      </c>
      <c r="AK62" s="801"/>
      <c r="AL62" s="801"/>
      <c r="AM62" s="801"/>
      <c r="AN62" s="801"/>
      <c r="AO62" s="801"/>
      <c r="AP62" s="801"/>
      <c r="AQ62" s="801"/>
      <c r="AR62" s="801"/>
      <c r="AS62" s="801"/>
      <c r="AT62" s="801"/>
      <c r="AU62" s="801"/>
      <c r="AV62" s="801"/>
      <c r="BF62" s="657" t="s">
        <v>126</v>
      </c>
      <c r="BI62" s="656" t="s">
        <v>126</v>
      </c>
      <c r="BJ62" s="666"/>
      <c r="BO62" s="656" t="s">
        <v>259</v>
      </c>
      <c r="BQ62" s="678" t="s">
        <v>271</v>
      </c>
      <c r="CU62" s="663" t="str">
        <f ca="1">IF(U62="",BF62,U62)</f>
        <v>Für Deutschland 2050 werden gemäß Bevölkerungsvorausberechnung des Statistischen Bundesamtes [9.241] eine Bevölkerungszahl von 79,0 Millionen geschätzt. Das entspricht einer Bevölkerungsentwicklung gegenüber dem Jahr 2015 (82,2 Millionen) von -3,9% .</v>
      </c>
      <c r="CW62" s="663"/>
      <c r="EJ62" s="656" t="str">
        <f ca="1">IF(X62=0,"",EJ$1&amp;X62)</f>
        <v>9.241</v>
      </c>
      <c r="EK62" s="656" t="str">
        <f ca="1">EK$1&amp;X62</f>
        <v>[D_Python.xlsx]9.Quellen!C241</v>
      </c>
      <c r="EV62" s="819">
        <f t="shared" ca="1" si="3"/>
        <v>62</v>
      </c>
      <c r="EW62" s="819"/>
    </row>
    <row r="63" spans="1:153" s="478" customFormat="1" ht="4">
      <c r="A63" s="677" t="str">
        <f t="shared" ca="1" si="1"/>
        <v>D.1.63</v>
      </c>
      <c r="B63" s="677" t="str">
        <f t="shared" ca="1" si="2"/>
        <v>1.63</v>
      </c>
      <c r="C63" s="677" t="str">
        <f t="shared" si="0"/>
        <v>[63]</v>
      </c>
      <c r="D63" s="677">
        <f>ROW()</f>
        <v>63</v>
      </c>
      <c r="E63" s="548"/>
      <c r="F63" s="548"/>
      <c r="G63" s="548"/>
      <c r="H63" s="548"/>
      <c r="I63" s="549"/>
      <c r="J63" s="549"/>
      <c r="K63" s="549"/>
      <c r="L63" s="549"/>
      <c r="M63" s="549"/>
      <c r="N63" s="548"/>
      <c r="O63" s="871">
        <v>63</v>
      </c>
      <c r="P63" s="575"/>
      <c r="Q63" s="576"/>
      <c r="R63" s="888"/>
      <c r="S63" s="802"/>
      <c r="T63" s="882"/>
      <c r="U63" s="661"/>
      <c r="V63" s="661"/>
      <c r="W63" s="661"/>
      <c r="X63" s="661"/>
      <c r="Y63" s="661"/>
      <c r="Z63" s="661"/>
      <c r="AA63" s="661"/>
      <c r="AB63" s="675"/>
      <c r="AC63" s="675"/>
      <c r="AD63" s="675"/>
      <c r="AE63" s="675"/>
      <c r="AF63" s="675"/>
      <c r="AG63" s="675"/>
      <c r="AH63" s="675"/>
      <c r="AI63" s="675"/>
      <c r="AJ63" s="675"/>
      <c r="AK63" s="675"/>
      <c r="AL63" s="675"/>
      <c r="AM63" s="675"/>
      <c r="AN63" s="675"/>
      <c r="AO63" s="675"/>
      <c r="AP63" s="675"/>
      <c r="AQ63" s="675"/>
      <c r="AR63" s="675"/>
      <c r="AS63" s="675"/>
      <c r="AT63" s="675"/>
      <c r="AU63" s="675"/>
      <c r="AV63" s="675"/>
      <c r="AZ63" s="505"/>
      <c r="BB63" s="505"/>
      <c r="BI63" s="478" t="s">
        <v>126</v>
      </c>
      <c r="BJ63" s="489"/>
      <c r="BN63" s="661"/>
      <c r="CU63" s="479"/>
      <c r="CV63" s="661"/>
      <c r="CW63" s="479"/>
      <c r="DS63" s="661"/>
      <c r="EV63" s="818" t="str">
        <f t="shared" si="3"/>
        <v/>
      </c>
      <c r="EW63" s="818"/>
    </row>
    <row r="64" spans="1:153" s="475" customFormat="1" ht="13.5" customHeight="1">
      <c r="A64" s="654" t="str">
        <f t="shared" ca="1" si="1"/>
        <v>D.1.64</v>
      </c>
      <c r="B64" s="654" t="str">
        <f t="shared" ca="1" si="2"/>
        <v>1.64</v>
      </c>
      <c r="C64" s="654" t="str">
        <f t="shared" si="0"/>
        <v>[64]</v>
      </c>
      <c r="D64" s="654">
        <f>ROW()</f>
        <v>64</v>
      </c>
      <c r="E64" s="1129" t="str">
        <f>BP64</f>
        <v>Bodenfläche gesamt</v>
      </c>
      <c r="F64" s="1129"/>
      <c r="G64" s="1129"/>
      <c r="H64" s="1129"/>
      <c r="I64" s="1129"/>
      <c r="J64" s="471" t="s">
        <v>272</v>
      </c>
      <c r="K64" s="546">
        <f ca="1">INDIRECT($W$1&amp;U64)</f>
        <v>35757963</v>
      </c>
      <c r="L64" s="485" t="str">
        <f ca="1">HYPERLINK($CK$1&amp;U64,$CE$1&amp;U64&amp;$CF$1)</f>
        <v>[65]</v>
      </c>
      <c r="M64" s="547">
        <f ca="1">INDIRECT($W$1&amp;W64)</f>
        <v>35757963</v>
      </c>
      <c r="N64" s="533" t="str">
        <f ca="1">HYPERLINK($CK$1&amp;W64,$CE$1&amp;W64&amp;$CF$1)</f>
        <v>[67]</v>
      </c>
      <c r="O64" s="869">
        <v>64</v>
      </c>
      <c r="P64" s="570"/>
      <c r="Q64" s="583"/>
      <c r="R64" s="852"/>
      <c r="S64" s="784"/>
      <c r="T64" s="864"/>
      <c r="U64" s="672">
        <f>D65</f>
        <v>65</v>
      </c>
      <c r="V64" s="905" t="s">
        <v>126</v>
      </c>
      <c r="W64" s="672">
        <f>D67</f>
        <v>67</v>
      </c>
      <c r="X64" s="658"/>
      <c r="Y64" s="658"/>
      <c r="Z64" s="658"/>
      <c r="AA64" s="658"/>
      <c r="AB64" s="801"/>
      <c r="AC64" s="801"/>
      <c r="AD64" s="674"/>
      <c r="AE64" s="674"/>
      <c r="AF64" s="674"/>
      <c r="AG64" s="674"/>
      <c r="AH64" s="674"/>
      <c r="AI64" s="674"/>
      <c r="AJ64" s="674"/>
      <c r="AK64" s="674"/>
      <c r="AL64" s="674"/>
      <c r="AM64" s="674"/>
      <c r="AN64" s="674"/>
      <c r="AO64" s="674"/>
      <c r="AP64" s="674"/>
      <c r="AQ64" s="674"/>
      <c r="AR64" s="674"/>
      <c r="AS64" s="674"/>
      <c r="AT64" s="674"/>
      <c r="AU64" s="674"/>
      <c r="AV64" s="674"/>
      <c r="AX64" s="475" t="s">
        <v>244</v>
      </c>
      <c r="AY64" s="500">
        <f ca="1">DA64</f>
        <v>4761378</v>
      </c>
      <c r="AZ64" s="508" t="str">
        <f ca="1">HYPERLINK(DN64,DC64)</f>
        <v xml:space="preserve"> 18</v>
      </c>
      <c r="BA64" s="500">
        <f ca="1">DB64</f>
        <v>4761378</v>
      </c>
      <c r="BB64" s="508" t="str">
        <f ca="1">HYPERLINK(DO64,DD64)</f>
        <v xml:space="preserve"> 19</v>
      </c>
      <c r="BC64" s="475" t="str">
        <f ca="1">CY64&amp;" | "&amp;CZ64</f>
        <v xml:space="preserve">0 | 2. Gesamtfläche </v>
      </c>
      <c r="BI64" s="475" t="s">
        <v>126</v>
      </c>
      <c r="BJ64" s="492" t="str">
        <f>E64</f>
        <v>Bodenfläche gesamt</v>
      </c>
      <c r="BK64" s="486">
        <f ca="1">K64</f>
        <v>35757963</v>
      </c>
      <c r="BL64" s="486">
        <f ca="1">M64</f>
        <v>35757963</v>
      </c>
      <c r="BM64" s="472">
        <f>D64</f>
        <v>64</v>
      </c>
      <c r="BN64" s="658"/>
      <c r="BO64" s="475" t="s">
        <v>251</v>
      </c>
      <c r="BP64" s="521" t="s">
        <v>122</v>
      </c>
      <c r="CU64" s="476"/>
      <c r="CV64" s="658"/>
      <c r="CW64" s="518">
        <v>21</v>
      </c>
      <c r="CY64" s="472">
        <f t="shared" ref="CY64:DO64" ca="1" si="28">INDIRECT($CX$1&amp;CY$1&amp;$CW64)</f>
        <v>0</v>
      </c>
      <c r="CZ64" s="472" t="str">
        <f t="shared" ca="1" si="28"/>
        <v xml:space="preserve">2. Gesamtfläche </v>
      </c>
      <c r="DA64" s="472">
        <f t="shared" ca="1" si="28"/>
        <v>4761378</v>
      </c>
      <c r="DB64" s="472">
        <f t="shared" ca="1" si="28"/>
        <v>4761378</v>
      </c>
      <c r="DC64" s="472" t="str">
        <f t="shared" ca="1" si="28"/>
        <v xml:space="preserve"> 18</v>
      </c>
      <c r="DD64" s="472" t="str">
        <f t="shared" ca="1" si="28"/>
        <v xml:space="preserve"> 19</v>
      </c>
      <c r="DE64" s="472" t="str">
        <f t="shared" ca="1" si="28"/>
        <v>Ba222</v>
      </c>
      <c r="DF64" s="472" t="str">
        <f t="shared" ca="1" si="28"/>
        <v>Ba223</v>
      </c>
      <c r="DG64" s="472" t="str">
        <f t="shared" ca="1" si="28"/>
        <v>Ba</v>
      </c>
      <c r="DH64" s="472" t="str">
        <f t="shared" ca="1" si="28"/>
        <v>222</v>
      </c>
      <c r="DI64" s="472" t="str">
        <f t="shared" ca="1" si="28"/>
        <v>[Ba.xls]TEXT!Z222S5</v>
      </c>
      <c r="DJ64" s="472" t="str">
        <f t="shared" ca="1" si="28"/>
        <v>Ba</v>
      </c>
      <c r="DK64" s="472" t="str">
        <f t="shared" ca="1" si="28"/>
        <v>223</v>
      </c>
      <c r="DL64" s="472" t="str">
        <f t="shared" ca="1" si="28"/>
        <v>[Ba.xls]TEXT!Z223S5</v>
      </c>
      <c r="DM64" s="472">
        <f t="shared" ca="1" si="28"/>
        <v>21</v>
      </c>
      <c r="DN64" s="472" t="str">
        <f t="shared" ca="1" si="28"/>
        <v>[Region.xls]PARAMETER!Z18S6</v>
      </c>
      <c r="DO64" s="472" t="str">
        <f t="shared" ca="1" si="28"/>
        <v>[Region.xls]PARAMETER!Z19S6</v>
      </c>
      <c r="DP64" s="472"/>
      <c r="DS64" s="656"/>
      <c r="DV64" s="472"/>
      <c r="DW64" s="472"/>
      <c r="DX64" s="472"/>
      <c r="DY64" s="472"/>
      <c r="DZ64" s="472"/>
      <c r="EA64" s="472"/>
      <c r="EB64" s="472"/>
      <c r="EC64" s="472"/>
      <c r="ED64" s="472"/>
      <c r="EE64" s="472"/>
      <c r="EF64" s="472"/>
      <c r="EG64" s="472"/>
      <c r="EH64" s="472"/>
      <c r="EI64" s="472"/>
      <c r="EJ64" s="472"/>
      <c r="EK64" s="472"/>
      <c r="EV64" s="819">
        <f t="shared" si="3"/>
        <v>64</v>
      </c>
      <c r="EW64" s="819"/>
    </row>
    <row r="65" spans="1:153" s="472" customFormat="1" ht="26">
      <c r="A65" s="654" t="str">
        <f t="shared" ca="1" si="1"/>
        <v>D.1.65</v>
      </c>
      <c r="B65" s="654" t="str">
        <f t="shared" ca="1" si="2"/>
        <v>1.65</v>
      </c>
      <c r="C65" s="654" t="str">
        <f t="shared" si="0"/>
        <v>[65]</v>
      </c>
      <c r="D65" s="654">
        <f>ROW()</f>
        <v>65</v>
      </c>
      <c r="E65" s="1130" t="str">
        <f ca="1">CU65</f>
        <v>- STATUS-Ansatz: Gemäß GENESIS [9.232], Tabelle 33111-01-02-4, am 31.12.2016. 
(35.716.858 am 31.12.2012).</v>
      </c>
      <c r="F65" s="1130"/>
      <c r="G65" s="1130"/>
      <c r="H65" s="1130"/>
      <c r="I65" s="1130"/>
      <c r="J65" s="1130"/>
      <c r="K65" s="1130"/>
      <c r="L65" s="1130"/>
      <c r="M65" s="1130"/>
      <c r="N65" s="1131"/>
      <c r="O65" s="869">
        <v>65</v>
      </c>
      <c r="P65" s="573" t="str">
        <f ca="1">HYPERLINK(EK65,EJ65)</f>
        <v>9.232</v>
      </c>
      <c r="Q65" s="574" t="str">
        <f>Y65</f>
        <v>33111-01-02-4</v>
      </c>
      <c r="R65" s="852"/>
      <c r="S65" s="784"/>
      <c r="T65" s="864"/>
      <c r="U65" s="1023" t="str">
        <f ca="1">"Gemäß GENESIS ["&amp;P65&amp;"], Tabelle "&amp;Q65&amp;", am "&amp;AD65&amp;". 
("&amp;AG65&amp;" am "&amp;AF65&amp;")."</f>
        <v>Gemäß GENESIS [9.232], Tabelle 33111-01-02-4, am 31.12.2016. 
(35.716.858 am 31.12.2012).</v>
      </c>
      <c r="V65" s="905" t="s">
        <v>126</v>
      </c>
      <c r="W65" s="1024">
        <f>AE65</f>
        <v>35757963</v>
      </c>
      <c r="X65" s="672">
        <f>'9.Quellen'!C232</f>
        <v>232</v>
      </c>
      <c r="Y65" s="672" t="s">
        <v>933</v>
      </c>
      <c r="Z65" s="1025"/>
      <c r="AA65" s="658"/>
      <c r="AB65" s="801"/>
      <c r="AC65" s="801"/>
      <c r="AD65" s="840" t="s">
        <v>934</v>
      </c>
      <c r="AE65" s="520">
        <v>35757963</v>
      </c>
      <c r="AF65" s="840" t="s">
        <v>935</v>
      </c>
      <c r="AG65" s="651" t="s">
        <v>936</v>
      </c>
      <c r="AH65" s="801"/>
      <c r="AI65" s="801"/>
      <c r="AJ65" s="801"/>
      <c r="AK65" s="801"/>
      <c r="AL65" s="801"/>
      <c r="AM65" s="801"/>
      <c r="AN65" s="801"/>
      <c r="AO65" s="801"/>
      <c r="AP65" s="801"/>
      <c r="AQ65" s="801"/>
      <c r="AR65" s="801"/>
      <c r="AS65" s="801"/>
      <c r="AT65" s="801"/>
      <c r="AU65" s="801"/>
      <c r="AV65" s="801"/>
      <c r="BF65" s="473"/>
      <c r="BI65" s="472" t="s">
        <v>126</v>
      </c>
      <c r="BJ65" s="490"/>
      <c r="BN65" s="656"/>
      <c r="BO65" s="472" t="s">
        <v>259</v>
      </c>
      <c r="CU65" s="480" t="str">
        <f ca="1">CG$1&amp;IF(U65="",BF65,U65)</f>
        <v>- STATUS-Ansatz: Gemäß GENESIS [9.232], Tabelle 33111-01-02-4, am 31.12.2016. 
(35.716.858 am 31.12.2012).</v>
      </c>
      <c r="CV65" s="656"/>
      <c r="CW65" s="480"/>
      <c r="DS65" s="656"/>
      <c r="EJ65" s="472" t="str">
        <f ca="1">IF(X65=0,"",EJ$1&amp;X65)</f>
        <v>9.232</v>
      </c>
      <c r="EK65" s="472" t="str">
        <f ca="1">EK$1&amp;X65</f>
        <v>[D_Python.xlsx]9.Quellen!C232</v>
      </c>
      <c r="EV65" s="819">
        <f t="shared" ca="1" si="3"/>
        <v>65</v>
      </c>
      <c r="EW65" s="819"/>
    </row>
    <row r="66" spans="1:153" s="661" customFormat="1" ht="4">
      <c r="A66" s="677" t="str">
        <f t="shared" ca="1" si="1"/>
        <v>D.1.66</v>
      </c>
      <c r="B66" s="677" t="str">
        <f t="shared" ca="1" si="2"/>
        <v>1.66</v>
      </c>
      <c r="C66" s="677" t="str">
        <f t="shared" ref="C66" si="29">CE$1&amp;D66&amp;CF$1</f>
        <v>[66]</v>
      </c>
      <c r="D66" s="677">
        <f>ROW()</f>
        <v>66</v>
      </c>
      <c r="E66" s="680"/>
      <c r="F66" s="680"/>
      <c r="G66" s="680"/>
      <c r="H66" s="680"/>
      <c r="I66" s="679"/>
      <c r="J66" s="679"/>
      <c r="K66" s="679"/>
      <c r="L66" s="679"/>
      <c r="M66" s="679"/>
      <c r="N66" s="680"/>
      <c r="O66" s="871">
        <v>66</v>
      </c>
      <c r="P66" s="688"/>
      <c r="Q66" s="689"/>
      <c r="R66" s="888"/>
      <c r="S66" s="802"/>
      <c r="T66" s="882"/>
      <c r="AB66" s="675"/>
      <c r="AC66" s="675"/>
      <c r="AD66" s="675"/>
      <c r="AE66" s="675"/>
      <c r="AF66" s="675"/>
      <c r="AG66" s="675"/>
      <c r="AH66" s="675"/>
      <c r="AI66" s="675"/>
      <c r="AJ66" s="675"/>
      <c r="AK66" s="675"/>
      <c r="AL66" s="675"/>
      <c r="AM66" s="675"/>
      <c r="AN66" s="675"/>
      <c r="AO66" s="675"/>
      <c r="AP66" s="675"/>
      <c r="AQ66" s="675"/>
      <c r="AR66" s="675"/>
      <c r="AS66" s="675"/>
      <c r="AT66" s="675"/>
      <c r="AU66" s="675"/>
      <c r="AV66" s="675"/>
      <c r="BI66" s="661" t="s">
        <v>126</v>
      </c>
      <c r="BJ66" s="665"/>
      <c r="CU66" s="662"/>
      <c r="CW66" s="662"/>
      <c r="EV66" s="818" t="str">
        <f t="shared" si="3"/>
        <v/>
      </c>
      <c r="EW66" s="818"/>
    </row>
    <row r="67" spans="1:153" s="472" customFormat="1" ht="26">
      <c r="A67" s="654" t="str">
        <f t="shared" ca="1" si="1"/>
        <v>D.1.67</v>
      </c>
      <c r="B67" s="654" t="str">
        <f t="shared" ca="1" si="2"/>
        <v>1.67</v>
      </c>
      <c r="C67" s="654" t="str">
        <f t="shared" si="0"/>
        <v>[67]</v>
      </c>
      <c r="D67" s="654">
        <f>ROW()</f>
        <v>67</v>
      </c>
      <c r="E67" s="1125" t="str">
        <f t="shared" ref="E67" si="30">CU67</f>
        <v>- ZIEL-Ansatz: Die Bodenfläche der Region bildet einen zentralen Bezugsrahmen, aus methodischen Gründen ist die Ziel-Fläche identisch mit der Status-Fläche.</v>
      </c>
      <c r="F67" s="1125"/>
      <c r="G67" s="1125"/>
      <c r="H67" s="1125"/>
      <c r="I67" s="1125"/>
      <c r="J67" s="1125"/>
      <c r="K67" s="1125"/>
      <c r="L67" s="1125"/>
      <c r="M67" s="1125"/>
      <c r="N67" s="1132"/>
      <c r="O67" s="869">
        <v>67</v>
      </c>
      <c r="P67" s="573" t="str">
        <f ca="1">HYPERLINK(EK67,EJ67)</f>
        <v/>
      </c>
      <c r="Q67" s="574" t="str">
        <f>Y67</f>
        <v xml:space="preserve"> </v>
      </c>
      <c r="R67" s="852"/>
      <c r="S67" s="784"/>
      <c r="T67" s="864"/>
      <c r="U67" s="1023" t="s">
        <v>273</v>
      </c>
      <c r="V67" s="905" t="s">
        <v>126</v>
      </c>
      <c r="W67" s="1077">
        <f>W65</f>
        <v>35757963</v>
      </c>
      <c r="X67" s="672"/>
      <c r="Y67" s="672" t="s">
        <v>126</v>
      </c>
      <c r="Z67" s="1025"/>
      <c r="AA67" s="905"/>
      <c r="AB67" s="801"/>
      <c r="AC67" s="801"/>
      <c r="AD67" s="801"/>
      <c r="AE67" s="801"/>
      <c r="AF67" s="801"/>
      <c r="AG67" s="801"/>
      <c r="AH67" s="801"/>
      <c r="AI67" s="801"/>
      <c r="AJ67" s="801"/>
      <c r="AK67" s="801"/>
      <c r="AL67" s="801"/>
      <c r="AM67" s="801"/>
      <c r="AN67" s="801"/>
      <c r="AO67" s="801"/>
      <c r="AP67" s="801"/>
      <c r="AQ67" s="801"/>
      <c r="AR67" s="801"/>
      <c r="AS67" s="801"/>
      <c r="AT67" s="801"/>
      <c r="AU67" s="801"/>
      <c r="AV67" s="801"/>
      <c r="BF67" s="473"/>
      <c r="BI67" s="472" t="s">
        <v>126</v>
      </c>
      <c r="BJ67" s="490"/>
      <c r="BN67" s="656"/>
      <c r="BO67" s="472" t="s">
        <v>259</v>
      </c>
      <c r="CU67" s="480" t="str">
        <f>CH$1&amp;IF(U67="",BF67,U67)</f>
        <v>- ZIEL-Ansatz: Die Bodenfläche der Region bildet einen zentralen Bezugsrahmen, aus methodischen Gründen ist die Ziel-Fläche identisch mit der Status-Fläche.</v>
      </c>
      <c r="CV67" s="656"/>
      <c r="CW67" s="480"/>
      <c r="DS67" s="656"/>
      <c r="EJ67" s="472" t="str">
        <f>IF(X67=0,"",EJ$1&amp;X67)</f>
        <v/>
      </c>
      <c r="EK67" s="472" t="str">
        <f ca="1">EK$1&amp;X67</f>
        <v>[D_Python.xlsx]9.Quellen!C</v>
      </c>
      <c r="EV67" s="819">
        <f t="shared" si="3"/>
        <v>67</v>
      </c>
      <c r="EW67" s="819"/>
    </row>
    <row r="68" spans="1:153" s="478" customFormat="1" ht="4">
      <c r="A68" s="677" t="str">
        <f t="shared" ca="1" si="1"/>
        <v>D.1.68</v>
      </c>
      <c r="B68" s="677" t="str">
        <f t="shared" ca="1" si="2"/>
        <v>1.68</v>
      </c>
      <c r="C68" s="677" t="str">
        <f t="shared" si="0"/>
        <v>[68]</v>
      </c>
      <c r="D68" s="677">
        <f>ROW()</f>
        <v>68</v>
      </c>
      <c r="E68" s="548"/>
      <c r="F68" s="548"/>
      <c r="G68" s="548"/>
      <c r="H68" s="548"/>
      <c r="I68" s="549"/>
      <c r="J68" s="549"/>
      <c r="K68" s="549"/>
      <c r="L68" s="549"/>
      <c r="M68" s="549"/>
      <c r="N68" s="548"/>
      <c r="O68" s="871">
        <v>68</v>
      </c>
      <c r="P68" s="575"/>
      <c r="Q68" s="576"/>
      <c r="R68" s="888"/>
      <c r="S68" s="802"/>
      <c r="T68" s="882"/>
      <c r="U68" s="661"/>
      <c r="V68" s="661"/>
      <c r="W68" s="661"/>
      <c r="X68" s="661"/>
      <c r="Y68" s="661"/>
      <c r="Z68" s="661"/>
      <c r="AA68" s="661"/>
      <c r="AB68" s="675"/>
      <c r="AC68" s="675"/>
      <c r="AD68" s="675"/>
      <c r="AE68" s="675"/>
      <c r="AF68" s="675"/>
      <c r="AG68" s="675"/>
      <c r="AH68" s="675"/>
      <c r="AI68" s="675"/>
      <c r="AJ68" s="675"/>
      <c r="AK68" s="675"/>
      <c r="AL68" s="675"/>
      <c r="AM68" s="675"/>
      <c r="AN68" s="675"/>
      <c r="AO68" s="675"/>
      <c r="AP68" s="675"/>
      <c r="AQ68" s="675"/>
      <c r="AR68" s="675"/>
      <c r="AS68" s="675"/>
      <c r="AT68" s="675"/>
      <c r="AU68" s="675"/>
      <c r="AV68" s="675"/>
      <c r="AZ68" s="505"/>
      <c r="BB68" s="505"/>
      <c r="BI68" s="478" t="s">
        <v>126</v>
      </c>
      <c r="BJ68" s="489"/>
      <c r="BN68" s="661"/>
      <c r="CU68" s="479"/>
      <c r="CV68" s="661"/>
      <c r="CW68" s="479"/>
      <c r="DS68" s="661"/>
      <c r="EV68" s="818" t="str">
        <f t="shared" si="3"/>
        <v/>
      </c>
      <c r="EW68" s="818"/>
    </row>
    <row r="69" spans="1:153" s="475" customFormat="1" ht="13.5" customHeight="1">
      <c r="A69" s="654" t="str">
        <f t="shared" ca="1" si="1"/>
        <v>D.1.69</v>
      </c>
      <c r="B69" s="654" t="str">
        <f t="shared" ca="1" si="2"/>
        <v>1.69</v>
      </c>
      <c r="C69" s="654" t="str">
        <f t="shared" si="0"/>
        <v>[69]</v>
      </c>
      <c r="D69" s="654">
        <f>ROW()</f>
        <v>69</v>
      </c>
      <c r="E69" s="1129" t="str">
        <f>BP69</f>
        <v>Siedlung (Gebäude- &amp; Freifläche)</v>
      </c>
      <c r="F69" s="1129"/>
      <c r="G69" s="1129"/>
      <c r="H69" s="1129"/>
      <c r="I69" s="1129"/>
      <c r="J69" s="471" t="s">
        <v>272</v>
      </c>
      <c r="K69" s="546">
        <f ca="1">INDIRECT($W$1&amp;U69)</f>
        <v>3277007</v>
      </c>
      <c r="L69" s="485" t="str">
        <f ca="1">HYPERLINK($CK$1&amp;U69,$CE$1&amp;U69&amp;$CF$1)</f>
        <v>[70]</v>
      </c>
      <c r="M69" s="547">
        <f ca="1">INDIRECT($W$1&amp;W69)</f>
        <v>3804484.3130181693</v>
      </c>
      <c r="N69" s="533" t="str">
        <f ca="1">HYPERLINK($CK$1&amp;W69,$CE$1&amp;W69&amp;$CF$1)</f>
        <v>[72]</v>
      </c>
      <c r="O69" s="869">
        <v>69</v>
      </c>
      <c r="P69" s="570"/>
      <c r="Q69" s="583"/>
      <c r="R69" s="852"/>
      <c r="S69" s="784"/>
      <c r="T69" s="864"/>
      <c r="U69" s="672">
        <f>D70</f>
        <v>70</v>
      </c>
      <c r="V69" s="905" t="s">
        <v>126</v>
      </c>
      <c r="W69" s="672">
        <f>D72</f>
        <v>72</v>
      </c>
      <c r="X69" s="658"/>
      <c r="Y69" s="658"/>
      <c r="Z69" s="658"/>
      <c r="AA69" s="658"/>
      <c r="AB69" s="801"/>
      <c r="AC69" s="801"/>
      <c r="AD69" s="674"/>
      <c r="AE69" s="674"/>
      <c r="AF69" s="674"/>
      <c r="AG69" s="674"/>
      <c r="AH69" s="674"/>
      <c r="AI69" s="674"/>
      <c r="AJ69" s="674"/>
      <c r="AK69" s="674"/>
      <c r="AL69" s="674"/>
      <c r="AM69" s="674"/>
      <c r="AN69" s="674"/>
      <c r="AO69" s="674"/>
      <c r="AP69" s="674"/>
      <c r="AQ69" s="674"/>
      <c r="AR69" s="674"/>
      <c r="AS69" s="674"/>
      <c r="AT69" s="674"/>
      <c r="AU69" s="674"/>
      <c r="AV69" s="674"/>
      <c r="AX69" s="475" t="s">
        <v>244</v>
      </c>
      <c r="AY69" s="500">
        <f ca="1">DA69</f>
        <v>351478</v>
      </c>
      <c r="AZ69" s="508" t="str">
        <f ca="1">HYPERLINK(DN69,DC69)</f>
        <v xml:space="preserve"> 22</v>
      </c>
      <c r="BA69" s="500">
        <f ca="1">DB69</f>
        <v>351478</v>
      </c>
      <c r="BB69" s="508" t="str">
        <f ca="1">HYPERLINK(DO69,DD69)</f>
        <v xml:space="preserve"> 23</v>
      </c>
      <c r="BC69" s="475" t="str">
        <f ca="1">CY69&amp;" | "&amp;CZ69</f>
        <v>Gebäude-&amp;
Freiflächen | 2.1 Gebäude- und Freiflächen</v>
      </c>
      <c r="BI69" s="475" t="s">
        <v>126</v>
      </c>
      <c r="BJ69" s="492" t="str">
        <f>E69</f>
        <v>Siedlung (Gebäude- &amp; Freifläche)</v>
      </c>
      <c r="BK69" s="486">
        <f ca="1">K69</f>
        <v>3277007</v>
      </c>
      <c r="BL69" s="486">
        <f ca="1">M69</f>
        <v>3804484.3130181693</v>
      </c>
      <c r="BM69" s="472">
        <f>D69</f>
        <v>69</v>
      </c>
      <c r="BN69" s="658"/>
      <c r="BO69" s="475" t="s">
        <v>251</v>
      </c>
      <c r="BP69" s="521" t="s">
        <v>938</v>
      </c>
      <c r="CU69" s="476"/>
      <c r="CV69" s="658"/>
      <c r="CW69" s="518">
        <v>22</v>
      </c>
      <c r="CY69" s="472" t="str">
        <f t="shared" ref="CY69:DO69" ca="1" si="31">INDIRECT($CX$1&amp;CY$1&amp;$CW69)</f>
        <v>Gebäude-&amp;
Freiflächen</v>
      </c>
      <c r="CZ69" s="472" t="str">
        <f t="shared" ca="1" si="31"/>
        <v>2.1 Gebäude- und Freiflächen</v>
      </c>
      <c r="DA69" s="472">
        <f t="shared" ca="1" si="31"/>
        <v>351478</v>
      </c>
      <c r="DB69" s="472">
        <f t="shared" ca="1" si="31"/>
        <v>351478</v>
      </c>
      <c r="DC69" s="472" t="str">
        <f t="shared" ca="1" si="31"/>
        <v xml:space="preserve"> 22</v>
      </c>
      <c r="DD69" s="472" t="str">
        <f t="shared" ca="1" si="31"/>
        <v xml:space="preserve"> 23</v>
      </c>
      <c r="DE69" s="472" t="str">
        <f t="shared" ca="1" si="31"/>
        <v>Ba228</v>
      </c>
      <c r="DF69" s="472" t="str">
        <f t="shared" ca="1" si="31"/>
        <v>Ba230</v>
      </c>
      <c r="DG69" s="472" t="str">
        <f t="shared" ca="1" si="31"/>
        <v>Ba</v>
      </c>
      <c r="DH69" s="472" t="str">
        <f t="shared" ca="1" si="31"/>
        <v>228</v>
      </c>
      <c r="DI69" s="472" t="str">
        <f t="shared" ca="1" si="31"/>
        <v>[Ba.xls]TEXT!Z228S5</v>
      </c>
      <c r="DJ69" s="472" t="str">
        <f t="shared" ca="1" si="31"/>
        <v>Ba</v>
      </c>
      <c r="DK69" s="472" t="str">
        <f t="shared" ca="1" si="31"/>
        <v>230</v>
      </c>
      <c r="DL69" s="472" t="str">
        <f t="shared" ca="1" si="31"/>
        <v>[Ba.xls]TEXT!Z230S5</v>
      </c>
      <c r="DM69" s="472">
        <f t="shared" ca="1" si="31"/>
        <v>22</v>
      </c>
      <c r="DN69" s="472" t="str">
        <f t="shared" ca="1" si="31"/>
        <v>[Region.xls]PARAMETER!Z22S6</v>
      </c>
      <c r="DO69" s="472" t="str">
        <f t="shared" ca="1" si="31"/>
        <v>[Region.xls]PARAMETER!Z23S6</v>
      </c>
      <c r="DP69" s="472"/>
      <c r="DS69" s="656"/>
      <c r="DV69" s="472"/>
      <c r="DW69" s="472"/>
      <c r="DX69" s="472"/>
      <c r="DY69" s="472"/>
      <c r="DZ69" s="472"/>
      <c r="EA69" s="472"/>
      <c r="EB69" s="472"/>
      <c r="EC69" s="472"/>
      <c r="ED69" s="472"/>
      <c r="EE69" s="472"/>
      <c r="EF69" s="472"/>
      <c r="EG69" s="472"/>
      <c r="EH69" s="472"/>
      <c r="EI69" s="472"/>
      <c r="EJ69" s="472"/>
      <c r="EK69" s="472"/>
      <c r="EV69" s="819">
        <f t="shared" si="3"/>
        <v>69</v>
      </c>
      <c r="EW69" s="819"/>
    </row>
    <row r="70" spans="1:153" s="472" customFormat="1" ht="26">
      <c r="A70" s="654" t="str">
        <f t="shared" ref="A70:A138" ca="1" si="32">BT$1&amp;D70</f>
        <v>D.1.70</v>
      </c>
      <c r="B70" s="654" t="str">
        <f t="shared" ref="B70:B138" ca="1" si="33">BW$1&amp;D70</f>
        <v>1.70</v>
      </c>
      <c r="C70" s="654" t="str">
        <f t="shared" si="0"/>
        <v>[70]</v>
      </c>
      <c r="D70" s="654">
        <f>ROW()</f>
        <v>70</v>
      </c>
      <c r="E70" s="1130" t="str">
        <f ca="1">CU70</f>
        <v>- STATUS-Ansatz: Gemäß GENESIS [9.232], Tabelle 33111-01-02-4, am 31.12.2016. 
(2.486.929 am 31.12.2012 vor der Umstellung auf das Amtliche Liegenschaftskataster-Informationssystem (ALKIS)).</v>
      </c>
      <c r="F70" s="1130"/>
      <c r="G70" s="1130"/>
      <c r="H70" s="1130"/>
      <c r="I70" s="1130"/>
      <c r="J70" s="1130"/>
      <c r="K70" s="1130"/>
      <c r="L70" s="1130"/>
      <c r="M70" s="1130"/>
      <c r="N70" s="1131"/>
      <c r="O70" s="869">
        <v>70</v>
      </c>
      <c r="P70" s="573" t="str">
        <f ca="1">HYPERLINK(EK70,EJ70)</f>
        <v>9.232</v>
      </c>
      <c r="Q70" s="574" t="str">
        <f>Y70</f>
        <v>33111-01-02-4</v>
      </c>
      <c r="R70" s="852"/>
      <c r="S70" s="784"/>
      <c r="T70" s="864"/>
      <c r="U70" s="1023" t="str">
        <f ca="1">"Gemäß GENESIS ["&amp;P70&amp;"], Tabelle "&amp;Q70&amp;", am "&amp;AD70&amp;". 
("&amp;AG70&amp;" am "&amp;AF70&amp;" vor der Umstellung auf das Amtliche Liegenschaftskataster-Informationssystem (ALKIS))."</f>
        <v>Gemäß GENESIS [9.232], Tabelle 33111-01-02-4, am 31.12.2016. 
(2.486.929 am 31.12.2012 vor der Umstellung auf das Amtliche Liegenschaftskataster-Informationssystem (ALKIS)).</v>
      </c>
      <c r="V70" s="905" t="s">
        <v>126</v>
      </c>
      <c r="W70" s="1024">
        <f>AE70</f>
        <v>3277007</v>
      </c>
      <c r="X70" s="672">
        <f>'9.Quellen'!C232</f>
        <v>232</v>
      </c>
      <c r="Y70" s="672" t="s">
        <v>933</v>
      </c>
      <c r="Z70" s="1025"/>
      <c r="AA70" s="658"/>
      <c r="AB70" s="801"/>
      <c r="AC70" s="801"/>
      <c r="AD70" s="840" t="s">
        <v>934</v>
      </c>
      <c r="AE70" s="520">
        <v>3277007</v>
      </c>
      <c r="AF70" s="840" t="s">
        <v>935</v>
      </c>
      <c r="AG70" s="1078" t="s">
        <v>937</v>
      </c>
      <c r="AH70" s="801"/>
      <c r="AI70" s="801"/>
      <c r="AJ70" s="801"/>
      <c r="AK70" s="801"/>
      <c r="AL70" s="801"/>
      <c r="AM70" s="801"/>
      <c r="AN70" s="801"/>
      <c r="AO70" s="801"/>
      <c r="AP70" s="801"/>
      <c r="AQ70" s="801"/>
      <c r="AR70" s="801"/>
      <c r="AS70" s="801"/>
      <c r="AT70" s="801"/>
      <c r="AU70" s="801"/>
      <c r="AV70" s="801"/>
      <c r="BI70" s="472" t="s">
        <v>126</v>
      </c>
      <c r="BJ70" s="490"/>
      <c r="BN70" s="656"/>
      <c r="BO70" s="472" t="s">
        <v>259</v>
      </c>
      <c r="CU70" s="480" t="str">
        <f ca="1">CG$1&amp;IF(U70="",BF70,U70)</f>
        <v>- STATUS-Ansatz: Gemäß GENESIS [9.232], Tabelle 33111-01-02-4, am 31.12.2016. 
(2.486.929 am 31.12.2012 vor der Umstellung auf das Amtliche Liegenschaftskataster-Informationssystem (ALKIS)).</v>
      </c>
      <c r="CV70" s="656"/>
      <c r="CW70" s="480"/>
      <c r="DS70" s="656"/>
      <c r="EJ70" s="472" t="str">
        <f ca="1">IF(X70=0,"",EJ$1&amp;X70)</f>
        <v>9.232</v>
      </c>
      <c r="EK70" s="472" t="str">
        <f ca="1">EK$1&amp;X70</f>
        <v>[D_Python.xlsx]9.Quellen!C232</v>
      </c>
      <c r="EV70" s="819">
        <f t="shared" ref="EV70:EV138" ca="1" si="34">IF(U70&amp;BP70="","",D70)</f>
        <v>70</v>
      </c>
      <c r="EW70" s="819"/>
    </row>
    <row r="71" spans="1:153" s="661" customFormat="1" ht="4">
      <c r="A71" s="677" t="str">
        <f t="shared" ca="1" si="32"/>
        <v>D.1.71</v>
      </c>
      <c r="B71" s="677" t="str">
        <f t="shared" ca="1" si="33"/>
        <v>1.71</v>
      </c>
      <c r="C71" s="677" t="str">
        <f t="shared" si="0"/>
        <v>[71]</v>
      </c>
      <c r="D71" s="677">
        <f>ROW()</f>
        <v>71</v>
      </c>
      <c r="E71" s="680"/>
      <c r="F71" s="680"/>
      <c r="G71" s="680"/>
      <c r="H71" s="680"/>
      <c r="I71" s="679"/>
      <c r="J71" s="679"/>
      <c r="K71" s="679"/>
      <c r="L71" s="679"/>
      <c r="M71" s="679"/>
      <c r="N71" s="680"/>
      <c r="O71" s="871">
        <v>71</v>
      </c>
      <c r="P71" s="688"/>
      <c r="Q71" s="689"/>
      <c r="R71" s="888"/>
      <c r="S71" s="802"/>
      <c r="T71" s="882"/>
      <c r="AB71" s="675"/>
      <c r="AC71" s="675"/>
      <c r="AD71" s="675"/>
      <c r="AE71" s="675"/>
      <c r="AF71" s="675"/>
      <c r="AG71" s="675"/>
      <c r="AH71" s="675"/>
      <c r="AI71" s="675"/>
      <c r="AJ71" s="675"/>
      <c r="AK71" s="675"/>
      <c r="AL71" s="675"/>
      <c r="AM71" s="675"/>
      <c r="AN71" s="675"/>
      <c r="AO71" s="675"/>
      <c r="AP71" s="675"/>
      <c r="AQ71" s="675"/>
      <c r="AR71" s="675"/>
      <c r="AS71" s="675"/>
      <c r="AT71" s="675"/>
      <c r="AU71" s="675"/>
      <c r="AV71" s="675"/>
      <c r="BI71" s="661" t="s">
        <v>126</v>
      </c>
      <c r="BJ71" s="665"/>
      <c r="CU71" s="662"/>
      <c r="CW71" s="662"/>
      <c r="EV71" s="818" t="str">
        <f t="shared" si="34"/>
        <v/>
      </c>
      <c r="EW71" s="818"/>
    </row>
    <row r="72" spans="1:153" s="472" customFormat="1" ht="52">
      <c r="A72" s="654" t="str">
        <f t="shared" ca="1" si="32"/>
        <v>D.1.72</v>
      </c>
      <c r="B72" s="654" t="str">
        <f t="shared" ca="1" si="33"/>
        <v>1.72</v>
      </c>
      <c r="C72" s="654" t="str">
        <f t="shared" si="0"/>
        <v>[72]</v>
      </c>
      <c r="D72" s="654">
        <f>ROW()</f>
        <v>72</v>
      </c>
      <c r="E72" s="1125" t="str">
        <f t="shared" ref="E72:E73" ca="1" si="35">CU72</f>
        <v xml:space="preserve">- ZIEL-Ansatz: Da der Flächenverbrauch für Siedlungszwecke vor allem zu Lasten der landwirtschaftlichen Flächen geht, kommt der Reduzierung des Flächenverbrauchs große Bedeutung zu (s. [9.190] S. 3. Der getroffene Ansatz für die Flächenzunahme resultiert daher aus der Übertragung einer optimistischen Annahme für Niedersachsen gemäß [73] auf Deutschland, von der die bisherige Praxis noch weit entfernt ist. </v>
      </c>
      <c r="F72" s="1125"/>
      <c r="G72" s="1125"/>
      <c r="H72" s="1125"/>
      <c r="I72" s="1125"/>
      <c r="J72" s="1125"/>
      <c r="K72" s="1125"/>
      <c r="L72" s="1125"/>
      <c r="M72" s="1125"/>
      <c r="N72" s="1132"/>
      <c r="O72" s="869">
        <v>72</v>
      </c>
      <c r="P72" s="573" t="str">
        <f ca="1">HYPERLINK(EK72,EJ72)</f>
        <v>9.190</v>
      </c>
      <c r="Q72" s="574" t="str">
        <f>Y72</f>
        <v>S. 3</v>
      </c>
      <c r="R72" s="852"/>
      <c r="S72" s="784"/>
      <c r="T72" s="864"/>
      <c r="U72" s="1023" t="str">
        <f ca="1">"Da der Flächenverbrauch für Siedlungszwecke vor allem zu Lasten der landwirtschaftlichen Flächen geht, kommt der Reduzierung des Flächenverbrauchs große Bedeutung zu (s. ["&amp;P72&amp;"] "&amp;Q72&amp;". Der getroffene Ansatz für die Flächenzunahme resultiert daher aus der Übertragung einer optimistischen Annahme für Niedersachsen gemäß "&amp;C73&amp;" auf Deutschland, von der die bisherige Praxis noch weit entfernt ist. "</f>
        <v xml:space="preserve">Da der Flächenverbrauch für Siedlungszwecke vor allem zu Lasten der landwirtschaftlichen Flächen geht, kommt der Reduzierung des Flächenverbrauchs große Bedeutung zu (s. [9.190] S. 3. Der getroffene Ansatz für die Flächenzunahme resultiert daher aus der Übertragung einer optimistischen Annahme für Niedersachsen gemäß [73] auf Deutschland, von der die bisherige Praxis noch weit entfernt ist. </v>
      </c>
      <c r="V72" s="905" t="s">
        <v>126</v>
      </c>
      <c r="W72" s="1024">
        <f>AH72</f>
        <v>3804484.3130181693</v>
      </c>
      <c r="X72" s="672">
        <f>'9.Quellen'!C190</f>
        <v>190</v>
      </c>
      <c r="Y72" s="672" t="s">
        <v>337</v>
      </c>
      <c r="Z72" s="1025"/>
      <c r="AA72" s="905"/>
      <c r="AB72" s="801"/>
      <c r="AC72" s="801"/>
      <c r="AD72" s="687">
        <f>W70</f>
        <v>3277007</v>
      </c>
      <c r="AE72" s="801" t="s">
        <v>712</v>
      </c>
      <c r="AF72" s="801">
        <f>AU73</f>
        <v>16.096313282765919</v>
      </c>
      <c r="AG72" s="801" t="s">
        <v>38</v>
      </c>
      <c r="AH72" s="687">
        <f>AD72*(1+AF72%)</f>
        <v>3804484.3130181693</v>
      </c>
      <c r="AI72" s="801" t="s">
        <v>382</v>
      </c>
      <c r="AJ72" s="687">
        <f>AH72-AD72</f>
        <v>527477.31301816925</v>
      </c>
      <c r="AK72" s="801" t="s">
        <v>289</v>
      </c>
      <c r="AL72" s="801"/>
      <c r="AM72" s="801"/>
      <c r="AN72" s="801"/>
      <c r="AO72" s="801"/>
      <c r="AP72" s="801"/>
      <c r="AQ72" s="801"/>
      <c r="AR72" s="801"/>
      <c r="AS72" s="801"/>
      <c r="AT72" s="801"/>
      <c r="AU72" s="801"/>
      <c r="AV72" s="801"/>
      <c r="BI72" s="472" t="s">
        <v>126</v>
      </c>
      <c r="BJ72" s="490"/>
      <c r="BN72" s="656"/>
      <c r="BO72" s="472" t="s">
        <v>259</v>
      </c>
      <c r="CU72" s="480" t="str">
        <f ca="1">CH$1&amp;IF(U72="",BF72,U72)</f>
        <v xml:space="preserve">- ZIEL-Ansatz: Da der Flächenverbrauch für Siedlungszwecke vor allem zu Lasten der landwirtschaftlichen Flächen geht, kommt der Reduzierung des Flächenverbrauchs große Bedeutung zu (s. [9.190] S. 3. Der getroffene Ansatz für die Flächenzunahme resultiert daher aus der Übertragung einer optimistischen Annahme für Niedersachsen gemäß [73] auf Deutschland, von der die bisherige Praxis noch weit entfernt ist. </v>
      </c>
      <c r="CV72" s="656"/>
      <c r="CW72" s="480"/>
      <c r="DS72" s="656"/>
      <c r="EJ72" s="472" t="str">
        <f ca="1">IF(X72=0,"",EJ$1&amp;X72)</f>
        <v>9.190</v>
      </c>
      <c r="EK72" s="472" t="str">
        <f ca="1">EK$1&amp;X72</f>
        <v>[D_Python.xlsx]9.Quellen!C190</v>
      </c>
      <c r="EV72" s="819">
        <f t="shared" ca="1" si="34"/>
        <v>72</v>
      </c>
      <c r="EW72" s="819"/>
    </row>
    <row r="73" spans="1:153" s="656" customFormat="1" ht="52">
      <c r="A73" s="654" t="str">
        <f t="shared" ca="1" si="32"/>
        <v>D.1.73</v>
      </c>
      <c r="B73" s="654" t="str">
        <f t="shared" ca="1" si="33"/>
        <v>1.73</v>
      </c>
      <c r="C73" s="654" t="str">
        <f t="shared" ref="C73" si="36">CE$1&amp;D73&amp;CF$1</f>
        <v>[73]</v>
      </c>
      <c r="D73" s="654">
        <f>ROW()</f>
        <v>73</v>
      </c>
      <c r="E73" s="1125" t="str">
        <f t="shared" ca="1" si="35"/>
        <v xml:space="preserve">Um 56.575 ha  entsprechend 16% würden die Gebäude- und Freiflächen Niedersachsens bis zum Jahr 2050 wachsen unter der Annahme, dass der Flächenverbrauch gemäß der Projektion der Nds. Kommission Flächenverbrauch und Bodenschutz [9.190], Abb. 2, S. 5 von 10 ha pro Tag 2010 zunächst bis 2020 auf 3 ha/d  zurückgeführt und dann auf diesem Wert gehalten werden könnte. </v>
      </c>
      <c r="F73" s="1125"/>
      <c r="G73" s="1125"/>
      <c r="H73" s="1125"/>
      <c r="I73" s="1125"/>
      <c r="J73" s="1125"/>
      <c r="K73" s="1125"/>
      <c r="L73" s="1125"/>
      <c r="M73" s="1125"/>
      <c r="N73" s="1132"/>
      <c r="O73" s="869">
        <v>73</v>
      </c>
      <c r="P73" s="691" t="str">
        <f ca="1">HYPERLINK(EK73,EJ73)</f>
        <v>9.190</v>
      </c>
      <c r="Q73" s="692" t="str">
        <f>Y73</f>
        <v>Abb. 2, S. 5</v>
      </c>
      <c r="R73" s="852"/>
      <c r="S73" s="784"/>
      <c r="T73" s="864"/>
      <c r="U73" s="1033" t="str">
        <f ca="1">"Um "&amp;TEXT(AQ73,"0.000")&amp;AR73&amp;" entsprechend "&amp;TEXT(AU73,"0")&amp;"% würden die Gebäude- und Freiflächen Niedersachsens bis zum Jahr "&amp;AJ73&amp;" wachsen unter der Annahme, dass der Flächenverbrauch gemäß der Projektion der Nds. Kommission Flächenverbrauch und Bodenschutz ["&amp;P73&amp;"], "&amp;Q73&amp;" von "&amp;AD73&amp;AE73&amp;AF73&amp;" zunächst bis "&amp;AI73&amp;" auf "&amp;AG73&amp;AH73&amp;" zurückgeführt und dann auf diesem Wert gehalten werden könnte. "</f>
        <v xml:space="preserve">Um 56.575 ha  entsprechend 16% würden die Gebäude- und Freiflächen Niedersachsens bis zum Jahr 2050 wachsen unter der Annahme, dass der Flächenverbrauch gemäß der Projektion der Nds. Kommission Flächenverbrauch und Bodenschutz [9.190], Abb. 2, S. 5 von 10 ha pro Tag 2010 zunächst bis 2020 auf 3 ha/d  zurückgeführt und dann auf diesem Wert gehalten werden könnte. </v>
      </c>
      <c r="V73" s="905" t="s">
        <v>126</v>
      </c>
      <c r="W73" s="757"/>
      <c r="X73" s="672">
        <f>'9.Quellen'!C190</f>
        <v>190</v>
      </c>
      <c r="Y73" s="672" t="s">
        <v>730</v>
      </c>
      <c r="Z73" s="1025"/>
      <c r="AA73" s="905"/>
      <c r="AB73" s="801"/>
      <c r="AC73" s="801"/>
      <c r="AD73" s="801">
        <v>10</v>
      </c>
      <c r="AE73" s="801" t="s">
        <v>733</v>
      </c>
      <c r="AF73" s="801">
        <v>2010</v>
      </c>
      <c r="AG73" s="801">
        <v>3</v>
      </c>
      <c r="AH73" s="801" t="s">
        <v>729</v>
      </c>
      <c r="AI73" s="801">
        <v>2020</v>
      </c>
      <c r="AJ73" s="801">
        <v>2050</v>
      </c>
      <c r="AK73" s="801">
        <f>(AD73-AG73)/2+AG73</f>
        <v>6.5</v>
      </c>
      <c r="AL73" s="801" t="s">
        <v>729</v>
      </c>
      <c r="AM73" s="801">
        <f>(AI73-AF73)*365*AK73</f>
        <v>23725</v>
      </c>
      <c r="AN73" s="801" t="s">
        <v>382</v>
      </c>
      <c r="AO73" s="801">
        <f>AG73*365*(AJ73-AI73)</f>
        <v>32850</v>
      </c>
      <c r="AP73" s="801" t="s">
        <v>382</v>
      </c>
      <c r="AQ73" s="801">
        <f>AM73+AO73</f>
        <v>56575</v>
      </c>
      <c r="AR73" s="801" t="s">
        <v>382</v>
      </c>
      <c r="AS73" s="801">
        <v>351478</v>
      </c>
      <c r="AT73" s="801" t="s">
        <v>360</v>
      </c>
      <c r="AU73" s="801">
        <f>AQ73/AS73%</f>
        <v>16.096313282765919</v>
      </c>
      <c r="AV73" s="801" t="s">
        <v>38</v>
      </c>
      <c r="BF73" s="657" t="s">
        <v>126</v>
      </c>
      <c r="BI73" s="656" t="s">
        <v>126</v>
      </c>
      <c r="BJ73" s="666"/>
      <c r="BO73" s="656" t="s">
        <v>259</v>
      </c>
      <c r="BQ73" s="678" t="s">
        <v>271</v>
      </c>
      <c r="CU73" s="663" t="str">
        <f ca="1">IF(U73="",BF73,U73)</f>
        <v xml:space="preserve">Um 56.575 ha  entsprechend 16% würden die Gebäude- und Freiflächen Niedersachsens bis zum Jahr 2050 wachsen unter der Annahme, dass der Flächenverbrauch gemäß der Projektion der Nds. Kommission Flächenverbrauch und Bodenschutz [9.190], Abb. 2, S. 5 von 10 ha pro Tag 2010 zunächst bis 2020 auf 3 ha/d  zurückgeführt und dann auf diesem Wert gehalten werden könnte. </v>
      </c>
      <c r="CW73" s="663"/>
      <c r="EJ73" s="656" t="str">
        <f ca="1">IF(X73=0,"",EJ$1&amp;X73)</f>
        <v>9.190</v>
      </c>
      <c r="EK73" s="656" t="str">
        <f ca="1">EK$1&amp;X73</f>
        <v>[D_Python.xlsx]9.Quellen!C190</v>
      </c>
      <c r="EV73" s="819">
        <f t="shared" ca="1" si="34"/>
        <v>73</v>
      </c>
      <c r="EW73" s="819"/>
    </row>
    <row r="74" spans="1:153" s="478" customFormat="1" ht="4">
      <c r="A74" s="677" t="str">
        <f t="shared" ca="1" si="32"/>
        <v>D.1.74</v>
      </c>
      <c r="B74" s="677" t="str">
        <f t="shared" ca="1" si="33"/>
        <v>1.74</v>
      </c>
      <c r="C74" s="677" t="str">
        <f t="shared" si="0"/>
        <v>[74]</v>
      </c>
      <c r="D74" s="677">
        <f>ROW()</f>
        <v>74</v>
      </c>
      <c r="E74" s="548"/>
      <c r="F74" s="548"/>
      <c r="G74" s="548"/>
      <c r="H74" s="548"/>
      <c r="I74" s="549"/>
      <c r="J74" s="549"/>
      <c r="K74" s="549"/>
      <c r="L74" s="549"/>
      <c r="M74" s="549"/>
      <c r="N74" s="548"/>
      <c r="O74" s="871">
        <v>74</v>
      </c>
      <c r="P74" s="575"/>
      <c r="Q74" s="576"/>
      <c r="R74" s="888"/>
      <c r="S74" s="802"/>
      <c r="T74" s="882"/>
      <c r="U74" s="661"/>
      <c r="V74" s="661"/>
      <c r="W74" s="661"/>
      <c r="X74" s="661"/>
      <c r="Y74" s="661"/>
      <c r="Z74" s="661"/>
      <c r="AA74" s="661"/>
      <c r="AB74" s="675"/>
      <c r="AC74" s="675"/>
      <c r="AD74" s="675"/>
      <c r="AE74" s="675"/>
      <c r="AF74" s="675"/>
      <c r="AG74" s="675"/>
      <c r="AH74" s="675"/>
      <c r="AI74" s="675"/>
      <c r="AJ74" s="675"/>
      <c r="AK74" s="675"/>
      <c r="AL74" s="675"/>
      <c r="AM74" s="675"/>
      <c r="AN74" s="675"/>
      <c r="AO74" s="675"/>
      <c r="AP74" s="675"/>
      <c r="AQ74" s="675"/>
      <c r="AR74" s="675"/>
      <c r="AS74" s="675"/>
      <c r="AT74" s="675"/>
      <c r="AU74" s="675"/>
      <c r="AV74" s="675"/>
      <c r="AZ74" s="505"/>
      <c r="BB74" s="505"/>
      <c r="BI74" s="478" t="s">
        <v>126</v>
      </c>
      <c r="BJ74" s="489"/>
      <c r="BN74" s="661"/>
      <c r="CU74" s="479"/>
      <c r="CV74" s="661"/>
      <c r="CW74" s="479"/>
      <c r="DS74" s="661"/>
      <c r="EV74" s="818" t="str">
        <f t="shared" si="34"/>
        <v/>
      </c>
      <c r="EW74" s="818"/>
    </row>
    <row r="75" spans="1:153" s="475" customFormat="1" ht="13.5" customHeight="1">
      <c r="A75" s="654" t="str">
        <f t="shared" ca="1" si="32"/>
        <v>D.1.75</v>
      </c>
      <c r="B75" s="654" t="str">
        <f t="shared" ca="1" si="33"/>
        <v>1.75</v>
      </c>
      <c r="C75" s="654" t="str">
        <f t="shared" ref="C75:C156" si="37">CE$1&amp;D75&amp;CF$1</f>
        <v>[75]</v>
      </c>
      <c r="D75" s="654">
        <f>ROW()</f>
        <v>75</v>
      </c>
      <c r="E75" s="1129" t="str">
        <f>BP75</f>
        <v>Landwirtschaftsfläche (LF)</v>
      </c>
      <c r="F75" s="1129"/>
      <c r="G75" s="1129"/>
      <c r="H75" s="1129"/>
      <c r="I75" s="1129"/>
      <c r="J75" s="471" t="s">
        <v>272</v>
      </c>
      <c r="K75" s="546">
        <f ca="1">INDIRECT($W$1&amp;U75)</f>
        <v>18263736</v>
      </c>
      <c r="L75" s="485" t="str">
        <f ca="1">HYPERLINK($CK$1&amp;U75,$CE$1&amp;U75&amp;$CF$1)</f>
        <v>[76]</v>
      </c>
      <c r="M75" s="547">
        <f ca="1">INDIRECT($W$1&amp;W75)</f>
        <v>17736258.686981831</v>
      </c>
      <c r="N75" s="533" t="str">
        <f ca="1">HYPERLINK($CK$1&amp;W75,$CE$1&amp;W75&amp;$CF$1)</f>
        <v>[78]</v>
      </c>
      <c r="O75" s="869">
        <v>75</v>
      </c>
      <c r="P75" s="570"/>
      <c r="Q75" s="583"/>
      <c r="R75" s="852"/>
      <c r="S75" s="784"/>
      <c r="T75" s="864"/>
      <c r="U75" s="672">
        <f>D76</f>
        <v>76</v>
      </c>
      <c r="V75" s="905" t="s">
        <v>126</v>
      </c>
      <c r="W75" s="672">
        <f>D78</f>
        <v>78</v>
      </c>
      <c r="X75" s="658"/>
      <c r="Y75" s="658"/>
      <c r="Z75" s="658"/>
      <c r="AA75" s="658"/>
      <c r="AB75" s="801"/>
      <c r="AC75" s="801"/>
      <c r="AD75" s="674"/>
      <c r="AE75" s="674"/>
      <c r="AF75" s="674"/>
      <c r="AG75" s="674"/>
      <c r="AH75" s="674"/>
      <c r="AI75" s="674"/>
      <c r="AJ75" s="674"/>
      <c r="AK75" s="674"/>
      <c r="AL75" s="674"/>
      <c r="AM75" s="674"/>
      <c r="AN75" s="674"/>
      <c r="AO75" s="674"/>
      <c r="AP75" s="674"/>
      <c r="AQ75" s="674"/>
      <c r="AR75" s="674"/>
      <c r="AS75" s="674"/>
      <c r="AT75" s="674"/>
      <c r="AU75" s="674"/>
      <c r="AV75" s="674"/>
      <c r="AX75" s="475" t="s">
        <v>244</v>
      </c>
      <c r="AY75" s="500">
        <f ca="1">DA75</f>
        <v>2858645</v>
      </c>
      <c r="AZ75" s="508" t="str">
        <f ca="1">HYPERLINK(DN75,DC75)</f>
        <v xml:space="preserve"> 34</v>
      </c>
      <c r="BA75" s="500">
        <f ca="1">DB75</f>
        <v>2858645</v>
      </c>
      <c r="BB75" s="508" t="str">
        <f ca="1">HYPERLINK(DO75,DD75)</f>
        <v xml:space="preserve"> 35</v>
      </c>
      <c r="BC75" s="475" t="str">
        <f ca="1">CY75&amp;" | "&amp;CZ75</f>
        <v>Agrar-Flächen | 2.1. Agrarfläche insgesamt</v>
      </c>
      <c r="BI75" s="475" t="s">
        <v>126</v>
      </c>
      <c r="BJ75" s="492" t="str">
        <f>E75</f>
        <v>Landwirtschaftsfläche (LF)</v>
      </c>
      <c r="BK75" s="486">
        <f ca="1">K75</f>
        <v>18263736</v>
      </c>
      <c r="BL75" s="486">
        <f ca="1">M75</f>
        <v>17736258.686981831</v>
      </c>
      <c r="BM75" s="472">
        <f>D75</f>
        <v>75</v>
      </c>
      <c r="BN75" s="658"/>
      <c r="BO75" s="475" t="s">
        <v>251</v>
      </c>
      <c r="BP75" s="521" t="s">
        <v>496</v>
      </c>
      <c r="CU75" s="476"/>
      <c r="CV75" s="658"/>
      <c r="CW75" s="518">
        <v>23</v>
      </c>
      <c r="CY75" s="472" t="str">
        <f t="shared" ref="CY75:DO75" ca="1" si="38">INDIRECT($CX$1&amp;CY$1&amp;$CW75)</f>
        <v>Agrar-Flächen</v>
      </c>
      <c r="CZ75" s="472" t="str">
        <f t="shared" ca="1" si="38"/>
        <v>2.1. Agrarfläche insgesamt</v>
      </c>
      <c r="DA75" s="472">
        <f t="shared" ca="1" si="38"/>
        <v>2858645</v>
      </c>
      <c r="DB75" s="472">
        <f t="shared" ca="1" si="38"/>
        <v>2858645</v>
      </c>
      <c r="DC75" s="472" t="str">
        <f t="shared" ca="1" si="38"/>
        <v xml:space="preserve"> 34</v>
      </c>
      <c r="DD75" s="472" t="str">
        <f t="shared" ca="1" si="38"/>
        <v xml:space="preserve"> 35</v>
      </c>
      <c r="DE75" s="472" t="str">
        <f t="shared" ca="1" si="38"/>
        <v>Ba235</v>
      </c>
      <c r="DF75" s="472" t="str">
        <f t="shared" ca="1" si="38"/>
        <v>Ba237</v>
      </c>
      <c r="DG75" s="472" t="str">
        <f t="shared" ca="1" si="38"/>
        <v>Ba</v>
      </c>
      <c r="DH75" s="472" t="str">
        <f t="shared" ca="1" si="38"/>
        <v>235</v>
      </c>
      <c r="DI75" s="472" t="str">
        <f t="shared" ca="1" si="38"/>
        <v>[Ba.xls]TEXT!Z235S5</v>
      </c>
      <c r="DJ75" s="472" t="str">
        <f t="shared" ca="1" si="38"/>
        <v>Ba</v>
      </c>
      <c r="DK75" s="472" t="str">
        <f t="shared" ca="1" si="38"/>
        <v>237</v>
      </c>
      <c r="DL75" s="472" t="str">
        <f t="shared" ca="1" si="38"/>
        <v>[Ba.xls]TEXT!Z237S5</v>
      </c>
      <c r="DM75" s="472">
        <f t="shared" ca="1" si="38"/>
        <v>23</v>
      </c>
      <c r="DN75" s="472" t="str">
        <f t="shared" ca="1" si="38"/>
        <v>[Region.xls]PARAMETER!Z34S6</v>
      </c>
      <c r="DO75" s="472" t="str">
        <f t="shared" ca="1" si="38"/>
        <v>[Region.xls]PARAMETER!Z35S6</v>
      </c>
      <c r="DP75" s="472"/>
      <c r="DS75" s="656"/>
      <c r="DV75" s="472"/>
      <c r="DW75" s="472"/>
      <c r="DX75" s="472"/>
      <c r="DY75" s="472"/>
      <c r="DZ75" s="472"/>
      <c r="EA75" s="472"/>
      <c r="EB75" s="472"/>
      <c r="EC75" s="472"/>
      <c r="ED75" s="472"/>
      <c r="EE75" s="472"/>
      <c r="EF75" s="472"/>
      <c r="EG75" s="472"/>
      <c r="EH75" s="472"/>
      <c r="EI75" s="472"/>
      <c r="EJ75" s="472"/>
      <c r="EK75" s="472"/>
      <c r="EV75" s="819">
        <f t="shared" si="34"/>
        <v>75</v>
      </c>
      <c r="EW75" s="819"/>
    </row>
    <row r="76" spans="1:153" s="472" customFormat="1" ht="39">
      <c r="A76" s="654" t="str">
        <f t="shared" ca="1" si="32"/>
        <v>D.1.76</v>
      </c>
      <c r="B76" s="654" t="str">
        <f t="shared" ca="1" si="33"/>
        <v>1.76</v>
      </c>
      <c r="C76" s="654" t="str">
        <f t="shared" si="37"/>
        <v>[76]</v>
      </c>
      <c r="D76" s="654">
        <f>ROW()</f>
        <v>76</v>
      </c>
      <c r="E76" s="1130" t="str">
        <f ca="1">CU76</f>
        <v>- STATUS-Ansatz: Gemäß GENESIS [9.232], Tabelle 33111-01-02-4, am 31.12.2016. 
(18.498.220 am 31.12.2012 vor der Umstellung auf das Amtliche Liegenschaftskataster-Informationssystem (ALKIS)).</v>
      </c>
      <c r="F76" s="1130"/>
      <c r="G76" s="1130"/>
      <c r="H76" s="1130"/>
      <c r="I76" s="1130"/>
      <c r="J76" s="1130"/>
      <c r="K76" s="1130"/>
      <c r="L76" s="1130"/>
      <c r="M76" s="1130"/>
      <c r="N76" s="1131"/>
      <c r="O76" s="869">
        <v>76</v>
      </c>
      <c r="P76" s="573" t="str">
        <f ca="1">HYPERLINK(EK76,EJ76)</f>
        <v>9.232</v>
      </c>
      <c r="Q76" s="574" t="str">
        <f>Y76</f>
        <v>33111-01-02-4</v>
      </c>
      <c r="R76" s="852"/>
      <c r="S76" s="784"/>
      <c r="T76" s="864"/>
      <c r="U76" s="1023" t="str">
        <f ca="1">"Gemäß GENESIS ["&amp;P76&amp;"], Tabelle "&amp;Q76&amp;", am "&amp;AD76&amp;". 
("&amp;AG76&amp;" am "&amp;AF76&amp;" vor der Umstellung auf das Amtliche Liegenschaftskataster-Informationssystem (ALKIS))."</f>
        <v>Gemäß GENESIS [9.232], Tabelle 33111-01-02-4, am 31.12.2016. 
(18.498.220 am 31.12.2012 vor der Umstellung auf das Amtliche Liegenschaftskataster-Informationssystem (ALKIS)).</v>
      </c>
      <c r="V76" s="905" t="s">
        <v>126</v>
      </c>
      <c r="W76" s="1024">
        <f>AE76</f>
        <v>18263736</v>
      </c>
      <c r="X76" s="672">
        <f>'9.Quellen'!C$232</f>
        <v>232</v>
      </c>
      <c r="Y76" s="672" t="s">
        <v>933</v>
      </c>
      <c r="Z76" s="1025"/>
      <c r="AA76" s="658"/>
      <c r="AB76" s="801"/>
      <c r="AC76" s="801"/>
      <c r="AD76" s="840" t="s">
        <v>934</v>
      </c>
      <c r="AE76" s="520">
        <v>18263736</v>
      </c>
      <c r="AF76" s="840" t="s">
        <v>935</v>
      </c>
      <c r="AG76" s="1078" t="s">
        <v>939</v>
      </c>
      <c r="AH76" s="801"/>
      <c r="AI76" s="801"/>
      <c r="AJ76" s="801"/>
      <c r="AK76" s="801"/>
      <c r="AL76" s="801"/>
      <c r="AM76" s="801"/>
      <c r="AN76" s="801"/>
      <c r="AO76" s="801"/>
      <c r="AP76" s="801"/>
      <c r="AQ76" s="801"/>
      <c r="AR76" s="801"/>
      <c r="AS76" s="801"/>
      <c r="AT76" s="801"/>
      <c r="AU76" s="801"/>
      <c r="AV76" s="801"/>
      <c r="BF76" s="473"/>
      <c r="BI76" s="472" t="s">
        <v>126</v>
      </c>
      <c r="BJ76" s="490"/>
      <c r="BN76" s="656"/>
      <c r="BO76" s="472" t="s">
        <v>259</v>
      </c>
      <c r="CU76" s="480" t="str">
        <f ca="1">CG$1&amp;IF(U76="",BF76,U76)</f>
        <v>- STATUS-Ansatz: Gemäß GENESIS [9.232], Tabelle 33111-01-02-4, am 31.12.2016. 
(18.498.220 am 31.12.2012 vor der Umstellung auf das Amtliche Liegenschaftskataster-Informationssystem (ALKIS)).</v>
      </c>
      <c r="CV76" s="656"/>
      <c r="CW76" s="480"/>
      <c r="DS76" s="656"/>
      <c r="EJ76" s="472" t="str">
        <f ca="1">IF(X76=0,"",EJ$1&amp;X76)</f>
        <v>9.232</v>
      </c>
      <c r="EK76" s="472" t="str">
        <f ca="1">EK$1&amp;X76</f>
        <v>[D_Python.xlsx]9.Quellen!C232</v>
      </c>
      <c r="EV76" s="819">
        <f t="shared" ca="1" si="34"/>
        <v>76</v>
      </c>
      <c r="EW76" s="819"/>
    </row>
    <row r="77" spans="1:153" s="661" customFormat="1" ht="4">
      <c r="A77" s="677" t="str">
        <f t="shared" ca="1" si="32"/>
        <v>D.1.77</v>
      </c>
      <c r="B77" s="677" t="str">
        <f t="shared" ca="1" si="33"/>
        <v>1.77</v>
      </c>
      <c r="C77" s="677" t="str">
        <f t="shared" ref="C77" si="39">CE$1&amp;D77&amp;CF$1</f>
        <v>[77]</v>
      </c>
      <c r="D77" s="677">
        <f>ROW()</f>
        <v>77</v>
      </c>
      <c r="E77" s="680"/>
      <c r="F77" s="680"/>
      <c r="G77" s="680"/>
      <c r="H77" s="680"/>
      <c r="I77" s="679"/>
      <c r="J77" s="679"/>
      <c r="K77" s="679"/>
      <c r="L77" s="679"/>
      <c r="M77" s="679"/>
      <c r="N77" s="680"/>
      <c r="O77" s="871">
        <v>77</v>
      </c>
      <c r="P77" s="688"/>
      <c r="Q77" s="689"/>
      <c r="R77" s="888"/>
      <c r="S77" s="802"/>
      <c r="T77" s="882"/>
      <c r="AB77" s="675"/>
      <c r="AC77" s="675"/>
      <c r="AD77" s="675"/>
      <c r="AE77" s="675"/>
      <c r="AF77" s="675"/>
      <c r="AG77" s="675"/>
      <c r="AH77" s="675"/>
      <c r="AI77" s="675"/>
      <c r="AJ77" s="675"/>
      <c r="AK77" s="675"/>
      <c r="AL77" s="675"/>
      <c r="AM77" s="675"/>
      <c r="AN77" s="675"/>
      <c r="AO77" s="675"/>
      <c r="AP77" s="675"/>
      <c r="AQ77" s="675"/>
      <c r="AR77" s="675"/>
      <c r="AS77" s="675"/>
      <c r="AT77" s="675"/>
      <c r="AU77" s="675"/>
      <c r="AV77" s="675"/>
      <c r="BI77" s="661" t="s">
        <v>126</v>
      </c>
      <c r="BJ77" s="665"/>
      <c r="CU77" s="662"/>
      <c r="CW77" s="662"/>
      <c r="EV77" s="818" t="str">
        <f t="shared" si="34"/>
        <v/>
      </c>
      <c r="EW77" s="818"/>
    </row>
    <row r="78" spans="1:153" s="472" customFormat="1" ht="52">
      <c r="A78" s="654" t="str">
        <f t="shared" ca="1" si="32"/>
        <v>D.1.78</v>
      </c>
      <c r="B78" s="654" t="str">
        <f t="shared" ca="1" si="33"/>
        <v>1.78</v>
      </c>
      <c r="C78" s="654" t="str">
        <f t="shared" si="37"/>
        <v>[78]</v>
      </c>
      <c r="D78" s="654">
        <f>ROW()</f>
        <v>78</v>
      </c>
      <c r="E78" s="1125" t="str">
        <f t="shared" ref="E78" si="40">CU78</f>
        <v>- ZIEL-Ansatz: Der Flächenverbrauch für Siedlungszwecke (Verkehr wird hier mit eingeschlossen) von 527.477 ha gemäß [73] geht zu Lasten der Landwirtschaftsfläche, die sich entsprechend verringert. Eine weitere Ausweitung der Waldflächen [100] zu Lasten der Landwirtschaftsflächen entsprechend dem Trend der zurückliegenden Zeit wird hier nicht angenommen.</v>
      </c>
      <c r="F78" s="1125"/>
      <c r="G78" s="1125"/>
      <c r="H78" s="1125"/>
      <c r="I78" s="1125"/>
      <c r="J78" s="1125"/>
      <c r="K78" s="1125"/>
      <c r="L78" s="1125"/>
      <c r="M78" s="1125"/>
      <c r="N78" s="1132"/>
      <c r="O78" s="869">
        <v>78</v>
      </c>
      <c r="P78" s="573" t="str">
        <f ca="1">HYPERLINK(EK78,EJ78)</f>
        <v/>
      </c>
      <c r="Q78" s="574" t="str">
        <f>Y78</f>
        <v xml:space="preserve"> </v>
      </c>
      <c r="R78" s="852"/>
      <c r="S78" s="784"/>
      <c r="T78" s="864"/>
      <c r="U78" s="1023" t="str">
        <f>"Der Flächenverbrauch für Siedlungszwecke (Verkehr wird hier mit eingeschlossen) von "&amp;TEXT(AF78,"0.000")&amp;" ha gemäß "&amp;C73&amp;" geht zu Lasten der Landwirtschaftsfläche, die sich entsprechend verringert. Eine weitere Ausweitung der Waldflächen "&amp;C100&amp;" zu Lasten der Landwirtschaftsflächen entsprechend dem Trend der zurückliegenden Zeit wird hier nicht angenommen."</f>
        <v>Der Flächenverbrauch für Siedlungszwecke (Verkehr wird hier mit eingeschlossen) von 527.477 ha gemäß [73] geht zu Lasten der Landwirtschaftsfläche, die sich entsprechend verringert. Eine weitere Ausweitung der Waldflächen [100] zu Lasten der Landwirtschaftsflächen entsprechend dem Trend der zurückliegenden Zeit wird hier nicht angenommen.</v>
      </c>
      <c r="V78" s="905" t="s">
        <v>126</v>
      </c>
      <c r="W78" s="1024">
        <f>AH78</f>
        <v>17736258.686981831</v>
      </c>
      <c r="X78" s="672"/>
      <c r="Y78" s="672" t="s">
        <v>126</v>
      </c>
      <c r="Z78" s="1025"/>
      <c r="AA78" s="905"/>
      <c r="AB78" s="801"/>
      <c r="AC78" s="801"/>
      <c r="AD78" s="687">
        <f>W76</f>
        <v>18263736</v>
      </c>
      <c r="AE78" s="801" t="s">
        <v>382</v>
      </c>
      <c r="AF78" s="687">
        <f>AJ72</f>
        <v>527477.31301816925</v>
      </c>
      <c r="AG78" s="801" t="s">
        <v>382</v>
      </c>
      <c r="AH78" s="687">
        <f>AD78-AF78</f>
        <v>17736258.686981831</v>
      </c>
      <c r="AI78" s="801" t="s">
        <v>382</v>
      </c>
      <c r="AJ78" s="801"/>
      <c r="AK78" s="801"/>
      <c r="AL78" s="801"/>
      <c r="AM78" s="801"/>
      <c r="AN78" s="801"/>
      <c r="AO78" s="801"/>
      <c r="AP78" s="801"/>
      <c r="AQ78" s="801"/>
      <c r="AR78" s="801"/>
      <c r="AS78" s="801"/>
      <c r="AT78" s="801"/>
      <c r="AU78" s="801"/>
      <c r="AV78" s="801"/>
      <c r="BF78" s="473"/>
      <c r="BI78" s="472" t="s">
        <v>126</v>
      </c>
      <c r="BJ78" s="490"/>
      <c r="BN78" s="656"/>
      <c r="BO78" s="472" t="s">
        <v>259</v>
      </c>
      <c r="CU78" s="480" t="str">
        <f>CH$1&amp;IF(U78="",BF78,U78)</f>
        <v>- ZIEL-Ansatz: Der Flächenverbrauch für Siedlungszwecke (Verkehr wird hier mit eingeschlossen) von 527.477 ha gemäß [73] geht zu Lasten der Landwirtschaftsfläche, die sich entsprechend verringert. Eine weitere Ausweitung der Waldflächen [100] zu Lasten der Landwirtschaftsflächen entsprechend dem Trend der zurückliegenden Zeit wird hier nicht angenommen.</v>
      </c>
      <c r="CV78" s="656"/>
      <c r="CW78" s="480"/>
      <c r="DS78" s="656"/>
      <c r="EJ78" s="472" t="str">
        <f>IF(X78=0,"",EJ$1&amp;X78)</f>
        <v/>
      </c>
      <c r="EK78" s="472" t="str">
        <f ca="1">EK$1&amp;X78</f>
        <v>[D_Python.xlsx]9.Quellen!C</v>
      </c>
      <c r="EV78" s="819">
        <f t="shared" si="34"/>
        <v>78</v>
      </c>
      <c r="EW78" s="819"/>
    </row>
    <row r="79" spans="1:153" s="478" customFormat="1" ht="4">
      <c r="A79" s="677" t="str">
        <f t="shared" ca="1" si="32"/>
        <v>D.1.79</v>
      </c>
      <c r="B79" s="677" t="str">
        <f t="shared" ca="1" si="33"/>
        <v>1.79</v>
      </c>
      <c r="C79" s="677" t="str">
        <f t="shared" si="37"/>
        <v>[79]</v>
      </c>
      <c r="D79" s="677">
        <f>ROW()</f>
        <v>79</v>
      </c>
      <c r="E79" s="548"/>
      <c r="F79" s="548"/>
      <c r="G79" s="548"/>
      <c r="H79" s="548"/>
      <c r="I79" s="549"/>
      <c r="J79" s="549"/>
      <c r="K79" s="549"/>
      <c r="L79" s="549"/>
      <c r="M79" s="549"/>
      <c r="N79" s="548"/>
      <c r="O79" s="871">
        <v>79</v>
      </c>
      <c r="P79" s="575"/>
      <c r="Q79" s="576"/>
      <c r="R79" s="888"/>
      <c r="S79" s="802"/>
      <c r="T79" s="882"/>
      <c r="U79" s="661"/>
      <c r="V79" s="661"/>
      <c r="W79" s="661"/>
      <c r="X79" s="661"/>
      <c r="Y79" s="661"/>
      <c r="Z79" s="661"/>
      <c r="AA79" s="661"/>
      <c r="AB79" s="675"/>
      <c r="AC79" s="675"/>
      <c r="AD79" s="675"/>
      <c r="AE79" s="675"/>
      <c r="AF79" s="675"/>
      <c r="AG79" s="675"/>
      <c r="AH79" s="675"/>
      <c r="AI79" s="675"/>
      <c r="AJ79" s="675"/>
      <c r="AK79" s="675"/>
      <c r="AL79" s="675"/>
      <c r="AM79" s="675"/>
      <c r="AN79" s="675"/>
      <c r="AO79" s="675"/>
      <c r="AP79" s="675"/>
      <c r="AQ79" s="675"/>
      <c r="AR79" s="675"/>
      <c r="AS79" s="675"/>
      <c r="AT79" s="675"/>
      <c r="AU79" s="675"/>
      <c r="AV79" s="675"/>
      <c r="AZ79" s="505"/>
      <c r="BB79" s="505"/>
      <c r="BI79" s="478" t="s">
        <v>126</v>
      </c>
      <c r="BJ79" s="489"/>
      <c r="BN79" s="661"/>
      <c r="CU79" s="479"/>
      <c r="CV79" s="661"/>
      <c r="CW79" s="479"/>
      <c r="DS79" s="661"/>
      <c r="EV79" s="818" t="str">
        <f t="shared" si="34"/>
        <v/>
      </c>
      <c r="EW79" s="818"/>
    </row>
    <row r="80" spans="1:153" s="475" customFormat="1" ht="17.25" customHeight="1">
      <c r="A80" s="654" t="str">
        <f t="shared" ca="1" si="32"/>
        <v>D.1.80</v>
      </c>
      <c r="B80" s="654" t="str">
        <f t="shared" ca="1" si="33"/>
        <v>1.80</v>
      </c>
      <c r="C80" s="654" t="str">
        <f t="shared" si="37"/>
        <v>[80]</v>
      </c>
      <c r="D80" s="654">
        <f>ROW()</f>
        <v>80</v>
      </c>
      <c r="E80" s="1129" t="str">
        <f>BP80</f>
        <v>Ackerland</v>
      </c>
      <c r="F80" s="1129"/>
      <c r="G80" s="1129"/>
      <c r="H80" s="1129"/>
      <c r="I80" s="1129"/>
      <c r="J80" s="471" t="s">
        <v>272</v>
      </c>
      <c r="K80" s="546">
        <f ca="1">INDIRECT($W$1&amp;U80)</f>
        <v>11764144.6</v>
      </c>
      <c r="L80" s="485" t="str">
        <f ca="1">HYPERLINK($CK$1&amp;U80,$CE$1&amp;U80&amp;$CF$1)</f>
        <v>[81]</v>
      </c>
      <c r="M80" s="547">
        <f ca="1">INDIRECT($W$1&amp;W80)</f>
        <v>10826000</v>
      </c>
      <c r="N80" s="533" t="str">
        <f ca="1">HYPERLINK($CK$1&amp;W80,$CE$1&amp;W80&amp;$CF$1)</f>
        <v>[83]</v>
      </c>
      <c r="O80" s="869">
        <v>80</v>
      </c>
      <c r="P80" s="691" t="str">
        <f ca="1">HYPERLINK(EK80,EJ80)</f>
        <v>9.232</v>
      </c>
      <c r="Q80" s="692" t="str">
        <f>Y80</f>
        <v>33111-01-02-3</v>
      </c>
      <c r="R80" s="852"/>
      <c r="S80" s="784"/>
      <c r="T80" s="864"/>
      <c r="U80" s="672">
        <f>D81</f>
        <v>81</v>
      </c>
      <c r="V80" s="905" t="s">
        <v>126</v>
      </c>
      <c r="W80" s="672">
        <f>D83</f>
        <v>83</v>
      </c>
      <c r="X80" s="672">
        <f>'9.Quellen'!C$232</f>
        <v>232</v>
      </c>
      <c r="Y80" s="672" t="s">
        <v>966</v>
      </c>
      <c r="Z80" s="658"/>
      <c r="AA80" s="658"/>
      <c r="AB80" s="801"/>
      <c r="AC80" s="801"/>
      <c r="AD80" s="674"/>
      <c r="AE80" s="674"/>
      <c r="AF80" s="674"/>
      <c r="AG80" s="674"/>
      <c r="AH80" s="674"/>
      <c r="AI80" s="674"/>
      <c r="AJ80" s="674"/>
      <c r="AK80" s="674"/>
      <c r="AL80" s="674"/>
      <c r="AM80" s="674"/>
      <c r="AN80" s="674"/>
      <c r="AO80" s="674"/>
      <c r="AP80" s="674"/>
      <c r="AQ80" s="674"/>
      <c r="AR80" s="674"/>
      <c r="AS80" s="674"/>
      <c r="AT80" s="674"/>
      <c r="AU80" s="674"/>
      <c r="AV80" s="674"/>
      <c r="AX80" s="475" t="s">
        <v>244</v>
      </c>
      <c r="AY80" s="500" t="e">
        <f ca="1">DA80</f>
        <v>#REF!</v>
      </c>
      <c r="AZ80" s="508" t="e">
        <f ca="1">HYPERLINK(DN80,DC80)</f>
        <v>#REF!</v>
      </c>
      <c r="BA80" s="500" t="e">
        <f ca="1">DB80</f>
        <v>#REF!</v>
      </c>
      <c r="BB80" s="508" t="e">
        <f ca="1">HYPERLINK(DO80,DD80)</f>
        <v>#REF!</v>
      </c>
      <c r="BC80" s="475" t="e">
        <f ca="1">CY80&amp;" | "&amp;CZ80</f>
        <v>#REF!</v>
      </c>
      <c r="BI80" s="475" t="s">
        <v>126</v>
      </c>
      <c r="BJ80" s="492" t="str">
        <f>E80</f>
        <v>Ackerland</v>
      </c>
      <c r="BK80" s="486">
        <f ca="1">K80</f>
        <v>11764144.6</v>
      </c>
      <c r="BL80" s="486">
        <f ca="1">M80</f>
        <v>10826000</v>
      </c>
      <c r="BM80" s="472">
        <f>D80</f>
        <v>80</v>
      </c>
      <c r="BN80" s="658"/>
      <c r="BO80" s="475" t="s">
        <v>251</v>
      </c>
      <c r="BP80" s="521" t="s">
        <v>123</v>
      </c>
      <c r="CU80" s="476"/>
      <c r="CV80" s="658"/>
      <c r="CW80" s="518"/>
      <c r="CY80" s="472" t="e">
        <f t="shared" ref="CY80:DO80" ca="1" si="41">INDIRECT($CX$1&amp;CY$1&amp;$CW80)</f>
        <v>#REF!</v>
      </c>
      <c r="CZ80" s="472" t="e">
        <f t="shared" ca="1" si="41"/>
        <v>#REF!</v>
      </c>
      <c r="DA80" s="472" t="e">
        <f t="shared" ca="1" si="41"/>
        <v>#REF!</v>
      </c>
      <c r="DB80" s="472" t="e">
        <f t="shared" ca="1" si="41"/>
        <v>#REF!</v>
      </c>
      <c r="DC80" s="472" t="e">
        <f t="shared" ca="1" si="41"/>
        <v>#REF!</v>
      </c>
      <c r="DD80" s="472" t="e">
        <f t="shared" ca="1" si="41"/>
        <v>#REF!</v>
      </c>
      <c r="DE80" s="472" t="e">
        <f t="shared" ca="1" si="41"/>
        <v>#REF!</v>
      </c>
      <c r="DF80" s="472" t="e">
        <f t="shared" ca="1" si="41"/>
        <v>#REF!</v>
      </c>
      <c r="DG80" s="472" t="e">
        <f t="shared" ca="1" si="41"/>
        <v>#REF!</v>
      </c>
      <c r="DH80" s="472" t="e">
        <f t="shared" ca="1" si="41"/>
        <v>#REF!</v>
      </c>
      <c r="DI80" s="472" t="e">
        <f t="shared" ca="1" si="41"/>
        <v>#REF!</v>
      </c>
      <c r="DJ80" s="472" t="e">
        <f t="shared" ca="1" si="41"/>
        <v>#REF!</v>
      </c>
      <c r="DK80" s="472" t="e">
        <f t="shared" ca="1" si="41"/>
        <v>#REF!</v>
      </c>
      <c r="DL80" s="472" t="e">
        <f t="shared" ca="1" si="41"/>
        <v>#REF!</v>
      </c>
      <c r="DM80" s="472" t="e">
        <f t="shared" ca="1" si="41"/>
        <v>#REF!</v>
      </c>
      <c r="DN80" s="472" t="e">
        <f t="shared" ca="1" si="41"/>
        <v>#REF!</v>
      </c>
      <c r="DO80" s="472" t="e">
        <f t="shared" ca="1" si="41"/>
        <v>#REF!</v>
      </c>
      <c r="DP80" s="472"/>
      <c r="DS80" s="656"/>
      <c r="DV80" s="472"/>
      <c r="DW80" s="472"/>
      <c r="DX80" s="472"/>
      <c r="DY80" s="472"/>
      <c r="DZ80" s="472"/>
      <c r="EA80" s="472"/>
      <c r="EB80" s="472"/>
      <c r="EC80" s="472"/>
      <c r="ED80" s="472"/>
      <c r="EE80" s="472"/>
      <c r="EF80" s="472"/>
      <c r="EG80" s="472"/>
      <c r="EH80" s="472"/>
      <c r="EI80" s="472"/>
      <c r="EJ80" s="798" t="str">
        <f ca="1">IF(X80=0,"",EJ$1&amp;X80)</f>
        <v>9.232</v>
      </c>
      <c r="EK80" s="798" t="str">
        <f ca="1">EK$1&amp;X80</f>
        <v>[D_Python.xlsx]9.Quellen!C232</v>
      </c>
      <c r="EV80" s="819">
        <f t="shared" si="34"/>
        <v>80</v>
      </c>
      <c r="EW80" s="819"/>
    </row>
    <row r="81" spans="1:153" s="472" customFormat="1" ht="26">
      <c r="A81" s="654" t="str">
        <f t="shared" ca="1" si="32"/>
        <v>D.1.81</v>
      </c>
      <c r="B81" s="654" t="str">
        <f t="shared" ca="1" si="33"/>
        <v>1.81</v>
      </c>
      <c r="C81" s="654" t="str">
        <f t="shared" si="37"/>
        <v>[81]</v>
      </c>
      <c r="D81" s="654">
        <f>ROW()</f>
        <v>81</v>
      </c>
      <c r="E81" s="1130" t="str">
        <f ca="1">CU81</f>
        <v>- STATUS-Ansatz: Ackerland gemäß GENESIS [9.232], Tabelle 33111-01-02-3, in 2016 (11.846.665 ha  in 2010); zuzüglich 1.143 ha Waldflächen und Kurzumtriebsplantagen auf Ackerland in 2017 gemäß [9.235] Tab. DE0103.</v>
      </c>
      <c r="F81" s="1130"/>
      <c r="G81" s="1130"/>
      <c r="H81" s="1130"/>
      <c r="I81" s="1130"/>
      <c r="J81" s="1130"/>
      <c r="K81" s="1130"/>
      <c r="L81" s="1130"/>
      <c r="M81" s="1130"/>
      <c r="N81" s="1131"/>
      <c r="O81" s="869">
        <v>81</v>
      </c>
      <c r="P81" s="573" t="str">
        <f ca="1">HYPERLINK(EK81,EJ81)</f>
        <v>9.235</v>
      </c>
      <c r="Q81" s="574" t="str">
        <f>Y81</f>
        <v>Tab. DE0103</v>
      </c>
      <c r="R81" s="852"/>
      <c r="S81" s="784"/>
      <c r="T81" s="864"/>
      <c r="U81" s="1023" t="str">
        <f ca="1">"Ackerland gemäß GENESIS ["&amp;P80&amp;"], Tabelle "&amp;Q80&amp;", in "&amp;AD81&amp;" ("&amp;AG81&amp;" ha  in "&amp;AF81&amp;"); zuzüglich "&amp;TEXT(AI81,"0.000")&amp;" ha Waldflächen und Kurzumtriebsplantagen auf Ackerland in 2017 gemäß ["&amp;P81&amp;"] "&amp;Q81&amp;"."</f>
        <v>Ackerland gemäß GENESIS [9.232], Tabelle 33111-01-02-3, in 2016 (11.846.665 ha  in 2010); zuzüglich 1.143 ha Waldflächen und Kurzumtriebsplantagen auf Ackerland in 2017 gemäß [9.235] Tab. DE0103.</v>
      </c>
      <c r="V81" s="905" t="s">
        <v>126</v>
      </c>
      <c r="W81" s="1024">
        <f>AK81</f>
        <v>11764144.6</v>
      </c>
      <c r="X81" s="672">
        <f>'9.Quellen'!C$235</f>
        <v>235</v>
      </c>
      <c r="Y81" s="672" t="s">
        <v>967</v>
      </c>
      <c r="Z81" s="1025"/>
      <c r="AA81" s="658"/>
      <c r="AB81" s="801"/>
      <c r="AC81" s="801"/>
      <c r="AD81" s="840" t="s">
        <v>942</v>
      </c>
      <c r="AE81" s="520">
        <v>11763002</v>
      </c>
      <c r="AF81" s="840" t="s">
        <v>943</v>
      </c>
      <c r="AG81" s="1078" t="s">
        <v>944</v>
      </c>
      <c r="AH81" s="801">
        <v>2017</v>
      </c>
      <c r="AI81" s="1078">
        <v>1142.5999999999999</v>
      </c>
      <c r="AJ81" s="851" t="s">
        <v>964</v>
      </c>
      <c r="AK81" s="834">
        <f>AE81+AI81</f>
        <v>11764144.6</v>
      </c>
      <c r="AL81" s="801" t="s">
        <v>965</v>
      </c>
      <c r="AM81" s="801"/>
      <c r="AN81" s="801"/>
      <c r="AO81" s="801"/>
      <c r="AP81" s="801"/>
      <c r="AQ81" s="801"/>
      <c r="AR81" s="801"/>
      <c r="AS81" s="801"/>
      <c r="AT81" s="801"/>
      <c r="AU81" s="801"/>
      <c r="AV81" s="801"/>
      <c r="BF81" s="473"/>
      <c r="BI81" s="472" t="s">
        <v>126</v>
      </c>
      <c r="BJ81" s="490"/>
      <c r="BN81" s="656"/>
      <c r="BO81" s="472" t="s">
        <v>259</v>
      </c>
      <c r="CU81" s="480" t="str">
        <f ca="1">CG$1&amp;IF(U81="",BF81,U81)</f>
        <v>- STATUS-Ansatz: Ackerland gemäß GENESIS [9.232], Tabelle 33111-01-02-3, in 2016 (11.846.665 ha  in 2010); zuzüglich 1.143 ha Waldflächen und Kurzumtriebsplantagen auf Ackerland in 2017 gemäß [9.235] Tab. DE0103.</v>
      </c>
      <c r="CV81" s="656"/>
      <c r="CW81" s="480"/>
      <c r="DS81" s="656"/>
      <c r="EJ81" s="472" t="str">
        <f ca="1">IF(X81=0,"",EJ$1&amp;X81)</f>
        <v>9.235</v>
      </c>
      <c r="EK81" s="472" t="str">
        <f ca="1">EK$1&amp;X81</f>
        <v>[D_Python.xlsx]9.Quellen!C235</v>
      </c>
      <c r="EV81" s="819">
        <f t="shared" ca="1" si="34"/>
        <v>81</v>
      </c>
      <c r="EW81" s="819"/>
    </row>
    <row r="82" spans="1:153" s="661" customFormat="1" ht="4">
      <c r="A82" s="677" t="str">
        <f t="shared" ca="1" si="32"/>
        <v>D.1.82</v>
      </c>
      <c r="B82" s="677" t="str">
        <f t="shared" ca="1" si="33"/>
        <v>1.82</v>
      </c>
      <c r="C82" s="677" t="str">
        <f t="shared" si="37"/>
        <v>[82]</v>
      </c>
      <c r="D82" s="677">
        <f>ROW()</f>
        <v>82</v>
      </c>
      <c r="E82" s="680"/>
      <c r="F82" s="680"/>
      <c r="G82" s="680"/>
      <c r="H82" s="680"/>
      <c r="I82" s="679"/>
      <c r="J82" s="679"/>
      <c r="K82" s="679"/>
      <c r="L82" s="679"/>
      <c r="M82" s="679"/>
      <c r="N82" s="680"/>
      <c r="O82" s="871">
        <v>82</v>
      </c>
      <c r="P82" s="688"/>
      <c r="Q82" s="689"/>
      <c r="R82" s="888"/>
      <c r="S82" s="802"/>
      <c r="T82" s="882"/>
      <c r="AB82" s="675"/>
      <c r="AC82" s="675"/>
      <c r="AD82" s="675"/>
      <c r="AE82" s="675"/>
      <c r="AF82" s="675"/>
      <c r="AG82" s="675"/>
      <c r="AH82" s="675"/>
      <c r="AI82" s="675"/>
      <c r="AJ82" s="675"/>
      <c r="AK82" s="675"/>
      <c r="AL82" s="675"/>
      <c r="AM82" s="675"/>
      <c r="AN82" s="675"/>
      <c r="AO82" s="675"/>
      <c r="AP82" s="675"/>
      <c r="AQ82" s="675"/>
      <c r="AR82" s="675"/>
      <c r="AS82" s="675"/>
      <c r="AT82" s="675"/>
      <c r="AU82" s="675"/>
      <c r="AV82" s="675"/>
      <c r="BI82" s="661" t="s">
        <v>126</v>
      </c>
      <c r="BJ82" s="665"/>
      <c r="CU82" s="662"/>
      <c r="CW82" s="662"/>
      <c r="EV82" s="818" t="str">
        <f t="shared" si="34"/>
        <v/>
      </c>
      <c r="EW82" s="818"/>
    </row>
    <row r="83" spans="1:153" s="472" customFormat="1" ht="52">
      <c r="A83" s="654" t="str">
        <f t="shared" ca="1" si="32"/>
        <v>D.1.83</v>
      </c>
      <c r="B83" s="654" t="str">
        <f t="shared" ca="1" si="33"/>
        <v>1.83</v>
      </c>
      <c r="C83" s="654" t="str">
        <f t="shared" si="37"/>
        <v>[83]</v>
      </c>
      <c r="D83" s="654">
        <f>ROW()</f>
        <v>83</v>
      </c>
      <c r="E83" s="1125" t="str">
        <f t="shared" ref="E83" si="42">CU83</f>
        <v>- ZIEL-Ansatz: 10.826.000 ha resultieren aus der Annahme, dass die Abnahme der Landwirtschaftsfläche um 527.477 ha [75] voll zu Lasten der Ackerfläche geht (siehe dazu Dauergrünland [93]) und dass 228.388 ha  belegt sind mit der Hälfte der Freiflächen-Solaranlagen [129].  Dabei werden die Rahmenbedingungen der Landwirtschaft als bestenfalls konstant angenommen [371].</v>
      </c>
      <c r="F83" s="1125"/>
      <c r="G83" s="1125"/>
      <c r="H83" s="1125"/>
      <c r="I83" s="1125"/>
      <c r="J83" s="1125"/>
      <c r="K83" s="1125"/>
      <c r="L83" s="1125"/>
      <c r="M83" s="1125"/>
      <c r="N83" s="1132"/>
      <c r="O83" s="869">
        <v>83</v>
      </c>
      <c r="P83" s="573" t="str">
        <f ca="1">HYPERLINK(EK83,EJ83)</f>
        <v/>
      </c>
      <c r="Q83" s="574" t="str">
        <f>Y83</f>
        <v xml:space="preserve"> </v>
      </c>
      <c r="R83" s="852"/>
      <c r="S83" s="784"/>
      <c r="T83" s="864"/>
      <c r="U83" s="1023" t="str">
        <f>TEXT(W83,"0.000")&amp;" ha resultieren aus der Annahme, dass die Abnahme der Landwirtschaftsfläche um "&amp;TEXT(AH83,"0.000")&amp;AI83&amp;C75&amp;" voll zu Lasten der Ackerfläche geht (siehe dazu Dauergrünland "&amp;C93&amp;") und dass "&amp;TEXT(AF83,"0.000")&amp;AG83&amp;" belegt sind mit der Hälfte der Freiflächen-Solaranlagen "&amp;C129&amp;".  Dabei werden die Rahmenbedingungen der Landwirtschaft als bestenfalls konstant angenommen "&amp;C371&amp;"."</f>
        <v>10.826.000 ha resultieren aus der Annahme, dass die Abnahme der Landwirtschaftsfläche um 527.477 ha [75] voll zu Lasten der Ackerfläche geht (siehe dazu Dauergrünland [93]) und dass 228.388 ha  belegt sind mit der Hälfte der Freiflächen-Solaranlagen [129].  Dabei werden die Rahmenbedingungen der Landwirtschaft als bestenfalls konstant angenommen [371].</v>
      </c>
      <c r="V83" s="905" t="s">
        <v>126</v>
      </c>
      <c r="W83" s="1024">
        <f>AL83</f>
        <v>10826000</v>
      </c>
      <c r="X83" s="672"/>
      <c r="Y83" s="672" t="s">
        <v>126</v>
      </c>
      <c r="Z83" s="1025"/>
      <c r="AA83" s="905"/>
      <c r="AB83" s="801"/>
      <c r="AC83" s="1020"/>
      <c r="AD83" s="687">
        <f>AK81</f>
        <v>11764144.6</v>
      </c>
      <c r="AE83" s="687" t="s">
        <v>382</v>
      </c>
      <c r="AF83" s="841">
        <f>(W133)/2</f>
        <v>228388.11956687298</v>
      </c>
      <c r="AG83" s="801" t="s">
        <v>382</v>
      </c>
      <c r="AH83" s="841">
        <f>AF78</f>
        <v>527477.31301816925</v>
      </c>
      <c r="AI83" s="687" t="str">
        <f>AG78</f>
        <v xml:space="preserve"> ha </v>
      </c>
      <c r="AJ83" s="687">
        <f>AD83-AF83-AH83</f>
        <v>11008279.167414958</v>
      </c>
      <c r="AK83" s="801" t="s">
        <v>382</v>
      </c>
      <c r="AL83" s="687">
        <v>10826000</v>
      </c>
      <c r="AM83" s="801" t="s">
        <v>1046</v>
      </c>
      <c r="AN83" s="801"/>
      <c r="AO83" s="801"/>
      <c r="AP83" s="801"/>
      <c r="AQ83" s="801"/>
      <c r="AR83" s="801"/>
      <c r="AS83" s="801"/>
      <c r="AT83" s="801"/>
      <c r="AU83" s="801"/>
      <c r="AV83" s="801"/>
      <c r="BF83" s="473"/>
      <c r="BI83" s="472" t="s">
        <v>126</v>
      </c>
      <c r="BJ83" s="490"/>
      <c r="BN83" s="656"/>
      <c r="BO83" s="472" t="s">
        <v>259</v>
      </c>
      <c r="CU83" s="480" t="str">
        <f>CH$1&amp;IF(U83="",BF83,U83)</f>
        <v>- ZIEL-Ansatz: 10.826.000 ha resultieren aus der Annahme, dass die Abnahme der Landwirtschaftsfläche um 527.477 ha [75] voll zu Lasten der Ackerfläche geht (siehe dazu Dauergrünland [93]) und dass 228.388 ha  belegt sind mit der Hälfte der Freiflächen-Solaranlagen [129].  Dabei werden die Rahmenbedingungen der Landwirtschaft als bestenfalls konstant angenommen [371].</v>
      </c>
      <c r="CV83" s="656"/>
      <c r="CW83" s="480"/>
      <c r="DS83" s="656"/>
      <c r="EJ83" s="472" t="str">
        <f>IF(X83=0,"",EJ$1&amp;X83)</f>
        <v/>
      </c>
      <c r="EK83" s="472" t="str">
        <f ca="1">EK$1&amp;X83</f>
        <v>[D_Python.xlsx]9.Quellen!C</v>
      </c>
      <c r="EV83" s="819">
        <f t="shared" si="34"/>
        <v>83</v>
      </c>
      <c r="EW83" s="819"/>
    </row>
    <row r="84" spans="1:153" s="478" customFormat="1" ht="4">
      <c r="A84" s="677" t="str">
        <f t="shared" ca="1" si="32"/>
        <v>D.1.84</v>
      </c>
      <c r="B84" s="677" t="str">
        <f t="shared" ca="1" si="33"/>
        <v>1.84</v>
      </c>
      <c r="C84" s="677" t="str">
        <f t="shared" si="37"/>
        <v>[84]</v>
      </c>
      <c r="D84" s="677">
        <f>ROW()</f>
        <v>84</v>
      </c>
      <c r="E84" s="548"/>
      <c r="F84" s="548"/>
      <c r="G84" s="548"/>
      <c r="H84" s="548"/>
      <c r="I84" s="549"/>
      <c r="J84" s="549"/>
      <c r="K84" s="549"/>
      <c r="L84" s="549"/>
      <c r="M84" s="549"/>
      <c r="N84" s="548"/>
      <c r="O84" s="871">
        <v>84</v>
      </c>
      <c r="P84" s="575"/>
      <c r="Q84" s="576"/>
      <c r="R84" s="888"/>
      <c r="S84" s="802"/>
      <c r="T84" s="882"/>
      <c r="U84" s="661"/>
      <c r="V84" s="661"/>
      <c r="W84" s="661"/>
      <c r="X84" s="661"/>
      <c r="Y84" s="661"/>
      <c r="Z84" s="661"/>
      <c r="AA84" s="661"/>
      <c r="AB84" s="675"/>
      <c r="AC84" s="675"/>
      <c r="AD84" s="675"/>
      <c r="AE84" s="675"/>
      <c r="AF84" s="675"/>
      <c r="AG84" s="675"/>
      <c r="AH84" s="675"/>
      <c r="AI84" s="675"/>
      <c r="AJ84" s="675"/>
      <c r="AK84" s="675"/>
      <c r="AL84" s="675"/>
      <c r="AM84" s="675"/>
      <c r="AN84" s="675"/>
      <c r="AO84" s="675"/>
      <c r="AP84" s="675"/>
      <c r="AQ84" s="675"/>
      <c r="AR84" s="675"/>
      <c r="AS84" s="675"/>
      <c r="AT84" s="675"/>
      <c r="AU84" s="675"/>
      <c r="AV84" s="675"/>
      <c r="AZ84" s="505"/>
      <c r="BB84" s="505"/>
      <c r="BI84" s="478" t="s">
        <v>126</v>
      </c>
      <c r="BJ84" s="489"/>
      <c r="BN84" s="661"/>
      <c r="CU84" s="479"/>
      <c r="CV84" s="661"/>
      <c r="CW84" s="479"/>
      <c r="DS84" s="661"/>
      <c r="EV84" s="818" t="str">
        <f t="shared" si="34"/>
        <v/>
      </c>
      <c r="EW84" s="818"/>
    </row>
    <row r="85" spans="1:153" s="475" customFormat="1" ht="13.5" customHeight="1">
      <c r="A85" s="654" t="str">
        <f t="shared" ca="1" si="32"/>
        <v>D.1.85</v>
      </c>
      <c r="B85" s="654" t="str">
        <f t="shared" ca="1" si="33"/>
        <v>1.85</v>
      </c>
      <c r="C85" s="654" t="str">
        <f t="shared" si="37"/>
        <v>[85]</v>
      </c>
      <c r="D85" s="654">
        <f>ROW()</f>
        <v>85</v>
      </c>
      <c r="E85" s="1129" t="str">
        <f>BP85</f>
        <v>Getreide-Anbaufl. (Stroh)</v>
      </c>
      <c r="F85" s="1129"/>
      <c r="G85" s="1129"/>
      <c r="H85" s="1129"/>
      <c r="I85" s="1129"/>
      <c r="J85" s="471" t="s">
        <v>272</v>
      </c>
      <c r="K85" s="546">
        <f ca="1">INDIRECT($W$1&amp;U85)</f>
        <v>6325023</v>
      </c>
      <c r="L85" s="485" t="str">
        <f ca="1">HYPERLINK($CK$1&amp;U85,$CE$1&amp;U85&amp;$CF$1)</f>
        <v>[86]</v>
      </c>
      <c r="M85" s="547">
        <f ca="1">INDIRECT($W$1&amp;W85)</f>
        <v>6325000</v>
      </c>
      <c r="N85" s="842" t="str">
        <f ca="1">HYPERLINK($CK$1&amp;W85,$CE$1&amp;W85&amp;$CF$1)</f>
        <v>[88]</v>
      </c>
      <c r="O85" s="869">
        <v>85</v>
      </c>
      <c r="P85" s="570"/>
      <c r="Q85" s="583"/>
      <c r="R85" s="852"/>
      <c r="S85" s="784"/>
      <c r="T85" s="864"/>
      <c r="U85" s="672">
        <f>D86</f>
        <v>86</v>
      </c>
      <c r="V85" s="905" t="s">
        <v>126</v>
      </c>
      <c r="W85" s="672">
        <f>D88</f>
        <v>88</v>
      </c>
      <c r="X85" s="658"/>
      <c r="Y85" s="658"/>
      <c r="Z85" s="658"/>
      <c r="AA85" s="658"/>
      <c r="AB85" s="801"/>
      <c r="AC85" s="801"/>
      <c r="AD85" s="674"/>
      <c r="AE85" s="674"/>
      <c r="AF85" s="674"/>
      <c r="AG85" s="674"/>
      <c r="AH85" s="674"/>
      <c r="AI85" s="674"/>
      <c r="AJ85" s="674"/>
      <c r="AK85" s="674"/>
      <c r="AL85" s="674"/>
      <c r="AM85" s="674"/>
      <c r="AN85" s="674"/>
      <c r="AO85" s="674"/>
      <c r="AP85" s="674"/>
      <c r="AQ85" s="674"/>
      <c r="AR85" s="674"/>
      <c r="AS85" s="674"/>
      <c r="AT85" s="674"/>
      <c r="AU85" s="674"/>
      <c r="AV85" s="674"/>
      <c r="AX85" s="475" t="s">
        <v>244</v>
      </c>
      <c r="AY85" s="500">
        <f ca="1">DA85</f>
        <v>942180</v>
      </c>
      <c r="AZ85" s="508" t="str">
        <f ca="1">HYPERLINK(DN85,DC85)</f>
        <v xml:space="preserve"> 36</v>
      </c>
      <c r="BA85" s="500">
        <f ca="1">DB85</f>
        <v>942180</v>
      </c>
      <c r="BB85" s="508" t="str">
        <f ca="1">HYPERLINK(DO85,DD85)</f>
        <v xml:space="preserve"> 37</v>
      </c>
      <c r="BC85" s="475" t="str">
        <f ca="1">CY85&amp;" | "&amp;CZ85</f>
        <v>Getreide (Stroh) | 2.1.1 Für Getreidenabau genutzte Flächen</v>
      </c>
      <c r="BI85" s="475" t="s">
        <v>126</v>
      </c>
      <c r="BJ85" s="492" t="str">
        <f>E85</f>
        <v>Getreide-Anbaufl. (Stroh)</v>
      </c>
      <c r="BK85" s="486">
        <f ca="1">K85</f>
        <v>6325023</v>
      </c>
      <c r="BL85" s="486">
        <f ca="1">M85</f>
        <v>6325000</v>
      </c>
      <c r="BM85" s="472">
        <f>D85</f>
        <v>85</v>
      </c>
      <c r="BN85" s="658"/>
      <c r="BO85" s="475" t="s">
        <v>251</v>
      </c>
      <c r="BP85" s="521" t="s">
        <v>313</v>
      </c>
      <c r="CU85" s="476"/>
      <c r="CV85" s="658"/>
      <c r="CW85" s="518">
        <v>27</v>
      </c>
      <c r="CY85" s="472" t="str">
        <f t="shared" ref="CY85:DO85" ca="1" si="43">INDIRECT($CX$1&amp;CY$1&amp;$CW85)</f>
        <v>Getreide (Stroh)</v>
      </c>
      <c r="CZ85" s="472" t="str">
        <f t="shared" ca="1" si="43"/>
        <v>2.1.1 Für Getreidenabau genutzte Flächen</v>
      </c>
      <c r="DA85" s="472">
        <f t="shared" ca="1" si="43"/>
        <v>942180</v>
      </c>
      <c r="DB85" s="472">
        <f t="shared" ca="1" si="43"/>
        <v>942180</v>
      </c>
      <c r="DC85" s="472" t="str">
        <f t="shared" ca="1" si="43"/>
        <v xml:space="preserve"> 36</v>
      </c>
      <c r="DD85" s="472" t="str">
        <f t="shared" ca="1" si="43"/>
        <v xml:space="preserve"> 37</v>
      </c>
      <c r="DE85" s="472" t="str">
        <f t="shared" ca="1" si="43"/>
        <v>SR24</v>
      </c>
      <c r="DF85" s="472" t="str">
        <f t="shared" ca="1" si="43"/>
        <v>SR22</v>
      </c>
      <c r="DG85" s="472" t="str">
        <f t="shared" ca="1" si="43"/>
        <v>SR</v>
      </c>
      <c r="DH85" s="472" t="str">
        <f t="shared" ca="1" si="43"/>
        <v>24</v>
      </c>
      <c r="DI85" s="472" t="str">
        <f t="shared" ca="1" si="43"/>
        <v>[SR.xls]TEXT!Z24S5</v>
      </c>
      <c r="DJ85" s="472" t="str">
        <f t="shared" ca="1" si="43"/>
        <v>SR</v>
      </c>
      <c r="DK85" s="472" t="str">
        <f t="shared" ca="1" si="43"/>
        <v>22</v>
      </c>
      <c r="DL85" s="472" t="str">
        <f t="shared" ca="1" si="43"/>
        <v>[SR.xls]TEXT!Z22S5</v>
      </c>
      <c r="DM85" s="472">
        <f t="shared" ca="1" si="43"/>
        <v>27</v>
      </c>
      <c r="DN85" s="472" t="str">
        <f t="shared" ca="1" si="43"/>
        <v>[Region.xls]PARAMETER!Z36S6</v>
      </c>
      <c r="DO85" s="472" t="str">
        <f t="shared" ca="1" si="43"/>
        <v>[Region.xls]PARAMETER!Z37S6</v>
      </c>
      <c r="DP85" s="472"/>
      <c r="DS85" s="656"/>
      <c r="DV85" s="472"/>
      <c r="DW85" s="472"/>
      <c r="DX85" s="472"/>
      <c r="DY85" s="472"/>
      <c r="DZ85" s="472"/>
      <c r="EA85" s="472"/>
      <c r="EB85" s="472"/>
      <c r="EC85" s="472"/>
      <c r="ED85" s="472"/>
      <c r="EE85" s="472"/>
      <c r="EF85" s="472"/>
      <c r="EG85" s="472"/>
      <c r="EH85" s="472"/>
      <c r="EI85" s="472"/>
      <c r="EJ85" s="472"/>
      <c r="EK85" s="472"/>
      <c r="EV85" s="819">
        <f t="shared" si="34"/>
        <v>85</v>
      </c>
      <c r="EW85" s="819"/>
    </row>
    <row r="86" spans="1:153" s="472" customFormat="1" ht="26">
      <c r="A86" s="654" t="str">
        <f t="shared" ca="1" si="32"/>
        <v>D.1.86</v>
      </c>
      <c r="B86" s="654" t="str">
        <f t="shared" ca="1" si="33"/>
        <v>1.86</v>
      </c>
      <c r="C86" s="654" t="str">
        <f t="shared" si="37"/>
        <v>[86]</v>
      </c>
      <c r="D86" s="654">
        <f>ROW()</f>
        <v>86</v>
      </c>
      <c r="E86" s="1130" t="str">
        <f ca="1">CU86</f>
        <v>- STATUS-Ansatz: Gemäß GENESIS [9.232], Tabelle 33111-01-02-4, in 2016. 
(6.595.447 ha  in 2010).</v>
      </c>
      <c r="F86" s="1130"/>
      <c r="G86" s="1130"/>
      <c r="H86" s="1130"/>
      <c r="I86" s="1130"/>
      <c r="J86" s="1130"/>
      <c r="K86" s="1130"/>
      <c r="L86" s="1130"/>
      <c r="M86" s="1130"/>
      <c r="N86" s="1131"/>
      <c r="O86" s="869">
        <v>86</v>
      </c>
      <c r="P86" s="573" t="str">
        <f ca="1">HYPERLINK(EK86,EJ86)</f>
        <v>9.232</v>
      </c>
      <c r="Q86" s="574" t="str">
        <f>Y86</f>
        <v>33111-01-02-4</v>
      </c>
      <c r="R86" s="852"/>
      <c r="S86" s="784"/>
      <c r="T86" s="864"/>
      <c r="U86" s="1023" t="str">
        <f ca="1">"Gemäß GENESIS ["&amp;P86&amp;"], Tabelle "&amp;Q86&amp;", in "&amp;AD86&amp;". 
("&amp;AG86&amp;" ha  in "&amp;AF86&amp;")."</f>
        <v>Gemäß GENESIS [9.232], Tabelle 33111-01-02-4, in 2016. 
(6.595.447 ha  in 2010).</v>
      </c>
      <c r="V86" s="905" t="s">
        <v>126</v>
      </c>
      <c r="W86" s="1024">
        <f>AE86</f>
        <v>6325023</v>
      </c>
      <c r="X86" s="672">
        <f>'9.Quellen'!C$232</f>
        <v>232</v>
      </c>
      <c r="Y86" s="672" t="s">
        <v>933</v>
      </c>
      <c r="Z86" s="1025"/>
      <c r="AA86" s="658"/>
      <c r="AB86" s="801"/>
      <c r="AC86" s="801"/>
      <c r="AD86" s="840" t="s">
        <v>942</v>
      </c>
      <c r="AE86" s="520">
        <v>6325023</v>
      </c>
      <c r="AF86" s="840" t="s">
        <v>943</v>
      </c>
      <c r="AG86" s="1078" t="s">
        <v>945</v>
      </c>
      <c r="AH86" s="801"/>
      <c r="AI86" s="801"/>
      <c r="AJ86" s="801"/>
      <c r="AK86" s="801"/>
      <c r="AL86" s="801"/>
      <c r="AM86" s="801"/>
      <c r="AN86" s="801"/>
      <c r="AO86" s="801"/>
      <c r="AP86" s="801"/>
      <c r="AQ86" s="801"/>
      <c r="AR86" s="801"/>
      <c r="AS86" s="801"/>
      <c r="AT86" s="801"/>
      <c r="AU86" s="801"/>
      <c r="AV86" s="801"/>
      <c r="BF86" s="473"/>
      <c r="BI86" s="472" t="s">
        <v>126</v>
      </c>
      <c r="BJ86" s="490"/>
      <c r="BN86" s="656"/>
      <c r="BO86" s="472" t="s">
        <v>259</v>
      </c>
      <c r="CU86" s="480" t="str">
        <f ca="1">CG$1&amp;IF(U86="",BF86,U86)</f>
        <v>- STATUS-Ansatz: Gemäß GENESIS [9.232], Tabelle 33111-01-02-4, in 2016. 
(6.595.447 ha  in 2010).</v>
      </c>
      <c r="CV86" s="656"/>
      <c r="CW86" s="480"/>
      <c r="DS86" s="656"/>
      <c r="DT86" s="518">
        <f>I_Basisdaten!A55</f>
        <v>55</v>
      </c>
      <c r="EJ86" s="472" t="str">
        <f ca="1">IF(X86=0,"",EJ$1&amp;X86)</f>
        <v>9.232</v>
      </c>
      <c r="EK86" s="472" t="str">
        <f ca="1">EK$1&amp;X86</f>
        <v>[D_Python.xlsx]9.Quellen!C232</v>
      </c>
      <c r="EV86" s="819">
        <f t="shared" ca="1" si="34"/>
        <v>86</v>
      </c>
      <c r="EW86" s="819"/>
    </row>
    <row r="87" spans="1:153" s="661" customFormat="1" ht="4">
      <c r="A87" s="677" t="str">
        <f t="shared" ca="1" si="32"/>
        <v>D.1.87</v>
      </c>
      <c r="B87" s="677" t="str">
        <f t="shared" ca="1" si="33"/>
        <v>1.87</v>
      </c>
      <c r="C87" s="677" t="str">
        <f t="shared" ref="C87" si="44">CE$1&amp;D87&amp;CF$1</f>
        <v>[87]</v>
      </c>
      <c r="D87" s="677">
        <f>ROW()</f>
        <v>87</v>
      </c>
      <c r="E87" s="680"/>
      <c r="F87" s="680"/>
      <c r="G87" s="680"/>
      <c r="H87" s="680"/>
      <c r="I87" s="679"/>
      <c r="J87" s="679"/>
      <c r="K87" s="679"/>
      <c r="L87" s="679"/>
      <c r="M87" s="679"/>
      <c r="N87" s="680"/>
      <c r="O87" s="871">
        <v>87</v>
      </c>
      <c r="P87" s="688"/>
      <c r="Q87" s="689"/>
      <c r="R87" s="888"/>
      <c r="S87" s="802"/>
      <c r="T87" s="882"/>
      <c r="AB87" s="675"/>
      <c r="AC87" s="675"/>
      <c r="AD87" s="675"/>
      <c r="AE87" s="675"/>
      <c r="AF87" s="675"/>
      <c r="AG87" s="675"/>
      <c r="AH87" s="675"/>
      <c r="AI87" s="675"/>
      <c r="AJ87" s="675"/>
      <c r="AK87" s="675"/>
      <c r="AL87" s="675"/>
      <c r="AM87" s="675"/>
      <c r="AN87" s="675"/>
      <c r="AO87" s="675"/>
      <c r="AP87" s="675"/>
      <c r="AQ87" s="675"/>
      <c r="AR87" s="675"/>
      <c r="AS87" s="675"/>
      <c r="AT87" s="675"/>
      <c r="AU87" s="675"/>
      <c r="AV87" s="675"/>
      <c r="BI87" s="661" t="s">
        <v>126</v>
      </c>
      <c r="BJ87" s="665"/>
      <c r="CU87" s="662"/>
      <c r="CW87" s="662"/>
      <c r="EV87" s="818" t="str">
        <f t="shared" si="34"/>
        <v/>
      </c>
      <c r="EW87" s="818"/>
    </row>
    <row r="88" spans="1:153" s="472" customFormat="1" ht="26">
      <c r="A88" s="654" t="str">
        <f t="shared" ca="1" si="32"/>
        <v>D.1.88</v>
      </c>
      <c r="B88" s="654" t="str">
        <f t="shared" ca="1" si="33"/>
        <v>1.88</v>
      </c>
      <c r="C88" s="654" t="str">
        <f t="shared" si="37"/>
        <v>[88]</v>
      </c>
      <c r="D88" s="654">
        <f>ROW()</f>
        <v>88</v>
      </c>
      <c r="E88" s="1125" t="str">
        <f t="shared" ref="E88" si="45">CU88</f>
        <v>- ZIEL-Ansatz: Da die Einflüsse auf die künftige Entwicklung der Getreideanbaufläche vielfältig, komplex und schwer einschätzbar sind (siehe [371]), ist der Ansatz am obigen Statuswert orientiert.</v>
      </c>
      <c r="F88" s="1125"/>
      <c r="G88" s="1125"/>
      <c r="H88" s="1125"/>
      <c r="I88" s="1125"/>
      <c r="J88" s="1125"/>
      <c r="K88" s="1125"/>
      <c r="L88" s="1125"/>
      <c r="M88" s="1125"/>
      <c r="N88" s="1132"/>
      <c r="O88" s="869">
        <v>88</v>
      </c>
      <c r="P88" s="573" t="str">
        <f ca="1">HYPERLINK(EK88,EJ88)</f>
        <v/>
      </c>
      <c r="Q88" s="574" t="str">
        <f>Y88</f>
        <v xml:space="preserve"> </v>
      </c>
      <c r="R88" s="852"/>
      <c r="S88" s="784"/>
      <c r="T88" s="864"/>
      <c r="U88" s="1023" t="str">
        <f>"Da die Einflüsse auf die künftige Entwicklung der Getreideanbaufläche vielfältig, komplex und schwer einschätzbar sind (siehe "&amp;C371&amp;"), ist der Ansatz am obigen Statuswert orientiert."</f>
        <v>Da die Einflüsse auf die künftige Entwicklung der Getreideanbaufläche vielfältig, komplex und schwer einschätzbar sind (siehe [371]), ist der Ansatz am obigen Statuswert orientiert.</v>
      </c>
      <c r="V88" s="905" t="s">
        <v>126</v>
      </c>
      <c r="W88" s="1024">
        <f>AG88</f>
        <v>6325000</v>
      </c>
      <c r="X88" s="672"/>
      <c r="Y88" s="672" t="s">
        <v>126</v>
      </c>
      <c r="Z88" s="1025"/>
      <c r="AA88" s="905"/>
      <c r="AB88" s="801"/>
      <c r="AC88" s="801"/>
      <c r="AD88" s="801"/>
      <c r="AE88" s="801">
        <f>AE86</f>
        <v>6325023</v>
      </c>
      <c r="AF88" s="801" t="s">
        <v>289</v>
      </c>
      <c r="AG88" s="801">
        <v>6325000</v>
      </c>
      <c r="AH88" s="801" t="s">
        <v>1046</v>
      </c>
      <c r="AI88" s="801"/>
      <c r="AJ88" s="801"/>
      <c r="AK88" s="801"/>
      <c r="AL88" s="801"/>
      <c r="AM88" s="801"/>
      <c r="AN88" s="801"/>
      <c r="AO88" s="801"/>
      <c r="AP88" s="801"/>
      <c r="AQ88" s="801"/>
      <c r="AR88" s="801"/>
      <c r="AS88" s="801"/>
      <c r="AT88" s="801"/>
      <c r="AU88" s="801"/>
      <c r="AV88" s="801"/>
      <c r="BF88" s="473"/>
      <c r="BI88" s="472" t="s">
        <v>126</v>
      </c>
      <c r="BJ88" s="490"/>
      <c r="BN88" s="656"/>
      <c r="BO88" s="472" t="s">
        <v>259</v>
      </c>
      <c r="CU88" s="480" t="str">
        <f>CH$1&amp;IF(U88="",BF88,U88)</f>
        <v>- ZIEL-Ansatz: Da die Einflüsse auf die künftige Entwicklung der Getreideanbaufläche vielfältig, komplex und schwer einschätzbar sind (siehe [371]), ist der Ansatz am obigen Statuswert orientiert.</v>
      </c>
      <c r="CV88" s="656"/>
      <c r="CW88" s="480"/>
      <c r="DS88" s="656"/>
      <c r="DT88" s="518">
        <v>53</v>
      </c>
      <c r="EJ88" s="472" t="str">
        <f>IF(X88=0,"",EJ$1&amp;X88)</f>
        <v/>
      </c>
      <c r="EK88" s="472" t="str">
        <f ca="1">EK$1&amp;X88</f>
        <v>[D_Python.xlsx]9.Quellen!C</v>
      </c>
      <c r="EV88" s="819">
        <f t="shared" si="34"/>
        <v>88</v>
      </c>
      <c r="EW88" s="819"/>
    </row>
    <row r="89" spans="1:153" s="478" customFormat="1" ht="4">
      <c r="A89" s="677" t="str">
        <f t="shared" ca="1" si="32"/>
        <v>D.1.89</v>
      </c>
      <c r="B89" s="677" t="str">
        <f t="shared" ca="1" si="33"/>
        <v>1.89</v>
      </c>
      <c r="C89" s="677" t="str">
        <f t="shared" si="37"/>
        <v>[89]</v>
      </c>
      <c r="D89" s="677">
        <f>ROW()</f>
        <v>89</v>
      </c>
      <c r="E89" s="548"/>
      <c r="F89" s="548"/>
      <c r="G89" s="548"/>
      <c r="H89" s="548"/>
      <c r="I89" s="549"/>
      <c r="J89" s="549"/>
      <c r="K89" s="549"/>
      <c r="L89" s="549"/>
      <c r="M89" s="549"/>
      <c r="N89" s="548"/>
      <c r="O89" s="871">
        <v>89</v>
      </c>
      <c r="P89" s="575"/>
      <c r="Q89" s="576"/>
      <c r="R89" s="888"/>
      <c r="S89" s="802"/>
      <c r="T89" s="882"/>
      <c r="U89" s="661"/>
      <c r="V89" s="661"/>
      <c r="W89" s="661"/>
      <c r="X89" s="661"/>
      <c r="Y89" s="661"/>
      <c r="Z89" s="661"/>
      <c r="AA89" s="661"/>
      <c r="AB89" s="675"/>
      <c r="AC89" s="675"/>
      <c r="AD89" s="675"/>
      <c r="AE89" s="675"/>
      <c r="AF89" s="675"/>
      <c r="AG89" s="675"/>
      <c r="AH89" s="675"/>
      <c r="AI89" s="675"/>
      <c r="AJ89" s="675"/>
      <c r="AK89" s="675"/>
      <c r="AL89" s="675"/>
      <c r="AM89" s="675"/>
      <c r="AN89" s="675"/>
      <c r="AO89" s="675"/>
      <c r="AP89" s="675"/>
      <c r="AQ89" s="675"/>
      <c r="AR89" s="675"/>
      <c r="AS89" s="675"/>
      <c r="AT89" s="675"/>
      <c r="AU89" s="675"/>
      <c r="AV89" s="675"/>
      <c r="AZ89" s="505"/>
      <c r="BB89" s="505"/>
      <c r="BI89" s="478" t="s">
        <v>126</v>
      </c>
      <c r="BJ89" s="489"/>
      <c r="BN89" s="661"/>
      <c r="CU89" s="479"/>
      <c r="CV89" s="661"/>
      <c r="CW89" s="479"/>
      <c r="DS89" s="661"/>
      <c r="EV89" s="818" t="str">
        <f t="shared" si="34"/>
        <v/>
      </c>
      <c r="EW89" s="818"/>
    </row>
    <row r="90" spans="1:153" s="475" customFormat="1" ht="13.5" customHeight="1">
      <c r="A90" s="654" t="str">
        <f t="shared" ca="1" si="32"/>
        <v>D.1.90</v>
      </c>
      <c r="B90" s="654" t="str">
        <f t="shared" ca="1" si="33"/>
        <v>1.90</v>
      </c>
      <c r="C90" s="654" t="str">
        <f t="shared" si="37"/>
        <v>[90]</v>
      </c>
      <c r="D90" s="654">
        <f>ROW()</f>
        <v>90</v>
      </c>
      <c r="E90" s="1129" t="str">
        <f>BP90</f>
        <v>Dauergrünland</v>
      </c>
      <c r="F90" s="1129"/>
      <c r="G90" s="1129"/>
      <c r="H90" s="1129"/>
      <c r="I90" s="1129"/>
      <c r="J90" s="471" t="s">
        <v>272</v>
      </c>
      <c r="K90" s="546">
        <f ca="1">INDIRECT($W$1&amp;U90)</f>
        <v>4715000</v>
      </c>
      <c r="L90" s="485" t="str">
        <f ca="1">HYPERLINK($CK$1&amp;U90,$CE$1&amp;U90&amp;$CF$1)</f>
        <v>[91]</v>
      </c>
      <c r="M90" s="547">
        <f ca="1">INDIRECT($W$1&amp;W90)</f>
        <v>4486611.8804331273</v>
      </c>
      <c r="N90" s="533" t="str">
        <f ca="1">HYPERLINK($CK$1&amp;W90,$CE$1&amp;W90&amp;$CF$1)</f>
        <v>[93]</v>
      </c>
      <c r="O90" s="869">
        <v>90</v>
      </c>
      <c r="P90" s="570"/>
      <c r="Q90" s="583"/>
      <c r="R90" s="852"/>
      <c r="S90" s="784"/>
      <c r="T90" s="864"/>
      <c r="U90" s="672">
        <f>D91</f>
        <v>91</v>
      </c>
      <c r="V90" s="905" t="s">
        <v>126</v>
      </c>
      <c r="W90" s="672">
        <f>D93</f>
        <v>93</v>
      </c>
      <c r="X90" s="658"/>
      <c r="Y90" s="658"/>
      <c r="Z90" s="658"/>
      <c r="AA90" s="658"/>
      <c r="AB90" s="801"/>
      <c r="AC90" s="801"/>
      <c r="AD90" s="674"/>
      <c r="AE90" s="674"/>
      <c r="AF90" s="674"/>
      <c r="AG90" s="674"/>
      <c r="AH90" s="674"/>
      <c r="AI90" s="674"/>
      <c r="AJ90" s="674"/>
      <c r="AK90" s="674"/>
      <c r="AL90" s="674"/>
      <c r="AM90" s="674"/>
      <c r="AN90" s="674"/>
      <c r="AO90" s="674"/>
      <c r="AP90" s="674"/>
      <c r="AQ90" s="674"/>
      <c r="AR90" s="674"/>
      <c r="AS90" s="674"/>
      <c r="AT90" s="674"/>
      <c r="AU90" s="674"/>
      <c r="AV90" s="674"/>
      <c r="AX90" s="475" t="s">
        <v>244</v>
      </c>
      <c r="AY90" s="500" t="e">
        <f ca="1">DA90</f>
        <v>#REF!</v>
      </c>
      <c r="AZ90" s="508" t="e">
        <f ca="1">HYPERLINK(DN90,DC90)</f>
        <v>#REF!</v>
      </c>
      <c r="BA90" s="500" t="e">
        <f ca="1">DB90</f>
        <v>#REF!</v>
      </c>
      <c r="BB90" s="508" t="e">
        <f ca="1">HYPERLINK(DO90,DD90)</f>
        <v>#REF!</v>
      </c>
      <c r="BC90" s="475" t="e">
        <f ca="1">CY90&amp;" | "&amp;CZ90</f>
        <v>#REF!</v>
      </c>
      <c r="BI90" s="475" t="s">
        <v>126</v>
      </c>
      <c r="BJ90" s="492" t="str">
        <f>E90</f>
        <v>Dauergrünland</v>
      </c>
      <c r="BK90" s="486">
        <f ca="1">K90</f>
        <v>4715000</v>
      </c>
      <c r="BL90" s="486">
        <f ca="1">M90</f>
        <v>4486611.8804331273</v>
      </c>
      <c r="BM90" s="472">
        <f>D90</f>
        <v>90</v>
      </c>
      <c r="BN90" s="658"/>
      <c r="BO90" s="475" t="s">
        <v>251</v>
      </c>
      <c r="BP90" s="521" t="s">
        <v>310</v>
      </c>
      <c r="CU90" s="476"/>
      <c r="CV90" s="658"/>
      <c r="CW90" s="518"/>
      <c r="CY90" s="472" t="e">
        <f t="shared" ref="CY90:DO90" ca="1" si="46">INDIRECT($CX$1&amp;CY$1&amp;$CW90)</f>
        <v>#REF!</v>
      </c>
      <c r="CZ90" s="472" t="e">
        <f t="shared" ca="1" si="46"/>
        <v>#REF!</v>
      </c>
      <c r="DA90" s="472" t="e">
        <f t="shared" ca="1" si="46"/>
        <v>#REF!</v>
      </c>
      <c r="DB90" s="472" t="e">
        <f t="shared" ca="1" si="46"/>
        <v>#REF!</v>
      </c>
      <c r="DC90" s="472" t="e">
        <f t="shared" ca="1" si="46"/>
        <v>#REF!</v>
      </c>
      <c r="DD90" s="472" t="e">
        <f t="shared" ca="1" si="46"/>
        <v>#REF!</v>
      </c>
      <c r="DE90" s="472" t="e">
        <f t="shared" ca="1" si="46"/>
        <v>#REF!</v>
      </c>
      <c r="DF90" s="472" t="e">
        <f t="shared" ca="1" si="46"/>
        <v>#REF!</v>
      </c>
      <c r="DG90" s="472" t="e">
        <f t="shared" ca="1" si="46"/>
        <v>#REF!</v>
      </c>
      <c r="DH90" s="472" t="e">
        <f t="shared" ca="1" si="46"/>
        <v>#REF!</v>
      </c>
      <c r="DI90" s="472" t="e">
        <f t="shared" ca="1" si="46"/>
        <v>#REF!</v>
      </c>
      <c r="DJ90" s="472" t="e">
        <f t="shared" ca="1" si="46"/>
        <v>#REF!</v>
      </c>
      <c r="DK90" s="472" t="e">
        <f t="shared" ca="1" si="46"/>
        <v>#REF!</v>
      </c>
      <c r="DL90" s="472" t="e">
        <f t="shared" ca="1" si="46"/>
        <v>#REF!</v>
      </c>
      <c r="DM90" s="472" t="e">
        <f t="shared" ca="1" si="46"/>
        <v>#REF!</v>
      </c>
      <c r="DN90" s="472" t="e">
        <f t="shared" ca="1" si="46"/>
        <v>#REF!</v>
      </c>
      <c r="DO90" s="472" t="e">
        <f t="shared" ca="1" si="46"/>
        <v>#REF!</v>
      </c>
      <c r="DP90" s="472"/>
      <c r="DS90" s="656"/>
      <c r="DV90" s="472"/>
      <c r="DW90" s="472"/>
      <c r="DX90" s="472"/>
      <c r="DY90" s="472"/>
      <c r="DZ90" s="472"/>
      <c r="EA90" s="472"/>
      <c r="EB90" s="472"/>
      <c r="EC90" s="472"/>
      <c r="ED90" s="472"/>
      <c r="EE90" s="472"/>
      <c r="EF90" s="472"/>
      <c r="EG90" s="472"/>
      <c r="EH90" s="472"/>
      <c r="EI90" s="472"/>
      <c r="EJ90" s="472"/>
      <c r="EK90" s="472"/>
      <c r="EV90" s="819">
        <f t="shared" si="34"/>
        <v>90</v>
      </c>
      <c r="EW90" s="819"/>
    </row>
    <row r="91" spans="1:153" s="472" customFormat="1" ht="15" customHeight="1">
      <c r="A91" s="654" t="str">
        <f t="shared" ca="1" si="32"/>
        <v>D.1.91</v>
      </c>
      <c r="B91" s="654" t="str">
        <f t="shared" ca="1" si="33"/>
        <v>1.91</v>
      </c>
      <c r="C91" s="654" t="str">
        <f t="shared" si="37"/>
        <v>[91]</v>
      </c>
      <c r="D91" s="654">
        <f>ROW()</f>
        <v>91</v>
      </c>
      <c r="E91" s="1130" t="str">
        <f ca="1">CU91</f>
        <v>- STATUS-Ansatz: Gemäß DESTATIS [9.235], Tabelle DE0103, in 2017. 
( ha  in ).</v>
      </c>
      <c r="F91" s="1130"/>
      <c r="G91" s="1130"/>
      <c r="H91" s="1130"/>
      <c r="I91" s="1130"/>
      <c r="J91" s="1130"/>
      <c r="K91" s="1130"/>
      <c r="L91" s="1130"/>
      <c r="M91" s="1130"/>
      <c r="N91" s="1131"/>
      <c r="O91" s="869">
        <v>91</v>
      </c>
      <c r="P91" s="573" t="str">
        <f ca="1">HYPERLINK(EK91,EJ91)</f>
        <v>9.235</v>
      </c>
      <c r="Q91" s="574" t="str">
        <f>Y91</f>
        <v>DE0103</v>
      </c>
      <c r="R91" s="852"/>
      <c r="S91" s="784"/>
      <c r="T91" s="864"/>
      <c r="U91" s="1023" t="str">
        <f ca="1">"Gemäß DESTATIS ["&amp;P91&amp;"], Tabelle "&amp;Q91&amp;", in "&amp;AD91&amp;". 
("&amp;AG91&amp;" ha  in "&amp;AF91&amp;")."</f>
        <v>Gemäß DESTATIS [9.235], Tabelle DE0103, in 2017. 
( ha  in ).</v>
      </c>
      <c r="V91" s="905" t="s">
        <v>126</v>
      </c>
      <c r="W91" s="1024">
        <f>AE91</f>
        <v>4715000</v>
      </c>
      <c r="X91" s="672">
        <f>'9.Quellen'!C235</f>
        <v>235</v>
      </c>
      <c r="Y91" s="672" t="s">
        <v>946</v>
      </c>
      <c r="Z91" s="1025"/>
      <c r="AA91" s="658"/>
      <c r="AB91" s="801"/>
      <c r="AC91" s="1020"/>
      <c r="AD91" s="840" t="s">
        <v>949</v>
      </c>
      <c r="AE91" s="520">
        <v>4715000</v>
      </c>
      <c r="AF91" s="779"/>
      <c r="AG91" s="780"/>
      <c r="AH91" s="801"/>
      <c r="AI91" s="801"/>
      <c r="AJ91" s="801"/>
      <c r="AK91" s="801"/>
      <c r="AL91" s="801"/>
      <c r="AM91" s="801"/>
      <c r="AN91" s="801"/>
      <c r="AO91" s="801"/>
      <c r="AP91" s="801"/>
      <c r="AQ91" s="801"/>
      <c r="AR91" s="801"/>
      <c r="AS91" s="801"/>
      <c r="AT91" s="801"/>
      <c r="AU91" s="801"/>
      <c r="AV91" s="801"/>
      <c r="BF91" s="473"/>
      <c r="BI91" s="472" t="s">
        <v>126</v>
      </c>
      <c r="BJ91" s="490"/>
      <c r="BN91" s="656"/>
      <c r="BO91" s="472" t="s">
        <v>259</v>
      </c>
      <c r="CU91" s="480" t="str">
        <f ca="1">CG$1&amp;IF(U91="",BF91,U91)</f>
        <v>- STATUS-Ansatz: Gemäß DESTATIS [9.235], Tabelle DE0103, in 2017. 
( ha  in ).</v>
      </c>
      <c r="CV91" s="656"/>
      <c r="CW91" s="480"/>
      <c r="DS91" s="656"/>
      <c r="EJ91" s="472" t="str">
        <f ca="1">IF(X91=0,"",EJ$1&amp;X91)</f>
        <v>9.235</v>
      </c>
      <c r="EK91" s="472" t="str">
        <f ca="1">EK$1&amp;X91</f>
        <v>[D_Python.xlsx]9.Quellen!C235</v>
      </c>
      <c r="EV91" s="819">
        <f t="shared" ca="1" si="34"/>
        <v>91</v>
      </c>
      <c r="EW91" s="819"/>
    </row>
    <row r="92" spans="1:153" s="661" customFormat="1" ht="4">
      <c r="A92" s="677" t="str">
        <f t="shared" ca="1" si="32"/>
        <v>D.1.92</v>
      </c>
      <c r="B92" s="677" t="str">
        <f t="shared" ca="1" si="33"/>
        <v>1.92</v>
      </c>
      <c r="C92" s="677" t="str">
        <f t="shared" si="37"/>
        <v>[92]</v>
      </c>
      <c r="D92" s="677">
        <f>ROW()</f>
        <v>92</v>
      </c>
      <c r="E92" s="680"/>
      <c r="F92" s="680"/>
      <c r="G92" s="680"/>
      <c r="H92" s="680"/>
      <c r="I92" s="679"/>
      <c r="J92" s="679"/>
      <c r="K92" s="679"/>
      <c r="L92" s="679"/>
      <c r="M92" s="679"/>
      <c r="N92" s="680"/>
      <c r="O92" s="871">
        <v>92</v>
      </c>
      <c r="P92" s="688"/>
      <c r="Q92" s="689"/>
      <c r="R92" s="888"/>
      <c r="S92" s="802"/>
      <c r="T92" s="882"/>
      <c r="AB92" s="675"/>
      <c r="AC92" s="675"/>
      <c r="AD92" s="675"/>
      <c r="AE92" s="675"/>
      <c r="AF92" s="675"/>
      <c r="AG92" s="675"/>
      <c r="AH92" s="675"/>
      <c r="AI92" s="675"/>
      <c r="AJ92" s="675"/>
      <c r="AK92" s="675"/>
      <c r="AL92" s="675"/>
      <c r="AM92" s="675"/>
      <c r="AN92" s="675"/>
      <c r="AO92" s="675"/>
      <c r="AP92" s="675"/>
      <c r="AQ92" s="675"/>
      <c r="AR92" s="675"/>
      <c r="AS92" s="675"/>
      <c r="AT92" s="675"/>
      <c r="AU92" s="675"/>
      <c r="AV92" s="675"/>
      <c r="BI92" s="661" t="s">
        <v>126</v>
      </c>
      <c r="BJ92" s="665"/>
      <c r="CU92" s="662"/>
      <c r="CW92" s="662"/>
      <c r="EV92" s="818" t="str">
        <f t="shared" si="34"/>
        <v/>
      </c>
      <c r="EW92" s="818"/>
    </row>
    <row r="93" spans="1:153" s="472" customFormat="1" ht="52">
      <c r="A93" s="654" t="str">
        <f t="shared" ca="1" si="32"/>
        <v>D.1.93</v>
      </c>
      <c r="B93" s="654" t="str">
        <f t="shared" ca="1" si="33"/>
        <v>1.93</v>
      </c>
      <c r="C93" s="654" t="str">
        <f t="shared" si="37"/>
        <v>[93]</v>
      </c>
      <c r="D93" s="654">
        <f>ROW()</f>
        <v>93</v>
      </c>
      <c r="E93" s="1125" t="str">
        <f>CU93</f>
        <v>- ZIEL-Ansatz: 4.486.612 ha resultieren aus der Annahme einer gleichbleibenden Dauergrünlandfläche [94], wovon allerdings 228.388 ha  belegt sind mit der Hälfte des Zuwachses an Freiflächen-Solaranlagen [129]. Wenn organische Böden dafür vorgesehen werden, bietet sich diese Fläche an zur Wiedervernässung als Beitrag zum Klimaschutz.</v>
      </c>
      <c r="F93" s="1125"/>
      <c r="G93" s="1125"/>
      <c r="H93" s="1125"/>
      <c r="I93" s="1125"/>
      <c r="J93" s="1125"/>
      <c r="K93" s="1125"/>
      <c r="L93" s="1125"/>
      <c r="M93" s="1125"/>
      <c r="N93" s="1132"/>
      <c r="O93" s="869">
        <v>93</v>
      </c>
      <c r="P93" s="573" t="str">
        <f ca="1">HYPERLINK(EK93,EJ93)</f>
        <v/>
      </c>
      <c r="Q93" s="574" t="str">
        <f>Y93</f>
        <v xml:space="preserve"> </v>
      </c>
      <c r="R93" s="852"/>
      <c r="S93" s="784"/>
      <c r="T93" s="864"/>
      <c r="U93" s="1023" t="str">
        <f>TEXT(W93,"0.000")&amp;" ha resultieren aus der Annahme einer gleichbleibenden Dauergrünlandfläche "&amp;C94&amp;", wovon allerdings "&amp;TEXT(AF93,"0.000")&amp;AG93&amp;" belegt sind mit der Hälfte des Zuwachses an Freiflächen-Solaranlagen "&amp;C129&amp;". Wenn organische Böden dafür vorgesehen werden, bietet sich diese Fläche an zur Wiedervernässung als Beitrag zum Klimaschutz."</f>
        <v>4.486.612 ha resultieren aus der Annahme einer gleichbleibenden Dauergrünlandfläche [94], wovon allerdings 228.388 ha  belegt sind mit der Hälfte des Zuwachses an Freiflächen-Solaranlagen [129]. Wenn organische Böden dafür vorgesehen werden, bietet sich diese Fläche an zur Wiedervernässung als Beitrag zum Klimaschutz.</v>
      </c>
      <c r="V93" s="905" t="s">
        <v>126</v>
      </c>
      <c r="W93" s="1024">
        <f>AH93</f>
        <v>4486611.8804331273</v>
      </c>
      <c r="X93" s="672"/>
      <c r="Y93" s="672" t="s">
        <v>126</v>
      </c>
      <c r="Z93" s="1025"/>
      <c r="AA93" s="905"/>
      <c r="AB93" s="801"/>
      <c r="AC93" s="1020"/>
      <c r="AD93" s="687">
        <f>W91</f>
        <v>4715000</v>
      </c>
      <c r="AE93" s="801"/>
      <c r="AF93" s="801">
        <f>(W133)/2</f>
        <v>228388.11956687298</v>
      </c>
      <c r="AG93" s="801" t="s">
        <v>382</v>
      </c>
      <c r="AH93" s="687">
        <f>AD93-AF93</f>
        <v>4486611.8804331273</v>
      </c>
      <c r="AI93" s="801"/>
      <c r="AJ93" s="801"/>
      <c r="AK93" s="801"/>
      <c r="AL93" s="801"/>
      <c r="AM93" s="801"/>
      <c r="AN93" s="801"/>
      <c r="AO93" s="801"/>
      <c r="AP93" s="801"/>
      <c r="AQ93" s="801"/>
      <c r="AR93" s="801"/>
      <c r="AS93" s="801"/>
      <c r="AT93" s="801"/>
      <c r="AU93" s="801"/>
      <c r="AV93" s="801"/>
      <c r="BF93" s="473"/>
      <c r="BI93" s="472" t="s">
        <v>126</v>
      </c>
      <c r="BJ93" s="490"/>
      <c r="BN93" s="656"/>
      <c r="BO93" s="472" t="s">
        <v>259</v>
      </c>
      <c r="CU93" s="480" t="str">
        <f>CH$1&amp;IF(U93="",BF93,U93)</f>
        <v>- ZIEL-Ansatz: 4.486.612 ha resultieren aus der Annahme einer gleichbleibenden Dauergrünlandfläche [94], wovon allerdings 228.388 ha  belegt sind mit der Hälfte des Zuwachses an Freiflächen-Solaranlagen [129]. Wenn organische Böden dafür vorgesehen werden, bietet sich diese Fläche an zur Wiedervernässung als Beitrag zum Klimaschutz.</v>
      </c>
      <c r="CV93" s="656"/>
      <c r="CW93" s="480"/>
      <c r="DS93" s="656"/>
      <c r="EJ93" s="472" t="str">
        <f>IF(X93=0,"",EJ$1&amp;X93)</f>
        <v/>
      </c>
      <c r="EK93" s="472" t="str">
        <f ca="1">EK$1&amp;X93</f>
        <v>[D_Python.xlsx]9.Quellen!C</v>
      </c>
      <c r="EV93" s="819">
        <f t="shared" si="34"/>
        <v>93</v>
      </c>
      <c r="EW93" s="819"/>
    </row>
    <row r="94" spans="1:153" s="656" customFormat="1" ht="78">
      <c r="A94" s="654" t="str">
        <f t="shared" ca="1" si="32"/>
        <v>D.1.94</v>
      </c>
      <c r="B94" s="654" t="str">
        <f t="shared" ca="1" si="33"/>
        <v>1.94</v>
      </c>
      <c r="C94" s="654" t="str">
        <f t="shared" si="37"/>
        <v>[94]</v>
      </c>
      <c r="D94" s="654">
        <f>ROW()</f>
        <v>94</v>
      </c>
      <c r="E94" s="1125" t="str">
        <f t="shared" ref="E94" ca="1" si="47">CU94</f>
        <v>Ausgehend vom Jahr 1990 ist in Niedersachsen eine stetige Abnahme der Dauergrünlandnutzung von anfänglich 910.000 ha [9.147], Tab. AC1002.x  auf 691.600 ha [9.105] zu verzeichnen. Der mit der Umwandlung ehemaliger Moorflächen in Ackerland verbundene Anstieg der Treibhausgas-Emmissionen wird aus Klimaschutz-Gründen als nicht fortsetzbar angesehen, hier wird für Deutschland von einer gleichbleibenden Fläche ausgegangen. Es könnte sich allerdings zeigen, dass für den Klimaschutz eine Ausweitung und Wiedervernässung organischer Böden unumgänglich ist.</v>
      </c>
      <c r="F94" s="1125"/>
      <c r="G94" s="1125"/>
      <c r="H94" s="1125"/>
      <c r="I94" s="1125"/>
      <c r="J94" s="1125"/>
      <c r="K94" s="1125"/>
      <c r="L94" s="1125"/>
      <c r="M94" s="1125"/>
      <c r="N94" s="1132"/>
      <c r="O94" s="869">
        <v>94</v>
      </c>
      <c r="P94" s="691" t="str">
        <f ca="1">HYPERLINK(EK94,EJ94)</f>
        <v>9.147</v>
      </c>
      <c r="Q94" s="692" t="str">
        <f>Y94</f>
        <v>Tab. AC1002.x</v>
      </c>
      <c r="R94" s="852"/>
      <c r="S94" s="784"/>
      <c r="T94" s="864"/>
      <c r="U94" s="1023" t="str">
        <f ca="1">"Ausgehend vom Jahr 1990 ist in Niedersachsen eine stetige Abnahme der Dauergrünlandnutzung von anfänglich 910.000 ha ["&amp;P94&amp;"], "&amp;Q94&amp;"  auf "&amp;TEXT(AD94,"0.000")&amp;" ha ["&amp;'9.Quellen'!B105&amp;"] zu verzeichnen. Der mit der Umwandlung ehemaliger Moorflächen in Ackerland verbundene Anstieg der Treibhausgas-Emmissionen wird aus Klimaschutz-Gründen als nicht fortsetzbar angesehen, "&amp;"hier wird für Deutschland von einer gleichbleibenden Fläche ausgegangen. Es könnte sich allerdings zeigen, dass für den Klimaschutz eine Ausweitung und Wiedervernässung organischer Böden unumgänglich ist."</f>
        <v>Ausgehend vom Jahr 1990 ist in Niedersachsen eine stetige Abnahme der Dauergrünlandnutzung von anfänglich 910.000 ha [9.147], Tab. AC1002.x  auf 691.600 ha [9.105] zu verzeichnen. Der mit der Umwandlung ehemaliger Moorflächen in Ackerland verbundene Anstieg der Treibhausgas-Emmissionen wird aus Klimaschutz-Gründen als nicht fortsetzbar angesehen, hier wird für Deutschland von einer gleichbleibenden Fläche ausgegangen. Es könnte sich allerdings zeigen, dass für den Klimaschutz eine Ausweitung und Wiedervernässung organischer Böden unumgänglich ist.</v>
      </c>
      <c r="V94" s="905" t="s">
        <v>126</v>
      </c>
      <c r="W94" s="1025"/>
      <c r="X94" s="672">
        <f>'9.Quellen'!C147</f>
        <v>147</v>
      </c>
      <c r="Y94" s="672" t="s">
        <v>734</v>
      </c>
      <c r="Z94" s="1025"/>
      <c r="AA94" s="905"/>
      <c r="AB94" s="801"/>
      <c r="AC94" s="801"/>
      <c r="AD94" s="687">
        <v>691600</v>
      </c>
      <c r="AE94" s="801"/>
      <c r="AF94" s="801"/>
      <c r="AG94" s="801"/>
      <c r="AH94" s="687"/>
      <c r="AI94" s="801"/>
      <c r="AJ94" s="801"/>
      <c r="AK94" s="801"/>
      <c r="AL94" s="801"/>
      <c r="AM94" s="801"/>
      <c r="AN94" s="801"/>
      <c r="AO94" s="801"/>
      <c r="AP94" s="801"/>
      <c r="AQ94" s="801"/>
      <c r="AR94" s="801"/>
      <c r="AS94" s="801"/>
      <c r="AT94" s="801"/>
      <c r="AU94" s="801"/>
      <c r="AV94" s="801"/>
      <c r="BF94" s="657" t="s">
        <v>126</v>
      </c>
      <c r="BI94" s="656" t="s">
        <v>126</v>
      </c>
      <c r="BJ94" s="666"/>
      <c r="BO94" s="656" t="s">
        <v>259</v>
      </c>
      <c r="BQ94" s="678" t="s">
        <v>271</v>
      </c>
      <c r="CU94" s="663" t="str">
        <f ca="1">IF(U94="",BF94,U94)</f>
        <v>Ausgehend vom Jahr 1990 ist in Niedersachsen eine stetige Abnahme der Dauergrünlandnutzung von anfänglich 910.000 ha [9.147], Tab. AC1002.x  auf 691.600 ha [9.105] zu verzeichnen. Der mit der Umwandlung ehemaliger Moorflächen in Ackerland verbundene Anstieg der Treibhausgas-Emmissionen wird aus Klimaschutz-Gründen als nicht fortsetzbar angesehen, hier wird für Deutschland von einer gleichbleibenden Fläche ausgegangen. Es könnte sich allerdings zeigen, dass für den Klimaschutz eine Ausweitung und Wiedervernässung organischer Böden unumgänglich ist.</v>
      </c>
      <c r="CW94" s="663"/>
      <c r="EJ94" s="656" t="str">
        <f ca="1">IF(X94=0,"",EJ$1&amp;X94)</f>
        <v>9.147</v>
      </c>
      <c r="EK94" s="656" t="str">
        <f ca="1">EK$1&amp;X94</f>
        <v>[D_Python.xlsx]9.Quellen!C147</v>
      </c>
      <c r="EV94" s="819">
        <f t="shared" ca="1" si="34"/>
        <v>94</v>
      </c>
      <c r="EW94" s="819"/>
    </row>
    <row r="95" spans="1:153" s="478" customFormat="1" ht="4">
      <c r="A95" s="677" t="str">
        <f t="shared" ca="1" si="32"/>
        <v>D.1.95</v>
      </c>
      <c r="B95" s="677" t="str">
        <f t="shared" ca="1" si="33"/>
        <v>1.95</v>
      </c>
      <c r="C95" s="677" t="str">
        <f t="shared" si="37"/>
        <v>[95]</v>
      </c>
      <c r="D95" s="677">
        <f>ROW()</f>
        <v>95</v>
      </c>
      <c r="E95" s="548"/>
      <c r="F95" s="548"/>
      <c r="G95" s="548"/>
      <c r="H95" s="548"/>
      <c r="I95" s="549"/>
      <c r="J95" s="549"/>
      <c r="K95" s="549"/>
      <c r="L95" s="549"/>
      <c r="M95" s="549"/>
      <c r="N95" s="548"/>
      <c r="O95" s="871">
        <v>95</v>
      </c>
      <c r="P95" s="575"/>
      <c r="Q95" s="576"/>
      <c r="R95" s="888"/>
      <c r="S95" s="802"/>
      <c r="T95" s="882"/>
      <c r="U95" s="661"/>
      <c r="V95" s="661"/>
      <c r="W95" s="661"/>
      <c r="X95" s="661"/>
      <c r="Y95" s="661"/>
      <c r="Z95" s="661"/>
      <c r="AA95" s="661"/>
      <c r="AB95" s="675"/>
      <c r="AC95" s="675"/>
      <c r="AD95" s="675"/>
      <c r="AE95" s="675"/>
      <c r="AF95" s="675"/>
      <c r="AG95" s="675"/>
      <c r="AH95" s="675"/>
      <c r="AI95" s="675"/>
      <c r="AJ95" s="675"/>
      <c r="AK95" s="675"/>
      <c r="AL95" s="675"/>
      <c r="AM95" s="675"/>
      <c r="AN95" s="675"/>
      <c r="AO95" s="675"/>
      <c r="AP95" s="675"/>
      <c r="AQ95" s="675"/>
      <c r="AR95" s="675"/>
      <c r="AS95" s="675"/>
      <c r="AT95" s="675"/>
      <c r="AU95" s="675"/>
      <c r="AV95" s="675"/>
      <c r="AZ95" s="505"/>
      <c r="BB95" s="505"/>
      <c r="BI95" s="478" t="s">
        <v>126</v>
      </c>
      <c r="BJ95" s="489"/>
      <c r="BN95" s="661"/>
      <c r="CU95" s="479"/>
      <c r="CV95" s="661"/>
      <c r="CW95" s="479"/>
      <c r="DS95" s="661"/>
      <c r="EV95" s="818" t="str">
        <f t="shared" si="34"/>
        <v/>
      </c>
      <c r="EW95" s="818"/>
    </row>
    <row r="96" spans="1:153" s="475" customFormat="1" ht="13.5" customHeight="1">
      <c r="A96" s="654" t="str">
        <f t="shared" ca="1" si="32"/>
        <v>D.1.96</v>
      </c>
      <c r="B96" s="654" t="str">
        <f t="shared" ca="1" si="33"/>
        <v>1.96</v>
      </c>
      <c r="C96" s="654" t="str">
        <f t="shared" si="37"/>
        <v>[96]</v>
      </c>
      <c r="D96" s="654">
        <f>ROW()</f>
        <v>96</v>
      </c>
      <c r="E96" s="1129" t="str">
        <f>BP96</f>
        <v>Waldfläche</v>
      </c>
      <c r="F96" s="1129"/>
      <c r="G96" s="1129"/>
      <c r="H96" s="1129"/>
      <c r="I96" s="1129"/>
      <c r="J96" s="471" t="s">
        <v>272</v>
      </c>
      <c r="K96" s="546">
        <f ca="1">INDIRECT($W$1&amp;U96)</f>
        <v>10617013</v>
      </c>
      <c r="L96" s="485" t="str">
        <f ca="1">HYPERLINK($CK$1&amp;U96,$CE$1&amp;U96&amp;$CF$1)</f>
        <v>[97]</v>
      </c>
      <c r="M96" s="547">
        <f ca="1">INDIRECT($W$1&amp;W96)</f>
        <v>10617013</v>
      </c>
      <c r="N96" s="533" t="str">
        <f ca="1">HYPERLINK($CK$1&amp;W96,$CE$1&amp;W96&amp;$CF$1)</f>
        <v>[100]</v>
      </c>
      <c r="O96" s="869">
        <v>96</v>
      </c>
      <c r="P96" s="570"/>
      <c r="Q96" s="583"/>
      <c r="R96" s="852"/>
      <c r="S96" s="784"/>
      <c r="T96" s="864"/>
      <c r="U96" s="672">
        <f>D97</f>
        <v>97</v>
      </c>
      <c r="V96" s="905" t="s">
        <v>126</v>
      </c>
      <c r="W96" s="672">
        <f>D100</f>
        <v>100</v>
      </c>
      <c r="X96" s="658"/>
      <c r="Y96" s="658"/>
      <c r="Z96" s="658"/>
      <c r="AA96" s="658"/>
      <c r="AB96" s="801"/>
      <c r="AC96" s="801"/>
      <c r="AD96" s="674"/>
      <c r="AE96" s="674"/>
      <c r="AF96" s="674"/>
      <c r="AG96" s="674"/>
      <c r="AH96" s="674"/>
      <c r="AI96" s="674"/>
      <c r="AJ96" s="674"/>
      <c r="AK96" s="674"/>
      <c r="AL96" s="674"/>
      <c r="AM96" s="674"/>
      <c r="AN96" s="674"/>
      <c r="AO96" s="674"/>
      <c r="AP96" s="674"/>
      <c r="AQ96" s="674"/>
      <c r="AR96" s="674"/>
      <c r="AS96" s="674"/>
      <c r="AT96" s="674"/>
      <c r="AU96" s="674"/>
      <c r="AV96" s="674"/>
      <c r="AX96" s="475" t="s">
        <v>244</v>
      </c>
      <c r="AY96" s="500">
        <f ca="1">DA96</f>
        <v>1042106</v>
      </c>
      <c r="AZ96" s="508" t="str">
        <f ca="1">HYPERLINK(DN96,DC96)</f>
        <v xml:space="preserve"> 72</v>
      </c>
      <c r="BA96" s="500">
        <f ca="1">DB96</f>
        <v>1042106</v>
      </c>
      <c r="BB96" s="508" t="str">
        <f ca="1">HYPERLINK(DO96,DD96)</f>
        <v xml:space="preserve"> 73</v>
      </c>
      <c r="BC96" s="475" t="str">
        <f ca="1">CY96&amp;" | "&amp;CZ96</f>
        <v xml:space="preserve"> FL3 | 2.2. Waldflächen</v>
      </c>
      <c r="BI96" s="475" t="s">
        <v>126</v>
      </c>
      <c r="BJ96" s="492" t="str">
        <f>E96</f>
        <v>Waldfläche</v>
      </c>
      <c r="BK96" s="486">
        <f ca="1">K96</f>
        <v>10617013</v>
      </c>
      <c r="BL96" s="486">
        <f ca="1">M96</f>
        <v>10617013</v>
      </c>
      <c r="BM96" s="472">
        <f>D96</f>
        <v>96</v>
      </c>
      <c r="BN96" s="658"/>
      <c r="BO96" s="475" t="s">
        <v>251</v>
      </c>
      <c r="BP96" s="521" t="s">
        <v>125</v>
      </c>
      <c r="CU96" s="476"/>
      <c r="CV96" s="658"/>
      <c r="CW96" s="518">
        <v>24</v>
      </c>
      <c r="CY96" s="472" t="str">
        <f t="shared" ref="CY96:DO96" ca="1" si="48">INDIRECT($CX$1&amp;CY$1&amp;$CW96)</f>
        <v xml:space="preserve"> FL3</v>
      </c>
      <c r="CZ96" s="472" t="str">
        <f t="shared" ca="1" si="48"/>
        <v>2.2. Waldflächen</v>
      </c>
      <c r="DA96" s="472">
        <f t="shared" ca="1" si="48"/>
        <v>1042106</v>
      </c>
      <c r="DB96" s="472">
        <f t="shared" ca="1" si="48"/>
        <v>1042106</v>
      </c>
      <c r="DC96" s="472" t="str">
        <f t="shared" ca="1" si="48"/>
        <v xml:space="preserve"> 72</v>
      </c>
      <c r="DD96" s="472" t="str">
        <f t="shared" ca="1" si="48"/>
        <v xml:space="preserve"> 73</v>
      </c>
      <c r="DE96" s="472" t="str">
        <f t="shared" ca="1" si="48"/>
        <v>Ba244</v>
      </c>
      <c r="DF96" s="472" t="str">
        <f t="shared" ca="1" si="48"/>
        <v>Ba246</v>
      </c>
      <c r="DG96" s="472" t="str">
        <f t="shared" ca="1" si="48"/>
        <v>Ba</v>
      </c>
      <c r="DH96" s="472" t="str">
        <f t="shared" ca="1" si="48"/>
        <v>244</v>
      </c>
      <c r="DI96" s="472" t="str">
        <f t="shared" ca="1" si="48"/>
        <v>[Ba.xls]TEXT!Z244S5</v>
      </c>
      <c r="DJ96" s="472" t="str">
        <f t="shared" ca="1" si="48"/>
        <v>Ba</v>
      </c>
      <c r="DK96" s="472" t="str">
        <f t="shared" ca="1" si="48"/>
        <v>246</v>
      </c>
      <c r="DL96" s="472" t="str">
        <f t="shared" ca="1" si="48"/>
        <v>[Ba.xls]TEXT!Z246S5</v>
      </c>
      <c r="DM96" s="472">
        <f t="shared" ca="1" si="48"/>
        <v>24</v>
      </c>
      <c r="DN96" s="472" t="str">
        <f t="shared" ca="1" si="48"/>
        <v>[Region.xls]PARAMETER!Z72S6</v>
      </c>
      <c r="DO96" s="472" t="str">
        <f t="shared" ca="1" si="48"/>
        <v>[Region.xls]PARAMETER!Z73S6</v>
      </c>
      <c r="DP96" s="472"/>
      <c r="DS96" s="656"/>
      <c r="DV96" s="472"/>
      <c r="DW96" s="472"/>
      <c r="DX96" s="472"/>
      <c r="DY96" s="472"/>
      <c r="DZ96" s="472"/>
      <c r="EA96" s="472"/>
      <c r="EB96" s="472"/>
      <c r="EC96" s="472"/>
      <c r="ED96" s="472"/>
      <c r="EE96" s="472"/>
      <c r="EF96" s="472"/>
      <c r="EG96" s="472"/>
      <c r="EH96" s="472"/>
      <c r="EI96" s="472"/>
      <c r="EJ96" s="472"/>
      <c r="EK96" s="472"/>
      <c r="EV96" s="819">
        <f t="shared" si="34"/>
        <v>96</v>
      </c>
      <c r="EW96" s="819"/>
    </row>
    <row r="97" spans="1:153" s="472" customFormat="1" ht="39">
      <c r="A97" s="654" t="str">
        <f t="shared" ca="1" si="32"/>
        <v>D.1.97</v>
      </c>
      <c r="B97" s="654" t="str">
        <f t="shared" ca="1" si="33"/>
        <v>1.97</v>
      </c>
      <c r="C97" s="654" t="str">
        <f t="shared" si="37"/>
        <v>[97]</v>
      </c>
      <c r="D97" s="654">
        <f>ROW()</f>
        <v>97</v>
      </c>
      <c r="E97" s="1141" t="str">
        <f ca="1">CU97</f>
        <v>- STATUS-Ansatz: Gemäß GENESIS [9.232], Tabelle 33111-01-02-4, am 31.12.2016. 
(10.890.859 am 31.12.2012 vor der Umstellung auf das Amtliche Liegenschaftskataster-Informationssystem (ALKIS)).</v>
      </c>
      <c r="F97" s="1141"/>
      <c r="G97" s="1141"/>
      <c r="H97" s="1141"/>
      <c r="I97" s="1141"/>
      <c r="J97" s="1141"/>
      <c r="K97" s="1141"/>
      <c r="L97" s="1141"/>
      <c r="M97" s="1141"/>
      <c r="N97" s="1142"/>
      <c r="O97" s="873">
        <v>97</v>
      </c>
      <c r="P97" s="573" t="str">
        <f ca="1">HYPERLINK(EK97,EJ97)</f>
        <v>9.232</v>
      </c>
      <c r="Q97" s="574" t="str">
        <f>Y97</f>
        <v>33111-01-02-4</v>
      </c>
      <c r="R97" s="852"/>
      <c r="S97" s="803"/>
      <c r="T97" s="864"/>
      <c r="U97" s="1023" t="str">
        <f ca="1">"Gemäß GENESIS ["&amp;P97&amp;"], Tabelle "&amp;Q97&amp;", am "&amp;AD97&amp;". 
("&amp;AG97&amp;" am "&amp;AF97&amp;" vor der Umstellung auf das Amtliche Liegenschaftskataster-Informationssystem (ALKIS))."</f>
        <v>Gemäß GENESIS [9.232], Tabelle 33111-01-02-4, am 31.12.2016. 
(10.890.859 am 31.12.2012 vor der Umstellung auf das Amtliche Liegenschaftskataster-Informationssystem (ALKIS)).</v>
      </c>
      <c r="V97" s="905" t="s">
        <v>126</v>
      </c>
      <c r="W97" s="1024">
        <f>AE97</f>
        <v>10617013</v>
      </c>
      <c r="X97" s="672">
        <f>'9.Quellen'!C$232</f>
        <v>232</v>
      </c>
      <c r="Y97" s="672" t="s">
        <v>933</v>
      </c>
      <c r="Z97" s="1025"/>
      <c r="AA97" s="658"/>
      <c r="AB97" s="801"/>
      <c r="AC97" s="801"/>
      <c r="AD97" s="840" t="s">
        <v>934</v>
      </c>
      <c r="AE97" s="520">
        <v>10617013</v>
      </c>
      <c r="AF97" s="840" t="s">
        <v>935</v>
      </c>
      <c r="AG97" s="1078" t="s">
        <v>940</v>
      </c>
      <c r="AH97" s="801" t="s">
        <v>950</v>
      </c>
      <c r="AI97" s="687">
        <v>11419124</v>
      </c>
      <c r="AJ97" s="843" t="s">
        <v>951</v>
      </c>
      <c r="AK97" s="801"/>
      <c r="AL97" s="801"/>
      <c r="AM97" s="801"/>
      <c r="AN97" s="801"/>
      <c r="AO97" s="801"/>
      <c r="AP97" s="801"/>
      <c r="AQ97" s="801"/>
      <c r="AR97" s="801"/>
      <c r="AS97" s="801"/>
      <c r="AT97" s="801"/>
      <c r="AU97" s="801"/>
      <c r="AV97" s="801"/>
      <c r="BF97" s="473"/>
      <c r="BI97" s="472" t="s">
        <v>126</v>
      </c>
      <c r="BJ97" s="490"/>
      <c r="BN97" s="656"/>
      <c r="BO97" s="472" t="s">
        <v>259</v>
      </c>
      <c r="CU97" s="480" t="str">
        <f ca="1">CG$1&amp;IF(U97="",BF97,U97)</f>
        <v>- STATUS-Ansatz: Gemäß GENESIS [9.232], Tabelle 33111-01-02-4, am 31.12.2016. 
(10.890.859 am 31.12.2012 vor der Umstellung auf das Amtliche Liegenschaftskataster-Informationssystem (ALKIS)).</v>
      </c>
      <c r="CV97" s="656"/>
      <c r="CW97" s="480"/>
      <c r="DS97" s="656"/>
      <c r="DT97" s="518">
        <f>I_Basisdaten!A59</f>
        <v>59</v>
      </c>
      <c r="EJ97" s="472" t="str">
        <f ca="1">IF(X97=0,"",EJ$1&amp;X97)</f>
        <v>9.232</v>
      </c>
      <c r="EK97" s="472" t="str">
        <f ca="1">EK$1&amp;X97</f>
        <v>[D_Python.xlsx]9.Quellen!C232</v>
      </c>
      <c r="EV97" s="819">
        <f t="shared" ca="1" si="34"/>
        <v>97</v>
      </c>
      <c r="EW97" s="819"/>
    </row>
    <row r="98" spans="1:153" s="798" customFormat="1" ht="39" hidden="1">
      <c r="A98" s="654" t="str">
        <f t="shared" ref="A98" ca="1" si="49">BT$1&amp;D98</f>
        <v>D.1.98</v>
      </c>
      <c r="B98" s="654" t="str">
        <f t="shared" ref="B98" ca="1" si="50">BW$1&amp;D98</f>
        <v>1.98</v>
      </c>
      <c r="C98" s="654" t="str">
        <f>CE$1&amp;D98&amp;CF$1</f>
        <v>[98]</v>
      </c>
      <c r="D98" s="654">
        <f>ROW()</f>
        <v>98</v>
      </c>
      <c r="E98" s="1146" t="str">
        <f ca="1">CU98</f>
        <v>Gemäß GENESIS [9.232], Tabelle  449-01-5, betrug im Jahr 2012 die Waldfläche in Niedersachsen 0.000 ha. Allerdings ist die Angabe mit dem Hinweis versehen, dass eine Ablösung der bisherigen Liegenschaftssystems bevorsteht, nach der z. B. Flächen anderer Nutzung aufgelöst und teilweise auf Waldflächen umgebucht werden .</v>
      </c>
      <c r="F98" s="1146"/>
      <c r="G98" s="1146"/>
      <c r="H98" s="1146"/>
      <c r="I98" s="1146"/>
      <c r="J98" s="1146"/>
      <c r="K98" s="1146"/>
      <c r="L98" s="1146"/>
      <c r="M98" s="1146"/>
      <c r="N98" s="1147"/>
      <c r="O98" s="869">
        <v>98</v>
      </c>
      <c r="P98" s="691" t="str">
        <f ca="1">HYPERLINK(EK98,EJ98)</f>
        <v>9.232</v>
      </c>
      <c r="Q98" s="692" t="str">
        <f>Y98</f>
        <v xml:space="preserve"> 449-01-5</v>
      </c>
      <c r="R98" s="852"/>
      <c r="S98" s="784"/>
      <c r="T98" s="864"/>
      <c r="U98" s="1023" t="str">
        <f ca="1">"Gemäß GENESIS ["&amp;P98&amp;"], Tabelle "&amp;Q98&amp;", betrug im Jahr 2012 die Waldfläche in Niedersachsen "&amp;TEXT(AD98,"0.000")&amp;" ha. Allerdings ist die Angabe mit dem Hinweis versehen, dass eine Ablösung der bisherigen Liegenschaftssystems bevorsteht, "&amp;"nach der z. B. Flächen anderer Nutzung aufgelöst und teilweise auf Waldflächen umgebucht werden ."</f>
        <v>Gemäß GENESIS [9.232], Tabelle  449-01-5, betrug im Jahr 2012 die Waldfläche in Niedersachsen 0.000 ha. Allerdings ist die Angabe mit dem Hinweis versehen, dass eine Ablösung der bisherigen Liegenschaftssystems bevorsteht, nach der z. B. Flächen anderer Nutzung aufgelöst und teilweise auf Waldflächen umgebucht werden .</v>
      </c>
      <c r="V98" s="905" t="s">
        <v>126</v>
      </c>
      <c r="W98" s="1025"/>
      <c r="X98" s="672">
        <f>'9.Quellen'!C232</f>
        <v>232</v>
      </c>
      <c r="Y98" s="672" t="s">
        <v>276</v>
      </c>
      <c r="Z98" s="1025"/>
      <c r="AA98" s="905"/>
      <c r="AB98" s="801"/>
      <c r="AC98" s="801"/>
      <c r="AD98" s="687"/>
      <c r="AE98" s="801"/>
      <c r="AF98" s="687"/>
      <c r="AG98" s="801"/>
      <c r="AH98" s="590"/>
      <c r="AI98" s="801"/>
      <c r="AJ98" s="801"/>
      <c r="AK98" s="801"/>
      <c r="AL98" s="801"/>
      <c r="AM98" s="801"/>
      <c r="AN98" s="801"/>
      <c r="AO98" s="801"/>
      <c r="AP98" s="801"/>
      <c r="AQ98" s="801"/>
      <c r="AR98" s="801"/>
      <c r="AS98" s="801"/>
      <c r="AT98" s="801"/>
      <c r="AU98" s="801"/>
      <c r="AV98" s="801"/>
      <c r="BF98" s="657" t="s">
        <v>126</v>
      </c>
      <c r="BI98" s="798" t="s">
        <v>126</v>
      </c>
      <c r="BJ98" s="666"/>
      <c r="BO98" s="798" t="s">
        <v>259</v>
      </c>
      <c r="BQ98" s="678" t="s">
        <v>271</v>
      </c>
      <c r="CU98" s="663" t="str">
        <f ca="1">IF(U98="",BF98,U98)</f>
        <v>Gemäß GENESIS [9.232], Tabelle  449-01-5, betrug im Jahr 2012 die Waldfläche in Niedersachsen 0.000 ha. Allerdings ist die Angabe mit dem Hinweis versehen, dass eine Ablösung der bisherigen Liegenschaftssystems bevorsteht, nach der z. B. Flächen anderer Nutzung aufgelöst und teilweise auf Waldflächen umgebucht werden .</v>
      </c>
      <c r="CW98" s="663"/>
      <c r="EJ98" s="798" t="str">
        <f ca="1">IF(X98=0,"",EJ$1&amp;X98)</f>
        <v>9.232</v>
      </c>
      <c r="EK98" s="798" t="str">
        <f ca="1">EK$1&amp;X98</f>
        <v>[D_Python.xlsx]9.Quellen!C232</v>
      </c>
      <c r="EV98" s="819">
        <f t="shared" ref="EV98" ca="1" si="51">IF(U98&amp;BP98="","",D98)</f>
        <v>98</v>
      </c>
      <c r="EW98" s="819"/>
    </row>
    <row r="99" spans="1:153" s="661" customFormat="1" ht="4">
      <c r="A99" s="677" t="str">
        <f t="shared" ca="1" si="32"/>
        <v>D.1.99</v>
      </c>
      <c r="B99" s="677" t="str">
        <f t="shared" ca="1" si="33"/>
        <v>1.99</v>
      </c>
      <c r="C99" s="677" t="str">
        <f t="shared" ref="C99" si="52">CE$1&amp;D99&amp;CF$1</f>
        <v>[99]</v>
      </c>
      <c r="D99" s="677">
        <f>ROW()</f>
        <v>99</v>
      </c>
      <c r="E99" s="680"/>
      <c r="F99" s="680"/>
      <c r="G99" s="680"/>
      <c r="H99" s="680"/>
      <c r="I99" s="679"/>
      <c r="J99" s="679"/>
      <c r="K99" s="679"/>
      <c r="L99" s="679"/>
      <c r="M99" s="679"/>
      <c r="N99" s="680"/>
      <c r="O99" s="871">
        <v>99</v>
      </c>
      <c r="P99" s="688"/>
      <c r="Q99" s="689"/>
      <c r="R99" s="888"/>
      <c r="S99" s="802"/>
      <c r="T99" s="882"/>
      <c r="AB99" s="675"/>
      <c r="AC99" s="675"/>
      <c r="AD99" s="675"/>
      <c r="AE99" s="675"/>
      <c r="AF99" s="675"/>
      <c r="AG99" s="675"/>
      <c r="AH99" s="675"/>
      <c r="AI99" s="675"/>
      <c r="AJ99" s="675"/>
      <c r="AK99" s="675"/>
      <c r="AL99" s="675"/>
      <c r="AM99" s="675"/>
      <c r="AN99" s="675"/>
      <c r="AO99" s="675"/>
      <c r="AP99" s="675"/>
      <c r="AQ99" s="675"/>
      <c r="AR99" s="675"/>
      <c r="AS99" s="675"/>
      <c r="AT99" s="675"/>
      <c r="AU99" s="675"/>
      <c r="AV99" s="675"/>
      <c r="BI99" s="661" t="s">
        <v>126</v>
      </c>
      <c r="BJ99" s="665"/>
      <c r="CU99" s="662"/>
      <c r="CW99" s="662"/>
      <c r="EV99" s="818" t="str">
        <f t="shared" si="34"/>
        <v/>
      </c>
      <c r="EW99" s="818"/>
    </row>
    <row r="100" spans="1:153" s="472" customFormat="1" ht="39">
      <c r="A100" s="654" t="str">
        <f t="shared" ca="1" si="32"/>
        <v>D.1.100</v>
      </c>
      <c r="B100" s="654" t="str">
        <f t="shared" ca="1" si="33"/>
        <v>1.100</v>
      </c>
      <c r="C100" s="654" t="str">
        <f t="shared" si="37"/>
        <v>[100]</v>
      </c>
      <c r="D100" s="654">
        <f>ROW()</f>
        <v>100</v>
      </c>
      <c r="E100" s="1125" t="str">
        <f t="shared" ref="E100" si="53">CU100</f>
        <v>- ZIEL-Ansatz: Fortschreibung des Status Quo in Überinstimmung mit THGND [101]. Die Bedeutung der Wälder für den Naturhaushalt  und teilweise stark eingeschränkte anderweitige Nutzbarkeit sprechen gegen eine Verringerung der Waldflächen.</v>
      </c>
      <c r="F100" s="1125"/>
      <c r="G100" s="1125"/>
      <c r="H100" s="1125"/>
      <c r="I100" s="1125"/>
      <c r="J100" s="1125"/>
      <c r="K100" s="1125"/>
      <c r="L100" s="1125"/>
      <c r="M100" s="1125"/>
      <c r="N100" s="1132"/>
      <c r="O100" s="869">
        <v>100</v>
      </c>
      <c r="P100" s="573" t="str">
        <f ca="1">HYPERLINK(EK100,EJ100)</f>
        <v/>
      </c>
      <c r="Q100" s="574" t="str">
        <f>Y100</f>
        <v xml:space="preserve"> </v>
      </c>
      <c r="R100" s="852"/>
      <c r="S100" s="784"/>
      <c r="T100" s="864"/>
      <c r="U100" s="1023" t="str">
        <f>"Fortschreibung des Status Quo in Überinstimmung mit THGND "&amp;C101&amp;". Die Bedeutung der Wälder für den Naturhaushalt  und teilweise stark eingeschränkte anderweitige Nutzbarkeit sprechen gegen eine Verringerung der Waldflächen."</f>
        <v>Fortschreibung des Status Quo in Überinstimmung mit THGND [101]. Die Bedeutung der Wälder für den Naturhaushalt  und teilweise stark eingeschränkte anderweitige Nutzbarkeit sprechen gegen eine Verringerung der Waldflächen.</v>
      </c>
      <c r="V100" s="905" t="s">
        <v>126</v>
      </c>
      <c r="W100" s="1024">
        <f>W97</f>
        <v>10617013</v>
      </c>
      <c r="X100" s="672"/>
      <c r="Y100" s="672" t="s">
        <v>126</v>
      </c>
      <c r="Z100" s="1025"/>
      <c r="AA100" s="905"/>
      <c r="AB100" s="801"/>
      <c r="AC100" s="801"/>
      <c r="AD100" s="801"/>
      <c r="AE100" s="801"/>
      <c r="AF100" s="801"/>
      <c r="AG100" s="801"/>
      <c r="AH100" s="801"/>
      <c r="AI100" s="801"/>
      <c r="AJ100" s="801"/>
      <c r="AK100" s="801"/>
      <c r="AL100" s="801"/>
      <c r="AM100" s="801"/>
      <c r="AN100" s="801"/>
      <c r="AO100" s="801"/>
      <c r="AP100" s="801"/>
      <c r="AQ100" s="801"/>
      <c r="AR100" s="801"/>
      <c r="AS100" s="801"/>
      <c r="AT100" s="801"/>
      <c r="AU100" s="801"/>
      <c r="AV100" s="801"/>
      <c r="BF100" s="473"/>
      <c r="BI100" s="472" t="s">
        <v>126</v>
      </c>
      <c r="BJ100" s="490"/>
      <c r="BN100" s="656"/>
      <c r="BO100" s="472" t="s">
        <v>259</v>
      </c>
      <c r="CU100" s="480" t="str">
        <f>CH$1&amp;IF(U100="",BF100,U100)</f>
        <v>- ZIEL-Ansatz: Fortschreibung des Status Quo in Überinstimmung mit THGND [101]. Die Bedeutung der Wälder für den Naturhaushalt  und teilweise stark eingeschränkte anderweitige Nutzbarkeit sprechen gegen eine Verringerung der Waldflächen.</v>
      </c>
      <c r="CV100" s="656"/>
      <c r="CW100" s="480"/>
      <c r="DS100" s="656"/>
      <c r="DT100" s="518">
        <v>53</v>
      </c>
      <c r="EJ100" s="472" t="str">
        <f>IF(X100=0,"",EJ$1&amp;X100)</f>
        <v/>
      </c>
      <c r="EK100" s="472" t="str">
        <f ca="1">EK$1&amp;X100</f>
        <v>[D_Python.xlsx]9.Quellen!C</v>
      </c>
      <c r="EV100" s="819">
        <f t="shared" si="34"/>
        <v>100</v>
      </c>
      <c r="EW100" s="819"/>
    </row>
    <row r="101" spans="1:153" s="656" customFormat="1" ht="52">
      <c r="A101" s="654" t="str">
        <f t="shared" ca="1" si="32"/>
        <v>D.1.101</v>
      </c>
      <c r="B101" s="654" t="str">
        <f t="shared" ca="1" si="33"/>
        <v>1.101</v>
      </c>
      <c r="C101" s="654" t="str">
        <f>CE$1&amp;D101&amp;CF$1</f>
        <v>[101]</v>
      </c>
      <c r="D101" s="654">
        <f>ROW()</f>
        <v>101</v>
      </c>
      <c r="E101" s="1125" t="str">
        <f ca="1">CU101</f>
        <v>"Treibhausgasneutrales Deutschland 2050" [9.249], S. 305: "Die Aufforstung neuer Flächen konkurriert um anderweitige Flächennutzungsformen (…) Angesichts einer Abnahme der landwirtschaftlichen Nutzfläche bis 2050 um fast 1,5 Mio ha (Deutschland) wird davon ausgegangen, dass keine weiteren Flächen zur Aufforstung zur Verfügung stehen."</v>
      </c>
      <c r="F101" s="1125"/>
      <c r="G101" s="1125"/>
      <c r="H101" s="1125"/>
      <c r="I101" s="1125"/>
      <c r="J101" s="1125"/>
      <c r="K101" s="1125"/>
      <c r="L101" s="1125"/>
      <c r="M101" s="1125"/>
      <c r="N101" s="1132"/>
      <c r="O101" s="869">
        <v>101</v>
      </c>
      <c r="P101" s="691" t="str">
        <f ca="1">HYPERLINK(EK101,EJ101)</f>
        <v>9.249</v>
      </c>
      <c r="Q101" s="692" t="str">
        <f>Y101</f>
        <v>S. 305</v>
      </c>
      <c r="R101" s="852"/>
      <c r="S101" s="784"/>
      <c r="T101" s="864"/>
      <c r="U101" s="1023" t="str">
        <f ca="1">"""Treibhausgasneutrales Deutschland 2050"" ["&amp;P101&amp;"], "&amp;Q101&amp;": ""Die Aufforstung neuer Flächen konkurriert um anderweitige Flächennutzungsformen (…) "&amp;"Angesichts einer Abnahme der landwirtschaftlichen Nutzfläche bis 2050 um fast 1,5 Mio ha (Deutschland) wird davon ausgegangen, dass keine weiteren Flächen zur Aufforstung zur Verfügung stehen."""</f>
        <v>"Treibhausgasneutrales Deutschland 2050" [9.249], S. 305: "Die Aufforstung neuer Flächen konkurriert um anderweitige Flächennutzungsformen (…) Angesichts einer Abnahme der landwirtschaftlichen Nutzfläche bis 2050 um fast 1,5 Mio ha (Deutschland) wird davon ausgegangen, dass keine weiteren Flächen zur Aufforstung zur Verfügung stehen."</v>
      </c>
      <c r="V101" s="905" t="s">
        <v>126</v>
      </c>
      <c r="W101" s="1025"/>
      <c r="X101" s="672">
        <f>'9.Quellen'!C$249</f>
        <v>249</v>
      </c>
      <c r="Y101" s="672" t="s">
        <v>748</v>
      </c>
      <c r="Z101" s="1025"/>
      <c r="AA101" s="905"/>
      <c r="AB101" s="801"/>
      <c r="AC101" s="801"/>
      <c r="AD101" s="687"/>
      <c r="AE101" s="801"/>
      <c r="AF101" s="801"/>
      <c r="AG101" s="801"/>
      <c r="AH101" s="687"/>
      <c r="AI101" s="801"/>
      <c r="AJ101" s="801"/>
      <c r="AK101" s="801"/>
      <c r="AL101" s="801"/>
      <c r="AM101" s="801"/>
      <c r="AN101" s="801"/>
      <c r="AO101" s="801"/>
      <c r="AP101" s="801"/>
      <c r="AQ101" s="801"/>
      <c r="AR101" s="801"/>
      <c r="AS101" s="801"/>
      <c r="AT101" s="801"/>
      <c r="AU101" s="801"/>
      <c r="AV101" s="801"/>
      <c r="BF101" s="657" t="s">
        <v>126</v>
      </c>
      <c r="BI101" s="656" t="s">
        <v>126</v>
      </c>
      <c r="BJ101" s="666"/>
      <c r="BO101" s="656" t="s">
        <v>259</v>
      </c>
      <c r="BQ101" s="678" t="s">
        <v>271</v>
      </c>
      <c r="CU101" s="663" t="str">
        <f ca="1">IF(U101="",BF101,U101)</f>
        <v>"Treibhausgasneutrales Deutschland 2050" [9.249], S. 305: "Die Aufforstung neuer Flächen konkurriert um anderweitige Flächennutzungsformen (…) Angesichts einer Abnahme der landwirtschaftlichen Nutzfläche bis 2050 um fast 1,5 Mio ha (Deutschland) wird davon ausgegangen, dass keine weiteren Flächen zur Aufforstung zur Verfügung stehen."</v>
      </c>
      <c r="CW101" s="663"/>
      <c r="EJ101" s="656" t="str">
        <f ca="1">IF(X101=0,"",EJ$1&amp;X101)</f>
        <v>9.249</v>
      </c>
      <c r="EK101" s="656" t="str">
        <f ca="1">EK$1&amp;X101</f>
        <v>[D_Python.xlsx]9.Quellen!C249</v>
      </c>
      <c r="EV101" s="819">
        <f t="shared" ca="1" si="34"/>
        <v>101</v>
      </c>
      <c r="EW101" s="819"/>
    </row>
    <row r="102" spans="1:153" s="478" customFormat="1" ht="4" hidden="1">
      <c r="A102" s="677" t="str">
        <f t="shared" ca="1" si="32"/>
        <v>D.1.102</v>
      </c>
      <c r="B102" s="677" t="str">
        <f t="shared" ca="1" si="33"/>
        <v>1.102</v>
      </c>
      <c r="C102" s="677" t="str">
        <f t="shared" si="37"/>
        <v>[102]</v>
      </c>
      <c r="D102" s="677">
        <f>ROW()</f>
        <v>102</v>
      </c>
      <c r="E102" s="548"/>
      <c r="F102" s="548"/>
      <c r="G102" s="548"/>
      <c r="H102" s="548"/>
      <c r="I102" s="549"/>
      <c r="J102" s="549"/>
      <c r="K102" s="549"/>
      <c r="L102" s="549"/>
      <c r="M102" s="549"/>
      <c r="N102" s="548"/>
      <c r="O102" s="871">
        <v>102</v>
      </c>
      <c r="P102" s="575"/>
      <c r="Q102" s="576"/>
      <c r="R102" s="888"/>
      <c r="S102" s="802"/>
      <c r="T102" s="882"/>
      <c r="U102" s="661"/>
      <c r="V102" s="661"/>
      <c r="W102" s="661"/>
      <c r="X102" s="661"/>
      <c r="Y102" s="661"/>
      <c r="Z102" s="661"/>
      <c r="AA102" s="661"/>
      <c r="AB102" s="675"/>
      <c r="AC102" s="675"/>
      <c r="AD102" s="675"/>
      <c r="AE102" s="675"/>
      <c r="AF102" s="675"/>
      <c r="AG102" s="675"/>
      <c r="AH102" s="675"/>
      <c r="AI102" s="675"/>
      <c r="AJ102" s="675"/>
      <c r="AK102" s="675"/>
      <c r="AL102" s="675"/>
      <c r="AM102" s="675"/>
      <c r="AN102" s="675"/>
      <c r="AO102" s="675"/>
      <c r="AP102" s="675"/>
      <c r="AQ102" s="675"/>
      <c r="AR102" s="675"/>
      <c r="AS102" s="675"/>
      <c r="AT102" s="675"/>
      <c r="AU102" s="675"/>
      <c r="AV102" s="675"/>
      <c r="AZ102" s="505"/>
      <c r="BB102" s="505"/>
      <c r="BI102" s="478" t="s">
        <v>126</v>
      </c>
      <c r="BJ102" s="489"/>
      <c r="BN102" s="661"/>
      <c r="CU102" s="479"/>
      <c r="CV102" s="661"/>
      <c r="CW102" s="479"/>
      <c r="DS102" s="661"/>
      <c r="EV102" s="818" t="str">
        <f t="shared" si="34"/>
        <v/>
      </c>
      <c r="EW102" s="818"/>
    </row>
    <row r="103" spans="1:153" s="475" customFormat="1" ht="13.5" hidden="1" customHeight="1">
      <c r="A103" s="654" t="str">
        <f t="shared" ca="1" si="32"/>
        <v>D.1.103</v>
      </c>
      <c r="B103" s="654" t="str">
        <f t="shared" ca="1" si="33"/>
        <v>1.103</v>
      </c>
      <c r="C103" s="654" t="str">
        <f t="shared" si="37"/>
        <v>[103]</v>
      </c>
      <c r="D103" s="654">
        <f>ROW()</f>
        <v>103</v>
      </c>
      <c r="E103" s="1129" t="str">
        <f>BP103</f>
        <v>Anteil an deutscher Waldfläche</v>
      </c>
      <c r="F103" s="1129"/>
      <c r="G103" s="1129"/>
      <c r="H103" s="1129"/>
      <c r="I103" s="1129"/>
      <c r="J103" s="471" t="s">
        <v>38</v>
      </c>
      <c r="K103" s="594">
        <f ca="1">INDIRECT($W$1&amp;U103)</f>
        <v>92.975722130699339</v>
      </c>
      <c r="L103" s="595" t="str">
        <f ca="1">HYPERLINK($CK$1&amp;U103,$CE$1&amp;U103&amp;$CF$1)</f>
        <v>[104]</v>
      </c>
      <c r="M103" s="596">
        <f ca="1">INDIRECT($W$1&amp;W103)</f>
        <v>92.975722130699339</v>
      </c>
      <c r="N103" s="533" t="str">
        <f ca="1">HYPERLINK($CK$1&amp;W103,$CE$1&amp;W103&amp;$CF$1)</f>
        <v>[107]</v>
      </c>
      <c r="O103" s="869">
        <v>103</v>
      </c>
      <c r="P103" s="570"/>
      <c r="Q103" s="583"/>
      <c r="R103" s="852"/>
      <c r="S103" s="784"/>
      <c r="T103" s="864"/>
      <c r="U103" s="672">
        <f>D104</f>
        <v>104</v>
      </c>
      <c r="V103" s="905" t="s">
        <v>126</v>
      </c>
      <c r="W103" s="672">
        <f>D107</f>
        <v>107</v>
      </c>
      <c r="X103" s="658"/>
      <c r="Y103" s="658"/>
      <c r="Z103" s="658"/>
      <c r="AA103" s="658"/>
      <c r="AB103" s="801"/>
      <c r="AC103" s="801"/>
      <c r="AD103" s="674"/>
      <c r="AE103" s="674"/>
      <c r="AF103" s="674"/>
      <c r="AG103" s="674"/>
      <c r="AH103" s="674"/>
      <c r="AI103" s="674"/>
      <c r="AJ103" s="674"/>
      <c r="AK103" s="674"/>
      <c r="AL103" s="674"/>
      <c r="AM103" s="674"/>
      <c r="AN103" s="674"/>
      <c r="AO103" s="674"/>
      <c r="AP103" s="674"/>
      <c r="AQ103" s="674"/>
      <c r="AR103" s="674"/>
      <c r="AS103" s="674"/>
      <c r="AT103" s="674"/>
      <c r="AU103" s="674"/>
      <c r="AV103" s="674"/>
      <c r="AX103" s="475" t="s">
        <v>244</v>
      </c>
      <c r="AY103" s="500">
        <f ca="1">DA103</f>
        <v>1042106</v>
      </c>
      <c r="AZ103" s="508" t="str">
        <f ca="1">HYPERLINK(DN103,DC103)</f>
        <v xml:space="preserve"> 72</v>
      </c>
      <c r="BA103" s="500">
        <f ca="1">DB103</f>
        <v>1042106</v>
      </c>
      <c r="BB103" s="508" t="str">
        <f ca="1">HYPERLINK(DO103,DD103)</f>
        <v xml:space="preserve"> 73</v>
      </c>
      <c r="BC103" s="475" t="str">
        <f ca="1">CY103&amp;" | "&amp;CZ103</f>
        <v xml:space="preserve"> FL3 | 2.2. Waldflächen</v>
      </c>
      <c r="BI103" s="475" t="s">
        <v>126</v>
      </c>
      <c r="BJ103" s="492" t="str">
        <f>E103</f>
        <v>Anteil an deutscher Waldfläche</v>
      </c>
      <c r="BK103" s="486">
        <f ca="1">K103</f>
        <v>92.975722130699339</v>
      </c>
      <c r="BL103" s="486">
        <f ca="1">M103</f>
        <v>92.975722130699339</v>
      </c>
      <c r="BM103" s="472">
        <f>D103</f>
        <v>103</v>
      </c>
      <c r="BN103" s="658"/>
      <c r="BO103" s="475" t="s">
        <v>251</v>
      </c>
      <c r="BP103" s="521" t="s">
        <v>411</v>
      </c>
      <c r="CU103" s="476"/>
      <c r="CV103" s="658"/>
      <c r="CW103" s="518">
        <v>24</v>
      </c>
      <c r="CY103" s="472" t="str">
        <f t="shared" ref="CY103:DO103" ca="1" si="54">INDIRECT($CX$1&amp;CY$1&amp;$CW103)</f>
        <v xml:space="preserve"> FL3</v>
      </c>
      <c r="CZ103" s="472" t="str">
        <f t="shared" ca="1" si="54"/>
        <v>2.2. Waldflächen</v>
      </c>
      <c r="DA103" s="472">
        <f t="shared" ca="1" si="54"/>
        <v>1042106</v>
      </c>
      <c r="DB103" s="472">
        <f t="shared" ca="1" si="54"/>
        <v>1042106</v>
      </c>
      <c r="DC103" s="472" t="str">
        <f t="shared" ca="1" si="54"/>
        <v xml:space="preserve"> 72</v>
      </c>
      <c r="DD103" s="472" t="str">
        <f t="shared" ca="1" si="54"/>
        <v xml:space="preserve"> 73</v>
      </c>
      <c r="DE103" s="472" t="str">
        <f t="shared" ca="1" si="54"/>
        <v>Ba244</v>
      </c>
      <c r="DF103" s="472" t="str">
        <f t="shared" ca="1" si="54"/>
        <v>Ba246</v>
      </c>
      <c r="DG103" s="472" t="str">
        <f t="shared" ca="1" si="54"/>
        <v>Ba</v>
      </c>
      <c r="DH103" s="472" t="str">
        <f t="shared" ca="1" si="54"/>
        <v>244</v>
      </c>
      <c r="DI103" s="472" t="str">
        <f t="shared" ca="1" si="54"/>
        <v>[Ba.xls]TEXT!Z244S5</v>
      </c>
      <c r="DJ103" s="472" t="str">
        <f t="shared" ca="1" si="54"/>
        <v>Ba</v>
      </c>
      <c r="DK103" s="472" t="str">
        <f t="shared" ca="1" si="54"/>
        <v>246</v>
      </c>
      <c r="DL103" s="472" t="str">
        <f t="shared" ca="1" si="54"/>
        <v>[Ba.xls]TEXT!Z246S5</v>
      </c>
      <c r="DM103" s="472">
        <f t="shared" ca="1" si="54"/>
        <v>24</v>
      </c>
      <c r="DN103" s="472" t="str">
        <f t="shared" ca="1" si="54"/>
        <v>[Region.xls]PARAMETER!Z72S6</v>
      </c>
      <c r="DO103" s="472" t="str">
        <f t="shared" ca="1" si="54"/>
        <v>[Region.xls]PARAMETER!Z73S6</v>
      </c>
      <c r="DP103" s="472"/>
      <c r="DS103" s="656"/>
      <c r="DV103" s="472"/>
      <c r="DW103" s="472"/>
      <c r="DX103" s="472"/>
      <c r="DY103" s="472"/>
      <c r="DZ103" s="472"/>
      <c r="EA103" s="472"/>
      <c r="EB103" s="472"/>
      <c r="EC103" s="472"/>
      <c r="ED103" s="472"/>
      <c r="EE103" s="472"/>
      <c r="EF103" s="472"/>
      <c r="EG103" s="472"/>
      <c r="EH103" s="472"/>
      <c r="EI103" s="472"/>
      <c r="EJ103" s="472"/>
      <c r="EK103" s="472"/>
      <c r="EV103" s="819">
        <f t="shared" si="34"/>
        <v>103</v>
      </c>
      <c r="EW103" s="819"/>
    </row>
    <row r="104" spans="1:153" s="472" customFormat="1" ht="52" hidden="1">
      <c r="A104" s="654" t="str">
        <f t="shared" ca="1" si="32"/>
        <v>D.1.104</v>
      </c>
      <c r="B104" s="654" t="str">
        <f t="shared" ca="1" si="33"/>
        <v>1.104</v>
      </c>
      <c r="C104" s="654" t="str">
        <f t="shared" si="37"/>
        <v>[104]</v>
      </c>
      <c r="D104" s="654">
        <f>ROW()</f>
        <v>104</v>
      </c>
      <c r="E104" s="1141" t="str">
        <f ca="1">CU104</f>
        <v>- STATUS-Ansatz: Abweichend von der Standardquelle GENESIS [105] wird im Fall der Waldfläche aus Konsistenzgründen das erheblich abweichende Ergebnis der Bundeswaldinventur 3 (Stichjahr 2013) zugrunde gelegt [9.57],  S. 7. Bezogen auf die Waldfläche Deutschlands  Jahr 2013 von 11.419.124 [9.57], S. 7, hatte die Niedersächsischen Waldfläche [96] einen Anteil von 92,98 %.</v>
      </c>
      <c r="F104" s="1141"/>
      <c r="G104" s="1141"/>
      <c r="H104" s="1141"/>
      <c r="I104" s="1141"/>
      <c r="J104" s="1141"/>
      <c r="K104" s="1141"/>
      <c r="L104" s="1141"/>
      <c r="M104" s="1141"/>
      <c r="N104" s="1142"/>
      <c r="O104" s="873">
        <v>104</v>
      </c>
      <c r="P104" s="573" t="str">
        <f ca="1">HYPERLINK(EK104,EJ104)</f>
        <v>9.57</v>
      </c>
      <c r="Q104" s="574" t="str">
        <f>Y104</f>
        <v>S. 7</v>
      </c>
      <c r="R104" s="852"/>
      <c r="S104" s="784"/>
      <c r="T104" s="864"/>
      <c r="U104" s="1023" t="str">
        <f ca="1">"Abweichend von der Standardquelle GENESIS "&amp;C105&amp;" wird im Fall der Waldfläche aus Konsistenzgründen das erheblich abweichende Ergebnis der Bundeswaldinventur 3 (Stichjahr 2013) zugrunde gelegt ["&amp;P104&amp;"],  "&amp;Q104&amp;". Bezogen auf die Waldfläche Deutschlands  Jahr 2013 von "&amp;TEXT(AD104,"0.000")&amp;" ["&amp;P104&amp;"], "&amp;Q104&amp;", hatte die Niedersächsischen Waldfläche "&amp;C96&amp;" einen Anteil von "&amp;TEXT(AF104,"0,00")&amp;" %."</f>
        <v>Abweichend von der Standardquelle GENESIS [105] wird im Fall der Waldfläche aus Konsistenzgründen das erheblich abweichende Ergebnis der Bundeswaldinventur 3 (Stichjahr 2013) zugrunde gelegt [9.57],  S. 7. Bezogen auf die Waldfläche Deutschlands  Jahr 2013 von 11.419.124 [9.57], S. 7, hatte die Niedersächsischen Waldfläche [96] einen Anteil von 92,98 %.</v>
      </c>
      <c r="V104" s="905" t="s">
        <v>126</v>
      </c>
      <c r="W104" s="1079">
        <f ca="1">AF104</f>
        <v>92.975722130699339</v>
      </c>
      <c r="X104" s="672">
        <f>'9.Quellen'!C57</f>
        <v>57</v>
      </c>
      <c r="Y104" s="672" t="s">
        <v>869</v>
      </c>
      <c r="Z104" s="1025"/>
      <c r="AA104" s="658"/>
      <c r="AB104" s="801"/>
      <c r="AC104" s="801"/>
      <c r="AD104" s="687">
        <v>11419124</v>
      </c>
      <c r="AE104" s="687">
        <f ca="1">K96</f>
        <v>10617013</v>
      </c>
      <c r="AF104" s="801">
        <f ca="1">AE104/AD104%</f>
        <v>92.975722130699339</v>
      </c>
      <c r="AG104" s="801"/>
      <c r="AH104" s="687"/>
      <c r="AI104" s="687"/>
      <c r="AJ104" s="801"/>
      <c r="AK104" s="801"/>
      <c r="AL104" s="801"/>
      <c r="AM104" s="801"/>
      <c r="AN104" s="801"/>
      <c r="AO104" s="801"/>
      <c r="AP104" s="801"/>
      <c r="AQ104" s="801"/>
      <c r="AR104" s="801"/>
      <c r="AS104" s="801"/>
      <c r="AT104" s="801"/>
      <c r="AU104" s="801"/>
      <c r="AV104" s="801"/>
      <c r="BF104" s="473"/>
      <c r="BI104" s="472" t="s">
        <v>126</v>
      </c>
      <c r="BJ104" s="490"/>
      <c r="BN104" s="656"/>
      <c r="BO104" s="472" t="s">
        <v>259</v>
      </c>
      <c r="CU104" s="480" t="str">
        <f ca="1">CG$1&amp;IF(U104="",BF104,U104)</f>
        <v>- STATUS-Ansatz: Abweichend von der Standardquelle GENESIS [105] wird im Fall der Waldfläche aus Konsistenzgründen das erheblich abweichende Ergebnis der Bundeswaldinventur 3 (Stichjahr 2013) zugrunde gelegt [9.57],  S. 7. Bezogen auf die Waldfläche Deutschlands  Jahr 2013 von 11.419.124 [9.57], S. 7, hatte die Niedersächsischen Waldfläche [96] einen Anteil von 92,98 %.</v>
      </c>
      <c r="CV104" s="656"/>
      <c r="CW104" s="480"/>
      <c r="DS104" s="656"/>
      <c r="DT104" s="518">
        <f>I_Basisdaten!A63</f>
        <v>63</v>
      </c>
      <c r="EJ104" s="472" t="str">
        <f ca="1">IF(X104=0,"",EJ$1&amp;X104)</f>
        <v>9.57</v>
      </c>
      <c r="EK104" s="472" t="str">
        <f ca="1">EK$1&amp;X104</f>
        <v>[D_Python.xlsx]9.Quellen!C57</v>
      </c>
      <c r="EV104" s="819">
        <f t="shared" ca="1" si="34"/>
        <v>104</v>
      </c>
      <c r="EW104" s="819"/>
    </row>
    <row r="105" spans="1:153" s="798" customFormat="1" ht="39" hidden="1">
      <c r="A105" s="654" t="str">
        <f t="shared" ca="1" si="32"/>
        <v>D.1.105</v>
      </c>
      <c r="B105" s="654" t="str">
        <f t="shared" ca="1" si="33"/>
        <v>1.105</v>
      </c>
      <c r="C105" s="654" t="str">
        <f>CE$1&amp;D105&amp;CF$1</f>
        <v>[105]</v>
      </c>
      <c r="D105" s="654">
        <f>ROW()</f>
        <v>105</v>
      </c>
      <c r="E105" s="1141" t="str">
        <f ca="1">CU105</f>
        <v>Gemäß GENESIS [9.233], Tabelle  449-01-5, betrug im Jahr 2012 die Waldfläche in Deutschland 10.796.986 ha. Allerdings ist die Angabe mit dem Hinweis versehen, dass eine Ablösung der bisherigen Liegenschaftssystems bevorsteht, nach der z. B. Flächen anderer Nutzung aufgelöst und teilweise auf Waldflächen umgebucht werden .</v>
      </c>
      <c r="F105" s="1141"/>
      <c r="G105" s="1141"/>
      <c r="H105" s="1141"/>
      <c r="I105" s="1141"/>
      <c r="J105" s="1141"/>
      <c r="K105" s="1141"/>
      <c r="L105" s="1141"/>
      <c r="M105" s="1141"/>
      <c r="N105" s="1142"/>
      <c r="O105" s="869">
        <v>105</v>
      </c>
      <c r="P105" s="691" t="str">
        <f ca="1">HYPERLINK(EK105,EJ105)</f>
        <v>9.233</v>
      </c>
      <c r="Q105" s="692" t="str">
        <f>Y105</f>
        <v xml:space="preserve"> 449-01-5</v>
      </c>
      <c r="R105" s="852"/>
      <c r="S105" s="784"/>
      <c r="T105" s="864"/>
      <c r="U105" s="1023" t="str">
        <f ca="1">"Gemäß GENESIS ["&amp;P105&amp;"], Tabelle "&amp;Q105&amp;", betrug im Jahr 2012 die Waldfläche in Deutschland "&amp;TEXT(AD105,"0.000")&amp;" ha. Allerdings ist die Angabe mit dem Hinweis versehen, dass eine Ablösung der bisherigen Liegenschaftssystems bevorsteht, "&amp;"nach der z. B. Flächen anderer Nutzung aufgelöst und teilweise auf Waldflächen umgebucht werden ."</f>
        <v>Gemäß GENESIS [9.233], Tabelle  449-01-5, betrug im Jahr 2012 die Waldfläche in Deutschland 10.796.986 ha. Allerdings ist die Angabe mit dem Hinweis versehen, dass eine Ablösung der bisherigen Liegenschaftssystems bevorsteht, nach der z. B. Flächen anderer Nutzung aufgelöst und teilweise auf Waldflächen umgebucht werden .</v>
      </c>
      <c r="V105" s="905" t="s">
        <v>126</v>
      </c>
      <c r="W105" s="1025"/>
      <c r="X105" s="672">
        <f>'9.Quellen'!C233</f>
        <v>233</v>
      </c>
      <c r="Y105" s="672" t="s">
        <v>276</v>
      </c>
      <c r="Z105" s="1025"/>
      <c r="AA105" s="905"/>
      <c r="AB105" s="801"/>
      <c r="AC105" s="801"/>
      <c r="AD105" s="687">
        <v>10796986</v>
      </c>
      <c r="AE105" s="801" t="s">
        <v>569</v>
      </c>
      <c r="AF105" s="687"/>
      <c r="AG105" s="801"/>
      <c r="AH105" s="590"/>
      <c r="AI105" s="801"/>
      <c r="AJ105" s="801"/>
      <c r="AK105" s="801"/>
      <c r="AL105" s="801"/>
      <c r="AM105" s="801"/>
      <c r="AN105" s="801"/>
      <c r="AO105" s="801"/>
      <c r="AP105" s="801"/>
      <c r="AQ105" s="801"/>
      <c r="AR105" s="801"/>
      <c r="AS105" s="801"/>
      <c r="AT105" s="801"/>
      <c r="AU105" s="801"/>
      <c r="AV105" s="801"/>
      <c r="BF105" s="657" t="s">
        <v>126</v>
      </c>
      <c r="BI105" s="798" t="s">
        <v>126</v>
      </c>
      <c r="BJ105" s="666"/>
      <c r="BO105" s="798" t="s">
        <v>259</v>
      </c>
      <c r="BQ105" s="678" t="s">
        <v>271</v>
      </c>
      <c r="CU105" s="663" t="str">
        <f ca="1">IF(U105="",BF105,U105)</f>
        <v>Gemäß GENESIS [9.233], Tabelle  449-01-5, betrug im Jahr 2012 die Waldfläche in Deutschland 10.796.986 ha. Allerdings ist die Angabe mit dem Hinweis versehen, dass eine Ablösung der bisherigen Liegenschaftssystems bevorsteht, nach der z. B. Flächen anderer Nutzung aufgelöst und teilweise auf Waldflächen umgebucht werden .</v>
      </c>
      <c r="CW105" s="663"/>
      <c r="EJ105" s="798" t="str">
        <f ca="1">IF(X105=0,"",EJ$1&amp;X105)</f>
        <v>9.233</v>
      </c>
      <c r="EK105" s="798" t="str">
        <f ca="1">EK$1&amp;X105</f>
        <v>[D_Python.xlsx]9.Quellen!C233</v>
      </c>
      <c r="EV105" s="819">
        <f t="shared" ca="1" si="34"/>
        <v>105</v>
      </c>
      <c r="EW105" s="819"/>
    </row>
    <row r="106" spans="1:153" s="661" customFormat="1" ht="4" hidden="1">
      <c r="A106" s="677" t="str">
        <f t="shared" ca="1" si="32"/>
        <v>D.1.106</v>
      </c>
      <c r="B106" s="677" t="str">
        <f t="shared" ca="1" si="33"/>
        <v>1.106</v>
      </c>
      <c r="C106" s="677" t="str">
        <f t="shared" si="37"/>
        <v>[106]</v>
      </c>
      <c r="D106" s="677">
        <f>ROW()</f>
        <v>106</v>
      </c>
      <c r="E106" s="680"/>
      <c r="F106" s="680"/>
      <c r="G106" s="680"/>
      <c r="H106" s="680"/>
      <c r="I106" s="679"/>
      <c r="J106" s="679"/>
      <c r="K106" s="679"/>
      <c r="L106" s="679"/>
      <c r="M106" s="679"/>
      <c r="N106" s="680"/>
      <c r="O106" s="871">
        <v>106</v>
      </c>
      <c r="P106" s="688"/>
      <c r="Q106" s="689"/>
      <c r="R106" s="888"/>
      <c r="S106" s="802"/>
      <c r="T106" s="882"/>
      <c r="AB106" s="675"/>
      <c r="AC106" s="675"/>
      <c r="AD106" s="675"/>
      <c r="AE106" s="675"/>
      <c r="AF106" s="675"/>
      <c r="AG106" s="675"/>
      <c r="AH106" s="675"/>
      <c r="AI106" s="675"/>
      <c r="AJ106" s="675"/>
      <c r="AK106" s="675"/>
      <c r="AL106" s="675"/>
      <c r="AM106" s="675"/>
      <c r="AN106" s="675"/>
      <c r="AO106" s="675"/>
      <c r="AP106" s="675"/>
      <c r="AQ106" s="675"/>
      <c r="AR106" s="675"/>
      <c r="AS106" s="675"/>
      <c r="AT106" s="675"/>
      <c r="AU106" s="675"/>
      <c r="AV106" s="675"/>
      <c r="BI106" s="661" t="s">
        <v>126</v>
      </c>
      <c r="BJ106" s="665"/>
      <c r="CU106" s="662"/>
      <c r="CW106" s="662"/>
      <c r="EV106" s="818" t="str">
        <f t="shared" si="34"/>
        <v/>
      </c>
      <c r="EW106" s="818"/>
    </row>
    <row r="107" spans="1:153" s="472" customFormat="1" hidden="1">
      <c r="A107" s="654" t="str">
        <f t="shared" ca="1" si="32"/>
        <v>D.1.107</v>
      </c>
      <c r="B107" s="654" t="str">
        <f t="shared" ca="1" si="33"/>
        <v>1.107</v>
      </c>
      <c r="C107" s="654" t="str">
        <f t="shared" si="37"/>
        <v>[107]</v>
      </c>
      <c r="D107" s="654">
        <f>ROW()</f>
        <v>107</v>
      </c>
      <c r="E107" s="1125" t="str">
        <f t="shared" ref="E107" si="55">CU107</f>
        <v>- ZIEL-Ansatz: Status-Ansatz wird beibehalten, da keine gravierenden Veränderungen zu erwarten sind.</v>
      </c>
      <c r="F107" s="1125"/>
      <c r="G107" s="1125"/>
      <c r="H107" s="1125"/>
      <c r="I107" s="1125"/>
      <c r="J107" s="1125"/>
      <c r="K107" s="1125"/>
      <c r="L107" s="1125"/>
      <c r="M107" s="1125"/>
      <c r="N107" s="1132"/>
      <c r="O107" s="869">
        <v>107</v>
      </c>
      <c r="P107" s="573" t="str">
        <f ca="1">HYPERLINK(EK107,EJ107)</f>
        <v/>
      </c>
      <c r="Q107" s="574" t="str">
        <f>Y107</f>
        <v xml:space="preserve"> </v>
      </c>
      <c r="R107" s="852"/>
      <c r="S107" s="784"/>
      <c r="T107" s="864"/>
      <c r="U107" s="1023" t="s">
        <v>412</v>
      </c>
      <c r="V107" s="905" t="s">
        <v>126</v>
      </c>
      <c r="W107" s="1079">
        <f ca="1">W104</f>
        <v>92.975722130699339</v>
      </c>
      <c r="X107" s="672"/>
      <c r="Y107" s="672" t="s">
        <v>126</v>
      </c>
      <c r="Z107" s="1025"/>
      <c r="AA107" s="905"/>
      <c r="AB107" s="801"/>
      <c r="AC107" s="801"/>
      <c r="AD107" s="687">
        <f>AD104</f>
        <v>11419124</v>
      </c>
      <c r="AE107" s="687">
        <f ca="1">AE104</f>
        <v>10617013</v>
      </c>
      <c r="AF107" s="801">
        <f ca="1">AE107/AD107%</f>
        <v>92.975722130699339</v>
      </c>
      <c r="AG107" s="801"/>
      <c r="AH107" s="801"/>
      <c r="AI107" s="801"/>
      <c r="AJ107" s="801"/>
      <c r="AK107" s="801"/>
      <c r="AL107" s="801"/>
      <c r="AM107" s="801"/>
      <c r="AN107" s="801"/>
      <c r="AO107" s="801"/>
      <c r="AP107" s="801"/>
      <c r="AQ107" s="801"/>
      <c r="AR107" s="801"/>
      <c r="AS107" s="801"/>
      <c r="AT107" s="801"/>
      <c r="AU107" s="801"/>
      <c r="AV107" s="801"/>
      <c r="BF107" s="473"/>
      <c r="BI107" s="472" t="s">
        <v>126</v>
      </c>
      <c r="BJ107" s="490"/>
      <c r="BN107" s="656"/>
      <c r="BO107" s="472" t="s">
        <v>259</v>
      </c>
      <c r="CU107" s="480" t="str">
        <f>CH$1&amp;IF(U107="",BF107,U107)</f>
        <v>- ZIEL-Ansatz: Status-Ansatz wird beibehalten, da keine gravierenden Veränderungen zu erwarten sind.</v>
      </c>
      <c r="CV107" s="656"/>
      <c r="CW107" s="480"/>
      <c r="DS107" s="656"/>
      <c r="DT107" s="518">
        <v>53</v>
      </c>
      <c r="EJ107" s="472" t="str">
        <f>IF(X107=0,"",EJ$1&amp;X107)</f>
        <v/>
      </c>
      <c r="EK107" s="472" t="str">
        <f ca="1">EK$1&amp;X107</f>
        <v>[D_Python.xlsx]9.Quellen!C</v>
      </c>
      <c r="EV107" s="819">
        <f t="shared" si="34"/>
        <v>107</v>
      </c>
      <c r="EW107" s="819"/>
    </row>
    <row r="108" spans="1:153" s="478" customFormat="1" ht="4">
      <c r="A108" s="677" t="str">
        <f t="shared" ca="1" si="32"/>
        <v>D.1.108</v>
      </c>
      <c r="B108" s="677" t="str">
        <f t="shared" ca="1" si="33"/>
        <v>1.108</v>
      </c>
      <c r="C108" s="677" t="str">
        <f t="shared" si="37"/>
        <v>[108]</v>
      </c>
      <c r="D108" s="677">
        <f>ROW()</f>
        <v>108</v>
      </c>
      <c r="E108" s="548"/>
      <c r="F108" s="548"/>
      <c r="G108" s="548"/>
      <c r="H108" s="548"/>
      <c r="I108" s="549"/>
      <c r="J108" s="549"/>
      <c r="K108" s="549"/>
      <c r="L108" s="549"/>
      <c r="M108" s="549"/>
      <c r="N108" s="548"/>
      <c r="O108" s="871">
        <v>108</v>
      </c>
      <c r="P108" s="575"/>
      <c r="Q108" s="576"/>
      <c r="R108" s="888"/>
      <c r="S108" s="802"/>
      <c r="T108" s="882"/>
      <c r="U108" s="661"/>
      <c r="V108" s="661"/>
      <c r="W108" s="661"/>
      <c r="X108" s="661"/>
      <c r="Y108" s="661"/>
      <c r="Z108" s="661"/>
      <c r="AA108" s="661"/>
      <c r="AB108" s="675"/>
      <c r="AC108" s="675"/>
      <c r="AD108" s="675"/>
      <c r="AE108" s="675"/>
      <c r="AF108" s="675"/>
      <c r="AG108" s="675"/>
      <c r="AH108" s="675"/>
      <c r="AI108" s="675"/>
      <c r="AJ108" s="675"/>
      <c r="AK108" s="675"/>
      <c r="AL108" s="675"/>
      <c r="AM108" s="675"/>
      <c r="AN108" s="675"/>
      <c r="AO108" s="675"/>
      <c r="AP108" s="675"/>
      <c r="AQ108" s="675"/>
      <c r="AR108" s="675"/>
      <c r="AS108" s="675"/>
      <c r="AT108" s="675"/>
      <c r="AU108" s="675"/>
      <c r="AV108" s="675"/>
      <c r="AZ108" s="505"/>
      <c r="BB108" s="505"/>
      <c r="BI108" s="478" t="s">
        <v>126</v>
      </c>
      <c r="BJ108" s="489"/>
      <c r="BN108" s="661"/>
      <c r="CU108" s="479"/>
      <c r="CV108" s="661"/>
      <c r="CW108" s="479"/>
      <c r="DS108" s="661"/>
      <c r="EV108" s="818" t="str">
        <f t="shared" si="34"/>
        <v/>
      </c>
      <c r="EW108" s="818"/>
    </row>
    <row r="109" spans="1:153" s="475" customFormat="1" ht="13.5" customHeight="1">
      <c r="A109" s="654" t="str">
        <f t="shared" ca="1" si="32"/>
        <v>D.1.109</v>
      </c>
      <c r="B109" s="654" t="str">
        <f t="shared" ca="1" si="33"/>
        <v>1.109</v>
      </c>
      <c r="C109" s="654" t="str">
        <f t="shared" si="37"/>
        <v>[109]</v>
      </c>
      <c r="D109" s="654">
        <f>ROW()</f>
        <v>109</v>
      </c>
      <c r="E109" s="1129" t="str">
        <f>BP109</f>
        <v>Potenzial forstwirtschaftlich nutzbarer Waldfläche</v>
      </c>
      <c r="F109" s="1129"/>
      <c r="G109" s="1129"/>
      <c r="H109" s="1129"/>
      <c r="I109" s="1129"/>
      <c r="J109" s="471" t="s">
        <v>272</v>
      </c>
      <c r="K109" s="546">
        <f ca="1">INDIRECT($W$1&amp;U109)</f>
        <v>10581468</v>
      </c>
      <c r="L109" s="485" t="str">
        <f ca="1">HYPERLINK($CK$1&amp;U109,$CE$1&amp;U109&amp;$CF$1)</f>
        <v>[110]</v>
      </c>
      <c r="M109" s="547">
        <f ca="1">INDIRECT($W$1&amp;W109)</f>
        <v>9555000</v>
      </c>
      <c r="N109" s="533" t="str">
        <f ca="1">HYPERLINK($CK$1&amp;W109,$CE$1&amp;W109&amp;$CF$1)</f>
        <v>[113]</v>
      </c>
      <c r="O109" s="869">
        <v>109</v>
      </c>
      <c r="P109" s="570"/>
      <c r="Q109" s="583"/>
      <c r="R109" s="852"/>
      <c r="S109" s="784"/>
      <c r="T109" s="864"/>
      <c r="U109" s="672">
        <f>D110</f>
        <v>110</v>
      </c>
      <c r="V109" s="905" t="s">
        <v>126</v>
      </c>
      <c r="W109" s="672">
        <f>D113</f>
        <v>113</v>
      </c>
      <c r="X109" s="658"/>
      <c r="Y109" s="658"/>
      <c r="Z109" s="658"/>
      <c r="AA109" s="658"/>
      <c r="AB109" s="801"/>
      <c r="AC109" s="801"/>
      <c r="AD109" s="674"/>
      <c r="AE109" s="674"/>
      <c r="AF109" s="674"/>
      <c r="AG109" s="674"/>
      <c r="AH109" s="674"/>
      <c r="AI109" s="674"/>
      <c r="AJ109" s="674"/>
      <c r="AK109" s="674"/>
      <c r="AL109" s="674"/>
      <c r="AM109" s="674"/>
      <c r="AN109" s="674"/>
      <c r="AO109" s="674"/>
      <c r="AP109" s="674"/>
      <c r="AQ109" s="674"/>
      <c r="AR109" s="674"/>
      <c r="AS109" s="674"/>
      <c r="AT109" s="674"/>
      <c r="AU109" s="674"/>
      <c r="AV109" s="674"/>
      <c r="AX109" s="475" t="s">
        <v>244</v>
      </c>
      <c r="AY109" s="500">
        <f ca="1">DA109</f>
        <v>1031684.94</v>
      </c>
      <c r="AZ109" s="508" t="str">
        <f ca="1">HYPERLINK(DN109,DC109)</f>
        <v xml:space="preserve"> 80</v>
      </c>
      <c r="BA109" s="500">
        <f ca="1">DB109</f>
        <v>990000.7</v>
      </c>
      <c r="BB109" s="508" t="str">
        <f ca="1">HYPERLINK(DO109,DD109)</f>
        <v xml:space="preserve"> 81</v>
      </c>
      <c r="BC109" s="475" t="str">
        <f ca="1">CY109&amp;" | "&amp;CZ109</f>
        <v>Forst-
wirtschaft | 2.2.2 Forstwirtschaftlich genutzte Waldflächen</v>
      </c>
      <c r="BI109" s="475" t="s">
        <v>126</v>
      </c>
      <c r="BJ109" s="492" t="str">
        <f>E109</f>
        <v>Potenzial forstwirtschaftlich nutzbarer Waldfläche</v>
      </c>
      <c r="BK109" s="486">
        <f ca="1">K109</f>
        <v>10581468</v>
      </c>
      <c r="BL109" s="486">
        <f ca="1">M109</f>
        <v>9555000</v>
      </c>
      <c r="BM109" s="472">
        <f>D109</f>
        <v>109</v>
      </c>
      <c r="BN109" s="658"/>
      <c r="BO109" s="475" t="s">
        <v>251</v>
      </c>
      <c r="BP109" s="521" t="s">
        <v>753</v>
      </c>
      <c r="CU109" s="476"/>
      <c r="CV109" s="658"/>
      <c r="CW109" s="518">
        <v>32</v>
      </c>
      <c r="CY109" s="472" t="str">
        <f t="shared" ref="CY109:DO109" ca="1" si="56">INDIRECT($CX$1&amp;CY$1&amp;$CW109)</f>
        <v>Forst-
wirtschaft</v>
      </c>
      <c r="CZ109" s="472" t="str">
        <f t="shared" ca="1" si="56"/>
        <v>2.2.2 Forstwirtschaftlich genutzte Waldflächen</v>
      </c>
      <c r="DA109" s="472">
        <f t="shared" ca="1" si="56"/>
        <v>1031684.94</v>
      </c>
      <c r="DB109" s="472">
        <f t="shared" ca="1" si="56"/>
        <v>990000.7</v>
      </c>
      <c r="DC109" s="472" t="str">
        <f t="shared" ca="1" si="56"/>
        <v xml:space="preserve"> 80</v>
      </c>
      <c r="DD109" s="472" t="str">
        <f t="shared" ca="1" si="56"/>
        <v xml:space="preserve"> 81</v>
      </c>
      <c r="DE109" s="472" t="str">
        <f t="shared" ca="1" si="56"/>
        <v>Ba250</v>
      </c>
      <c r="DF109" s="472" t="str">
        <f t="shared" ca="1" si="56"/>
        <v>Ba256</v>
      </c>
      <c r="DG109" s="472" t="str">
        <f t="shared" ca="1" si="56"/>
        <v>Ba</v>
      </c>
      <c r="DH109" s="472" t="str">
        <f t="shared" ca="1" si="56"/>
        <v>250</v>
      </c>
      <c r="DI109" s="472" t="str">
        <f t="shared" ca="1" si="56"/>
        <v>[Ba.xls]TEXT!Z250S5</v>
      </c>
      <c r="DJ109" s="472" t="str">
        <f t="shared" ca="1" si="56"/>
        <v>Ba</v>
      </c>
      <c r="DK109" s="472" t="str">
        <f t="shared" ca="1" si="56"/>
        <v>256</v>
      </c>
      <c r="DL109" s="472" t="str">
        <f t="shared" ca="1" si="56"/>
        <v>[Ba.xls]TEXT!Z256S5</v>
      </c>
      <c r="DM109" s="472">
        <f t="shared" ca="1" si="56"/>
        <v>32</v>
      </c>
      <c r="DN109" s="472" t="str">
        <f t="shared" ca="1" si="56"/>
        <v>[Region.xls]PARAMETER!Z80S6</v>
      </c>
      <c r="DO109" s="472" t="str">
        <f t="shared" ca="1" si="56"/>
        <v>[Region.xls]PARAMETER!Z81S6</v>
      </c>
      <c r="DP109" s="472"/>
      <c r="DS109" s="656"/>
      <c r="DV109" s="472"/>
      <c r="DW109" s="472"/>
      <c r="DX109" s="472"/>
      <c r="DY109" s="472"/>
      <c r="DZ109" s="472"/>
      <c r="EA109" s="472"/>
      <c r="EB109" s="472"/>
      <c r="EC109" s="472"/>
      <c r="ED109" s="472"/>
      <c r="EE109" s="472"/>
      <c r="EF109" s="472"/>
      <c r="EG109" s="472"/>
      <c r="EH109" s="472"/>
      <c r="EI109" s="472"/>
      <c r="EJ109" s="472"/>
      <c r="EK109" s="472"/>
      <c r="EV109" s="819">
        <f t="shared" si="34"/>
        <v>109</v>
      </c>
      <c r="EW109" s="819"/>
    </row>
    <row r="110" spans="1:153" s="472" customFormat="1" ht="26">
      <c r="A110" s="654" t="str">
        <f t="shared" ca="1" si="32"/>
        <v>D.1.110</v>
      </c>
      <c r="B110" s="654" t="str">
        <f t="shared" ca="1" si="33"/>
        <v>1.110</v>
      </c>
      <c r="C110" s="654" t="str">
        <f t="shared" si="37"/>
        <v>[110]</v>
      </c>
      <c r="D110" s="654">
        <f>ROW()</f>
        <v>110</v>
      </c>
      <c r="E110" s="1130" t="str">
        <f>CU110</f>
        <v>- STATUS-Ansatz: Resultiert aus der gesamten Waldfläche [96] abzüglich der bereits bestehenden Naturwälder [111].</v>
      </c>
      <c r="F110" s="1130"/>
      <c r="G110" s="1130"/>
      <c r="H110" s="1130"/>
      <c r="I110" s="1130"/>
      <c r="J110" s="1130"/>
      <c r="K110" s="1130"/>
      <c r="L110" s="1130"/>
      <c r="M110" s="1130"/>
      <c r="N110" s="1131"/>
      <c r="O110" s="869">
        <v>110</v>
      </c>
      <c r="P110" s="573" t="str">
        <f ca="1">HYPERLINK(EK110,EJ110)</f>
        <v/>
      </c>
      <c r="Q110" s="574" t="str">
        <f>Y110</f>
        <v xml:space="preserve"> </v>
      </c>
      <c r="R110" s="852"/>
      <c r="S110" s="784"/>
      <c r="T110" s="864"/>
      <c r="U110" s="1023" t="str">
        <f>"Resultiert aus der gesamten Waldfläche "&amp;C96&amp;" abzüglich der bereits bestehenden Naturwälder "&amp;C111&amp;"."</f>
        <v>Resultiert aus der gesamten Waldfläche [96] abzüglich der bereits bestehenden Naturwälder [111].</v>
      </c>
      <c r="V110" s="905" t="s">
        <v>126</v>
      </c>
      <c r="W110" s="1024">
        <f>AH110</f>
        <v>10581468</v>
      </c>
      <c r="X110" s="672"/>
      <c r="Y110" s="672" t="s">
        <v>126</v>
      </c>
      <c r="Z110" s="1025"/>
      <c r="AA110" s="658"/>
      <c r="AB110" s="801"/>
      <c r="AC110" s="801"/>
      <c r="AD110" s="687">
        <f>W97</f>
        <v>10617013</v>
      </c>
      <c r="AE110" s="801" t="s">
        <v>382</v>
      </c>
      <c r="AF110" s="687">
        <f>AD111</f>
        <v>35545</v>
      </c>
      <c r="AG110" s="687" t="str">
        <f>AE111</f>
        <v xml:space="preserve"> ha </v>
      </c>
      <c r="AH110" s="687">
        <f>AD110-AF110</f>
        <v>10581468</v>
      </c>
      <c r="AI110" s="801" t="s">
        <v>382</v>
      </c>
      <c r="AJ110" s="801"/>
      <c r="AK110" s="801"/>
      <c r="AL110" s="801"/>
      <c r="AM110" s="801"/>
      <c r="AN110" s="801"/>
      <c r="AO110" s="801"/>
      <c r="AP110" s="801"/>
      <c r="AQ110" s="801"/>
      <c r="AR110" s="801"/>
      <c r="AS110" s="801"/>
      <c r="AT110" s="801"/>
      <c r="AU110" s="801"/>
      <c r="AV110" s="801"/>
      <c r="BF110" s="473"/>
      <c r="BI110" s="472" t="s">
        <v>126</v>
      </c>
      <c r="BJ110" s="490"/>
      <c r="BN110" s="656"/>
      <c r="BO110" s="472" t="s">
        <v>259</v>
      </c>
      <c r="CU110" s="480" t="str">
        <f>CG$1&amp;IF(U110="",BF110,U110)</f>
        <v>- STATUS-Ansatz: Resultiert aus der gesamten Waldfläche [96] abzüglich der bereits bestehenden Naturwälder [111].</v>
      </c>
      <c r="CV110" s="656"/>
      <c r="CW110" s="480"/>
      <c r="DS110" s="656"/>
      <c r="DT110" s="518">
        <f>I_Basisdaten!A63</f>
        <v>63</v>
      </c>
      <c r="EJ110" s="472" t="str">
        <f>IF(X110=0,"",EJ$1&amp;X110)</f>
        <v/>
      </c>
      <c r="EK110" s="472" t="str">
        <f ca="1">EK$1&amp;X110</f>
        <v>[D_Python.xlsx]9.Quellen!C</v>
      </c>
      <c r="EV110" s="819">
        <f t="shared" si="34"/>
        <v>110</v>
      </c>
      <c r="EW110" s="819"/>
    </row>
    <row r="111" spans="1:153" s="656" customFormat="1" ht="78">
      <c r="A111" s="654" t="str">
        <f t="shared" ca="1" si="32"/>
        <v>D.1.111</v>
      </c>
      <c r="B111" s="654" t="str">
        <f t="shared" ca="1" si="33"/>
        <v>1.111</v>
      </c>
      <c r="C111" s="654" t="str">
        <f>CE$1&amp;D111&amp;CF$1</f>
        <v>[111]</v>
      </c>
      <c r="D111" s="654">
        <f>ROW()</f>
        <v>111</v>
      </c>
      <c r="E111" s="1130" t="str">
        <f ca="1">CU111</f>
        <v>Naturwaldreservate steht als Sammelbegriff für Wälder, die ihrer natürlichen Entwicklung ohne direkte menschliche Eingriffe und damit ohne forstwirtschaftliche Nutzung überlassen werden und sich so zu Urwäldern von morgen entwickeln sollen.  In der Datenbank Naturwaldreservate ist  für Deutschland (Stand 2018) eine Gesamtfläche von 35.545 ha  angegeben [9.54], das entspricht 0,33%  der Waldfläche. Wegen vielfacher Überschneidungen mit Nationalparkflächen und Biosphärenreservaten [9.158, S. 14] kann dieser Wert als genügend aussagekräftig angesehen werden.</v>
      </c>
      <c r="F111" s="1130"/>
      <c r="G111" s="1130"/>
      <c r="H111" s="1130"/>
      <c r="I111" s="1130"/>
      <c r="J111" s="1130"/>
      <c r="K111" s="1130"/>
      <c r="L111" s="1130"/>
      <c r="M111" s="1130"/>
      <c r="N111" s="1131"/>
      <c r="O111" s="869">
        <v>111</v>
      </c>
      <c r="P111" s="691" t="str">
        <f ca="1">HYPERLINK(EK111,EJ111)</f>
        <v>9.54</v>
      </c>
      <c r="Q111" s="692" t="str">
        <f>Y111</f>
        <v xml:space="preserve"> </v>
      </c>
      <c r="R111" s="852"/>
      <c r="S111" s="784"/>
      <c r="T111" s="864"/>
      <c r="U111" s="1023" t="str">
        <f ca="1">"Naturwaldreservate steht als Sammelbegriff für Wälder, die ihrer natürlichen Entwicklung ohne direkte menschliche Eingriffe und damit ohne forstwirtschaftliche Nutzung überlassen werden und sich so zu Urwäldern von morgen entwickeln sollen. "&amp;" In der Datenbank Naturwaldreservate ist  für Deutschland (Stand 2018) eine Gesamtfläche von "&amp;TEXT(AD111,"0.000")&amp;AE111&amp;" angegeben ["&amp;P111&amp;"], das entspricht "&amp;TEXT(AH111,"0,00")&amp;AI111&amp;" der Waldfläche. Wegen vielfacher Überschneidungen mit Nationalparkflächen und Biosphärenreservaten ["&amp;'9.Quellen'!B158&amp;", S. 14] kann dieser Wert als genügend aussagekräftig angesehen werden."</f>
        <v>Naturwaldreservate steht als Sammelbegriff für Wälder, die ihrer natürlichen Entwicklung ohne direkte menschliche Eingriffe und damit ohne forstwirtschaftliche Nutzung überlassen werden und sich so zu Urwäldern von morgen entwickeln sollen.  In der Datenbank Naturwaldreservate ist  für Deutschland (Stand 2018) eine Gesamtfläche von 35.545 ha  angegeben [9.54], das entspricht 0,33%  der Waldfläche. Wegen vielfacher Überschneidungen mit Nationalparkflächen und Biosphärenreservaten [9.158, S. 14] kann dieser Wert als genügend aussagekräftig angesehen werden.</v>
      </c>
      <c r="V111" s="905" t="s">
        <v>126</v>
      </c>
      <c r="W111" s="1025"/>
      <c r="X111" s="672">
        <f>'9.Quellen'!C54</f>
        <v>54</v>
      </c>
      <c r="Y111" s="672" t="s">
        <v>126</v>
      </c>
      <c r="Z111" s="1025"/>
      <c r="AA111" s="905"/>
      <c r="AB111" s="801"/>
      <c r="AC111" s="801"/>
      <c r="AD111" s="687">
        <v>35545</v>
      </c>
      <c r="AE111" s="801" t="s">
        <v>382</v>
      </c>
      <c r="AF111" s="687">
        <f>W97</f>
        <v>10617013</v>
      </c>
      <c r="AG111" s="801" t="s">
        <v>382</v>
      </c>
      <c r="AH111" s="590">
        <f>AD111/AF111%</f>
        <v>0.33479284616115662</v>
      </c>
      <c r="AI111" s="801" t="s">
        <v>835</v>
      </c>
      <c r="AJ111" s="826">
        <v>4.0999999999999996</v>
      </c>
      <c r="AK111" s="826" t="s">
        <v>952</v>
      </c>
      <c r="AL111" s="826">
        <v>2.6</v>
      </c>
      <c r="AM111" s="826" t="s">
        <v>953</v>
      </c>
      <c r="AN111" s="826">
        <v>1.9</v>
      </c>
      <c r="AO111" s="826" t="s">
        <v>954</v>
      </c>
      <c r="AP111" s="826">
        <f>100-AJ111-2.6*0.333-AN111*0.667</f>
        <v>93.766899999999993</v>
      </c>
      <c r="AQ111" s="826" t="s">
        <v>955</v>
      </c>
      <c r="AR111" s="843" t="s">
        <v>956</v>
      </c>
      <c r="AS111" s="801"/>
      <c r="AT111" s="801"/>
      <c r="AU111" s="801"/>
      <c r="AV111" s="801"/>
      <c r="BF111" s="657" t="s">
        <v>126</v>
      </c>
      <c r="BI111" s="656" t="s">
        <v>126</v>
      </c>
      <c r="BJ111" s="666"/>
      <c r="BO111" s="656" t="s">
        <v>259</v>
      </c>
      <c r="BQ111" s="678" t="s">
        <v>271</v>
      </c>
      <c r="CU111" s="663" t="str">
        <f ca="1">IF(U111="",BF111,U111)</f>
        <v>Naturwaldreservate steht als Sammelbegriff für Wälder, die ihrer natürlichen Entwicklung ohne direkte menschliche Eingriffe und damit ohne forstwirtschaftliche Nutzung überlassen werden und sich so zu Urwäldern von morgen entwickeln sollen.  In der Datenbank Naturwaldreservate ist  für Deutschland (Stand 2018) eine Gesamtfläche von 35.545 ha  angegeben [9.54], das entspricht 0,33%  der Waldfläche. Wegen vielfacher Überschneidungen mit Nationalparkflächen und Biosphärenreservaten [9.158, S. 14] kann dieser Wert als genügend aussagekräftig angesehen werden.</v>
      </c>
      <c r="CW111" s="663"/>
      <c r="EJ111" s="656" t="str">
        <f ca="1">IF(X111=0,"",EJ$1&amp;X111)</f>
        <v>9.54</v>
      </c>
      <c r="EK111" s="656" t="str">
        <f ca="1">EK$1&amp;X111</f>
        <v>[D_Python.xlsx]9.Quellen!C54</v>
      </c>
      <c r="EV111" s="819">
        <f t="shared" ca="1" si="34"/>
        <v>111</v>
      </c>
      <c r="EW111" s="819"/>
    </row>
    <row r="112" spans="1:153" s="661" customFormat="1" ht="4">
      <c r="A112" s="677" t="str">
        <f t="shared" ca="1" si="32"/>
        <v>D.1.112</v>
      </c>
      <c r="B112" s="677" t="str">
        <f t="shared" ca="1" si="33"/>
        <v>1.112</v>
      </c>
      <c r="C112" s="677" t="str">
        <f t="shared" ref="C112" si="57">CE$1&amp;D112&amp;CF$1</f>
        <v>[112]</v>
      </c>
      <c r="D112" s="677">
        <f>ROW()</f>
        <v>112</v>
      </c>
      <c r="E112" s="680"/>
      <c r="F112" s="680"/>
      <c r="G112" s="680"/>
      <c r="H112" s="680"/>
      <c r="I112" s="679"/>
      <c r="J112" s="679"/>
      <c r="K112" s="679"/>
      <c r="L112" s="679"/>
      <c r="M112" s="679"/>
      <c r="N112" s="680"/>
      <c r="O112" s="871">
        <v>112</v>
      </c>
      <c r="P112" s="688"/>
      <c r="Q112" s="689"/>
      <c r="R112" s="888"/>
      <c r="S112" s="802"/>
      <c r="T112" s="882"/>
      <c r="AB112" s="675"/>
      <c r="AC112" s="675"/>
      <c r="AD112" s="675"/>
      <c r="AE112" s="675"/>
      <c r="AF112" s="675"/>
      <c r="AG112" s="675"/>
      <c r="AH112" s="675"/>
      <c r="AI112" s="675"/>
      <c r="AJ112" s="675"/>
      <c r="AK112" s="675"/>
      <c r="AL112" s="675"/>
      <c r="AM112" s="675"/>
      <c r="AN112" s="675"/>
      <c r="AO112" s="675"/>
      <c r="AP112" s="675"/>
      <c r="AQ112" s="675"/>
      <c r="AR112" s="675"/>
      <c r="AS112" s="675"/>
      <c r="AT112" s="675"/>
      <c r="AU112" s="675"/>
      <c r="AV112" s="675"/>
      <c r="BI112" s="661" t="s">
        <v>126</v>
      </c>
      <c r="BJ112" s="665"/>
      <c r="CU112" s="662"/>
      <c r="CW112" s="662"/>
      <c r="EV112" s="818" t="str">
        <f t="shared" si="34"/>
        <v/>
      </c>
      <c r="EW112" s="818"/>
    </row>
    <row r="113" spans="1:153" s="472" customFormat="1" ht="52">
      <c r="A113" s="654" t="str">
        <f t="shared" ca="1" si="32"/>
        <v>D.1.113</v>
      </c>
      <c r="B113" s="654" t="str">
        <f t="shared" ca="1" si="33"/>
        <v>1.113</v>
      </c>
      <c r="C113" s="654" t="str">
        <f t="shared" si="37"/>
        <v>[113]</v>
      </c>
      <c r="D113" s="654">
        <f>ROW()</f>
        <v>113</v>
      </c>
      <c r="E113" s="1139" t="str">
        <f>CU113</f>
        <v>- ZIEL-Ansatz: Orientiert an der Zielsetzung des Niedersächsischen Landwirtschaftsministeriums für das Jahr 2020 [116], wonach 10,0 % der Landeseigenen Waldfläche aus der forstwirtschaftlichen Nutzung genommen sein sollen. Damit bleiben 9.555.000 ha Wirtschaftswaldfläche. Gemessen an der Zielsetzung der Bundesregierung [115] ist das auch langfristig gesehen noch ein anspruchsvolles Ziel.</v>
      </c>
      <c r="F113" s="1139"/>
      <c r="G113" s="1139"/>
      <c r="H113" s="1139"/>
      <c r="I113" s="1139"/>
      <c r="J113" s="1139"/>
      <c r="K113" s="1139"/>
      <c r="L113" s="1139"/>
      <c r="M113" s="1139"/>
      <c r="N113" s="1140"/>
      <c r="O113" s="869">
        <v>113</v>
      </c>
      <c r="P113" s="573" t="str">
        <f ca="1">HYPERLINK(EK113,EJ113)</f>
        <v/>
      </c>
      <c r="Q113" s="574" t="str">
        <f>Y113</f>
        <v xml:space="preserve"> </v>
      </c>
      <c r="R113" s="852"/>
      <c r="S113" s="784"/>
      <c r="T113" s="864"/>
      <c r="U113" s="1023" t="str">
        <f>"Orientiert an der Zielsetzung des Niedersächsischen Landwirtschaftsministeriums für das Jahr 2020 "&amp;C116&amp;", wonach "&amp;TEXT(AF113,"0,0")&amp;" % der Landeseigenen Waldfläche aus der forstwirtschaftlichen Nutzung genommen sein sollen. Damit bleiben "&amp;TEXT(W113,"0.000")&amp;" ha Wirtschaftswaldfläche. Gemessen an der Zielsetzung der Bundesregierung "&amp;C115&amp;" ist das auch langfristig gesehen noch ein anspruchsvolles Ziel."</f>
        <v>Orientiert an der Zielsetzung des Niedersächsischen Landwirtschaftsministeriums für das Jahr 2020 [116], wonach 10,0 % der Landeseigenen Waldfläche aus der forstwirtschaftlichen Nutzung genommen sein sollen. Damit bleiben 9.555.000 ha Wirtschaftswaldfläche. Gemessen an der Zielsetzung der Bundesregierung [115] ist das auch langfristig gesehen noch ein anspruchsvolles Ziel.</v>
      </c>
      <c r="V113" s="905" t="s">
        <v>126</v>
      </c>
      <c r="W113" s="1024">
        <f>AJ113</f>
        <v>9555000</v>
      </c>
      <c r="X113" s="672"/>
      <c r="Y113" s="672" t="s">
        <v>126</v>
      </c>
      <c r="Z113" s="1025"/>
      <c r="AA113" s="905"/>
      <c r="AB113" s="801"/>
      <c r="AC113" s="801"/>
      <c r="AD113" s="687">
        <f>W100</f>
        <v>10617013</v>
      </c>
      <c r="AE113" s="801" t="s">
        <v>382</v>
      </c>
      <c r="AF113" s="687">
        <v>10</v>
      </c>
      <c r="AG113" s="687" t="str">
        <f>AE115</f>
        <v xml:space="preserve"> %</v>
      </c>
      <c r="AH113" s="801">
        <f>AD113*(1-AF113%)</f>
        <v>9555311.7000000011</v>
      </c>
      <c r="AI113" s="801" t="s">
        <v>360</v>
      </c>
      <c r="AJ113" s="801">
        <f>ROUND(AH113/1000,0)*1000</f>
        <v>9555000</v>
      </c>
      <c r="AK113" s="801" t="s">
        <v>382</v>
      </c>
      <c r="AL113" s="801"/>
      <c r="AM113" s="801"/>
      <c r="AN113" s="801"/>
      <c r="AO113" s="801"/>
      <c r="AP113" s="801"/>
      <c r="AQ113" s="801"/>
      <c r="AR113" s="801"/>
      <c r="AS113" s="801"/>
      <c r="AT113" s="687"/>
      <c r="AU113" s="801"/>
      <c r="AV113" s="801"/>
      <c r="BF113" s="473"/>
      <c r="BI113" s="472" t="s">
        <v>126</v>
      </c>
      <c r="BJ113" s="490"/>
      <c r="BN113" s="656"/>
      <c r="BO113" s="472" t="s">
        <v>259</v>
      </c>
      <c r="CU113" s="480" t="str">
        <f>CH$1&amp;IF(U113="",BF113,U113)</f>
        <v>- ZIEL-Ansatz: Orientiert an der Zielsetzung des Niedersächsischen Landwirtschaftsministeriums für das Jahr 2020 [116], wonach 10,0 % der Landeseigenen Waldfläche aus der forstwirtschaftlichen Nutzung genommen sein sollen. Damit bleiben 9.555.000 ha Wirtschaftswaldfläche. Gemessen an der Zielsetzung der Bundesregierung [115] ist das auch langfristig gesehen noch ein anspruchsvolles Ziel.</v>
      </c>
      <c r="CV113" s="656"/>
      <c r="CW113" s="480"/>
      <c r="DS113" s="656"/>
      <c r="DT113" s="518">
        <v>53</v>
      </c>
      <c r="EJ113" s="472" t="str">
        <f>IF(X113=0,"",EJ$1&amp;X113)</f>
        <v/>
      </c>
      <c r="EK113" s="472" t="str">
        <f ca="1">EK$1&amp;X113</f>
        <v>[D_Python.xlsx]9.Quellen!C</v>
      </c>
      <c r="EV113" s="819">
        <f t="shared" si="34"/>
        <v>113</v>
      </c>
      <c r="EW113" s="819"/>
    </row>
    <row r="114" spans="1:153" s="798" customFormat="1" ht="4.5" customHeight="1">
      <c r="A114" s="654" t="str">
        <f ca="1">BT$1&amp;D114</f>
        <v>D.1.114</v>
      </c>
      <c r="B114" s="654" t="str">
        <f ca="1">BW$1&amp;D114</f>
        <v>1.114</v>
      </c>
      <c r="C114" s="654" t="str">
        <f>CE$1&amp;D114&amp;CF$1</f>
        <v>[114]</v>
      </c>
      <c r="D114" s="853">
        <f>ROW()</f>
        <v>114</v>
      </c>
      <c r="E114" s="1125" t="str">
        <f>CU114</f>
        <v xml:space="preserve"> </v>
      </c>
      <c r="F114" s="1125"/>
      <c r="G114" s="1125"/>
      <c r="H114" s="1125"/>
      <c r="I114" s="1125"/>
      <c r="J114" s="1125"/>
      <c r="K114" s="1125"/>
      <c r="L114" s="1125"/>
      <c r="M114" s="1125"/>
      <c r="N114" s="1132"/>
      <c r="O114" s="869">
        <v>115</v>
      </c>
      <c r="P114" s="691" t="str">
        <f ca="1">HYPERLINK(EK114,EJ114)</f>
        <v/>
      </c>
      <c r="Q114" s="692" t="str">
        <f>Y114</f>
        <v xml:space="preserve"> </v>
      </c>
      <c r="R114" s="852"/>
      <c r="S114" s="784"/>
      <c r="T114" s="864"/>
      <c r="U114" s="1023"/>
      <c r="V114" s="905" t="s">
        <v>126</v>
      </c>
      <c r="W114" s="1025"/>
      <c r="X114" s="672"/>
      <c r="Y114" s="672" t="s">
        <v>126</v>
      </c>
      <c r="Z114" s="1025"/>
      <c r="AA114" s="905"/>
      <c r="AB114" s="801"/>
      <c r="AC114" s="801"/>
      <c r="AD114" s="687"/>
      <c r="AE114" s="801"/>
      <c r="AF114" s="801"/>
      <c r="AG114" s="801"/>
      <c r="AH114" s="687"/>
      <c r="AI114" s="801"/>
      <c r="AJ114" s="801"/>
      <c r="AK114" s="801"/>
      <c r="AL114" s="801"/>
      <c r="AM114" s="801"/>
      <c r="AN114" s="801"/>
      <c r="AO114" s="801"/>
      <c r="AP114" s="801"/>
      <c r="AQ114" s="801"/>
      <c r="AR114" s="801"/>
      <c r="AS114" s="801"/>
      <c r="AT114" s="801"/>
      <c r="AU114" s="801"/>
      <c r="AV114" s="801"/>
      <c r="BF114" s="657" t="s">
        <v>126</v>
      </c>
      <c r="BI114" s="798" t="s">
        <v>126</v>
      </c>
      <c r="BJ114" s="666"/>
      <c r="BO114" s="798" t="s">
        <v>259</v>
      </c>
      <c r="BQ114" s="678" t="s">
        <v>271</v>
      </c>
      <c r="CU114" s="663" t="str">
        <f>IF(U114="",BF114,U114)</f>
        <v xml:space="preserve"> </v>
      </c>
      <c r="CW114" s="663"/>
      <c r="EJ114" s="798" t="str">
        <f>IF(X114=0,"",EJ$1&amp;X114)</f>
        <v/>
      </c>
      <c r="EK114" s="798" t="str">
        <f ca="1">EK$1&amp;X114</f>
        <v>[D_Python.xlsx]9.Quellen!C</v>
      </c>
      <c r="EV114" s="819" t="str">
        <f t="shared" ref="EV114" si="58">IF(U114&amp;BP114="","",D114)</f>
        <v/>
      </c>
      <c r="EW114" s="819"/>
    </row>
    <row r="115" spans="1:153" s="656" customFormat="1" ht="52">
      <c r="A115" s="654" t="str">
        <f ca="1">BT$1&amp;D115</f>
        <v>D.1.115</v>
      </c>
      <c r="B115" s="654" t="str">
        <f ca="1">BW$1&amp;D115</f>
        <v>1.115</v>
      </c>
      <c r="C115" s="654" t="str">
        <f>CE$1&amp;D115&amp;CF$1</f>
        <v>[115]</v>
      </c>
      <c r="D115" s="654">
        <f>ROW()</f>
        <v>115</v>
      </c>
      <c r="E115" s="1125" t="str">
        <f ca="1">CU115</f>
        <v>Nationale Strategie zur biologischen Vielfalt der Bundesregierung von 2007 [9.63], S. 28, 31: "Bis zum Jahre 2020 kann sich die Natur auf 2 % der Fläche Deutschlands wieder nach ihren eigenen Gesetzmäßigkeiten ungestört entwickeln und Wildnis entstehen   (…)   2020 beträgt der Flächenanteil der Wälder mit natürlicher Waldentwicklung 5 % der Waldfläche."</v>
      </c>
      <c r="F115" s="1125"/>
      <c r="G115" s="1125"/>
      <c r="H115" s="1125"/>
      <c r="I115" s="1125"/>
      <c r="J115" s="1125"/>
      <c r="K115" s="1125"/>
      <c r="L115" s="1125"/>
      <c r="M115" s="1125"/>
      <c r="N115" s="1132"/>
      <c r="O115" s="869">
        <v>116</v>
      </c>
      <c r="P115" s="691" t="str">
        <f ca="1">HYPERLINK(EK115,EJ115)</f>
        <v>9.63</v>
      </c>
      <c r="Q115" s="692" t="str">
        <f>Y115</f>
        <v>S. 28, 31</v>
      </c>
      <c r="R115" s="852"/>
      <c r="S115" s="784"/>
      <c r="T115" s="864"/>
      <c r="U115" s="1023" t="str">
        <f ca="1">"Nationale Strategie zur biologischen Vielfalt der Bundesregierung von 2007 ["&amp;P115&amp;"], "&amp;Q115&amp;": ""Bis zum Jahre 2020 kann sich die Natur auf 2 % der Fläche Deutschlands wieder nach ihren eigenen Gesetzmäßigkeiten ungestört entwickeln und Wildnis entstehen   (…)   "&amp;"2020 beträgt der Flächenanteil der Wälder mit natürlicher Waldentwicklung "&amp;AD115&amp;AE115&amp;" der Waldfläche."""</f>
        <v>Nationale Strategie zur biologischen Vielfalt der Bundesregierung von 2007 [9.63], S. 28, 31: "Bis zum Jahre 2020 kann sich die Natur auf 2 % der Fläche Deutschlands wieder nach ihren eigenen Gesetzmäßigkeiten ungestört entwickeln und Wildnis entstehen   (…)   2020 beträgt der Flächenanteil der Wälder mit natürlicher Waldentwicklung 5 % der Waldfläche."</v>
      </c>
      <c r="V115" s="905" t="s">
        <v>126</v>
      </c>
      <c r="W115" s="1025"/>
      <c r="X115" s="672">
        <f>'9.Quellen'!C$63</f>
        <v>63</v>
      </c>
      <c r="Y115" s="672" t="s">
        <v>752</v>
      </c>
      <c r="Z115" s="1025"/>
      <c r="AA115" s="905"/>
      <c r="AB115" s="801"/>
      <c r="AC115" s="801"/>
      <c r="AD115" s="687">
        <v>5</v>
      </c>
      <c r="AE115" s="801" t="s">
        <v>972</v>
      </c>
      <c r="AF115" s="801"/>
      <c r="AG115" s="801"/>
      <c r="AH115" s="687"/>
      <c r="AI115" s="801"/>
      <c r="AJ115" s="801"/>
      <c r="AK115" s="801"/>
      <c r="AL115" s="801"/>
      <c r="AM115" s="801"/>
      <c r="AN115" s="801"/>
      <c r="AO115" s="801"/>
      <c r="AP115" s="801"/>
      <c r="AQ115" s="801"/>
      <c r="AR115" s="801"/>
      <c r="AS115" s="801"/>
      <c r="AT115" s="801"/>
      <c r="AU115" s="801"/>
      <c r="AV115" s="801"/>
      <c r="BF115" s="657" t="s">
        <v>126</v>
      </c>
      <c r="BI115" s="656" t="s">
        <v>126</v>
      </c>
      <c r="BJ115" s="666"/>
      <c r="BO115" s="656" t="s">
        <v>259</v>
      </c>
      <c r="BQ115" s="678" t="s">
        <v>271</v>
      </c>
      <c r="CU115" s="663" t="str">
        <f ca="1">IF(U115="",BF115,U115)</f>
        <v>Nationale Strategie zur biologischen Vielfalt der Bundesregierung von 2007 [9.63], S. 28, 31: "Bis zum Jahre 2020 kann sich die Natur auf 2 % der Fläche Deutschlands wieder nach ihren eigenen Gesetzmäßigkeiten ungestört entwickeln und Wildnis entstehen   (…)   2020 beträgt der Flächenanteil der Wälder mit natürlicher Waldentwicklung 5 % der Waldfläche."</v>
      </c>
      <c r="CW115" s="663"/>
      <c r="EJ115" s="656" t="str">
        <f ca="1">IF(X115=0,"",EJ$1&amp;X115)</f>
        <v>9.63</v>
      </c>
      <c r="EK115" s="656" t="str">
        <f ca="1">EK$1&amp;X115</f>
        <v>[D_Python.xlsx]9.Quellen!C63</v>
      </c>
      <c r="EV115" s="819">
        <f ca="1">IF(U115&amp;BP115="","",D115)</f>
        <v>115</v>
      </c>
      <c r="EW115" s="819"/>
    </row>
    <row r="116" spans="1:153" s="656" customFormat="1" ht="49.5" customHeight="1">
      <c r="A116" s="654" t="str">
        <f t="shared" ca="1" si="32"/>
        <v>D.1.116</v>
      </c>
      <c r="B116" s="654" t="str">
        <f t="shared" ca="1" si="33"/>
        <v>1.116</v>
      </c>
      <c r="C116" s="654" t="str">
        <f>CE$1&amp;D116&amp;CF$1</f>
        <v>[116]</v>
      </c>
      <c r="D116" s="654">
        <f>ROW()</f>
        <v>116</v>
      </c>
      <c r="E116" s="1125" t="str">
        <f ca="1">CU116</f>
        <v>Niedersächsisches Landwirtschaftsministerium 2013 [9.173]  : "'Unsere Landesforsten haben mit dem Nationalpark Harz und vielen weiteren FFH-Gebieten schon einen hohen Anteil an Naturwaldflächen', sagte Meyer. Er sei deshalb sicher, 'dass wir die Vorgaben für die niedersächsischen Landesforsten mit zehn Prozent bis 2020 fachlich versiert auf jeden Fall erreichen werden'."</v>
      </c>
      <c r="F116" s="1125"/>
      <c r="G116" s="1125"/>
      <c r="H116" s="1125"/>
      <c r="I116" s="1125"/>
      <c r="J116" s="1125"/>
      <c r="K116" s="1125"/>
      <c r="L116" s="1125"/>
      <c r="M116" s="1125"/>
      <c r="N116" s="1132"/>
      <c r="O116" s="869">
        <v>114</v>
      </c>
      <c r="P116" s="691" t="str">
        <f ca="1">HYPERLINK(EK116,EJ116)</f>
        <v>9.173</v>
      </c>
      <c r="Q116" s="692" t="str">
        <f>Y116</f>
        <v xml:space="preserve"> </v>
      </c>
      <c r="R116" s="852"/>
      <c r="S116" s="784"/>
      <c r="T116" s="864"/>
      <c r="U116" s="1023" t="str">
        <f ca="1">"Niedersächsisches Landwirtschaftsministerium 2013 ["&amp;P116&amp;"] "&amp;Q116&amp;": ""'Unsere Landesforsten haben mit dem Nationalpark Harz und vielen weiteren FFH-Gebieten schon einen hohen Anteil an Naturwaldflächen', sagte Meyer. "&amp;"Er sei deshalb sicher, 'dass wir die Vorgaben für die niedersächsischen Landesforsten mit zehn Prozent bis 2020 fachlich versiert auf jeden Fall erreichen werden'."""</f>
        <v>Niedersächsisches Landwirtschaftsministerium 2013 [9.173]  : "'Unsere Landesforsten haben mit dem Nationalpark Harz und vielen weiteren FFH-Gebieten schon einen hohen Anteil an Naturwaldflächen', sagte Meyer. Er sei deshalb sicher, 'dass wir die Vorgaben für die niedersächsischen Landesforsten mit zehn Prozent bis 2020 fachlich versiert auf jeden Fall erreichen werden'."</v>
      </c>
      <c r="V116" s="905" t="s">
        <v>126</v>
      </c>
      <c r="W116" s="1025"/>
      <c r="X116" s="672">
        <f>'9.Quellen'!C$173</f>
        <v>173</v>
      </c>
      <c r="Y116" s="672" t="s">
        <v>126</v>
      </c>
      <c r="Z116" s="1025"/>
      <c r="AA116" s="905"/>
      <c r="AB116" s="801"/>
      <c r="AC116" s="801"/>
      <c r="AD116" s="687"/>
      <c r="AE116" s="801"/>
      <c r="AF116" s="801"/>
      <c r="AG116" s="801"/>
      <c r="AH116" s="687"/>
      <c r="AI116" s="801"/>
      <c r="AJ116" s="801"/>
      <c r="AK116" s="801"/>
      <c r="AL116" s="801"/>
      <c r="AM116" s="801"/>
      <c r="AN116" s="801"/>
      <c r="AO116" s="801"/>
      <c r="AP116" s="801"/>
      <c r="AQ116" s="801"/>
      <c r="AR116" s="801"/>
      <c r="AS116" s="801"/>
      <c r="AT116" s="801"/>
      <c r="AU116" s="801"/>
      <c r="AV116" s="801"/>
      <c r="BF116" s="657" t="s">
        <v>126</v>
      </c>
      <c r="BI116" s="656" t="s">
        <v>126</v>
      </c>
      <c r="BJ116" s="666"/>
      <c r="BO116" s="656" t="s">
        <v>259</v>
      </c>
      <c r="BQ116" s="678" t="s">
        <v>271</v>
      </c>
      <c r="CU116" s="663" t="str">
        <f ca="1">IF(U116="",BF116,U116)</f>
        <v>Niedersächsisches Landwirtschaftsministerium 2013 [9.173]  : "'Unsere Landesforsten haben mit dem Nationalpark Harz und vielen weiteren FFH-Gebieten schon einen hohen Anteil an Naturwaldflächen', sagte Meyer. Er sei deshalb sicher, 'dass wir die Vorgaben für die niedersächsischen Landesforsten mit zehn Prozent bis 2020 fachlich versiert auf jeden Fall erreichen werden'."</v>
      </c>
      <c r="CW116" s="663"/>
      <c r="EJ116" s="656" t="str">
        <f ca="1">IF(X116=0,"",EJ$1&amp;X116)</f>
        <v>9.173</v>
      </c>
      <c r="EK116" s="656" t="str">
        <f ca="1">EK$1&amp;X116</f>
        <v>[D_Python.xlsx]9.Quellen!C173</v>
      </c>
      <c r="EV116" s="819">
        <f t="shared" ca="1" si="34"/>
        <v>116</v>
      </c>
      <c r="EW116" s="819"/>
    </row>
    <row r="117" spans="1:153" s="528" customFormat="1" ht="4">
      <c r="A117" s="540" t="str">
        <f t="shared" ca="1" si="32"/>
        <v>D.1.117</v>
      </c>
      <c r="B117" s="540" t="str">
        <f t="shared" ca="1" si="33"/>
        <v>1.117</v>
      </c>
      <c r="C117" s="540" t="str">
        <f t="shared" si="37"/>
        <v>[117]</v>
      </c>
      <c r="D117" s="540">
        <f>ROW()</f>
        <v>117</v>
      </c>
      <c r="I117" s="527"/>
      <c r="J117" s="527"/>
      <c r="K117" s="527"/>
      <c r="L117" s="527"/>
      <c r="M117" s="527"/>
      <c r="O117" s="870">
        <v>117</v>
      </c>
      <c r="P117" s="566"/>
      <c r="Q117" s="567"/>
      <c r="R117" s="889"/>
      <c r="S117" s="802"/>
      <c r="T117" s="883"/>
      <c r="U117" s="661"/>
      <c r="V117" s="661"/>
      <c r="W117" s="661"/>
      <c r="X117" s="661"/>
      <c r="Y117" s="661"/>
      <c r="Z117" s="661"/>
      <c r="AA117" s="661"/>
      <c r="AB117" s="675"/>
      <c r="AC117" s="675"/>
      <c r="AD117" s="675"/>
      <c r="AE117" s="675"/>
      <c r="AF117" s="675"/>
      <c r="AG117" s="675"/>
      <c r="AH117" s="675"/>
      <c r="AI117" s="675"/>
      <c r="AJ117" s="675"/>
      <c r="AK117" s="675"/>
      <c r="AL117" s="675"/>
      <c r="AM117" s="675"/>
      <c r="AN117" s="675"/>
      <c r="AO117" s="675"/>
      <c r="AP117" s="675"/>
      <c r="AQ117" s="675"/>
      <c r="AR117" s="675"/>
      <c r="AS117" s="675"/>
      <c r="AT117" s="675"/>
      <c r="AU117" s="675"/>
      <c r="AV117" s="675"/>
      <c r="AZ117" s="541"/>
      <c r="BB117" s="541"/>
      <c r="BI117" s="528" t="s">
        <v>126</v>
      </c>
      <c r="BJ117" s="542"/>
      <c r="BN117" s="680"/>
      <c r="CU117" s="543"/>
      <c r="CV117" s="680"/>
      <c r="CW117" s="543"/>
      <c r="DS117" s="680"/>
      <c r="EV117" s="820" t="str">
        <f t="shared" si="34"/>
        <v/>
      </c>
      <c r="EW117" s="820"/>
    </row>
    <row r="118" spans="1:153" s="472" customFormat="1" ht="13">
      <c r="A118" s="654" t="str">
        <f t="shared" ca="1" si="32"/>
        <v>D.1.118</v>
      </c>
      <c r="B118" s="654" t="str">
        <f t="shared" ca="1" si="33"/>
        <v>1.118</v>
      </c>
      <c r="C118" s="654" t="str">
        <f t="shared" si="37"/>
        <v>[118]</v>
      </c>
      <c r="D118" s="654">
        <f>ROW()</f>
        <v>118</v>
      </c>
      <c r="E118" s="481" t="str">
        <f>BP118</f>
        <v>Solarenergie</v>
      </c>
      <c r="F118" s="482"/>
      <c r="G118" s="482"/>
      <c r="H118" s="482"/>
      <c r="I118" s="483"/>
      <c r="J118" s="484"/>
      <c r="K118" s="484"/>
      <c r="L118" s="484"/>
      <c r="M118" s="484"/>
      <c r="N118" s="532"/>
      <c r="O118" s="869">
        <v>118</v>
      </c>
      <c r="P118" s="568"/>
      <c r="Q118" s="569"/>
      <c r="R118" s="852"/>
      <c r="S118" s="804"/>
      <c r="T118" s="864"/>
      <c r="U118" s="905"/>
      <c r="V118" s="905"/>
      <c r="W118" s="905"/>
      <c r="X118" s="905"/>
      <c r="Y118" s="905"/>
      <c r="Z118" s="905"/>
      <c r="AA118" s="905"/>
      <c r="AB118" s="801"/>
      <c r="AC118" s="801"/>
      <c r="AD118" s="801"/>
      <c r="AE118" s="801"/>
      <c r="AF118" s="801"/>
      <c r="AG118" s="801"/>
      <c r="AH118" s="801"/>
      <c r="AI118" s="801"/>
      <c r="AJ118" s="801"/>
      <c r="AK118" s="801"/>
      <c r="AL118" s="801"/>
      <c r="AM118" s="801"/>
      <c r="AN118" s="801"/>
      <c r="AO118" s="801"/>
      <c r="AP118" s="801"/>
      <c r="AQ118" s="801"/>
      <c r="AR118" s="801"/>
      <c r="AS118" s="801"/>
      <c r="AT118" s="801"/>
      <c r="AU118" s="801"/>
      <c r="AV118" s="801"/>
      <c r="AZ118" s="504"/>
      <c r="BB118" s="506"/>
      <c r="BI118" s="472" t="s">
        <v>126</v>
      </c>
      <c r="BJ118" s="490"/>
      <c r="BN118" s="656"/>
      <c r="BO118" s="472" t="s">
        <v>250</v>
      </c>
      <c r="BP118" s="518" t="s">
        <v>277</v>
      </c>
      <c r="CU118" s="480"/>
      <c r="CV118" s="656"/>
      <c r="CW118" s="480"/>
      <c r="DS118" s="656"/>
      <c r="EV118" s="819">
        <f t="shared" si="34"/>
        <v>118</v>
      </c>
      <c r="EW118" s="819"/>
    </row>
    <row r="119" spans="1:153" s="478" customFormat="1" ht="4">
      <c r="A119" s="677" t="str">
        <f t="shared" ca="1" si="32"/>
        <v>D.1.119</v>
      </c>
      <c r="B119" s="677" t="str">
        <f t="shared" ca="1" si="33"/>
        <v>1.119</v>
      </c>
      <c r="C119" s="677" t="str">
        <f t="shared" si="37"/>
        <v>[119]</v>
      </c>
      <c r="D119" s="677">
        <f>ROW()</f>
        <v>119</v>
      </c>
      <c r="E119" s="528"/>
      <c r="F119" s="528"/>
      <c r="G119" s="528"/>
      <c r="H119" s="528"/>
      <c r="I119" s="527"/>
      <c r="J119" s="527"/>
      <c r="K119" s="527"/>
      <c r="L119" s="527"/>
      <c r="M119" s="527"/>
      <c r="N119" s="528"/>
      <c r="O119" s="871">
        <v>119</v>
      </c>
      <c r="P119" s="566"/>
      <c r="Q119" s="567"/>
      <c r="R119" s="888"/>
      <c r="S119" s="802"/>
      <c r="T119" s="882"/>
      <c r="U119" s="661"/>
      <c r="V119" s="661"/>
      <c r="W119" s="661"/>
      <c r="X119" s="661"/>
      <c r="Y119" s="661"/>
      <c r="Z119" s="661"/>
      <c r="AA119" s="661"/>
      <c r="AB119" s="675"/>
      <c r="AC119" s="675"/>
      <c r="AD119" s="675"/>
      <c r="AE119" s="675"/>
      <c r="AF119" s="675"/>
      <c r="AG119" s="675"/>
      <c r="AH119" s="675"/>
      <c r="AI119" s="675"/>
      <c r="AJ119" s="675"/>
      <c r="AK119" s="675"/>
      <c r="AL119" s="675"/>
      <c r="AM119" s="675"/>
      <c r="AN119" s="675"/>
      <c r="AO119" s="675"/>
      <c r="AP119" s="675"/>
      <c r="AQ119" s="675"/>
      <c r="AR119" s="675"/>
      <c r="AS119" s="675"/>
      <c r="AT119" s="675"/>
      <c r="AU119" s="675"/>
      <c r="AV119" s="675"/>
      <c r="BI119" s="478" t="s">
        <v>126</v>
      </c>
      <c r="BJ119" s="489"/>
      <c r="BN119" s="661"/>
      <c r="CU119" s="479"/>
      <c r="CV119" s="661"/>
      <c r="CW119" s="479"/>
      <c r="DS119" s="661"/>
      <c r="EV119" s="818" t="str">
        <f t="shared" si="34"/>
        <v/>
      </c>
      <c r="EW119" s="818"/>
    </row>
    <row r="120" spans="1:153" s="475" customFormat="1" ht="13.5" customHeight="1">
      <c r="A120" s="654" t="str">
        <f t="shared" ca="1" si="32"/>
        <v>D.1.120</v>
      </c>
      <c r="B120" s="654" t="str">
        <f t="shared" ca="1" si="33"/>
        <v>1.120</v>
      </c>
      <c r="C120" s="654" t="str">
        <f t="shared" si="37"/>
        <v>[120]</v>
      </c>
      <c r="D120" s="654">
        <f>ROW()</f>
        <v>120</v>
      </c>
      <c r="E120" s="1129" t="str">
        <f>BP120</f>
        <v>Solare Absorberfläche auf Dächern</v>
      </c>
      <c r="F120" s="1129"/>
      <c r="G120" s="1129"/>
      <c r="H120" s="1129"/>
      <c r="I120" s="1129"/>
      <c r="J120" s="471" t="s">
        <v>272</v>
      </c>
      <c r="K120" s="546">
        <f ca="1">INDIRECT($W$1&amp;U120)</f>
        <v>21407.829999999998</v>
      </c>
      <c r="L120" s="485" t="str">
        <f ca="1">HYPERLINK($CK$1&amp;U120,$CE$1&amp;U120&amp;$CF$1)</f>
        <v>[121]</v>
      </c>
      <c r="M120" s="547">
        <f ca="1">INDIRECT($W$1&amp;W120)</f>
        <v>266654.08757841616</v>
      </c>
      <c r="N120" s="533" t="str">
        <f ca="1">HYPERLINK($CK$1&amp;W120,$CE$1&amp;W120&amp;$CF$1)</f>
        <v>[126]</v>
      </c>
      <c r="O120" s="869">
        <v>120</v>
      </c>
      <c r="P120" s="570"/>
      <c r="Q120" s="583"/>
      <c r="R120" s="852"/>
      <c r="S120" s="784"/>
      <c r="T120" s="864"/>
      <c r="U120" s="672">
        <f>D121</f>
        <v>121</v>
      </c>
      <c r="V120" s="905" t="s">
        <v>126</v>
      </c>
      <c r="W120" s="672">
        <f>D126</f>
        <v>126</v>
      </c>
      <c r="X120" s="658"/>
      <c r="Y120" s="658"/>
      <c r="Z120" s="658"/>
      <c r="AA120" s="658"/>
      <c r="AB120" s="801"/>
      <c r="AC120" s="801"/>
      <c r="AD120" s="674"/>
      <c r="AE120" s="674"/>
      <c r="AF120" s="674"/>
      <c r="AG120" s="674"/>
      <c r="AH120" s="674"/>
      <c r="AI120" s="674"/>
      <c r="AJ120" s="674"/>
      <c r="AK120" s="674"/>
      <c r="AL120" s="674"/>
      <c r="AM120" s="674"/>
      <c r="AN120" s="674"/>
      <c r="AO120" s="674"/>
      <c r="AP120" s="674"/>
      <c r="AQ120" s="674"/>
      <c r="AR120" s="674"/>
      <c r="AS120" s="674"/>
      <c r="AT120" s="674"/>
      <c r="AU120" s="674"/>
      <c r="AV120" s="674"/>
      <c r="AX120" s="475" t="s">
        <v>244</v>
      </c>
      <c r="AY120" s="500">
        <f ca="1">DA120</f>
        <v>1468.6592427616933</v>
      </c>
      <c r="AZ120" s="508" t="str">
        <f ca="1">HYPERLINK(DN120,DC120)</f>
        <v xml:space="preserve"> 27</v>
      </c>
      <c r="BA120" s="500">
        <f ca="1">DB120</f>
        <v>24603.46</v>
      </c>
      <c r="BB120" s="508" t="str">
        <f ca="1">HYPERLINK(DO120,DD120)</f>
        <v xml:space="preserve"> 30</v>
      </c>
      <c r="BC120" s="475" t="str">
        <f ca="1">CY120&amp;" | "&amp;CZ120</f>
        <v>Solar-Dachflächen | Solar genutzte Dachflächen</v>
      </c>
      <c r="BI120" s="475" t="s">
        <v>126</v>
      </c>
      <c r="BJ120" s="492" t="str">
        <f>E120</f>
        <v>Solare Absorberfläche auf Dächern</v>
      </c>
      <c r="BK120" s="486">
        <f ca="1">K120</f>
        <v>21407.829999999998</v>
      </c>
      <c r="BL120" s="486">
        <f ca="1">M120</f>
        <v>266654.08757841616</v>
      </c>
      <c r="BM120" s="472">
        <f>D120</f>
        <v>120</v>
      </c>
      <c r="BN120" s="658"/>
      <c r="BO120" s="475" t="s">
        <v>251</v>
      </c>
      <c r="BP120" s="521" t="s">
        <v>302</v>
      </c>
      <c r="CU120" s="476"/>
      <c r="CV120" s="658"/>
      <c r="CW120" s="518">
        <v>25</v>
      </c>
      <c r="CY120" s="472" t="str">
        <f t="shared" ref="CY120:DO120" ca="1" si="59">INDIRECT($CX$1&amp;CY$1&amp;$CW120)</f>
        <v>Solar-Dachflächen</v>
      </c>
      <c r="CZ120" s="472" t="str">
        <f t="shared" ca="1" si="59"/>
        <v>Solar genutzte Dachflächen</v>
      </c>
      <c r="DA120" s="472">
        <f t="shared" ca="1" si="59"/>
        <v>1468.6592427616933</v>
      </c>
      <c r="DB120" s="472">
        <f t="shared" ca="1" si="59"/>
        <v>24603.46</v>
      </c>
      <c r="DC120" s="472" t="str">
        <f t="shared" ca="1" si="59"/>
        <v xml:space="preserve"> 27</v>
      </c>
      <c r="DD120" s="472" t="str">
        <f t="shared" ca="1" si="59"/>
        <v xml:space="preserve"> 30</v>
      </c>
      <c r="DE120" s="472" t="str">
        <f t="shared" ca="1" si="59"/>
        <v xml:space="preserve">So60 </v>
      </c>
      <c r="DF120" s="472" t="str">
        <f t="shared" ca="1" si="59"/>
        <v xml:space="preserve">So24 </v>
      </c>
      <c r="DG120" s="472" t="str">
        <f t="shared" ca="1" si="59"/>
        <v>So</v>
      </c>
      <c r="DH120" s="472" t="str">
        <f t="shared" ca="1" si="59"/>
        <v xml:space="preserve">60 </v>
      </c>
      <c r="DI120" s="472" t="str">
        <f t="shared" ca="1" si="59"/>
        <v>[So.xls]TEXT!Z60 S5</v>
      </c>
      <c r="DJ120" s="472" t="str">
        <f t="shared" ca="1" si="59"/>
        <v>So</v>
      </c>
      <c r="DK120" s="472" t="str">
        <f t="shared" ca="1" si="59"/>
        <v xml:space="preserve">24 </v>
      </c>
      <c r="DL120" s="472" t="str">
        <f t="shared" ca="1" si="59"/>
        <v>[So.xls]TEXT!Z24 S5</v>
      </c>
      <c r="DM120" s="472">
        <f t="shared" ca="1" si="59"/>
        <v>25</v>
      </c>
      <c r="DN120" s="472" t="str">
        <f t="shared" ca="1" si="59"/>
        <v>[Region.xls]PARAMETER!Z27S6</v>
      </c>
      <c r="DO120" s="472" t="str">
        <f t="shared" ca="1" si="59"/>
        <v>[Region.xls]PARAMETER!Z30S6</v>
      </c>
      <c r="DP120" s="472"/>
      <c r="DS120" s="656"/>
      <c r="DV120" s="472"/>
      <c r="DW120" s="472"/>
      <c r="DX120" s="472"/>
      <c r="DY120" s="472"/>
      <c r="DZ120" s="472"/>
      <c r="EA120" s="472"/>
      <c r="EB120" s="472"/>
      <c r="EC120" s="472"/>
      <c r="ED120" s="472"/>
      <c r="EE120" s="472"/>
      <c r="EF120" s="472"/>
      <c r="EG120" s="472"/>
      <c r="EH120" s="472"/>
      <c r="EI120" s="472"/>
      <c r="EJ120" s="472"/>
      <c r="EK120" s="472"/>
      <c r="EV120" s="819">
        <f t="shared" si="34"/>
        <v>120</v>
      </c>
      <c r="EW120" s="819"/>
    </row>
    <row r="121" spans="1:153" s="472" customFormat="1" ht="39">
      <c r="A121" s="654" t="str">
        <f t="shared" ca="1" si="32"/>
        <v>D.1.121</v>
      </c>
      <c r="B121" s="654" t="str">
        <f t="shared" ca="1" si="33"/>
        <v>1.121</v>
      </c>
      <c r="C121" s="654" t="str">
        <f t="shared" si="37"/>
        <v>[121]</v>
      </c>
      <c r="D121" s="654">
        <f>ROW()</f>
        <v>121</v>
      </c>
      <c r="E121" s="1130" t="str">
        <f>CU121</f>
        <v>- STATUS-Ansatz: Die solare Absorberfläche auf Dächern von 21.408 ha resultiert aus der Summe von solarthermischen Flach- und Röhrenkollektoren zur Wärmegewinnung gemäß [122] und Photovoltaikmodulen zur Stromgewinnung gemäß [123].</v>
      </c>
      <c r="F121" s="1130"/>
      <c r="G121" s="1130"/>
      <c r="H121" s="1130"/>
      <c r="I121" s="1130"/>
      <c r="J121" s="1130"/>
      <c r="K121" s="1130"/>
      <c r="L121" s="1130"/>
      <c r="M121" s="1130"/>
      <c r="N121" s="1131"/>
      <c r="O121" s="869">
        <v>121</v>
      </c>
      <c r="P121" s="573" t="str">
        <f ca="1">HYPERLINK(EK121,EJ121)</f>
        <v/>
      </c>
      <c r="Q121" s="574" t="str">
        <f>Y121</f>
        <v xml:space="preserve"> </v>
      </c>
      <c r="R121" s="852"/>
      <c r="S121" s="784"/>
      <c r="T121" s="864"/>
      <c r="U121" s="1023" t="str">
        <f>"Die solare Absorberfläche auf Dächern von "&amp;TEXT(W121,"0.000")&amp;" ha resultiert aus der Summe von solarthermischen Flach- und Röhrenkollektoren zur Wärmegewinnung gemäß "&amp;C122&amp;" und Photovoltaikmodulen zur Stromgewinnung gemäß "&amp;C123&amp;"."</f>
        <v>Die solare Absorberfläche auf Dächern von 21.408 ha resultiert aus der Summe von solarthermischen Flach- und Röhrenkollektoren zur Wärmegewinnung gemäß [122] und Photovoltaikmodulen zur Stromgewinnung gemäß [123].</v>
      </c>
      <c r="V121" s="905" t="s">
        <v>126</v>
      </c>
      <c r="W121" s="1024">
        <f>W122+W123</f>
        <v>21407.829999999998</v>
      </c>
      <c r="X121" s="672"/>
      <c r="Y121" s="672" t="s">
        <v>126</v>
      </c>
      <c r="Z121" s="1025"/>
      <c r="AA121" s="658"/>
      <c r="AB121" s="801"/>
      <c r="AC121" s="801"/>
      <c r="AD121" s="801">
        <f ca="1">AY120</f>
        <v>1468.6592427616933</v>
      </c>
      <c r="AE121" s="801"/>
      <c r="AF121" s="801"/>
      <c r="AG121" s="801"/>
      <c r="AH121" s="801"/>
      <c r="AI121" s="801"/>
      <c r="AJ121" s="801"/>
      <c r="AK121" s="801"/>
      <c r="AL121" s="801"/>
      <c r="AM121" s="801"/>
      <c r="AN121" s="801"/>
      <c r="AO121" s="801"/>
      <c r="AP121" s="801"/>
      <c r="AQ121" s="801"/>
      <c r="AR121" s="801"/>
      <c r="AS121" s="801"/>
      <c r="AT121" s="801"/>
      <c r="AU121" s="801"/>
      <c r="AV121" s="801"/>
      <c r="BF121" s="473"/>
      <c r="BI121" s="472" t="s">
        <v>126</v>
      </c>
      <c r="BJ121" s="490"/>
      <c r="BN121" s="656"/>
      <c r="BO121" s="472" t="s">
        <v>259</v>
      </c>
      <c r="CU121" s="480" t="str">
        <f>CG$1&amp;IF(U121="",BF121,U121)</f>
        <v>- STATUS-Ansatz: Die solare Absorberfläche auf Dächern von 21.408 ha resultiert aus der Summe von solarthermischen Flach- und Röhrenkollektoren zur Wärmegewinnung gemäß [122] und Photovoltaikmodulen zur Stromgewinnung gemäß [123].</v>
      </c>
      <c r="CV121" s="656"/>
      <c r="CW121" s="480"/>
      <c r="DS121" s="656"/>
      <c r="DT121" s="518">
        <f>I_Basisdaten!A65</f>
        <v>65</v>
      </c>
      <c r="EJ121" s="472" t="str">
        <f>IF(X121=0,"",EJ$1&amp;X121)</f>
        <v/>
      </c>
      <c r="EK121" s="472" t="str">
        <f ca="1">EK$1&amp;X121</f>
        <v>[D_Python.xlsx]9.Quellen!C</v>
      </c>
      <c r="EV121" s="819">
        <f t="shared" si="34"/>
        <v>121</v>
      </c>
      <c r="EW121" s="819"/>
    </row>
    <row r="122" spans="1:153" s="472" customFormat="1" ht="39">
      <c r="A122" s="654" t="str">
        <f t="shared" ca="1" si="32"/>
        <v>D.1.122</v>
      </c>
      <c r="B122" s="654" t="str">
        <f t="shared" ca="1" si="33"/>
        <v>1.122</v>
      </c>
      <c r="C122" s="654" t="str">
        <f t="shared" si="37"/>
        <v>[122]</v>
      </c>
      <c r="D122" s="654">
        <f>ROW()</f>
        <v>122</v>
      </c>
      <c r="E122" s="1130" t="str">
        <f>CU122</f>
        <v>Die solarthermischen Flach- und Röhrenkollektoren zur Wärmegewinnung belegten eine Fläche von 1912,2 ha gemäß [139]. Sie werden hier komplett den Dachflächen zugerechnet, da sie zur Vermeidung von Verlusten beim Wärmetransport meist verbrauchsnah auf Gebäuden installiert sind.</v>
      </c>
      <c r="F122" s="1130"/>
      <c r="G122" s="1130"/>
      <c r="H122" s="1130"/>
      <c r="I122" s="1130"/>
      <c r="J122" s="1130"/>
      <c r="K122" s="1130"/>
      <c r="L122" s="1130"/>
      <c r="M122" s="1130"/>
      <c r="N122" s="1131"/>
      <c r="O122" s="869">
        <v>122</v>
      </c>
      <c r="P122" s="573" t="str">
        <f ca="1">HYPERLINK(EK122,EJ122)</f>
        <v>9.16</v>
      </c>
      <c r="Q122" s="574" t="str">
        <f>Y122</f>
        <v>Zeile 350</v>
      </c>
      <c r="R122" s="852"/>
      <c r="S122" s="784"/>
      <c r="T122" s="864"/>
      <c r="U122" s="1033" t="str">
        <f>"Die solarthermischen Flach- und Röhrenkollektoren zur Wärmegewinnung belegten eine Fläche von "&amp;TEXT(W122,"0,0")&amp;" ha gemäß "&amp;C139&amp;". Sie werden hier komplett den Dachflächen zugerechnet, da sie zur Vermeidung von Verlusten beim Wärmetransport meist verbrauchsnah auf Gebäuden installiert sind."</f>
        <v>Die solarthermischen Flach- und Röhrenkollektoren zur Wärmegewinnung belegten eine Fläche von 1912,2 ha gemäß [139]. Sie werden hier komplett den Dachflächen zugerechnet, da sie zur Vermeidung von Verlusten beim Wärmetransport meist verbrauchsnah auf Gebäuden installiert sind.</v>
      </c>
      <c r="V122" s="905" t="s">
        <v>126</v>
      </c>
      <c r="W122" s="1034">
        <f>W139/10000</f>
        <v>1912.2</v>
      </c>
      <c r="X122" s="672">
        <f>'9.Quellen'!C16</f>
        <v>16</v>
      </c>
      <c r="Y122" s="672" t="s">
        <v>975</v>
      </c>
      <c r="Z122" s="1025"/>
      <c r="AA122" s="905"/>
      <c r="AB122" s="801"/>
      <c r="AC122" s="801"/>
      <c r="AD122" s="801"/>
      <c r="AE122" s="801"/>
      <c r="AF122" s="801"/>
      <c r="AG122" s="801"/>
      <c r="AH122" s="801"/>
      <c r="AI122" s="801"/>
      <c r="AJ122" s="801"/>
      <c r="AK122" s="687"/>
      <c r="AL122" s="801"/>
      <c r="AM122" s="801"/>
      <c r="AN122" s="801"/>
      <c r="AO122" s="801"/>
      <c r="AP122" s="801"/>
      <c r="AQ122" s="801"/>
      <c r="AR122" s="801"/>
      <c r="AS122" s="801"/>
      <c r="AT122" s="801"/>
      <c r="AU122" s="801"/>
      <c r="AV122" s="801"/>
      <c r="BF122" s="473"/>
      <c r="BI122" s="472" t="s">
        <v>126</v>
      </c>
      <c r="BJ122" s="490"/>
      <c r="BN122" s="656"/>
      <c r="BO122" s="472" t="s">
        <v>252</v>
      </c>
      <c r="CU122" s="480" t="str">
        <f>IF(U122="",BF122,U122)</f>
        <v>Die solarthermischen Flach- und Röhrenkollektoren zur Wärmegewinnung belegten eine Fläche von 1912,2 ha gemäß [139]. Sie werden hier komplett den Dachflächen zugerechnet, da sie zur Vermeidung von Verlusten beim Wärmetransport meist verbrauchsnah auf Gebäuden installiert sind.</v>
      </c>
      <c r="CV122" s="656"/>
      <c r="CW122" s="480"/>
      <c r="DS122" s="656"/>
      <c r="DT122" s="518"/>
      <c r="EJ122" s="472" t="str">
        <f ca="1">IF(X122=0,"",EJ$1&amp;X122)</f>
        <v>9.16</v>
      </c>
      <c r="EK122" s="472" t="str">
        <f ca="1">EK$1&amp;X122</f>
        <v>[D_Python.xlsx]9.Quellen!C16</v>
      </c>
      <c r="EV122" s="819">
        <f t="shared" si="34"/>
        <v>122</v>
      </c>
      <c r="EW122" s="819"/>
    </row>
    <row r="123" spans="1:153" s="472" customFormat="1" ht="39">
      <c r="A123" s="654" t="str">
        <f t="shared" ca="1" si="32"/>
        <v>D.1.123</v>
      </c>
      <c r="B123" s="654" t="str">
        <f t="shared" ca="1" si="33"/>
        <v>1.123</v>
      </c>
      <c r="C123" s="654" t="str">
        <f t="shared" si="37"/>
        <v>[123]</v>
      </c>
      <c r="D123" s="654">
        <f>ROW()</f>
        <v>123</v>
      </c>
      <c r="E123" s="1130" t="str">
        <f ca="1">CU123</f>
        <v xml:space="preserve">Insgesamt waren 2015 gemäß AEE [9.16] , Zeile 70, in Deutschland 39.787 MWp PV installiert ('2012: 33.033 MWp), etwa 70% davon als Dachanlagen [124]. Mit einer Flächenleistung von 7 m2/kWp [155] resultiert daraus eine PV-Modulfläche auf Dächern von 19.496 ha. </v>
      </c>
      <c r="F123" s="1130"/>
      <c r="G123" s="1130"/>
      <c r="H123" s="1130"/>
      <c r="I123" s="1130"/>
      <c r="J123" s="1130"/>
      <c r="K123" s="1130"/>
      <c r="L123" s="1130"/>
      <c r="M123" s="1130"/>
      <c r="N123" s="1131"/>
      <c r="O123" s="869">
        <v>123</v>
      </c>
      <c r="P123" s="573" t="str">
        <f ca="1">HYPERLINK(EK123,EJ123)</f>
        <v>9.16</v>
      </c>
      <c r="Q123" s="574" t="str">
        <f>Y123</f>
        <v>Zeile 70</v>
      </c>
      <c r="R123" s="852"/>
      <c r="S123" s="784"/>
      <c r="T123" s="864"/>
      <c r="U123" s="1033" t="str">
        <f ca="1">"Insgesamt waren 2015 gemäß "&amp;'9.Quellen'!E16&amp;" ["&amp;'1.'!P123&amp;"] , "&amp;'1.'!Q123&amp;", in Deutschland "&amp;TEXT('1.'!AE123,"0.000")&amp;'1.'!AF123&amp;" PV installiert ("&amp;AG123&amp;TEXT(AH123,"0.000")&amp;AI123&amp;"), etwa "&amp;AJ123&amp;AK123&amp;" davon als Dachanlagen "&amp;C124&amp;". Mit einer Flächenleistung von "&amp;AN123&amp;AO123&amp;C155&amp;" resultiert daraus eine PV-Modulfläche auf Dächern von "&amp;TEXT(AP123,"0.000")&amp;" ha. "</f>
        <v xml:space="preserve">Insgesamt waren 2015 gemäß AEE [9.16] , Zeile 70, in Deutschland 39.787 MWp PV installiert ('2012: 33.033 MWp), etwa 70% davon als Dachanlagen [124]. Mit einer Flächenleistung von 7 m2/kWp [155] resultiert daraus eine PV-Modulfläche auf Dächern von 19.496 ha. </v>
      </c>
      <c r="V123" s="905" t="s">
        <v>126</v>
      </c>
      <c r="W123" s="1034">
        <f>AP123</f>
        <v>19495.629999999997</v>
      </c>
      <c r="X123" s="672">
        <f>'9.Quellen'!C16</f>
        <v>16</v>
      </c>
      <c r="Y123" s="672" t="s">
        <v>976</v>
      </c>
      <c r="Z123" s="1025"/>
      <c r="AA123" s="905"/>
      <c r="AB123" s="801"/>
      <c r="AC123" s="801"/>
      <c r="AD123" s="851">
        <v>2015</v>
      </c>
      <c r="AE123" s="801">
        <v>39787</v>
      </c>
      <c r="AF123" s="801" t="s">
        <v>293</v>
      </c>
      <c r="AG123" s="836" t="s">
        <v>980</v>
      </c>
      <c r="AH123" s="854" t="s">
        <v>977</v>
      </c>
      <c r="AI123" s="801" t="s">
        <v>293</v>
      </c>
      <c r="AJ123" s="562">
        <f>AD124</f>
        <v>70</v>
      </c>
      <c r="AK123" s="687" t="s">
        <v>38</v>
      </c>
      <c r="AL123" s="801">
        <f>AE123*AJ123%</f>
        <v>27850.899999999998</v>
      </c>
      <c r="AM123" s="801" t="s">
        <v>293</v>
      </c>
      <c r="AN123" s="562">
        <f>W155</f>
        <v>7</v>
      </c>
      <c r="AO123" s="801" t="s">
        <v>294</v>
      </c>
      <c r="AP123" s="801">
        <f>AL123*1000*AN123/10000</f>
        <v>19495.629999999997</v>
      </c>
      <c r="AQ123" s="801" t="s">
        <v>289</v>
      </c>
      <c r="AR123" s="801"/>
      <c r="AS123" s="801"/>
      <c r="AT123" s="801"/>
      <c r="AU123" s="801"/>
      <c r="AV123" s="801"/>
      <c r="BF123" s="473"/>
      <c r="BI123" s="472" t="s">
        <v>126</v>
      </c>
      <c r="BJ123" s="490"/>
      <c r="BN123" s="656"/>
      <c r="BO123" s="472" t="s">
        <v>252</v>
      </c>
      <c r="CU123" s="480" t="str">
        <f ca="1">IF(U123="",BF123,U123)</f>
        <v xml:space="preserve">Insgesamt waren 2015 gemäß AEE [9.16] , Zeile 70, in Deutschland 39.787 MWp PV installiert ('2012: 33.033 MWp), etwa 70% davon als Dachanlagen [124]. Mit einer Flächenleistung von 7 m2/kWp [155] resultiert daraus eine PV-Modulfläche auf Dächern von 19.496 ha. </v>
      </c>
      <c r="CV123" s="656"/>
      <c r="CW123" s="480"/>
      <c r="DS123" s="656"/>
      <c r="DT123" s="518"/>
      <c r="EJ123" s="472" t="str">
        <f ca="1">IF(X123=0,"",EJ$1&amp;X123)</f>
        <v>9.16</v>
      </c>
      <c r="EK123" s="472" t="str">
        <f ca="1">EK$1&amp;X123</f>
        <v>[D_Python.xlsx]9.Quellen!C16</v>
      </c>
      <c r="EV123" s="819">
        <f t="shared" ca="1" si="34"/>
        <v>123</v>
      </c>
      <c r="EW123" s="819"/>
    </row>
    <row r="124" spans="1:153" s="656" customFormat="1" ht="39">
      <c r="A124" s="654" t="str">
        <f t="shared" ca="1" si="32"/>
        <v>D.1.124</v>
      </c>
      <c r="B124" s="654" t="str">
        <f t="shared" ca="1" si="33"/>
        <v>1.124</v>
      </c>
      <c r="C124" s="654" t="str">
        <f t="shared" ref="C124" si="60">CE$1&amp;D124&amp;CF$1</f>
        <v>[124]</v>
      </c>
      <c r="D124" s="654">
        <f>ROW()</f>
        <v>124</v>
      </c>
      <c r="E124" s="1130" t="str">
        <f ca="1">CU124</f>
        <v xml:space="preserve">Etwa 70 % der in Deutschland installierten Photovoltaik-Leistung entfallen auf Dachanlagen, dies ergibt eine Schätzung auf Basis der Zubauzahlen von 2010 bis 2014 gemäß einer Marktanalyse des Bundesministeriums für Wirtschaft und Energie [9.75]. </v>
      </c>
      <c r="F124" s="1130"/>
      <c r="G124" s="1130"/>
      <c r="H124" s="1130"/>
      <c r="I124" s="1130"/>
      <c r="J124" s="1130"/>
      <c r="K124" s="1130"/>
      <c r="L124" s="1130"/>
      <c r="M124" s="1130"/>
      <c r="N124" s="1131"/>
      <c r="O124" s="869">
        <v>124</v>
      </c>
      <c r="P124" s="691" t="str">
        <f ca="1">HYPERLINK(EK124,EJ124)</f>
        <v>9.75</v>
      </c>
      <c r="Q124" s="692" t="str">
        <f>Y124</f>
        <v xml:space="preserve"> </v>
      </c>
      <c r="R124" s="852"/>
      <c r="S124" s="784"/>
      <c r="T124" s="864"/>
      <c r="U124" s="1033" t="str">
        <f ca="1">"Etwa "&amp;TEXT(AD124,"0")&amp;AE124&amp;" der in Deutschland installierten Photovoltaik-Leistung entfallen auf Dachanlagen, dies ergibt eine Schätzung auf Basis der Zubauzahlen von 2010 bis 2014 gemäß einer Marktanalyse des Bundesministeriums für Wirtschaft und Energie ["&amp;P124&amp;"]. "</f>
        <v xml:space="preserve">Etwa 70 % der in Deutschland installierten Photovoltaik-Leistung entfallen auf Dachanlagen, dies ergibt eine Schätzung auf Basis der Zubauzahlen von 2010 bis 2014 gemäß einer Marktanalyse des Bundesministeriums für Wirtschaft und Energie [9.75]. </v>
      </c>
      <c r="V124" s="905" t="s">
        <v>126</v>
      </c>
      <c r="W124" s="1034">
        <f>AD124</f>
        <v>70</v>
      </c>
      <c r="X124" s="672">
        <f>'9.Quellen'!C75</f>
        <v>75</v>
      </c>
      <c r="Y124" s="672" t="s">
        <v>126</v>
      </c>
      <c r="Z124" s="1025"/>
      <c r="AA124" s="905"/>
      <c r="AB124" s="801"/>
      <c r="AC124" s="801"/>
      <c r="AD124" s="801">
        <v>70</v>
      </c>
      <c r="AE124" s="801" t="s">
        <v>972</v>
      </c>
      <c r="AF124" s="562"/>
      <c r="AG124" s="801"/>
      <c r="AH124" s="801"/>
      <c r="AI124" s="801"/>
      <c r="AJ124" s="801"/>
      <c r="AK124" s="687"/>
      <c r="AL124" s="687"/>
      <c r="AM124" s="801"/>
      <c r="AN124" s="801"/>
      <c r="AO124" s="801"/>
      <c r="AP124" s="801"/>
      <c r="AQ124" s="801"/>
      <c r="AR124" s="801"/>
      <c r="AS124" s="801"/>
      <c r="AT124" s="801"/>
      <c r="AU124" s="801"/>
      <c r="AV124" s="801"/>
      <c r="BF124" s="657"/>
      <c r="BI124" s="656" t="s">
        <v>126</v>
      </c>
      <c r="BJ124" s="666"/>
      <c r="BO124" s="656" t="s">
        <v>252</v>
      </c>
      <c r="CU124" s="663" t="str">
        <f ca="1">IF(U124="",BF124,U124)</f>
        <v xml:space="preserve">Etwa 70 % der in Deutschland installierten Photovoltaik-Leistung entfallen auf Dachanlagen, dies ergibt eine Schätzung auf Basis der Zubauzahlen von 2010 bis 2014 gemäß einer Marktanalyse des Bundesministeriums für Wirtschaft und Energie [9.75]. </v>
      </c>
      <c r="CW124" s="663"/>
      <c r="DT124" s="671"/>
      <c r="EJ124" s="656" t="str">
        <f ca="1">IF(X124=0,"",EJ$1&amp;X124)</f>
        <v>9.75</v>
      </c>
      <c r="EK124" s="656" t="str">
        <f ca="1">EK$1&amp;X124</f>
        <v>[D_Python.xlsx]9.Quellen!C75</v>
      </c>
      <c r="EV124" s="819">
        <f t="shared" ca="1" si="34"/>
        <v>124</v>
      </c>
      <c r="EW124" s="819"/>
    </row>
    <row r="125" spans="1:153" s="478" customFormat="1" ht="4">
      <c r="A125" s="677" t="str">
        <f t="shared" ca="1" si="32"/>
        <v>D.1.125</v>
      </c>
      <c r="B125" s="677" t="str">
        <f t="shared" ca="1" si="33"/>
        <v>1.125</v>
      </c>
      <c r="C125" s="677" t="str">
        <f t="shared" si="37"/>
        <v>[125]</v>
      </c>
      <c r="D125" s="677">
        <f>ROW()</f>
        <v>125</v>
      </c>
      <c r="E125" s="528"/>
      <c r="F125" s="528"/>
      <c r="G125" s="528"/>
      <c r="H125" s="528"/>
      <c r="I125" s="527"/>
      <c r="J125" s="527"/>
      <c r="K125" s="527"/>
      <c r="L125" s="527"/>
      <c r="M125" s="527"/>
      <c r="N125" s="528"/>
      <c r="O125" s="871">
        <v>125</v>
      </c>
      <c r="P125" s="566"/>
      <c r="Q125" s="567"/>
      <c r="R125" s="888"/>
      <c r="S125" s="802"/>
      <c r="T125" s="882"/>
      <c r="U125" s="661"/>
      <c r="V125" s="661"/>
      <c r="W125" s="661"/>
      <c r="X125" s="661"/>
      <c r="Y125" s="661"/>
      <c r="Z125" s="661"/>
      <c r="AA125" s="661"/>
      <c r="AB125" s="675"/>
      <c r="AC125" s="675"/>
      <c r="AD125" s="675"/>
      <c r="AE125" s="675"/>
      <c r="AF125" s="675"/>
      <c r="AG125" s="675"/>
      <c r="AH125" s="675"/>
      <c r="AI125" s="675"/>
      <c r="AJ125" s="675"/>
      <c r="AK125" s="675"/>
      <c r="AL125" s="675"/>
      <c r="AM125" s="675"/>
      <c r="AN125" s="675"/>
      <c r="AO125" s="675"/>
      <c r="AP125" s="675"/>
      <c r="AQ125" s="675"/>
      <c r="AR125" s="675"/>
      <c r="AS125" s="675"/>
      <c r="AT125" s="675"/>
      <c r="AU125" s="675"/>
      <c r="AV125" s="675"/>
      <c r="BI125" s="478" t="s">
        <v>126</v>
      </c>
      <c r="BJ125" s="489"/>
      <c r="BN125" s="661"/>
      <c r="CU125" s="479"/>
      <c r="CV125" s="661"/>
      <c r="CW125" s="479"/>
      <c r="DS125" s="661"/>
      <c r="EV125" s="818" t="str">
        <f t="shared" si="34"/>
        <v/>
      </c>
      <c r="EW125" s="818"/>
    </row>
    <row r="126" spans="1:153" s="472" customFormat="1" ht="39">
      <c r="A126" s="654" t="str">
        <f t="shared" ca="1" si="32"/>
        <v>D.1.126</v>
      </c>
      <c r="B126" s="654" t="str">
        <f t="shared" ca="1" si="33"/>
        <v>1.126</v>
      </c>
      <c r="C126" s="654" t="str">
        <f t="shared" si="37"/>
        <v>[126]</v>
      </c>
      <c r="D126" s="654">
        <f>ROW()</f>
        <v>126</v>
      </c>
      <c r="E126" s="1125" t="str">
        <f t="shared" ref="E126" si="61">CU126</f>
        <v>- ZIEL-Ansatz: 266.654 ha solare Absorberfläche auf Dächern. Damit wird rechnerisch 75,0 % des Potenzials an geeigneten Dachflächen (Ausrichtung, keine Verschattung)  in Deutschland genutzt, das mit Übertragung der Solardachkataster-Ergebnisse vom Landkreis Osnabrück auf Deutschland abgeschätzt wurde [127].</v>
      </c>
      <c r="F126" s="1125"/>
      <c r="G126" s="1125"/>
      <c r="H126" s="1125"/>
      <c r="I126" s="1125"/>
      <c r="J126" s="1125"/>
      <c r="K126" s="1125"/>
      <c r="L126" s="1125"/>
      <c r="M126" s="1125"/>
      <c r="N126" s="1132"/>
      <c r="O126" s="869">
        <v>126</v>
      </c>
      <c r="P126" s="573" t="str">
        <f ca="1">HYPERLINK(EK126,EJ126)</f>
        <v/>
      </c>
      <c r="Q126" s="574" t="str">
        <f>Y126</f>
        <v xml:space="preserve"> </v>
      </c>
      <c r="R126" s="852"/>
      <c r="S126" s="784"/>
      <c r="T126" s="864"/>
      <c r="U126" s="1023" t="str">
        <f>TEXT(W126,"0.000")&amp;" ha solare Absorberfläche auf Dächern. Damit wird rechnerisch "&amp;TEXT(AD126,"0,0")&amp;" % des Potenzials an geeigneten Dachflächen (Ausrichtung, keine Verschattung)  in Deutschland genutzt, das mit Übertragung der Solardachkataster-Ergebnisse vom Landkreis Osnabrück auf Deutschland abgeschätzt wurde "&amp;C127&amp;"."</f>
        <v>266.654 ha solare Absorberfläche auf Dächern. Damit wird rechnerisch 75,0 % des Potenzials an geeigneten Dachflächen (Ausrichtung, keine Verschattung)  in Deutschland genutzt, das mit Übertragung der Solardachkataster-Ergebnisse vom Landkreis Osnabrück auf Deutschland abgeschätzt wurde [127].</v>
      </c>
      <c r="V126" s="905" t="s">
        <v>126</v>
      </c>
      <c r="W126" s="1024">
        <f>AH126</f>
        <v>266654.08757841616</v>
      </c>
      <c r="X126" s="672"/>
      <c r="Y126" s="672" t="s">
        <v>126</v>
      </c>
      <c r="Z126" s="1025"/>
      <c r="AA126" s="905"/>
      <c r="AB126" s="801"/>
      <c r="AC126" s="1020"/>
      <c r="AD126" s="801">
        <v>75</v>
      </c>
      <c r="AE126" s="801" t="s">
        <v>835</v>
      </c>
      <c r="AF126" s="687">
        <f>W127</f>
        <v>355538.78343788825</v>
      </c>
      <c r="AG126" s="801" t="s">
        <v>382</v>
      </c>
      <c r="AH126" s="801">
        <f>AD126*AF126%</f>
        <v>266654.08757841616</v>
      </c>
      <c r="AI126" s="801" t="s">
        <v>289</v>
      </c>
      <c r="AJ126" s="687">
        <f>W45</f>
        <v>82175684</v>
      </c>
      <c r="AK126" s="687">
        <f ca="1">W56</f>
        <v>82270261.077058181</v>
      </c>
      <c r="AL126" s="801">
        <f ca="1">AH126*AJ126/AK126</f>
        <v>266347.54468115757</v>
      </c>
      <c r="AM126" s="801" t="s">
        <v>289</v>
      </c>
      <c r="AN126" s="801">
        <f ca="1">AL126/AF126%</f>
        <v>74.913780743047354</v>
      </c>
      <c r="AO126" s="801" t="s">
        <v>38</v>
      </c>
      <c r="AP126" s="801"/>
      <c r="AQ126" s="801"/>
      <c r="AR126" s="801">
        <f>W126/W127%</f>
        <v>75</v>
      </c>
      <c r="AS126" s="801"/>
      <c r="AT126" s="801"/>
      <c r="AU126" s="801"/>
      <c r="AV126" s="801"/>
      <c r="BF126" s="473"/>
      <c r="BI126" s="472" t="s">
        <v>126</v>
      </c>
      <c r="BJ126" s="490"/>
      <c r="BN126" s="656"/>
      <c r="BO126" s="472" t="s">
        <v>259</v>
      </c>
      <c r="CU126" s="480" t="str">
        <f>CH$1&amp;IF(U126="",BF126,U126)</f>
        <v>- ZIEL-Ansatz: 266.654 ha solare Absorberfläche auf Dächern. Damit wird rechnerisch 75,0 % des Potenzials an geeigneten Dachflächen (Ausrichtung, keine Verschattung)  in Deutschland genutzt, das mit Übertragung der Solardachkataster-Ergebnisse vom Landkreis Osnabrück auf Deutschland abgeschätzt wurde [127].</v>
      </c>
      <c r="CV126" s="656"/>
      <c r="CW126" s="480"/>
      <c r="DS126" s="656"/>
      <c r="DT126" s="518">
        <v>53</v>
      </c>
      <c r="EJ126" s="472" t="str">
        <f>IF(X126=0,"",EJ$1&amp;X126)</f>
        <v/>
      </c>
      <c r="EK126" s="472" t="str">
        <f ca="1">EK$1&amp;X126</f>
        <v>[D_Python.xlsx]9.Quellen!C</v>
      </c>
      <c r="EV126" s="819">
        <f t="shared" si="34"/>
        <v>126</v>
      </c>
      <c r="EW126" s="819"/>
    </row>
    <row r="127" spans="1:153" s="472" customFormat="1" ht="65">
      <c r="A127" s="654" t="str">
        <f t="shared" ca="1" si="32"/>
        <v>D.1.127</v>
      </c>
      <c r="B127" s="654" t="str">
        <f t="shared" ca="1" si="33"/>
        <v>1.127</v>
      </c>
      <c r="C127" s="654" t="str">
        <f t="shared" si="37"/>
        <v>[127]</v>
      </c>
      <c r="D127" s="654">
        <f>ROW()</f>
        <v>127</v>
      </c>
      <c r="E127" s="1125" t="str">
        <f ca="1">CU127</f>
        <v>Im Landkreis Osnabrück sind gemäß Solardachkataster [9.161] von sämtlchen Dachflächen 47 % solar geeignet (12 % sehr gut, 12 % gut, 23 % bedingt nach heutigen wirtschaftlichen Maßstäben), das sind 1.589 ha.  Bezogen auf die 16.999 ha Gebäude- und Freiflächen im Landkreis sind das 9,3 % solar geeignete Dachflächen. Diese Kennzahl in Ermangelung eines flächendeckenden Solarkatasters auf Deutschland mit 3.804.484 ha Gebäude- und Freiflächen übertragen, ergibt ein solar geeignetes Dachflächenpotenzial von 355.539 ha.</v>
      </c>
      <c r="F127" s="1125"/>
      <c r="G127" s="1125"/>
      <c r="H127" s="1125"/>
      <c r="I127" s="1125"/>
      <c r="J127" s="1125"/>
      <c r="K127" s="1125"/>
      <c r="L127" s="1125"/>
      <c r="M127" s="1125"/>
      <c r="N127" s="1132"/>
      <c r="O127" s="869">
        <v>127</v>
      </c>
      <c r="P127" s="573" t="str">
        <f ca="1">HYPERLINK(EK127,EJ127)</f>
        <v>9.161</v>
      </c>
      <c r="Q127" s="574" t="str">
        <f>Y127</f>
        <v xml:space="preserve"> </v>
      </c>
      <c r="R127" s="852"/>
      <c r="S127" s="805"/>
      <c r="T127" s="864"/>
      <c r="U127" s="1033" t="str">
        <f ca="1">"Im Landkreis Osnabrück sind gemäß Solardachkataster ["&amp;P127&amp;"] von sämtlchen Dachflächen "&amp;AI127&amp;" % solar geeignet ("&amp;AF127&amp;" % sehr gut, "&amp;AG127&amp;" % gut, "&amp;AH127&amp;" % bedingt nach heutigen wirtschaftlichen Maßstäben), das sind "&amp;TEXT(AJ127,"0.000")&amp;" ha.  Bezogen auf die "&amp;TEXT(AK127,"0.000")&amp;" ha Gebäude- und Freiflächen im Landkreis sind das "&amp;TEXT(AL127,"0,0")&amp;" % solar geeignete Dachflächen. Diese Kennzahl in Ermangelung eines flächendeckenden Solarkatasters auf Deutschland mit "&amp;TEXT(AM127,"0.000")&amp;" ha Gebäude- und Freiflächen übertragen, ergibt ein solar geeignetes Dachflächenpotenzial von "&amp;TEXT(W127,"0.000")&amp;" ha."</f>
        <v>Im Landkreis Osnabrück sind gemäß Solardachkataster [9.161] von sämtlchen Dachflächen 47 % solar geeignet (12 % sehr gut, 12 % gut, 23 % bedingt nach heutigen wirtschaftlichen Maßstäben), das sind 1.589 ha.  Bezogen auf die 16.999 ha Gebäude- und Freiflächen im Landkreis sind das 9,3 % solar geeignete Dachflächen. Diese Kennzahl in Ermangelung eines flächendeckenden Solarkatasters auf Deutschland mit 3.804.484 ha Gebäude- und Freiflächen übertragen, ergibt ein solar geeignetes Dachflächenpotenzial von 355.539 ha.</v>
      </c>
      <c r="V127" s="905" t="s">
        <v>126</v>
      </c>
      <c r="W127" s="1024">
        <f>AM127*AL127%</f>
        <v>355538.78343788825</v>
      </c>
      <c r="X127" s="672">
        <f>'9.Quellen'!C161</f>
        <v>161</v>
      </c>
      <c r="Y127" s="672" t="s">
        <v>126</v>
      </c>
      <c r="Z127" s="1025"/>
      <c r="AA127" s="905"/>
      <c r="AB127" s="801"/>
      <c r="AC127" s="801"/>
      <c r="AD127" s="801">
        <v>3380</v>
      </c>
      <c r="AE127" s="801" t="s">
        <v>289</v>
      </c>
      <c r="AF127" s="801">
        <v>12</v>
      </c>
      <c r="AG127" s="801">
        <v>12</v>
      </c>
      <c r="AH127" s="801">
        <v>23</v>
      </c>
      <c r="AI127" s="801">
        <f>AF127+AG127+AH127</f>
        <v>47</v>
      </c>
      <c r="AJ127" s="801">
        <f>AD127*(AF127+AG127+AH127)%</f>
        <v>1588.6</v>
      </c>
      <c r="AK127" s="801">
        <v>16999</v>
      </c>
      <c r="AL127" s="562">
        <f>AJ127/AK127%</f>
        <v>9.345255603270779</v>
      </c>
      <c r="AM127" s="687">
        <f>W72</f>
        <v>3804484.3130181693</v>
      </c>
      <c r="AN127" s="801">
        <f>AM127*AL127%</f>
        <v>355538.78343788825</v>
      </c>
      <c r="AO127" s="801"/>
      <c r="AP127" s="801"/>
      <c r="AQ127" s="801"/>
      <c r="AR127" s="801"/>
      <c r="AS127" s="801"/>
      <c r="AT127" s="801"/>
      <c r="AU127" s="801"/>
      <c r="AV127" s="801"/>
      <c r="BF127" s="473"/>
      <c r="BI127" s="472" t="s">
        <v>126</v>
      </c>
      <c r="BJ127" s="490"/>
      <c r="BN127" s="656"/>
      <c r="BO127" s="472" t="s">
        <v>252</v>
      </c>
      <c r="CU127" s="480" t="str">
        <f ca="1">IF(U127="",BF127,U127)</f>
        <v>Im Landkreis Osnabrück sind gemäß Solardachkataster [9.161] von sämtlchen Dachflächen 47 % solar geeignet (12 % sehr gut, 12 % gut, 23 % bedingt nach heutigen wirtschaftlichen Maßstäben), das sind 1.589 ha.  Bezogen auf die 16.999 ha Gebäude- und Freiflächen im Landkreis sind das 9,3 % solar geeignete Dachflächen. Diese Kennzahl in Ermangelung eines flächendeckenden Solarkatasters auf Deutschland mit 3.804.484 ha Gebäude- und Freiflächen übertragen, ergibt ein solar geeignetes Dachflächenpotenzial von 355.539 ha.</v>
      </c>
      <c r="CV127" s="656"/>
      <c r="CW127" s="480"/>
      <c r="DS127" s="656"/>
      <c r="DT127" s="518"/>
      <c r="EJ127" s="472" t="str">
        <f ca="1">IF(X127=0,"",EJ$1&amp;X127)</f>
        <v>9.161</v>
      </c>
      <c r="EK127" s="472" t="str">
        <f ca="1">EK$1&amp;X127</f>
        <v>[D_Python.xlsx]9.Quellen!C161</v>
      </c>
      <c r="EV127" s="819">
        <f t="shared" ca="1" si="34"/>
        <v>127</v>
      </c>
      <c r="EW127" s="819"/>
    </row>
    <row r="128" spans="1:153" s="478" customFormat="1" ht="4">
      <c r="A128" s="677" t="str">
        <f t="shared" ca="1" si="32"/>
        <v>D.1.128</v>
      </c>
      <c r="B128" s="677" t="str">
        <f t="shared" ca="1" si="33"/>
        <v>1.128</v>
      </c>
      <c r="C128" s="677" t="str">
        <f t="shared" si="37"/>
        <v>[128]</v>
      </c>
      <c r="D128" s="677">
        <f>ROW()</f>
        <v>128</v>
      </c>
      <c r="E128" s="548"/>
      <c r="F128" s="548"/>
      <c r="G128" s="548"/>
      <c r="H128" s="548"/>
      <c r="I128" s="549"/>
      <c r="J128" s="549"/>
      <c r="K128" s="549"/>
      <c r="L128" s="549"/>
      <c r="M128" s="549"/>
      <c r="N128" s="548"/>
      <c r="O128" s="871">
        <v>128</v>
      </c>
      <c r="P128" s="575"/>
      <c r="Q128" s="576"/>
      <c r="R128" s="888"/>
      <c r="S128" s="802"/>
      <c r="T128" s="882"/>
      <c r="U128" s="661"/>
      <c r="V128" s="661"/>
      <c r="W128" s="661"/>
      <c r="X128" s="661"/>
      <c r="Y128" s="661"/>
      <c r="Z128" s="661"/>
      <c r="AA128" s="661"/>
      <c r="AB128" s="675"/>
      <c r="AC128" s="675"/>
      <c r="AD128" s="675"/>
      <c r="AE128" s="675"/>
      <c r="AF128" s="675"/>
      <c r="AG128" s="675"/>
      <c r="AH128" s="675"/>
      <c r="AI128" s="675"/>
      <c r="AJ128" s="675"/>
      <c r="AK128" s="675"/>
      <c r="AL128" s="675"/>
      <c r="AM128" s="675"/>
      <c r="AN128" s="675"/>
      <c r="AO128" s="675"/>
      <c r="AP128" s="675"/>
      <c r="AQ128" s="675"/>
      <c r="AR128" s="675"/>
      <c r="AS128" s="675"/>
      <c r="AT128" s="675"/>
      <c r="AU128" s="675"/>
      <c r="AV128" s="675"/>
      <c r="AZ128" s="505"/>
      <c r="BB128" s="505"/>
      <c r="BI128" s="478" t="s">
        <v>126</v>
      </c>
      <c r="BJ128" s="489"/>
      <c r="BN128" s="661"/>
      <c r="CU128" s="479"/>
      <c r="CV128" s="661"/>
      <c r="CW128" s="479"/>
      <c r="DS128" s="661"/>
      <c r="EV128" s="818" t="str">
        <f t="shared" si="34"/>
        <v/>
      </c>
      <c r="EW128" s="818"/>
    </row>
    <row r="129" spans="1:153" s="475" customFormat="1" ht="13.5" customHeight="1">
      <c r="A129" s="654" t="str">
        <f t="shared" ca="1" si="32"/>
        <v>D.1.129</v>
      </c>
      <c r="B129" s="654" t="str">
        <f t="shared" ca="1" si="33"/>
        <v>1.129</v>
      </c>
      <c r="C129" s="654" t="str">
        <f t="shared" si="37"/>
        <v>[129]</v>
      </c>
      <c r="D129" s="654">
        <f>ROW()</f>
        <v>129</v>
      </c>
      <c r="E129" s="1148" t="str">
        <f>BP129</f>
        <v>Solar genutzte Freiflächen</v>
      </c>
      <c r="F129" s="1148"/>
      <c r="G129" s="1148"/>
      <c r="H129" s="1148"/>
      <c r="I129" s="1148"/>
      <c r="J129" s="471" t="s">
        <v>272</v>
      </c>
      <c r="K129" s="546">
        <f ca="1">INDIRECT($W$1&amp;U129)</f>
        <v>20888.175000000003</v>
      </c>
      <c r="L129" s="485" t="str">
        <f ca="1">HYPERLINK($CK$1&amp;U129,$CE$1&amp;U129&amp;$CF$1)</f>
        <v>[130]</v>
      </c>
      <c r="M129" s="547">
        <f ca="1">INDIRECT($W$1&amp;W129)</f>
        <v>456776.23913374596</v>
      </c>
      <c r="N129" s="533" t="str">
        <f ca="1">HYPERLINK($CK$1&amp;W129,$CE$1&amp;W129&amp;$CF$1)</f>
        <v>[133]</v>
      </c>
      <c r="O129" s="869">
        <v>129</v>
      </c>
      <c r="P129" s="570"/>
      <c r="Q129" s="583"/>
      <c r="R129" s="852"/>
      <c r="S129" s="784"/>
      <c r="T129" s="864"/>
      <c r="U129" s="672">
        <f>D130</f>
        <v>130</v>
      </c>
      <c r="V129" s="905" t="s">
        <v>126</v>
      </c>
      <c r="W129" s="672">
        <f>D133</f>
        <v>133</v>
      </c>
      <c r="X129" s="658"/>
      <c r="Y129" s="658"/>
      <c r="Z129" s="658"/>
      <c r="AA129" s="658"/>
      <c r="AB129" s="801"/>
      <c r="AC129" s="801"/>
      <c r="AD129" s="674"/>
      <c r="AE129" s="674"/>
      <c r="AF129" s="674"/>
      <c r="AG129" s="674"/>
      <c r="AH129" s="674"/>
      <c r="AI129" s="674"/>
      <c r="AJ129" s="674"/>
      <c r="AK129" s="674"/>
      <c r="AL129" s="674"/>
      <c r="AM129" s="674"/>
      <c r="AN129" s="674"/>
      <c r="AO129" s="674"/>
      <c r="AP129" s="674"/>
      <c r="AQ129" s="674"/>
      <c r="AR129" s="674"/>
      <c r="AS129" s="674"/>
      <c r="AT129" s="674"/>
      <c r="AU129" s="674"/>
      <c r="AV129" s="674"/>
      <c r="AX129" s="475" t="s">
        <v>244</v>
      </c>
      <c r="AY129" s="500">
        <f ca="1">DA129</f>
        <v>1296.6592427616929</v>
      </c>
      <c r="AZ129" s="508" t="str">
        <f ca="1">HYPERLINK(DN129,DC129)</f>
        <v xml:space="preserve"> 31</v>
      </c>
      <c r="BA129" s="500">
        <f ca="1">DB129</f>
        <v>37010.633399999999</v>
      </c>
      <c r="BB129" s="508" t="str">
        <f ca="1">HYPERLINK(DO129,DD129)</f>
        <v xml:space="preserve"> 33</v>
      </c>
      <c r="BC129" s="519" t="str">
        <f ca="1">CY129&amp;" | "&amp;CZ129</f>
        <v xml:space="preserve">Solar-Freiflächen | 2.1.2 Solar genutzte Freiflächen </v>
      </c>
      <c r="BD129" s="519"/>
      <c r="BI129" s="475" t="s">
        <v>126</v>
      </c>
      <c r="BJ129" s="492" t="str">
        <f>E129</f>
        <v>Solar genutzte Freiflächen</v>
      </c>
      <c r="BK129" s="486">
        <f ca="1">K129</f>
        <v>20888.175000000003</v>
      </c>
      <c r="BL129" s="486">
        <f ca="1">M129</f>
        <v>456776.23913374596</v>
      </c>
      <c r="BM129" s="472">
        <f>D129</f>
        <v>129</v>
      </c>
      <c r="BN129" s="658"/>
      <c r="BO129" s="475" t="s">
        <v>251</v>
      </c>
      <c r="BP129" s="521" t="s">
        <v>278</v>
      </c>
      <c r="CU129" s="476"/>
      <c r="CV129" s="658"/>
      <c r="CW129" s="518">
        <v>26</v>
      </c>
      <c r="CY129" s="472" t="str">
        <f t="shared" ref="CY129:DO129" ca="1" si="62">INDIRECT($CX$1&amp;CY$1&amp;$CW129)</f>
        <v>Solar-Freiflächen</v>
      </c>
      <c r="CZ129" s="472" t="str">
        <f t="shared" ca="1" si="62"/>
        <v xml:space="preserve">2.1.2 Solar genutzte Freiflächen </v>
      </c>
      <c r="DA129" s="472">
        <f t="shared" ca="1" si="62"/>
        <v>1296.6592427616929</v>
      </c>
      <c r="DB129" s="472">
        <f t="shared" ca="1" si="62"/>
        <v>37010.633399999999</v>
      </c>
      <c r="DC129" s="472" t="str">
        <f t="shared" ca="1" si="62"/>
        <v xml:space="preserve"> 31</v>
      </c>
      <c r="DD129" s="472" t="str">
        <f t="shared" ca="1" si="62"/>
        <v xml:space="preserve"> 33</v>
      </c>
      <c r="DE129" s="472" t="str">
        <f t="shared" ca="1" si="62"/>
        <v xml:space="preserve">So60 </v>
      </c>
      <c r="DF129" s="472" t="str">
        <f t="shared" ca="1" si="62"/>
        <v xml:space="preserve">So36 </v>
      </c>
      <c r="DG129" s="472" t="str">
        <f t="shared" ca="1" si="62"/>
        <v>So</v>
      </c>
      <c r="DH129" s="472" t="str">
        <f t="shared" ca="1" si="62"/>
        <v xml:space="preserve">60 </v>
      </c>
      <c r="DI129" s="472" t="str">
        <f t="shared" ca="1" si="62"/>
        <v>[So.xls]TEXT!Z60 S5</v>
      </c>
      <c r="DJ129" s="472" t="str">
        <f t="shared" ca="1" si="62"/>
        <v>So</v>
      </c>
      <c r="DK129" s="472" t="str">
        <f t="shared" ca="1" si="62"/>
        <v xml:space="preserve">36 </v>
      </c>
      <c r="DL129" s="472" t="str">
        <f t="shared" ca="1" si="62"/>
        <v>[So.xls]TEXT!Z36 S5</v>
      </c>
      <c r="DM129" s="472">
        <f t="shared" ca="1" si="62"/>
        <v>26</v>
      </c>
      <c r="DN129" s="472" t="str">
        <f t="shared" ca="1" si="62"/>
        <v>[Region.xls]PARAMETER!Z31S6</v>
      </c>
      <c r="DO129" s="472" t="str">
        <f t="shared" ca="1" si="62"/>
        <v>[Region.xls]PARAMETER!Z33S6</v>
      </c>
      <c r="DP129" s="472"/>
      <c r="DS129" s="656"/>
      <c r="DV129" s="472"/>
      <c r="DW129" s="472"/>
      <c r="DX129" s="472"/>
      <c r="DY129" s="472"/>
      <c r="DZ129" s="472"/>
      <c r="EA129" s="472"/>
      <c r="EB129" s="472"/>
      <c r="EC129" s="472"/>
      <c r="ED129" s="472"/>
      <c r="EE129" s="472"/>
      <c r="EF129" s="472"/>
      <c r="EG129" s="472"/>
      <c r="EH129" s="472"/>
      <c r="EI129" s="472"/>
      <c r="EJ129" s="472"/>
      <c r="EK129" s="472"/>
      <c r="EV129" s="819">
        <f t="shared" si="34"/>
        <v>129</v>
      </c>
      <c r="EW129" s="819"/>
    </row>
    <row r="130" spans="1:153" s="472" customFormat="1" ht="104">
      <c r="A130" s="654" t="str">
        <f t="shared" ca="1" si="32"/>
        <v>D.1.130</v>
      </c>
      <c r="B130" s="654" t="str">
        <f t="shared" ca="1" si="33"/>
        <v>1.130</v>
      </c>
      <c r="C130" s="654" t="str">
        <f t="shared" si="37"/>
        <v>[130]</v>
      </c>
      <c r="D130" s="654">
        <f>ROW()</f>
        <v>130</v>
      </c>
      <c r="E130" s="1130" t="str">
        <f>CU130</f>
        <v xml:space="preserve">- STATUS-Ansatz: Solare Freiflächenanlagen dienen nahezu vollständig der Stromgewinnung mit Photovoltaikmodulen, da Solarthermie gewöhnlich verbrauchsnah auf Dachflächen erfolgt, vgl. [122]. Von der gesamten installierten PV-Leistung mit 39.787 MWp [123] sind 30% entsprechend 11.936 MWp nicht auf Dächern [123], sondern auf Freiflächen installiert.  Eine Modulfläche von 8.355 ha ergibt sich bei einem durchschnittlichen Modulflächenbedarf von 7 m2/kWp [155]. 39787 ha PV-Modulfläche entfallen somit auf Freiflächenanlagen. Zur Vermeidung gegenseitiger Abschattung sind Abstandsflächen erforderlich. Die Größe der beanspruchten Freiflächen liegt im Fall der heute üblichen Südausrichtung gemäß  [131] beim 2,5-fachen der aufgestellten Modulfläche, das sind in diesem Fall 20.888 ha. </v>
      </c>
      <c r="F130" s="1130"/>
      <c r="G130" s="1130"/>
      <c r="H130" s="1130"/>
      <c r="I130" s="1130"/>
      <c r="J130" s="1130"/>
      <c r="K130" s="1130"/>
      <c r="L130" s="1130"/>
      <c r="M130" s="1130"/>
      <c r="N130" s="1131"/>
      <c r="O130" s="869">
        <v>130</v>
      </c>
      <c r="P130" s="573" t="str">
        <f ca="1">HYPERLINK(EK130,EJ130)</f>
        <v/>
      </c>
      <c r="Q130" s="574" t="str">
        <f>Y130</f>
        <v xml:space="preserve"> </v>
      </c>
      <c r="R130" s="852"/>
      <c r="S130" s="784"/>
      <c r="T130" s="864"/>
      <c r="U130" s="1023" t="str">
        <f>"Solare Freiflächenanlagen dienen nahezu vollständig der Stromgewinnung mit Photovoltaikmodulen, da Solarthermie gewöhnlich verbrauchsnah auf Dachflächen erfolgt, vgl. "&amp;C122&amp;". Von der gesamten installierten PV-Leistung mit "&amp;TEXT(AD130,"0.000")&amp;AE130&amp;C123&amp;" sind "&amp;TEXT(AF130,"0")&amp;AG130&amp;" entsprechend "&amp;TEXT(AH130,"0.000")&amp;AI130&amp;" nicht auf Dächern "&amp;C123&amp;", sondern auf Freiflächen installiert.  Eine Modulfläche von "&amp;TEXT(AL130,"0.000")&amp;AM130&amp;" ergibt sich bei einem durchschnittlichen Modulflächenbedarf von "&amp;AJ130&amp;AK130&amp;C155&amp;". "&amp;TEXT(AD130,"0")&amp;" ha PV-Modulfläche entfallen somit auf Freiflächenanlagen. Zur Vermeidung gegenseitiger Abschattung sind Abstandsflächen erforderlich. Die Größe der beanspruchten Freiflächen liegt im Fall der heute üblichen Südausrichtung gemäß  "&amp;C131&amp;" beim "&amp;AN130&amp;"-fachen der aufgestellten Modulfläche, das sind in diesem Fall "&amp;TEXT(W130,"0.000")&amp;" ha. "</f>
        <v xml:space="preserve">Solare Freiflächenanlagen dienen nahezu vollständig der Stromgewinnung mit Photovoltaikmodulen, da Solarthermie gewöhnlich verbrauchsnah auf Dachflächen erfolgt, vgl. [122]. Von der gesamten installierten PV-Leistung mit 39.787 MWp [123] sind 30% entsprechend 11.936 MWp nicht auf Dächern [123], sondern auf Freiflächen installiert.  Eine Modulfläche von 8.355 ha ergibt sich bei einem durchschnittlichen Modulflächenbedarf von 7 m2/kWp [155]. 39787 ha PV-Modulfläche entfallen somit auf Freiflächenanlagen. Zur Vermeidung gegenseitiger Abschattung sind Abstandsflächen erforderlich. Die Größe der beanspruchten Freiflächen liegt im Fall der heute üblichen Südausrichtung gemäß  [131] beim 2,5-fachen der aufgestellten Modulfläche, das sind in diesem Fall 20.888 ha. </v>
      </c>
      <c r="V130" s="905" t="s">
        <v>126</v>
      </c>
      <c r="W130" s="1024">
        <f>AP130</f>
        <v>20888.175000000003</v>
      </c>
      <c r="X130" s="672"/>
      <c r="Y130" s="672" t="s">
        <v>126</v>
      </c>
      <c r="Z130" s="1025"/>
      <c r="AA130" s="658"/>
      <c r="AB130" s="801"/>
      <c r="AC130" s="801"/>
      <c r="AD130" s="801">
        <f>AE123</f>
        <v>39787</v>
      </c>
      <c r="AE130" s="801" t="s">
        <v>981</v>
      </c>
      <c r="AF130" s="562">
        <f>100-AJ123</f>
        <v>30</v>
      </c>
      <c r="AG130" s="801" t="s">
        <v>38</v>
      </c>
      <c r="AH130" s="801">
        <f>AD130*AF130%</f>
        <v>11936.1</v>
      </c>
      <c r="AI130" s="801" t="s">
        <v>293</v>
      </c>
      <c r="AJ130" s="562">
        <f>W155</f>
        <v>7</v>
      </c>
      <c r="AK130" s="562" t="str">
        <f>AO123</f>
        <v xml:space="preserve"> m2/kWp </v>
      </c>
      <c r="AL130" s="801">
        <f>AH130*1000*AJ130/10000</f>
        <v>8355.27</v>
      </c>
      <c r="AM130" s="801" t="s">
        <v>289</v>
      </c>
      <c r="AN130" s="562">
        <f>W131</f>
        <v>2.5</v>
      </c>
      <c r="AO130" s="801"/>
      <c r="AP130" s="801">
        <f>AL130*AN130</f>
        <v>20888.175000000003</v>
      </c>
      <c r="AQ130" s="801" t="s">
        <v>382</v>
      </c>
      <c r="AR130" s="801"/>
      <c r="AS130" s="779">
        <f ca="1">AY129</f>
        <v>1296.6592427616929</v>
      </c>
      <c r="AT130" s="801"/>
      <c r="AU130" s="801"/>
      <c r="AV130" s="801"/>
      <c r="BF130" s="473"/>
      <c r="BI130" s="472" t="s">
        <v>126</v>
      </c>
      <c r="BJ130" s="490"/>
      <c r="BN130" s="656"/>
      <c r="BO130" s="472" t="s">
        <v>259</v>
      </c>
      <c r="CU130" s="480" t="str">
        <f>CG$1&amp;IF(U130="",BF130,U130)</f>
        <v xml:space="preserve">- STATUS-Ansatz: Solare Freiflächenanlagen dienen nahezu vollständig der Stromgewinnung mit Photovoltaikmodulen, da Solarthermie gewöhnlich verbrauchsnah auf Dachflächen erfolgt, vgl. [122]. Von der gesamten installierten PV-Leistung mit 39.787 MWp [123] sind 30% entsprechend 11.936 MWp nicht auf Dächern [123], sondern auf Freiflächen installiert.  Eine Modulfläche von 8.355 ha ergibt sich bei einem durchschnittlichen Modulflächenbedarf von 7 m2/kWp [155]. 39787 ha PV-Modulfläche entfallen somit auf Freiflächenanlagen. Zur Vermeidung gegenseitiger Abschattung sind Abstandsflächen erforderlich. Die Größe der beanspruchten Freiflächen liegt im Fall der heute üblichen Südausrichtung gemäß  [131] beim 2,5-fachen der aufgestellten Modulfläche, das sind in diesem Fall 20.888 ha. </v>
      </c>
      <c r="CV130" s="656"/>
      <c r="CW130" s="480"/>
      <c r="DS130" s="656"/>
      <c r="DT130" s="518">
        <f>I_Basisdaten!A71</f>
        <v>71</v>
      </c>
      <c r="EJ130" s="472" t="str">
        <f>IF(X130=0,"",EJ$1&amp;X130)</f>
        <v/>
      </c>
      <c r="EK130" s="472" t="str">
        <f ca="1">EK$1&amp;X130</f>
        <v>[D_Python.xlsx]9.Quellen!C</v>
      </c>
      <c r="EV130" s="819">
        <f t="shared" si="34"/>
        <v>130</v>
      </c>
      <c r="EW130" s="819"/>
    </row>
    <row r="131" spans="1:153" s="472" customFormat="1" ht="39">
      <c r="A131" s="654" t="str">
        <f t="shared" ca="1" si="32"/>
        <v>D.1.131</v>
      </c>
      <c r="B131" s="654" t="str">
        <f t="shared" ca="1" si="33"/>
        <v>1.131</v>
      </c>
      <c r="C131" s="654" t="str">
        <f t="shared" si="37"/>
        <v>[131]</v>
      </c>
      <c r="D131" s="654">
        <f>ROW()</f>
        <v>131</v>
      </c>
      <c r="E131" s="1130" t="str">
        <f ca="1">CU131</f>
        <v>"…im Freiland werden Module aufgeständert, um ihren Ertrag zu erhöhen. Bei Südausrichtung und entsprechender Beabstandung belegen sie ungefähr das 2,5-fache ihrer eigenen Fläche." [9.264], Seite 23. Dieser für durchschnittliche deutsche Verhältnisse angegebene Wert wurde hier zugrunde gelegt.</v>
      </c>
      <c r="F131" s="1130"/>
      <c r="G131" s="1130"/>
      <c r="H131" s="1130"/>
      <c r="I131" s="1130"/>
      <c r="J131" s="1130"/>
      <c r="K131" s="1130"/>
      <c r="L131" s="1130"/>
      <c r="M131" s="1130"/>
      <c r="N131" s="1131"/>
      <c r="O131" s="869">
        <v>131</v>
      </c>
      <c r="P131" s="573" t="str">
        <f ca="1">HYPERLINK(EK131,EJ131)</f>
        <v>9.264</v>
      </c>
      <c r="Q131" s="574" t="str">
        <f>Y131</f>
        <v>Seite 23</v>
      </c>
      <c r="R131" s="852"/>
      <c r="S131" s="784"/>
      <c r="T131" s="864"/>
      <c r="U131" s="1033" t="str">
        <f ca="1">"""…im Freiland werden Module aufgeständert, um ihren Ertrag zu erhöhen. Bei Südausrichtung und entsprechender Beabstandung belegen sie ungefähr das "&amp;AD131&amp;"-fache ihrer eigenen Fläche."" ["&amp;P131&amp;"], "&amp;Q131&amp;". Dieser für durchschnittliche deutsche Verhältnisse angegebene Wert wurde hier zugrunde gelegt."</f>
        <v>"…im Freiland werden Module aufgeständert, um ihren Ertrag zu erhöhen. Bei Südausrichtung und entsprechender Beabstandung belegen sie ungefähr das 2,5-fache ihrer eigenen Fläche." [9.264], Seite 23. Dieser für durchschnittliche deutsche Verhältnisse angegebene Wert wurde hier zugrunde gelegt.</v>
      </c>
      <c r="V131" s="905" t="s">
        <v>126</v>
      </c>
      <c r="W131" s="1034">
        <f>AD131</f>
        <v>2.5</v>
      </c>
      <c r="X131" s="672">
        <f>'9.Quellen'!C264</f>
        <v>264</v>
      </c>
      <c r="Y131" s="672" t="s">
        <v>298</v>
      </c>
      <c r="Z131" s="1025"/>
      <c r="AA131" s="905"/>
      <c r="AB131" s="801"/>
      <c r="AC131" s="830"/>
      <c r="AD131" s="801">
        <v>2.5</v>
      </c>
      <c r="AE131" s="651" t="s">
        <v>827</v>
      </c>
      <c r="AF131" s="855">
        <v>3.3</v>
      </c>
      <c r="AG131" s="856" t="s">
        <v>827</v>
      </c>
      <c r="AH131" s="855">
        <v>905</v>
      </c>
      <c r="AI131" s="855" t="s">
        <v>828</v>
      </c>
      <c r="AJ131" s="855">
        <v>931</v>
      </c>
      <c r="AK131" s="857" t="s">
        <v>828</v>
      </c>
      <c r="AL131" s="855">
        <f>AH131/AJ131</f>
        <v>0.97207303974221271</v>
      </c>
      <c r="AM131" s="855">
        <f>AF131*AL131</f>
        <v>3.207841031149302</v>
      </c>
      <c r="AN131" s="801"/>
      <c r="AO131" s="801"/>
      <c r="AP131" s="801"/>
      <c r="AQ131" s="801"/>
      <c r="AR131" s="801"/>
      <c r="AS131" s="801"/>
      <c r="AT131" s="801"/>
      <c r="AU131" s="801"/>
      <c r="AV131" s="801"/>
      <c r="BF131" s="473"/>
      <c r="BI131" s="472" t="s">
        <v>126</v>
      </c>
      <c r="BJ131" s="490"/>
      <c r="BN131" s="656"/>
      <c r="BO131" s="472" t="s">
        <v>252</v>
      </c>
      <c r="CU131" s="480" t="str">
        <f ca="1">IF(U131="",BF131,U131)</f>
        <v>"…im Freiland werden Module aufgeständert, um ihren Ertrag zu erhöhen. Bei Südausrichtung und entsprechender Beabstandung belegen sie ungefähr das 2,5-fache ihrer eigenen Fläche." [9.264], Seite 23. Dieser für durchschnittliche deutsche Verhältnisse angegebene Wert wurde hier zugrunde gelegt.</v>
      </c>
      <c r="CV131" s="656"/>
      <c r="CW131" s="480"/>
      <c r="DS131" s="656"/>
      <c r="DT131" s="518"/>
      <c r="EJ131" s="472" t="str">
        <f ca="1">IF(X131=0,"",EJ$1&amp;X131)</f>
        <v>9.264</v>
      </c>
      <c r="EK131" s="472" t="str">
        <f ca="1">EK$1&amp;X131</f>
        <v>[D_Python.xlsx]9.Quellen!C264</v>
      </c>
      <c r="EV131" s="819">
        <f t="shared" ca="1" si="34"/>
        <v>131</v>
      </c>
      <c r="EW131" s="819"/>
    </row>
    <row r="132" spans="1:153" s="478" customFormat="1" ht="4">
      <c r="A132" s="677" t="str">
        <f t="shared" ca="1" si="32"/>
        <v>D.1.132</v>
      </c>
      <c r="B132" s="677" t="str">
        <f t="shared" ca="1" si="33"/>
        <v>1.132</v>
      </c>
      <c r="C132" s="677" t="str">
        <f t="shared" si="37"/>
        <v>[132]</v>
      </c>
      <c r="D132" s="677">
        <f>ROW()</f>
        <v>132</v>
      </c>
      <c r="E132" s="528"/>
      <c r="F132" s="528"/>
      <c r="G132" s="528"/>
      <c r="H132" s="528"/>
      <c r="I132" s="527"/>
      <c r="J132" s="527"/>
      <c r="K132" s="527"/>
      <c r="L132" s="527"/>
      <c r="M132" s="527"/>
      <c r="N132" s="528"/>
      <c r="O132" s="871">
        <v>132</v>
      </c>
      <c r="P132" s="566"/>
      <c r="Q132" s="567"/>
      <c r="R132" s="888"/>
      <c r="S132" s="802"/>
      <c r="T132" s="882"/>
      <c r="U132" s="661"/>
      <c r="V132" s="661"/>
      <c r="W132" s="661"/>
      <c r="X132" s="661"/>
      <c r="Y132" s="661"/>
      <c r="Z132" s="661"/>
      <c r="AA132" s="661"/>
      <c r="AB132" s="675"/>
      <c r="AC132" s="675"/>
      <c r="AD132" s="675"/>
      <c r="AE132" s="675"/>
      <c r="AF132" s="675"/>
      <c r="AG132" s="675"/>
      <c r="AH132" s="675"/>
      <c r="AI132" s="675"/>
      <c r="AJ132" s="675"/>
      <c r="AK132" s="675"/>
      <c r="AL132" s="675"/>
      <c r="AM132" s="675"/>
      <c r="AN132" s="675"/>
      <c r="AO132" s="675"/>
      <c r="AP132" s="675"/>
      <c r="AQ132" s="675"/>
      <c r="AR132" s="675"/>
      <c r="AS132" s="675"/>
      <c r="AT132" s="675"/>
      <c r="AU132" s="675"/>
      <c r="AV132" s="675"/>
      <c r="BI132" s="478" t="s">
        <v>126</v>
      </c>
      <c r="BJ132" s="489"/>
      <c r="BN132" s="661"/>
      <c r="CU132" s="479"/>
      <c r="CV132" s="661"/>
      <c r="CW132" s="479"/>
      <c r="DS132" s="661"/>
      <c r="EV132" s="818" t="str">
        <f t="shared" si="34"/>
        <v/>
      </c>
      <c r="EW132" s="818"/>
    </row>
    <row r="133" spans="1:153" s="472" customFormat="1" ht="78">
      <c r="A133" s="654" t="str">
        <f t="shared" ca="1" si="32"/>
        <v>D.1.133</v>
      </c>
      <c r="B133" s="654" t="str">
        <f t="shared" ca="1" si="33"/>
        <v>1.133</v>
      </c>
      <c r="C133" s="654" t="str">
        <f t="shared" si="37"/>
        <v>[133]</v>
      </c>
      <c r="D133" s="654">
        <f>ROW()</f>
        <v>133</v>
      </c>
      <c r="E133" s="1139" t="str">
        <f>CU133</f>
        <v>- ZIEL-Ansatz: (Bei Abweichungen gilt Abgleichergebnis in _S.xlsx) Als Beitrag zur Deckung des Strombedarfs sind 456.776 ha PV-Freiflächenanlagen vorgesehen (gemäß [131] unter Beibehaltung der heutigen Südausrichtung entspricht das einer PV-Modulfläche von 182.710 ha; bei Aufstellung in Ost-/West-Ausrichtung mit 10° Neigung läge der spezifische Flächenbedarf um den Faktor von ca. 2,5 niedriger [135], allerdings wäre wegen der stärkeren Konzentration auf hohen Sonnenstand der Bedarf an Langzeit-Stromspeicherkapazität erheblich größer, dies ist im aktuellen Softwarestand nicht modellierbar).</v>
      </c>
      <c r="F133" s="1139"/>
      <c r="G133" s="1139"/>
      <c r="H133" s="1139"/>
      <c r="I133" s="1139"/>
      <c r="J133" s="1139"/>
      <c r="K133" s="1139"/>
      <c r="L133" s="1139"/>
      <c r="M133" s="1139"/>
      <c r="N133" s="1140"/>
      <c r="O133" s="869">
        <v>133</v>
      </c>
      <c r="P133" s="573" t="str">
        <f ca="1">HYPERLINK(EK133,EJ133)</f>
        <v/>
      </c>
      <c r="Q133" s="692" t="str">
        <f>Y133</f>
        <v xml:space="preserve"> </v>
      </c>
      <c r="R133" s="852"/>
      <c r="S133" s="784"/>
      <c r="T133" s="864"/>
      <c r="U133" s="1023" t="str">
        <f>"(Bei Abweichungen gilt Abgleichergebnis in _S.xlsx) Als Beitrag zur Deckung des Strombedarfs sind "&amp;TEXT(W133,"0.000")&amp;" ha PV-Freiflächenanlagen vorgesehen (gemäß "&amp;C131&amp;" unter Beibehaltung der heutigen Südausrichtung entspricht das einer PV-Modulfläche von "&amp;TEXT(AD133,"0.000")&amp;" ha; bei Aufstellung in Ost-/West-Ausrichtung mit 10° Neigung läge der spezifische Flächenbedarf um den Faktor von ca. 2,5 niedriger "&amp;C135&amp;", allerdings wäre wegen der stärkeren Konzentration auf hohen Sonnenstand der Bedarf an Langzeit-Stromspeicherkapazität erheblich größer, dies ist im aktuellen Softwarestand nicht modellierbar)."</f>
        <v>(Bei Abweichungen gilt Abgleichergebnis in _S.xlsx) Als Beitrag zur Deckung des Strombedarfs sind 456.776 ha PV-Freiflächenanlagen vorgesehen (gemäß [131] unter Beibehaltung der heutigen Südausrichtung entspricht das einer PV-Modulfläche von 182.710 ha; bei Aufstellung in Ost-/West-Ausrichtung mit 10° Neigung läge der spezifische Flächenbedarf um den Faktor von ca. 2,5 niedriger [135], allerdings wäre wegen der stärkeren Konzentration auf hohen Sonnenstand der Bedarf an Langzeit-Stromspeicherkapazität erheblich größer, dies ist im aktuellen Softwarestand nicht modellierbar).</v>
      </c>
      <c r="V133" s="858" t="s">
        <v>126</v>
      </c>
      <c r="W133" s="1024">
        <v>456776.23913374596</v>
      </c>
      <c r="X133" s="672"/>
      <c r="Y133" s="672" t="s">
        <v>126</v>
      </c>
      <c r="Z133" s="1025"/>
      <c r="AA133" s="905"/>
      <c r="AB133" s="801"/>
      <c r="AC133" s="1020"/>
      <c r="AD133" s="801">
        <f>W133/W131</f>
        <v>182710.49565349839</v>
      </c>
      <c r="AE133" s="687">
        <f>W78</f>
        <v>17736258.686981831</v>
      </c>
      <c r="AF133" s="801">
        <f>W133/AE133%</f>
        <v>2.5753810157776589</v>
      </c>
      <c r="AG133" s="801"/>
      <c r="AH133" s="687">
        <f ca="1">M161</f>
        <v>735.8</v>
      </c>
      <c r="AI133" s="801" t="s">
        <v>410</v>
      </c>
      <c r="AJ133" s="562">
        <f ca="1">ROUND(M373,1)</f>
        <v>41.3</v>
      </c>
      <c r="AK133" s="801" t="s">
        <v>410</v>
      </c>
      <c r="AL133" s="801">
        <f ca="1">AH133/AJ133</f>
        <v>17.815980629539951</v>
      </c>
      <c r="AM133" s="801"/>
      <c r="AN133" s="801"/>
      <c r="AO133" s="801"/>
      <c r="AP133" s="801"/>
      <c r="AQ133" s="801"/>
      <c r="AR133" s="801"/>
      <c r="AS133" s="801"/>
      <c r="AT133" s="801"/>
      <c r="AU133" s="801"/>
      <c r="AV133" s="801"/>
      <c r="BF133" s="473"/>
      <c r="BI133" s="472" t="s">
        <v>126</v>
      </c>
      <c r="BJ133" s="490"/>
      <c r="BN133" s="656"/>
      <c r="BO133" s="472" t="s">
        <v>259</v>
      </c>
      <c r="CU133" s="480" t="str">
        <f>CH$1&amp;IF(U133="",BF133,U133)</f>
        <v>- ZIEL-Ansatz: (Bei Abweichungen gilt Abgleichergebnis in _S.xlsx) Als Beitrag zur Deckung des Strombedarfs sind 456.776 ha PV-Freiflächenanlagen vorgesehen (gemäß [131] unter Beibehaltung der heutigen Südausrichtung entspricht das einer PV-Modulfläche von 182.710 ha; bei Aufstellung in Ost-/West-Ausrichtung mit 10° Neigung läge der spezifische Flächenbedarf um den Faktor von ca. 2,5 niedriger [135], allerdings wäre wegen der stärkeren Konzentration auf hohen Sonnenstand der Bedarf an Langzeit-Stromspeicherkapazität erheblich größer, dies ist im aktuellen Softwarestand nicht modellierbar).</v>
      </c>
      <c r="CV133" s="656"/>
      <c r="CW133" s="480"/>
      <c r="DS133" s="656"/>
      <c r="DT133" s="518">
        <v>53</v>
      </c>
      <c r="EJ133" s="472" t="str">
        <f>IF(X133=0,"",EJ$1&amp;X133)</f>
        <v/>
      </c>
      <c r="EK133" s="472" t="str">
        <f ca="1">EK$1&amp;X133</f>
        <v>[D_Python.xlsx]9.Quellen!C</v>
      </c>
      <c r="EV133" s="819">
        <f t="shared" si="34"/>
        <v>133</v>
      </c>
      <c r="EW133" s="819"/>
    </row>
    <row r="134" spans="1:153" s="798" customFormat="1" ht="91">
      <c r="A134" s="654" t="str">
        <f t="shared" ref="A134" ca="1" si="63">BT$1&amp;D134</f>
        <v>D.1.134</v>
      </c>
      <c r="B134" s="654" t="str">
        <f t="shared" ref="B134" ca="1" si="64">BW$1&amp;D134</f>
        <v>1.134</v>
      </c>
      <c r="C134" s="654" t="str">
        <f t="shared" ref="C134" si="65">CE$1&amp;D134&amp;CF$1</f>
        <v>[134]</v>
      </c>
      <c r="D134" s="654">
        <f>ROW()</f>
        <v>134</v>
      </c>
      <c r="E134" s="1139" t="str">
        <f ca="1">CU134</f>
        <v>Die Flächenbeanspruchung der PV-Freiflächenanlagen entspricht 2,6 % der Landwirtschaftsfläche [75]. Hier wird angenommen, dass die Hälfte davon auf Konversionsflächen und Dauergrünland [93] installiert ist. Auf diese Weise bleibt die Beanspruchung wertvollen Ackerlandes [83] auf die andere Hälfte beschränkt. Ein somit relativ geringer Anteil von Flächen-Umnutzung erscheint einerseits wegen eines vielfachen Energieertrages gegenüber Bioenergie sinnvoll und andererseits unkritisch, wenn er durch entsprechend eingeschränkte NAWARO-Anbauflächen für Bioenergie [368] ausgeglichen wird. PV auf Ackerland bringt mit 736 MWh/ha/a [161] den 18-fachen Energieertrag gegenüber Biogas mit 41,3 MWh/ha/a [373]</v>
      </c>
      <c r="F134" s="1139"/>
      <c r="G134" s="1139"/>
      <c r="H134" s="1139"/>
      <c r="I134" s="1139"/>
      <c r="J134" s="1139"/>
      <c r="K134" s="1139"/>
      <c r="L134" s="1139"/>
      <c r="M134" s="1139"/>
      <c r="N134" s="1140"/>
      <c r="O134" s="873">
        <v>134</v>
      </c>
      <c r="P134" s="691" t="str">
        <f ca="1">HYPERLINK(EK134,EJ134)</f>
        <v/>
      </c>
      <c r="Q134" s="692" t="str">
        <f>Y134</f>
        <v xml:space="preserve"> </v>
      </c>
      <c r="R134" s="852"/>
      <c r="S134" s="784"/>
      <c r="T134" s="864"/>
      <c r="U134" s="1033" t="str">
        <f ca="1">"Die Flächenbeanspruchung der PV-Freiflächenanlagen entspricht "&amp;TEXT(AF133,"0,0")&amp;" % der Landwirtschaftsfläche "&amp;C75&amp;". Hier wird angenommen, dass die Hälfte davon auf Konversionsflächen und Dauergrünland "&amp;C93&amp;" installiert ist. Auf diese Weise bleibt die Beanspruchung wertvollen Ackerlandes "&amp;C83&amp;" auf die andere Hälfte beschränkt. Ein somit relativ geringer Anteil von Flächen-Umnutzung erscheint einerseits wegen eines vielfachen Energieertrages gegenüber Bioenergie sinnvoll und andererseits unkritisch, "&amp;"wenn er durch entsprechend eingeschränkte NAWARO-Anbauflächen für Bioenergie "&amp;C368&amp;" ausgeglichen wird. PV auf Ackerland bringt mit "&amp;TEXT(AH133,"0")&amp;AI133&amp;C161&amp;" den "&amp;ROUND(AL133,0)&amp;"-fachen Energieertrag gegenüber Biogas mit "&amp;AJ133&amp;AK133&amp;C373&amp;""</f>
        <v>Die Flächenbeanspruchung der PV-Freiflächenanlagen entspricht 2,6 % der Landwirtschaftsfläche [75]. Hier wird angenommen, dass die Hälfte davon auf Konversionsflächen und Dauergrünland [93] installiert ist. Auf diese Weise bleibt die Beanspruchung wertvollen Ackerlandes [83] auf die andere Hälfte beschränkt. Ein somit relativ geringer Anteil von Flächen-Umnutzung erscheint einerseits wegen eines vielfachen Energieertrages gegenüber Bioenergie sinnvoll und andererseits unkritisch, wenn er durch entsprechend eingeschränkte NAWARO-Anbauflächen für Bioenergie [368] ausgeglichen wird. PV auf Ackerland bringt mit 736 MWh/ha/a [161] den 18-fachen Energieertrag gegenüber Biogas mit 41,3 MWh/ha/a [373]</v>
      </c>
      <c r="V134" s="905" t="s">
        <v>126</v>
      </c>
      <c r="W134" s="1034"/>
      <c r="X134" s="672"/>
      <c r="Y134" s="525" t="s">
        <v>126</v>
      </c>
      <c r="Z134" s="1025"/>
      <c r="AA134" s="905"/>
      <c r="AB134" s="801"/>
      <c r="AC134" s="801"/>
      <c r="AD134" s="801">
        <v>900</v>
      </c>
      <c r="AE134" s="801" t="s">
        <v>292</v>
      </c>
      <c r="AF134" s="801">
        <v>130</v>
      </c>
      <c r="AG134" s="801" t="s">
        <v>299</v>
      </c>
      <c r="AH134" s="801">
        <f>AD134/AF134</f>
        <v>6.9230769230769234</v>
      </c>
      <c r="AI134" s="801" t="s">
        <v>300</v>
      </c>
      <c r="AJ134" s="801">
        <v>180</v>
      </c>
      <c r="AK134" s="801" t="s">
        <v>299</v>
      </c>
      <c r="AL134" s="801">
        <f>AD134/AJ134</f>
        <v>5</v>
      </c>
      <c r="AM134" s="801" t="s">
        <v>300</v>
      </c>
      <c r="AN134" s="801"/>
      <c r="AO134" s="801"/>
      <c r="AP134" s="801"/>
      <c r="AQ134" s="801"/>
      <c r="AR134" s="801"/>
      <c r="AS134" s="801"/>
      <c r="AT134" s="801"/>
      <c r="AU134" s="801"/>
      <c r="AV134" s="801"/>
      <c r="BF134" s="657"/>
      <c r="BI134" s="798" t="s">
        <v>126</v>
      </c>
      <c r="BJ134" s="666"/>
      <c r="BO134" s="798" t="s">
        <v>252</v>
      </c>
      <c r="CU134" s="663" t="str">
        <f ca="1">IF(U134="",BF134,U134)</f>
        <v>Die Flächenbeanspruchung der PV-Freiflächenanlagen entspricht 2,6 % der Landwirtschaftsfläche [75]. Hier wird angenommen, dass die Hälfte davon auf Konversionsflächen und Dauergrünland [93] installiert ist. Auf diese Weise bleibt die Beanspruchung wertvollen Ackerlandes [83] auf die andere Hälfte beschränkt. Ein somit relativ geringer Anteil von Flächen-Umnutzung erscheint einerseits wegen eines vielfachen Energieertrages gegenüber Bioenergie sinnvoll und andererseits unkritisch, wenn er durch entsprechend eingeschränkte NAWARO-Anbauflächen für Bioenergie [368] ausgeglichen wird. PV auf Ackerland bringt mit 736 MWh/ha/a [161] den 18-fachen Energieertrag gegenüber Biogas mit 41,3 MWh/ha/a [373]</v>
      </c>
      <c r="CW134" s="663"/>
      <c r="DT134" s="671"/>
      <c r="EJ134" s="798" t="str">
        <f>IF(X134=0,"",EJ$1&amp;X134)</f>
        <v/>
      </c>
      <c r="EK134" s="798" t="str">
        <f ca="1">EK$1&amp;X134</f>
        <v>[D_Python.xlsx]9.Quellen!C</v>
      </c>
      <c r="EV134" s="819">
        <f t="shared" ref="EV134" ca="1" si="66">IF(U134&amp;BP134="","",D134)</f>
        <v>134</v>
      </c>
      <c r="EW134" s="819"/>
    </row>
    <row r="135" spans="1:153" s="798" customFormat="1" ht="91">
      <c r="A135" s="654" t="str">
        <f t="shared" ca="1" si="32"/>
        <v>D.1.135</v>
      </c>
      <c r="B135" s="654" t="str">
        <f t="shared" ca="1" si="33"/>
        <v>1.135</v>
      </c>
      <c r="C135" s="654" t="str">
        <f t="shared" si="37"/>
        <v>[135]</v>
      </c>
      <c r="D135" s="654">
        <f>ROW()</f>
        <v>135</v>
      </c>
      <c r="E135" s="1139" t="str">
        <f>CU135</f>
        <v>Hinweis in einer Stellungnahme vom Institut für Solarforschung Hameln: "Für eine flächenoptimierte Energieerzeugung sollte ein flacher (z. B. 10°) Anstellwinkel und eine Ost-West-Richtung ausgewählt werden. Dies reduziert den Ertrag pro Solarmodul auf ca. 85 % (LK OS 2012). Der Flächenertrag steigt dadurch aber um einen Faktor 2,6 im Vergleich zur Südausrichtung, da die Solarmodule in geringerem Abstand zueinander montiert werden können." (Der Faktor von 2,6 bezieht sich auf die Strahlungsverhältnisse in Niedersachsen, die bei Südausrichtung das 3,3-fache der Modulfläche erfordern. Auf deutsche Strahlungsverhältnisse übertragen handelt es sich um einen Faktor von 2,0).</v>
      </c>
      <c r="F135" s="1139"/>
      <c r="G135" s="1139"/>
      <c r="H135" s="1139"/>
      <c r="I135" s="1139"/>
      <c r="J135" s="1139"/>
      <c r="K135" s="1139"/>
      <c r="L135" s="1139"/>
      <c r="M135" s="1139"/>
      <c r="N135" s="1140"/>
      <c r="O135" s="873">
        <v>135</v>
      </c>
      <c r="P135" s="691" t="str">
        <f ca="1">HYPERLINK(EK135,EJ135)</f>
        <v>9.187</v>
      </c>
      <c r="Q135" s="692" t="str">
        <f>Y135</f>
        <v xml:space="preserve">Stelllungnahme zum 
1.Runden Tisch 
Nr. 20, S. 5 </v>
      </c>
      <c r="R135" s="852"/>
      <c r="S135" s="784"/>
      <c r="T135" s="864"/>
      <c r="U135" s="1033" t="str">
        <f>"Hinweis in einer Stellungnahme vom Institut für Solarforschung Hameln: ""Für eine flächenoptimierte Energieerzeugung sollte ein flacher (z. B. 10°) Anstellwinkel und eine Ost-West-Richtung ausgewählt werden. "&amp;"Dies reduziert den Ertrag pro Solarmodul auf ca. 85 % (LK OS 2012). Der Flächenertrag steigt dadurch aber um einen Faktor 2,6 im Vergleich zur Südausrichtung, "&amp;"da die Solarmodule in geringerem Abstand zueinander montiert werden können."""&amp;" (Der Faktor von 2,6 bezieht sich auf die Strahlungsverhältnisse in Niedersachsen, die bei Südausrichtung das 3,3-fache der Modulfläche erfordern. Auf deutsche Strahlungsverhältnisse übertragen handelt es sich um einen Faktor von 2,0)."</f>
        <v>Hinweis in einer Stellungnahme vom Institut für Solarforschung Hameln: "Für eine flächenoptimierte Energieerzeugung sollte ein flacher (z. B. 10°) Anstellwinkel und eine Ost-West-Richtung ausgewählt werden. Dies reduziert den Ertrag pro Solarmodul auf ca. 85 % (LK OS 2012). Der Flächenertrag steigt dadurch aber um einen Faktor 2,6 im Vergleich zur Südausrichtung, da die Solarmodule in geringerem Abstand zueinander montiert werden können." (Der Faktor von 2,6 bezieht sich auf die Strahlungsverhältnisse in Niedersachsen, die bei Südausrichtung das 3,3-fache der Modulfläche erfordern. Auf deutsche Strahlungsverhältnisse übertragen handelt es sich um einen Faktor von 2,0).</v>
      </c>
      <c r="V135" s="905" t="s">
        <v>126</v>
      </c>
      <c r="W135" s="1034"/>
      <c r="X135" s="672">
        <f>'9.Quellen'!C187</f>
        <v>187</v>
      </c>
      <c r="Y135" s="525" t="s">
        <v>865</v>
      </c>
      <c r="Z135" s="1025"/>
      <c r="AA135" s="905"/>
      <c r="AB135" s="801"/>
      <c r="AC135" s="801"/>
      <c r="AD135" s="801">
        <v>3.3</v>
      </c>
      <c r="AE135" s="801">
        <v>2.6</v>
      </c>
      <c r="AF135" s="801">
        <v>2.5</v>
      </c>
      <c r="AG135" s="801">
        <f>AE135*AF135/AD135</f>
        <v>1.9696969696969697</v>
      </c>
      <c r="AH135" s="826">
        <v>900</v>
      </c>
      <c r="AI135" s="826" t="s">
        <v>292</v>
      </c>
      <c r="AJ135" s="826">
        <v>130</v>
      </c>
      <c r="AK135" s="826" t="s">
        <v>299</v>
      </c>
      <c r="AL135" s="826">
        <f>AH135/AJ135</f>
        <v>6.9230769230769234</v>
      </c>
      <c r="AM135" s="826" t="s">
        <v>300</v>
      </c>
      <c r="AN135" s="826">
        <v>180</v>
      </c>
      <c r="AO135" s="826" t="s">
        <v>299</v>
      </c>
      <c r="AP135" s="826">
        <f>AH135/AN135</f>
        <v>5</v>
      </c>
      <c r="AQ135" s="826" t="s">
        <v>300</v>
      </c>
      <c r="AR135" s="801"/>
      <c r="AS135" s="801"/>
      <c r="AT135" s="801"/>
      <c r="AU135" s="801"/>
      <c r="AV135" s="801"/>
      <c r="BF135" s="657"/>
      <c r="BI135" s="798" t="s">
        <v>126</v>
      </c>
      <c r="BJ135" s="666"/>
      <c r="BO135" s="798" t="s">
        <v>252</v>
      </c>
      <c r="CU135" s="663" t="str">
        <f>IF(U135="",BF135,U135)</f>
        <v>Hinweis in einer Stellungnahme vom Institut für Solarforschung Hameln: "Für eine flächenoptimierte Energieerzeugung sollte ein flacher (z. B. 10°) Anstellwinkel und eine Ost-West-Richtung ausgewählt werden. Dies reduziert den Ertrag pro Solarmodul auf ca. 85 % (LK OS 2012). Der Flächenertrag steigt dadurch aber um einen Faktor 2,6 im Vergleich zur Südausrichtung, da die Solarmodule in geringerem Abstand zueinander montiert werden können." (Der Faktor von 2,6 bezieht sich auf die Strahlungsverhältnisse in Niedersachsen, die bei Südausrichtung das 3,3-fache der Modulfläche erfordern. Auf deutsche Strahlungsverhältnisse übertragen handelt es sich um einen Faktor von 2,0).</v>
      </c>
      <c r="CW135" s="663"/>
      <c r="DT135" s="671"/>
      <c r="EJ135" s="798" t="str">
        <f ca="1">IF(X135=0,"",EJ$1&amp;X135)</f>
        <v>9.187</v>
      </c>
      <c r="EK135" s="798" t="str">
        <f ca="1">EK$1&amp;X135</f>
        <v>[D_Python.xlsx]9.Quellen!C187</v>
      </c>
      <c r="EV135" s="819">
        <f t="shared" si="34"/>
        <v>135</v>
      </c>
      <c r="EW135" s="819"/>
    </row>
    <row r="136" spans="1:153" s="478" customFormat="1" ht="4">
      <c r="A136" s="677" t="str">
        <f t="shared" ca="1" si="32"/>
        <v>D.1.136</v>
      </c>
      <c r="B136" s="677" t="str">
        <f t="shared" ca="1" si="33"/>
        <v>1.136</v>
      </c>
      <c r="C136" s="677" t="str">
        <f t="shared" si="37"/>
        <v>[136]</v>
      </c>
      <c r="D136" s="677">
        <f>ROW()</f>
        <v>136</v>
      </c>
      <c r="E136" s="548"/>
      <c r="F136" s="548"/>
      <c r="G136" s="548"/>
      <c r="H136" s="548"/>
      <c r="I136" s="549"/>
      <c r="J136" s="549"/>
      <c r="K136" s="549"/>
      <c r="L136" s="549"/>
      <c r="M136" s="549"/>
      <c r="N136" s="548"/>
      <c r="O136" s="871">
        <v>136</v>
      </c>
      <c r="P136" s="575"/>
      <c r="Q136" s="576"/>
      <c r="R136" s="888"/>
      <c r="S136" s="802"/>
      <c r="T136" s="882"/>
      <c r="U136" s="661"/>
      <c r="V136" s="661"/>
      <c r="W136" s="661"/>
      <c r="X136" s="661"/>
      <c r="Y136" s="661"/>
      <c r="Z136" s="661"/>
      <c r="AA136" s="661"/>
      <c r="AB136" s="675"/>
      <c r="AC136" s="675"/>
      <c r="AD136" s="675"/>
      <c r="AE136" s="675"/>
      <c r="AF136" s="675"/>
      <c r="AG136" s="675"/>
      <c r="AH136" s="675"/>
      <c r="AI136" s="675"/>
      <c r="AJ136" s="675"/>
      <c r="AK136" s="675"/>
      <c r="AL136" s="675"/>
      <c r="AM136" s="675"/>
      <c r="AN136" s="675"/>
      <c r="AO136" s="675"/>
      <c r="AP136" s="675"/>
      <c r="AQ136" s="675"/>
      <c r="AR136" s="675"/>
      <c r="AS136" s="675"/>
      <c r="AT136" s="675"/>
      <c r="AU136" s="675"/>
      <c r="AV136" s="675"/>
      <c r="AZ136" s="505"/>
      <c r="BB136" s="505"/>
      <c r="BI136" s="478" t="s">
        <v>126</v>
      </c>
      <c r="BJ136" s="489"/>
      <c r="BN136" s="661"/>
      <c r="CU136" s="479"/>
      <c r="CV136" s="661"/>
      <c r="CW136" s="479"/>
      <c r="DS136" s="661"/>
      <c r="EV136" s="818" t="str">
        <f t="shared" si="34"/>
        <v/>
      </c>
      <c r="EW136" s="818"/>
    </row>
    <row r="137" spans="1:153" s="475" customFormat="1" ht="13.5" customHeight="1">
      <c r="A137" s="654" t="str">
        <f t="shared" ca="1" si="32"/>
        <v>D.1.137</v>
      </c>
      <c r="B137" s="654" t="str">
        <f t="shared" ca="1" si="33"/>
        <v>1.137</v>
      </c>
      <c r="C137" s="654" t="str">
        <f t="shared" si="37"/>
        <v>[137]</v>
      </c>
      <c r="D137" s="654">
        <f>ROW()</f>
        <v>137</v>
      </c>
      <c r="E137" s="1129" t="str">
        <f>BP137</f>
        <v>Solarthermie - Nutzanteil an Dach-Absorberflächen</v>
      </c>
      <c r="F137" s="1129"/>
      <c r="G137" s="1129"/>
      <c r="H137" s="1129"/>
      <c r="I137" s="1129"/>
      <c r="J137" s="471" t="s">
        <v>38</v>
      </c>
      <c r="K137" s="557">
        <f ca="1">INDIRECT($W$1&amp;U137)</f>
        <v>8.9322458184692248</v>
      </c>
      <c r="L137" s="485" t="str">
        <f ca="1">HYPERLINK($CK$1&amp;U137,$CE$1&amp;U137&amp;$CF$1)</f>
        <v>[138]</v>
      </c>
      <c r="M137" s="558">
        <f ca="1">INDIRECT($W$1&amp;W137)</f>
        <v>0.71710882715708268</v>
      </c>
      <c r="N137" s="533" t="str">
        <f ca="1">HYPERLINK($CK$1&amp;W137,$CE$1&amp;W137&amp;$CF$1)</f>
        <v>[141]</v>
      </c>
      <c r="O137" s="869">
        <v>137</v>
      </c>
      <c r="P137" s="570"/>
      <c r="Q137" s="583"/>
      <c r="R137" s="852"/>
      <c r="S137" s="784"/>
      <c r="T137" s="864"/>
      <c r="U137" s="672">
        <f>D138</f>
        <v>138</v>
      </c>
      <c r="V137" s="905" t="s">
        <v>126</v>
      </c>
      <c r="W137" s="672">
        <f>D141</f>
        <v>141</v>
      </c>
      <c r="X137" s="658"/>
      <c r="Y137" s="658"/>
      <c r="Z137" s="658"/>
      <c r="AA137" s="658"/>
      <c r="AB137" s="801"/>
      <c r="AC137" s="801"/>
      <c r="AD137" s="674"/>
      <c r="AE137" s="674"/>
      <c r="AF137" s="674"/>
      <c r="AG137" s="674"/>
      <c r="AH137" s="674"/>
      <c r="AI137" s="674"/>
      <c r="AJ137" s="674"/>
      <c r="AK137" s="674"/>
      <c r="AL137" s="674"/>
      <c r="AM137" s="674"/>
      <c r="AN137" s="674"/>
      <c r="AO137" s="674"/>
      <c r="AP137" s="674"/>
      <c r="AQ137" s="674"/>
      <c r="AR137" s="674"/>
      <c r="AS137" s="674"/>
      <c r="AT137" s="674"/>
      <c r="AU137" s="674"/>
      <c r="AV137" s="674"/>
      <c r="AX137" s="475" t="s">
        <v>244</v>
      </c>
      <c r="AY137" s="500">
        <f ca="1">DA137</f>
        <v>6.2198983914666863</v>
      </c>
      <c r="AZ137" s="508" t="str">
        <f ca="1">HYPERLINK(DN137,DC137)</f>
        <v xml:space="preserve"> 146</v>
      </c>
      <c r="BA137" s="500">
        <f ca="1">DB137</f>
        <v>6.5</v>
      </c>
      <c r="BB137" s="508" t="str">
        <f ca="1">HYPERLINK(DO137,DD137)</f>
        <v xml:space="preserve"> 147</v>
      </c>
      <c r="BC137" s="519" t="str">
        <f ca="1">CY137&amp;" | "&amp;CZ137</f>
        <v>Flachkollekt. | Nutzanteil Solarwärme 
=  Flächenanteil Solarwärmenutzung</v>
      </c>
      <c r="BI137" s="475" t="s">
        <v>126</v>
      </c>
      <c r="BJ137" s="492" t="str">
        <f>E137</f>
        <v>Solarthermie - Nutzanteil an Dach-Absorberflächen</v>
      </c>
      <c r="BK137" s="486">
        <f ca="1">K137</f>
        <v>8.9322458184692248</v>
      </c>
      <c r="BL137" s="486">
        <f ca="1">M137</f>
        <v>0.71710882715708268</v>
      </c>
      <c r="BM137" s="472">
        <f>D137</f>
        <v>137</v>
      </c>
      <c r="BN137" s="658"/>
      <c r="BO137" s="475" t="s">
        <v>251</v>
      </c>
      <c r="BP137" s="521" t="s">
        <v>307</v>
      </c>
      <c r="CU137" s="476"/>
      <c r="CV137" s="658"/>
      <c r="CW137" s="518">
        <v>39</v>
      </c>
      <c r="CY137" s="472" t="str">
        <f t="shared" ref="CY137:DO137" ca="1" si="67">INDIRECT($CX$1&amp;CY$1&amp;$CW137)</f>
        <v>Flachkollekt.</v>
      </c>
      <c r="CZ137" s="472" t="str">
        <f t="shared" ca="1" si="67"/>
        <v>Nutzanteil Solarwärme 
=  Flächenanteil Solarwärmenutzung</v>
      </c>
      <c r="DA137" s="472">
        <f t="shared" ca="1" si="67"/>
        <v>6.2198983914666863</v>
      </c>
      <c r="DB137" s="472">
        <f t="shared" ca="1" si="67"/>
        <v>6.5</v>
      </c>
      <c r="DC137" s="472" t="str">
        <f t="shared" ca="1" si="67"/>
        <v xml:space="preserve"> 146</v>
      </c>
      <c r="DD137" s="472" t="str">
        <f t="shared" ca="1" si="67"/>
        <v xml:space="preserve"> 147</v>
      </c>
      <c r="DE137" s="472" t="str">
        <f t="shared" ca="1" si="67"/>
        <v xml:space="preserve">So65 </v>
      </c>
      <c r="DF137" s="472" t="str">
        <f t="shared" ca="1" si="67"/>
        <v xml:space="preserve">So30 </v>
      </c>
      <c r="DG137" s="472" t="str">
        <f t="shared" ca="1" si="67"/>
        <v>So</v>
      </c>
      <c r="DH137" s="472" t="str">
        <f t="shared" ca="1" si="67"/>
        <v xml:space="preserve">65 </v>
      </c>
      <c r="DI137" s="472" t="str">
        <f t="shared" ca="1" si="67"/>
        <v>[So.xls]TEXT!Z65 S5</v>
      </c>
      <c r="DJ137" s="472" t="str">
        <f t="shared" ca="1" si="67"/>
        <v>So</v>
      </c>
      <c r="DK137" s="472" t="str">
        <f t="shared" ca="1" si="67"/>
        <v xml:space="preserve">30 </v>
      </c>
      <c r="DL137" s="472" t="str">
        <f t="shared" ca="1" si="67"/>
        <v>[So.xls]TEXT!Z30 S5</v>
      </c>
      <c r="DM137" s="472">
        <f t="shared" ca="1" si="67"/>
        <v>39</v>
      </c>
      <c r="DN137" s="472" t="str">
        <f t="shared" ca="1" si="67"/>
        <v>[Region.xls]PARAMETER!Z146S6</v>
      </c>
      <c r="DO137" s="472" t="str">
        <f t="shared" ca="1" si="67"/>
        <v>[Region.xls]PARAMETER!Z147S6</v>
      </c>
      <c r="DP137" s="472"/>
      <c r="DS137" s="656"/>
      <c r="DV137" s="472"/>
      <c r="DW137" s="472"/>
      <c r="DX137" s="472"/>
      <c r="DY137" s="472"/>
      <c r="DZ137" s="472"/>
      <c r="EA137" s="472"/>
      <c r="EB137" s="472"/>
      <c r="EC137" s="472"/>
      <c r="ED137" s="472"/>
      <c r="EE137" s="472"/>
      <c r="EF137" s="472"/>
      <c r="EG137" s="472"/>
      <c r="EH137" s="472"/>
      <c r="EI137" s="472"/>
      <c r="EJ137" s="472"/>
      <c r="EK137" s="472"/>
      <c r="EV137" s="819">
        <f t="shared" si="34"/>
        <v>137</v>
      </c>
      <c r="EW137" s="819"/>
    </row>
    <row r="138" spans="1:153" s="472" customFormat="1" ht="26">
      <c r="A138" s="654" t="str">
        <f t="shared" ca="1" si="32"/>
        <v>D.1.138</v>
      </c>
      <c r="B138" s="654" t="str">
        <f t="shared" ca="1" si="33"/>
        <v>1.138</v>
      </c>
      <c r="C138" s="654" t="str">
        <f t="shared" si="37"/>
        <v>[138]</v>
      </c>
      <c r="D138" s="654">
        <f>ROW()</f>
        <v>138</v>
      </c>
      <c r="E138" s="1130" t="str">
        <f>CU138</f>
        <v xml:space="preserve">- STATUS-Ansatz: Fläche der solarthermischen Flach- und Röhrenkollektoren von 1912,2 ha gemäß [139] relativ zu 21.408 ha solar genutzten Dachflächen gemäß [120]. </v>
      </c>
      <c r="F138" s="1130"/>
      <c r="G138" s="1130"/>
      <c r="H138" s="1130"/>
      <c r="I138" s="1130"/>
      <c r="J138" s="1130"/>
      <c r="K138" s="1130"/>
      <c r="L138" s="1130"/>
      <c r="M138" s="1130"/>
      <c r="N138" s="1131"/>
      <c r="O138" s="869">
        <v>138</v>
      </c>
      <c r="P138" s="573" t="str">
        <f ca="1">HYPERLINK(EK138,EJ138)</f>
        <v/>
      </c>
      <c r="Q138" s="574" t="str">
        <f>Y138</f>
        <v xml:space="preserve"> </v>
      </c>
      <c r="R138" s="852"/>
      <c r="S138" s="784"/>
      <c r="T138" s="864"/>
      <c r="U138" s="1023" t="str">
        <f>"Fläche der solarthermischen Flach- und Röhrenkollektoren von "&amp;TEXT(AE138,"0,0")&amp;" ha gemäß "&amp;C139&amp;" relativ zu "&amp;TEXT(AD138,"0.000")&amp;" ha solar genutzten Dachflächen gemäß "&amp;C120&amp;". "</f>
        <v xml:space="preserve">Fläche der solarthermischen Flach- und Röhrenkollektoren von 1912,2 ha gemäß [139] relativ zu 21.408 ha solar genutzten Dachflächen gemäß [120]. </v>
      </c>
      <c r="V138" s="905" t="s">
        <v>126</v>
      </c>
      <c r="W138" s="1034">
        <f>AE138/AD138%</f>
        <v>8.9322458184692248</v>
      </c>
      <c r="X138" s="672"/>
      <c r="Y138" s="672" t="s">
        <v>126</v>
      </c>
      <c r="Z138" s="1025"/>
      <c r="AA138" s="658"/>
      <c r="AB138" s="801"/>
      <c r="AC138" s="801"/>
      <c r="AD138" s="687">
        <f>W121</f>
        <v>21407.829999999998</v>
      </c>
      <c r="AE138" s="801">
        <f>W139/10000</f>
        <v>1912.2</v>
      </c>
      <c r="AF138" s="687"/>
      <c r="AG138" s="801"/>
      <c r="AH138" s="801"/>
      <c r="AI138" s="801"/>
      <c r="AJ138" s="801"/>
      <c r="AK138" s="801"/>
      <c r="AL138" s="801"/>
      <c r="AM138" s="801"/>
      <c r="AN138" s="801"/>
      <c r="AO138" s="801"/>
      <c r="AP138" s="801"/>
      <c r="AQ138" s="801"/>
      <c r="AR138" s="801"/>
      <c r="AS138" s="801"/>
      <c r="AT138" s="801"/>
      <c r="AU138" s="801"/>
      <c r="AV138" s="801"/>
      <c r="BF138" s="473"/>
      <c r="BI138" s="472" t="s">
        <v>126</v>
      </c>
      <c r="BJ138" s="490"/>
      <c r="BN138" s="656"/>
      <c r="BO138" s="472" t="s">
        <v>259</v>
      </c>
      <c r="CU138" s="480" t="str">
        <f>CG$1&amp;IF(U138="",BF138,U138)</f>
        <v xml:space="preserve">- STATUS-Ansatz: Fläche der solarthermischen Flach- und Röhrenkollektoren von 1912,2 ha gemäß [139] relativ zu 21.408 ha solar genutzten Dachflächen gemäß [120]. </v>
      </c>
      <c r="CV138" s="656"/>
      <c r="CW138" s="480"/>
      <c r="DS138" s="656"/>
      <c r="DT138" s="518">
        <f>I_Basisdaten!A75</f>
        <v>75</v>
      </c>
      <c r="EJ138" s="472" t="str">
        <f>IF(X138=0,"",EJ$1&amp;X138)</f>
        <v/>
      </c>
      <c r="EK138" s="472" t="str">
        <f ca="1">EK$1&amp;X138</f>
        <v>[D_Python.xlsx]9.Quellen!C</v>
      </c>
      <c r="EV138" s="819">
        <f t="shared" si="34"/>
        <v>138</v>
      </c>
      <c r="EW138" s="819"/>
    </row>
    <row r="139" spans="1:153" s="472" customFormat="1">
      <c r="A139" s="654" t="str">
        <f t="shared" ref="A139:A202" ca="1" si="68">BT$1&amp;D139</f>
        <v>D.1.139</v>
      </c>
      <c r="B139" s="654" t="str">
        <f t="shared" ref="B139:B202" ca="1" si="69">BW$1&amp;D139</f>
        <v>1.139</v>
      </c>
      <c r="C139" s="654" t="str">
        <f t="shared" si="37"/>
        <v>[139]</v>
      </c>
      <c r="D139" s="654">
        <f>ROW()</f>
        <v>139</v>
      </c>
      <c r="E139" s="1130" t="str">
        <f ca="1">CU139</f>
        <v>Gemäß AEE [9.16] Zeile 350 waren 2016 in Deutschland 19.122.000 qm Solarthermie-Kollektorfläche installiert.</v>
      </c>
      <c r="F139" s="1130"/>
      <c r="G139" s="1130"/>
      <c r="H139" s="1130"/>
      <c r="I139" s="1130"/>
      <c r="J139" s="1130"/>
      <c r="K139" s="1130"/>
      <c r="L139" s="1130"/>
      <c r="M139" s="1130"/>
      <c r="N139" s="1131"/>
      <c r="O139" s="869">
        <v>139</v>
      </c>
      <c r="P139" s="573" t="str">
        <f ca="1">HYPERLINK(EK139,EJ139)</f>
        <v>9.16</v>
      </c>
      <c r="Q139" s="692" t="str">
        <f>Y139</f>
        <v>Zeile 350</v>
      </c>
      <c r="R139" s="852"/>
      <c r="S139" s="784"/>
      <c r="T139" s="864"/>
      <c r="U139" s="1033" t="str">
        <f ca="1">"Gemäß "&amp;'9.Quellen'!E16&amp;" ["&amp;P139&amp;"] "&amp;Q139&amp;" waren 2016 in Deutschland "&amp;TEXT(W139,"0.000")&amp;" qm Solarthermie-Kollektorfläche"&amp;" installiert."</f>
        <v>Gemäß AEE [9.16] Zeile 350 waren 2016 in Deutschland 19.122.000 qm Solarthermie-Kollektorfläche installiert.</v>
      </c>
      <c r="V139" s="905" t="s">
        <v>126</v>
      </c>
      <c r="W139" s="1024">
        <v>19122000</v>
      </c>
      <c r="X139" s="672">
        <f>'9.Quellen'!C16</f>
        <v>16</v>
      </c>
      <c r="Y139" s="672" t="s">
        <v>975</v>
      </c>
      <c r="Z139" s="1025"/>
      <c r="AA139" s="905"/>
      <c r="AB139" s="801"/>
      <c r="AC139" s="801"/>
      <c r="AD139" s="801"/>
      <c r="AE139" s="801"/>
      <c r="AF139" s="801"/>
      <c r="AG139" s="801"/>
      <c r="AH139" s="801"/>
      <c r="AI139" s="801"/>
      <c r="AJ139" s="801"/>
      <c r="AK139" s="687"/>
      <c r="AL139" s="801"/>
      <c r="AM139" s="801"/>
      <c r="AN139" s="801"/>
      <c r="AO139" s="801"/>
      <c r="AP139" s="801"/>
      <c r="AQ139" s="801"/>
      <c r="AR139" s="801"/>
      <c r="AS139" s="801"/>
      <c r="AT139" s="801"/>
      <c r="AU139" s="801"/>
      <c r="AV139" s="801"/>
      <c r="BF139" s="473"/>
      <c r="BI139" s="472" t="s">
        <v>126</v>
      </c>
      <c r="BJ139" s="490"/>
      <c r="BN139" s="656"/>
      <c r="BO139" s="472" t="s">
        <v>252</v>
      </c>
      <c r="CU139" s="480" t="str">
        <f ca="1">IF(U139="",BF139,U139)</f>
        <v>Gemäß AEE [9.16] Zeile 350 waren 2016 in Deutschland 19.122.000 qm Solarthermie-Kollektorfläche installiert.</v>
      </c>
      <c r="CV139" s="656"/>
      <c r="CW139" s="480"/>
      <c r="DS139" s="656"/>
      <c r="DT139" s="518"/>
      <c r="EJ139" s="472" t="str">
        <f ca="1">IF(X139=0,"",EJ$1&amp;X139)</f>
        <v>9.16</v>
      </c>
      <c r="EK139" s="472" t="str">
        <f ca="1">EK$1&amp;X139</f>
        <v>[D_Python.xlsx]9.Quellen!C16</v>
      </c>
      <c r="EV139" s="819">
        <f t="shared" ref="EV139:EV202" ca="1" si="70">IF(U139&amp;BP139="","",D139)</f>
        <v>139</v>
      </c>
      <c r="EW139" s="819"/>
    </row>
    <row r="140" spans="1:153" s="478" customFormat="1" ht="4">
      <c r="A140" s="677" t="str">
        <f t="shared" ca="1" si="68"/>
        <v>D.1.140</v>
      </c>
      <c r="B140" s="677" t="str">
        <f t="shared" ca="1" si="69"/>
        <v>1.140</v>
      </c>
      <c r="C140" s="677" t="str">
        <f t="shared" si="37"/>
        <v>[140]</v>
      </c>
      <c r="D140" s="677">
        <f>ROW()</f>
        <v>140</v>
      </c>
      <c r="E140" s="528"/>
      <c r="F140" s="528"/>
      <c r="G140" s="528"/>
      <c r="H140" s="528"/>
      <c r="I140" s="527"/>
      <c r="J140" s="527"/>
      <c r="K140" s="527"/>
      <c r="L140" s="527"/>
      <c r="M140" s="527"/>
      <c r="N140" s="528"/>
      <c r="O140" s="871">
        <v>140</v>
      </c>
      <c r="P140" s="566"/>
      <c r="Q140" s="567"/>
      <c r="R140" s="888"/>
      <c r="S140" s="802"/>
      <c r="T140" s="882"/>
      <c r="U140" s="661"/>
      <c r="V140" s="661"/>
      <c r="W140" s="661"/>
      <c r="X140" s="661"/>
      <c r="Y140" s="661"/>
      <c r="Z140" s="661"/>
      <c r="AA140" s="661"/>
      <c r="AB140" s="675"/>
      <c r="AC140" s="675"/>
      <c r="AD140" s="675"/>
      <c r="AE140" s="675"/>
      <c r="AF140" s="675"/>
      <c r="AG140" s="675"/>
      <c r="AH140" s="675"/>
      <c r="AI140" s="675"/>
      <c r="AJ140" s="675"/>
      <c r="AK140" s="675"/>
      <c r="AL140" s="675"/>
      <c r="AM140" s="675"/>
      <c r="AN140" s="675"/>
      <c r="AO140" s="675"/>
      <c r="AP140" s="675"/>
      <c r="AQ140" s="675"/>
      <c r="AR140" s="675"/>
      <c r="AS140" s="675"/>
      <c r="AT140" s="675"/>
      <c r="AU140" s="675"/>
      <c r="AV140" s="675"/>
      <c r="BI140" s="478" t="s">
        <v>126</v>
      </c>
      <c r="BJ140" s="489"/>
      <c r="BN140" s="661"/>
      <c r="CU140" s="479"/>
      <c r="CV140" s="661"/>
      <c r="CW140" s="479"/>
      <c r="DS140" s="661"/>
      <c r="EV140" s="818" t="str">
        <f t="shared" si="70"/>
        <v/>
      </c>
      <c r="EW140" s="818"/>
    </row>
    <row r="141" spans="1:153" s="472" customFormat="1" ht="52">
      <c r="A141" s="654" t="str">
        <f t="shared" ca="1" si="68"/>
        <v>D.1.141</v>
      </c>
      <c r="B141" s="654" t="str">
        <f t="shared" ca="1" si="69"/>
        <v>1.141</v>
      </c>
      <c r="C141" s="654" t="str">
        <f t="shared" si="37"/>
        <v>[141]</v>
      </c>
      <c r="D141" s="654">
        <f>ROW()</f>
        <v>141</v>
      </c>
      <c r="E141" s="1125" t="str">
        <f t="shared" ref="E141" si="71">CU141</f>
        <v>- ZIEL-Ansatz: Mit 1912 ha  Solarthermie-Fläche entsprechend 0,7%  der gesamten Solardachfläche [126] wurde auf einen weiteren Ausbau verzichtet, da die Technologie in der warmen Jahreszeit redundant zur Kombination Photovoltaik/Wärmepumpe ist, die für die kalte Jahreszeit als Kombination Windenergie/Wärmepumpe ohnehin erforderlich ist und geringere Bereitstellungsverluste aufweist.</v>
      </c>
      <c r="F141" s="1125"/>
      <c r="G141" s="1125"/>
      <c r="H141" s="1125"/>
      <c r="I141" s="1125"/>
      <c r="J141" s="1125"/>
      <c r="K141" s="1125"/>
      <c r="L141" s="1125"/>
      <c r="M141" s="1125"/>
      <c r="N141" s="1132"/>
      <c r="O141" s="869">
        <v>141</v>
      </c>
      <c r="P141" s="573" t="str">
        <f ca="1">HYPERLINK(EK141,EJ141)</f>
        <v/>
      </c>
      <c r="Q141" s="574" t="str">
        <f>Y141</f>
        <v xml:space="preserve"> </v>
      </c>
      <c r="R141" s="852"/>
      <c r="S141" s="784"/>
      <c r="T141" s="864"/>
      <c r="U141" s="1023" t="str">
        <f>"Mit "&amp;TEXT(AF141,"0")&amp;AG141&amp;" Solarthermie-Fläche entsprechend "&amp;TEXT(AH141,"0,0")&amp;AI141&amp;" der gesamten Solardachfläche "&amp;C126&amp;" wurde auf einen weiteren Ausbau verzichtet, da die Technologie in der warmen Jahreszeit redundant zur Kombination Photovoltaik/Wärmepumpe ist, "&amp;"die für die kalte Jahreszeit als Kombination Windenergie/Wärmepumpe ohnehin erforderlich ist und geringere Bereitstellungsverluste aufweist."</f>
        <v>Mit 1912 ha  Solarthermie-Fläche entsprechend 0,7%  der gesamten Solardachfläche [126] wurde auf einen weiteren Ausbau verzichtet, da die Technologie in der warmen Jahreszeit redundant zur Kombination Photovoltaik/Wärmepumpe ist, die für die kalte Jahreszeit als Kombination Windenergie/Wärmepumpe ohnehin erforderlich ist und geringere Bereitstellungsverluste aufweist.</v>
      </c>
      <c r="V141" s="905" t="s">
        <v>126</v>
      </c>
      <c r="W141" s="1079">
        <f>AH141</f>
        <v>0.71710882715708268</v>
      </c>
      <c r="X141" s="672"/>
      <c r="Y141" s="672" t="s">
        <v>126</v>
      </c>
      <c r="Z141" s="1025"/>
      <c r="AA141" s="905"/>
      <c r="AB141" s="801"/>
      <c r="AC141" s="1020"/>
      <c r="AD141" s="687">
        <f>W126</f>
        <v>266654.08757841616</v>
      </c>
      <c r="AE141" s="801" t="s">
        <v>382</v>
      </c>
      <c r="AF141" s="801">
        <f>AE138</f>
        <v>1912.2</v>
      </c>
      <c r="AG141" s="801" t="s">
        <v>382</v>
      </c>
      <c r="AH141" s="801">
        <f>AF141/AD141%</f>
        <v>0.71710882715708268</v>
      </c>
      <c r="AI141" s="801" t="s">
        <v>835</v>
      </c>
      <c r="AJ141" s="801"/>
      <c r="AK141" s="801"/>
      <c r="AL141" s="801"/>
      <c r="AM141" s="801"/>
      <c r="AN141" s="801"/>
      <c r="AO141" s="801"/>
      <c r="AP141" s="801"/>
      <c r="AQ141" s="801"/>
      <c r="AR141" s="801"/>
      <c r="AS141" s="801"/>
      <c r="AT141" s="801"/>
      <c r="AU141" s="801"/>
      <c r="AV141" s="801"/>
      <c r="BF141" s="657" t="str">
        <f>"Wurde so gewählt, dass die überwiegend in der warmen Jahreshälfte gewonnene Solarwärme ohne saisonale Speicherung im Gebäudebereich als Warmwasser und Heizungsunterstützung verwertbar ist. "&amp;"Bei einem zukunftsfähig gedämmten Gebäudebestand entspricht das etwa einem Viertel des gesamten Wärmebedarfs im Gebäudebereich."</f>
        <v>Wurde so gewählt, dass die überwiegend in der warmen Jahreshälfte gewonnene Solarwärme ohne saisonale Speicherung im Gebäudebereich als Warmwasser und Heizungsunterstützung verwertbar ist. Bei einem zukunftsfähig gedämmten Gebäudebestand entspricht das etwa einem Viertel des gesamten Wärmebedarfs im Gebäudebereich.</v>
      </c>
      <c r="BI141" s="472" t="s">
        <v>126</v>
      </c>
      <c r="BJ141" s="490"/>
      <c r="BN141" s="656"/>
      <c r="BO141" s="472" t="s">
        <v>259</v>
      </c>
      <c r="CU141" s="480" t="str">
        <f>CH$1&amp;IF(U141="",BF141,U141)</f>
        <v>- ZIEL-Ansatz: Mit 1912 ha  Solarthermie-Fläche entsprechend 0,7%  der gesamten Solardachfläche [126] wurde auf einen weiteren Ausbau verzichtet, da die Technologie in der warmen Jahreszeit redundant zur Kombination Photovoltaik/Wärmepumpe ist, die für die kalte Jahreszeit als Kombination Windenergie/Wärmepumpe ohnehin erforderlich ist und geringere Bereitstellungsverluste aufweist.</v>
      </c>
      <c r="CV141" s="656"/>
      <c r="CW141" s="480"/>
      <c r="DS141" s="656"/>
      <c r="DT141" s="518">
        <v>53</v>
      </c>
      <c r="EJ141" s="472" t="str">
        <f>IF(X141=0,"",EJ$1&amp;X141)</f>
        <v/>
      </c>
      <c r="EK141" s="472" t="str">
        <f ca="1">EK$1&amp;X141</f>
        <v>[D_Python.xlsx]9.Quellen!C</v>
      </c>
      <c r="EV141" s="819">
        <f t="shared" si="70"/>
        <v>141</v>
      </c>
      <c r="EW141" s="819"/>
    </row>
    <row r="142" spans="1:153" s="478" customFormat="1" ht="4">
      <c r="A142" s="677" t="str">
        <f t="shared" ca="1" si="68"/>
        <v>D.1.142</v>
      </c>
      <c r="B142" s="677" t="str">
        <f t="shared" ca="1" si="69"/>
        <v>1.142</v>
      </c>
      <c r="C142" s="677" t="str">
        <f t="shared" si="37"/>
        <v>[142]</v>
      </c>
      <c r="D142" s="677">
        <f>ROW()</f>
        <v>142</v>
      </c>
      <c r="E142" s="548"/>
      <c r="F142" s="548"/>
      <c r="G142" s="548"/>
      <c r="H142" s="548"/>
      <c r="I142" s="549"/>
      <c r="J142" s="549"/>
      <c r="K142" s="549"/>
      <c r="L142" s="549"/>
      <c r="M142" s="549"/>
      <c r="N142" s="548"/>
      <c r="O142" s="871">
        <v>142</v>
      </c>
      <c r="P142" s="575"/>
      <c r="Q142" s="576"/>
      <c r="R142" s="888"/>
      <c r="S142" s="802"/>
      <c r="T142" s="882"/>
      <c r="U142" s="661"/>
      <c r="V142" s="661"/>
      <c r="W142" s="661"/>
      <c r="X142" s="661"/>
      <c r="Y142" s="661"/>
      <c r="Z142" s="661"/>
      <c r="AA142" s="661"/>
      <c r="AB142" s="675"/>
      <c r="AC142" s="675"/>
      <c r="AD142" s="675"/>
      <c r="AE142" s="675"/>
      <c r="AF142" s="675"/>
      <c r="AG142" s="675"/>
      <c r="AH142" s="675"/>
      <c r="AI142" s="675"/>
      <c r="AJ142" s="675"/>
      <c r="AK142" s="675"/>
      <c r="AL142" s="675"/>
      <c r="AM142" s="675"/>
      <c r="AN142" s="675"/>
      <c r="AO142" s="675"/>
      <c r="AP142" s="675"/>
      <c r="AQ142" s="675"/>
      <c r="AR142" s="675"/>
      <c r="AS142" s="675"/>
      <c r="AT142" s="675"/>
      <c r="AU142" s="675"/>
      <c r="AV142" s="675"/>
      <c r="AZ142" s="505"/>
      <c r="BB142" s="505"/>
      <c r="BI142" s="478" t="s">
        <v>126</v>
      </c>
      <c r="BJ142" s="489"/>
      <c r="BN142" s="661"/>
      <c r="CU142" s="479"/>
      <c r="CV142" s="661"/>
      <c r="CW142" s="479"/>
      <c r="DS142" s="661"/>
      <c r="EV142" s="818" t="str">
        <f t="shared" si="70"/>
        <v/>
      </c>
      <c r="EW142" s="818"/>
    </row>
    <row r="143" spans="1:153" s="475" customFormat="1" ht="13.5" customHeight="1">
      <c r="A143" s="654" t="str">
        <f t="shared" ca="1" si="68"/>
        <v>D.1.143</v>
      </c>
      <c r="B143" s="654" t="str">
        <f t="shared" ca="1" si="69"/>
        <v>1.143</v>
      </c>
      <c r="C143" s="654" t="str">
        <f t="shared" si="37"/>
        <v>[143]</v>
      </c>
      <c r="D143" s="654">
        <f>ROW()</f>
        <v>143</v>
      </c>
      <c r="E143" s="1129" t="str">
        <f>BP143</f>
        <v>Solarthermie - Energieertrag (Kollektorfläche)</v>
      </c>
      <c r="F143" s="1129"/>
      <c r="G143" s="1129"/>
      <c r="H143" s="1129"/>
      <c r="I143" s="1129"/>
      <c r="J143" s="559" t="s">
        <v>280</v>
      </c>
      <c r="K143" s="546">
        <f ca="1">INDIRECT($W$1&amp;U143)</f>
        <v>4079.0712268591151</v>
      </c>
      <c r="L143" s="485" t="str">
        <f ca="1">HYPERLINK($CK$1&amp;U143,$CE$1&amp;U143&amp;$CF$1)</f>
        <v>[144]</v>
      </c>
      <c r="M143" s="547">
        <f ca="1">INDIRECT($W$1&amp;W143)</f>
        <v>5250</v>
      </c>
      <c r="N143" s="533" t="str">
        <f ca="1">HYPERLINK($CK$1&amp;W143,$CE$1&amp;W143&amp;$CF$1)</f>
        <v>[146]</v>
      </c>
      <c r="O143" s="869">
        <v>143</v>
      </c>
      <c r="P143" s="570"/>
      <c r="Q143" s="583"/>
      <c r="R143" s="852"/>
      <c r="S143" s="784"/>
      <c r="T143" s="864"/>
      <c r="U143" s="672">
        <f>D144</f>
        <v>144</v>
      </c>
      <c r="V143" s="905" t="s">
        <v>126</v>
      </c>
      <c r="W143" s="672">
        <f>D146</f>
        <v>146</v>
      </c>
      <c r="X143" s="658"/>
      <c r="Y143" s="658"/>
      <c r="Z143" s="658"/>
      <c r="AA143" s="658"/>
      <c r="AB143" s="801"/>
      <c r="AC143" s="801"/>
      <c r="AD143" s="674"/>
      <c r="AE143" s="674"/>
      <c r="AF143" s="674"/>
      <c r="AG143" s="674"/>
      <c r="AH143" s="674"/>
      <c r="AI143" s="674"/>
      <c r="AJ143" s="674"/>
      <c r="AK143" s="674"/>
      <c r="AL143" s="674"/>
      <c r="AM143" s="674"/>
      <c r="AN143" s="674"/>
      <c r="AO143" s="674"/>
      <c r="AP143" s="674"/>
      <c r="AQ143" s="674"/>
      <c r="AR143" s="674"/>
      <c r="AS143" s="674"/>
      <c r="AT143" s="674"/>
      <c r="AU143" s="674"/>
      <c r="AV143" s="674"/>
      <c r="AX143" s="475" t="s">
        <v>244</v>
      </c>
      <c r="AY143" s="500">
        <f ca="1">DA143</f>
        <v>3430.7545367717285</v>
      </c>
      <c r="AZ143" s="508" t="str">
        <f ca="1">HYPERLINK(DN143,DC143)</f>
        <v xml:space="preserve"> 153</v>
      </c>
      <c r="BA143" s="500">
        <f ca="1">DB143</f>
        <v>3430.7545367717285</v>
      </c>
      <c r="BB143" s="508" t="str">
        <f ca="1">HYPERLINK(DO143,DD143)</f>
        <v xml:space="preserve"> 154</v>
      </c>
      <c r="BC143" s="475" t="str">
        <f ca="1">CY143&amp;" | "&amp;CZ143</f>
        <v>Wärme | 3. Energieertrag Solarwärme</v>
      </c>
      <c r="BI143" s="475" t="s">
        <v>126</v>
      </c>
      <c r="BJ143" s="492" t="str">
        <f>E143</f>
        <v>Solarthermie - Energieertrag (Kollektorfläche)</v>
      </c>
      <c r="BK143" s="486">
        <f ca="1">K143</f>
        <v>4079.0712268591151</v>
      </c>
      <c r="BL143" s="486">
        <f ca="1">M143</f>
        <v>5250</v>
      </c>
      <c r="BM143" s="472">
        <f>D143</f>
        <v>143</v>
      </c>
      <c r="BN143" s="658"/>
      <c r="BO143" s="475" t="s">
        <v>251</v>
      </c>
      <c r="BP143" s="521" t="s">
        <v>309</v>
      </c>
      <c r="CU143" s="476"/>
      <c r="CV143" s="658"/>
      <c r="CW143" s="518">
        <v>40</v>
      </c>
      <c r="CY143" s="472" t="str">
        <f t="shared" ref="CY143:DO143" ca="1" si="72">INDIRECT($CX$1&amp;CY$1&amp;$CW143)</f>
        <v>Wärme</v>
      </c>
      <c r="CZ143" s="472" t="str">
        <f t="shared" ca="1" si="72"/>
        <v>3. Energieertrag Solarwärme</v>
      </c>
      <c r="DA143" s="472">
        <f t="shared" ca="1" si="72"/>
        <v>3430.7545367717285</v>
      </c>
      <c r="DB143" s="472">
        <f t="shared" ca="1" si="72"/>
        <v>3430.7545367717285</v>
      </c>
      <c r="DC143" s="472" t="str">
        <f t="shared" ca="1" si="72"/>
        <v xml:space="preserve"> 153</v>
      </c>
      <c r="DD143" s="472" t="str">
        <f t="shared" ca="1" si="72"/>
        <v xml:space="preserve"> 154</v>
      </c>
      <c r="DE143" s="472" t="str">
        <f t="shared" ca="1" si="72"/>
        <v xml:space="preserve">So44 </v>
      </c>
      <c r="DF143" s="472" t="str">
        <f t="shared" ca="1" si="72"/>
        <v xml:space="preserve">So46 </v>
      </c>
      <c r="DG143" s="472" t="str">
        <f t="shared" ca="1" si="72"/>
        <v>So</v>
      </c>
      <c r="DH143" s="472" t="str">
        <f t="shared" ca="1" si="72"/>
        <v xml:space="preserve">44 </v>
      </c>
      <c r="DI143" s="472" t="str">
        <f t="shared" ca="1" si="72"/>
        <v>[So.xls]TEXT!Z44 S5</v>
      </c>
      <c r="DJ143" s="472" t="str">
        <f t="shared" ca="1" si="72"/>
        <v>So</v>
      </c>
      <c r="DK143" s="472" t="str">
        <f t="shared" ca="1" si="72"/>
        <v xml:space="preserve">46 </v>
      </c>
      <c r="DL143" s="472" t="str">
        <f t="shared" ca="1" si="72"/>
        <v>[So.xls]TEXT!Z46 S5</v>
      </c>
      <c r="DM143" s="472">
        <f t="shared" ca="1" si="72"/>
        <v>40</v>
      </c>
      <c r="DN143" s="472" t="str">
        <f t="shared" ca="1" si="72"/>
        <v>[Region.xls]PARAMETER!Z153S6</v>
      </c>
      <c r="DO143" s="472" t="str">
        <f t="shared" ca="1" si="72"/>
        <v>[Region.xls]PARAMETER!Z154S6</v>
      </c>
      <c r="DP143" s="472"/>
      <c r="DS143" s="656"/>
      <c r="DV143" s="472"/>
      <c r="DW143" s="472"/>
      <c r="DX143" s="472"/>
      <c r="DY143" s="472"/>
      <c r="DZ143" s="472"/>
      <c r="EA143" s="472"/>
      <c r="EB143" s="472"/>
      <c r="EC143" s="472"/>
      <c r="ED143" s="472"/>
      <c r="EE143" s="472"/>
      <c r="EF143" s="472"/>
      <c r="EG143" s="472"/>
      <c r="EH143" s="472"/>
      <c r="EI143" s="472"/>
      <c r="EJ143" s="472"/>
      <c r="EK143" s="472"/>
      <c r="EV143" s="819">
        <f t="shared" si="70"/>
        <v>143</v>
      </c>
      <c r="EW143" s="819"/>
    </row>
    <row r="144" spans="1:153" s="472" customFormat="1" ht="26">
      <c r="A144" s="654" t="str">
        <f t="shared" ca="1" si="68"/>
        <v>D.1.144</v>
      </c>
      <c r="B144" s="654" t="str">
        <f t="shared" ca="1" si="69"/>
        <v>1.144</v>
      </c>
      <c r="C144" s="654" t="str">
        <f t="shared" si="37"/>
        <v>[144]</v>
      </c>
      <c r="D144" s="654">
        <f>ROW()</f>
        <v>144</v>
      </c>
      <c r="E144" s="1130" t="str">
        <f ca="1">CU144</f>
        <v xml:space="preserve">- STATUS-Ansatz: Gemäß AEE [9.16] Zeile 332 lag die Wärmeerzeugung aus Solarthermie 2016 in Deutschland bei 7800 GWh/a. In Bezug zur installierten Kollektorfläche [139] resultiert ein Energieertrag von 4.079 MWh/ha/a. </v>
      </c>
      <c r="F144" s="1130"/>
      <c r="G144" s="1130"/>
      <c r="H144" s="1130"/>
      <c r="I144" s="1130"/>
      <c r="J144" s="1130"/>
      <c r="K144" s="1130"/>
      <c r="L144" s="1130"/>
      <c r="M144" s="1130"/>
      <c r="N144" s="1131"/>
      <c r="O144" s="869">
        <v>144</v>
      </c>
      <c r="P144" s="573" t="str">
        <f ca="1">HYPERLINK(EK144,EJ144)</f>
        <v>9.16</v>
      </c>
      <c r="Q144" s="574" t="str">
        <f>Y144</f>
        <v>Zeile 332</v>
      </c>
      <c r="R144" s="852"/>
      <c r="S144" s="784"/>
      <c r="T144" s="864"/>
      <c r="U144" s="1023" t="str">
        <f ca="1">"Gemäß "&amp;'9.Quellen'!E16&amp;" ["&amp;P144&amp;"] "&amp;Q144&amp;" lag die Wärmeerzeugung aus Solarthermie 2016 in Deutschland bei "&amp;AD144&amp;AE144&amp;". In Bezug zur installierten Kollektorfläche "&amp;C139&amp;" resultiert ein Energieertrag von "&amp;TEXT(W144,"0.000")&amp;" MWh/ha/a. "</f>
        <v xml:space="preserve">Gemäß AEE [9.16] Zeile 332 lag die Wärmeerzeugung aus Solarthermie 2016 in Deutschland bei 7800 GWh/a. In Bezug zur installierten Kollektorfläche [139] resultiert ein Energieertrag von 4.079 MWh/ha/a. </v>
      </c>
      <c r="V144" s="905" t="s">
        <v>126</v>
      </c>
      <c r="W144" s="1024">
        <f>AD144*1000/AF144</f>
        <v>4079.0712268591151</v>
      </c>
      <c r="X144" s="672">
        <f>'9.Quellen'!C16</f>
        <v>16</v>
      </c>
      <c r="Y144" s="672" t="s">
        <v>982</v>
      </c>
      <c r="Z144" s="1025"/>
      <c r="AA144" s="658"/>
      <c r="AB144" s="801"/>
      <c r="AC144" s="801"/>
      <c r="AD144" s="801">
        <v>7800</v>
      </c>
      <c r="AE144" s="801" t="s">
        <v>288</v>
      </c>
      <c r="AF144" s="687">
        <f>W139/10000</f>
        <v>1912.2</v>
      </c>
      <c r="AG144" s="801" t="s">
        <v>289</v>
      </c>
      <c r="AH144" s="801"/>
      <c r="AI144" s="801"/>
      <c r="AJ144" s="801"/>
      <c r="AK144" s="801"/>
      <c r="AL144" s="801"/>
      <c r="AM144" s="801"/>
      <c r="AN144" s="801"/>
      <c r="AO144" s="801"/>
      <c r="AP144" s="801"/>
      <c r="AQ144" s="801"/>
      <c r="AR144" s="801"/>
      <c r="AS144" s="801"/>
      <c r="AT144" s="801"/>
      <c r="AU144" s="801"/>
      <c r="AV144" s="801"/>
      <c r="BF144" s="473"/>
      <c r="BI144" s="472" t="s">
        <v>126</v>
      </c>
      <c r="BJ144" s="490"/>
      <c r="BN144" s="656"/>
      <c r="BO144" s="472" t="s">
        <v>259</v>
      </c>
      <c r="CU144" s="480" t="str">
        <f ca="1">CG$1&amp;IF(U144="",BF144,U144)</f>
        <v xml:space="preserve">- STATUS-Ansatz: Gemäß AEE [9.16] Zeile 332 lag die Wärmeerzeugung aus Solarthermie 2016 in Deutschland bei 7800 GWh/a. In Bezug zur installierten Kollektorfläche [139] resultiert ein Energieertrag von 4.079 MWh/ha/a. </v>
      </c>
      <c r="CV144" s="656"/>
      <c r="CW144" s="480"/>
      <c r="DS144" s="656"/>
      <c r="DT144" s="518">
        <f>I_Basisdaten!A79</f>
        <v>79</v>
      </c>
      <c r="EJ144" s="472" t="str">
        <f ca="1">IF(X144=0,"",EJ$1&amp;X144)</f>
        <v>9.16</v>
      </c>
      <c r="EK144" s="472" t="str">
        <f ca="1">EK$1&amp;X144</f>
        <v>[D_Python.xlsx]9.Quellen!C16</v>
      </c>
      <c r="EV144" s="819">
        <f t="shared" ca="1" si="70"/>
        <v>144</v>
      </c>
      <c r="EW144" s="819"/>
    </row>
    <row r="145" spans="1:153" s="478" customFormat="1" ht="4">
      <c r="A145" s="677" t="str">
        <f t="shared" ca="1" si="68"/>
        <v>D.1.145</v>
      </c>
      <c r="B145" s="677" t="str">
        <f t="shared" ca="1" si="69"/>
        <v>1.145</v>
      </c>
      <c r="C145" s="677" t="str">
        <f t="shared" si="37"/>
        <v>[145]</v>
      </c>
      <c r="D145" s="677">
        <f>ROW()</f>
        <v>145</v>
      </c>
      <c r="E145" s="528"/>
      <c r="F145" s="528"/>
      <c r="G145" s="528"/>
      <c r="H145" s="528"/>
      <c r="I145" s="527"/>
      <c r="J145" s="527"/>
      <c r="K145" s="527"/>
      <c r="L145" s="527"/>
      <c r="M145" s="527"/>
      <c r="N145" s="528"/>
      <c r="O145" s="871">
        <v>145</v>
      </c>
      <c r="P145" s="566"/>
      <c r="Q145" s="567"/>
      <c r="R145" s="888"/>
      <c r="S145" s="802"/>
      <c r="T145" s="882"/>
      <c r="U145" s="661"/>
      <c r="V145" s="661"/>
      <c r="W145" s="661"/>
      <c r="X145" s="661"/>
      <c r="Y145" s="661"/>
      <c r="Z145" s="661"/>
      <c r="AA145" s="661"/>
      <c r="AB145" s="675"/>
      <c r="AC145" s="675"/>
      <c r="AD145" s="675"/>
      <c r="AE145" s="675"/>
      <c r="AF145" s="675"/>
      <c r="AG145" s="675"/>
      <c r="AH145" s="675"/>
      <c r="AI145" s="675"/>
      <c r="AJ145" s="675"/>
      <c r="AK145" s="675"/>
      <c r="AL145" s="675"/>
      <c r="AM145" s="675"/>
      <c r="AN145" s="675"/>
      <c r="AO145" s="675"/>
      <c r="AP145" s="675"/>
      <c r="AQ145" s="675"/>
      <c r="AR145" s="675"/>
      <c r="AS145" s="675"/>
      <c r="AT145" s="675"/>
      <c r="AU145" s="675"/>
      <c r="AV145" s="675"/>
      <c r="BI145" s="478" t="s">
        <v>126</v>
      </c>
      <c r="BJ145" s="489"/>
      <c r="BN145" s="661"/>
      <c r="CU145" s="479"/>
      <c r="CV145" s="661"/>
      <c r="CW145" s="479"/>
      <c r="DS145" s="661"/>
      <c r="EV145" s="818" t="str">
        <f t="shared" si="70"/>
        <v/>
      </c>
      <c r="EW145" s="818"/>
    </row>
    <row r="146" spans="1:153" s="472" customFormat="1" ht="43.5" customHeight="1">
      <c r="A146" s="654" t="str">
        <f t="shared" ca="1" si="68"/>
        <v>D.1.146</v>
      </c>
      <c r="B146" s="654" t="str">
        <f t="shared" ca="1" si="69"/>
        <v>1.146</v>
      </c>
      <c r="C146" s="654" t="str">
        <f t="shared" si="37"/>
        <v>[146]</v>
      </c>
      <c r="D146" s="654">
        <f>ROW()</f>
        <v>146</v>
      </c>
      <c r="E146" s="1139" t="str">
        <f t="shared" ref="E146" ca="1" si="73">CU146</f>
        <v>- ZIEL-Ansatz: Gemäß ISFH-Stellungnahme [9.187] ist bis zum Jahr 2050 eine Steigerung der Energieerträge aus Solarthermie auf 500 bis 550 kWh/m2/a zu erwarten. Daran orientiert wurde hier der Mittelwert der angegebenen Spanne angesetzt.</v>
      </c>
      <c r="F146" s="1139"/>
      <c r="G146" s="1139"/>
      <c r="H146" s="1139"/>
      <c r="I146" s="1139"/>
      <c r="J146" s="1139"/>
      <c r="K146" s="1139"/>
      <c r="L146" s="1139"/>
      <c r="M146" s="1139"/>
      <c r="N146" s="1140"/>
      <c r="O146" s="869">
        <v>146</v>
      </c>
      <c r="P146" s="573" t="str">
        <f ca="1">HYPERLINK(EK146,EJ146)</f>
        <v>9.187</v>
      </c>
      <c r="Q146" s="692" t="str">
        <f>Y146</f>
        <v xml:space="preserve">Stelllungnahme zum 
1.Runden Tisch 
Nr. 20, S. 3 </v>
      </c>
      <c r="R146" s="852"/>
      <c r="S146" s="784"/>
      <c r="T146" s="864"/>
      <c r="U146" s="1023" t="str">
        <f ca="1">"Gemäß ISFH-Stellungnahme ["&amp;P146&amp;"] ist bis zum Jahr 2050 eine Steigerung der Energieerträge aus Solarthermie auf 500 bis 550 kWh/m2/a zu erwarten. Daran orientiert wurde hier der Mittelwert der angegebenen Spanne angesetzt."</f>
        <v>Gemäß ISFH-Stellungnahme [9.187] ist bis zum Jahr 2050 eine Steigerung der Energieerträge aus Solarthermie auf 500 bis 550 kWh/m2/a zu erwarten. Daran orientiert wurde hier der Mittelwert der angegebenen Spanne angesetzt.</v>
      </c>
      <c r="V146" s="905" t="s">
        <v>126</v>
      </c>
      <c r="W146" s="1024">
        <f>AF146</f>
        <v>5250</v>
      </c>
      <c r="X146" s="672">
        <f>'9.Quellen'!C187</f>
        <v>187</v>
      </c>
      <c r="Y146" s="525" t="s">
        <v>866</v>
      </c>
      <c r="Z146" s="1025"/>
      <c r="AA146" s="905"/>
      <c r="AB146" s="801"/>
      <c r="AC146" s="1020"/>
      <c r="AD146" s="801">
        <v>500</v>
      </c>
      <c r="AE146" s="801">
        <v>550</v>
      </c>
      <c r="AF146" s="801">
        <f>(AD146+AE146)/2*10000/1000</f>
        <v>5250</v>
      </c>
      <c r="AG146" s="779" t="s">
        <v>301</v>
      </c>
      <c r="AH146" s="801"/>
      <c r="AI146" s="801"/>
      <c r="AJ146" s="801"/>
      <c r="AK146" s="801"/>
      <c r="AL146" s="801"/>
      <c r="AM146" s="801"/>
      <c r="AN146" s="801"/>
      <c r="AO146" s="801"/>
      <c r="AP146" s="801"/>
      <c r="AQ146" s="801"/>
      <c r="AR146" s="801"/>
      <c r="AS146" s="801"/>
      <c r="AT146" s="801"/>
      <c r="AU146" s="801"/>
      <c r="AV146" s="801"/>
      <c r="BF146" s="473"/>
      <c r="BI146" s="472" t="s">
        <v>126</v>
      </c>
      <c r="BJ146" s="490"/>
      <c r="BN146" s="656"/>
      <c r="BO146" s="472" t="s">
        <v>259</v>
      </c>
      <c r="CU146" s="480" t="str">
        <f ca="1">CH$1&amp;IF(U146="",BF146,U146)</f>
        <v>- ZIEL-Ansatz: Gemäß ISFH-Stellungnahme [9.187] ist bis zum Jahr 2050 eine Steigerung der Energieerträge aus Solarthermie auf 500 bis 550 kWh/m2/a zu erwarten. Daran orientiert wurde hier der Mittelwert der angegebenen Spanne angesetzt.</v>
      </c>
      <c r="CV146" s="656"/>
      <c r="CW146" s="480"/>
      <c r="DS146" s="656"/>
      <c r="DT146" s="518">
        <v>53</v>
      </c>
      <c r="EJ146" s="472" t="str">
        <f ca="1">IF(X146=0,"",EJ$1&amp;X146)</f>
        <v>9.187</v>
      </c>
      <c r="EK146" s="472" t="str">
        <f ca="1">EK$1&amp;X146</f>
        <v>[D_Python.xlsx]9.Quellen!C187</v>
      </c>
      <c r="EV146" s="819">
        <f t="shared" ca="1" si="70"/>
        <v>146</v>
      </c>
      <c r="EW146" s="819"/>
    </row>
    <row r="147" spans="1:153" s="478" customFormat="1" ht="4">
      <c r="A147" s="677" t="str">
        <f t="shared" ca="1" si="68"/>
        <v>D.1.147</v>
      </c>
      <c r="B147" s="677" t="str">
        <f t="shared" ca="1" si="69"/>
        <v>1.147</v>
      </c>
      <c r="C147" s="677" t="str">
        <f t="shared" si="37"/>
        <v>[147]</v>
      </c>
      <c r="D147" s="677">
        <f>ROW()</f>
        <v>147</v>
      </c>
      <c r="E147" s="548"/>
      <c r="F147" s="548"/>
      <c r="G147" s="548"/>
      <c r="H147" s="548"/>
      <c r="I147" s="549"/>
      <c r="J147" s="549"/>
      <c r="K147" s="549"/>
      <c r="L147" s="549"/>
      <c r="M147" s="549"/>
      <c r="N147" s="548"/>
      <c r="O147" s="871">
        <v>147</v>
      </c>
      <c r="P147" s="575"/>
      <c r="Q147" s="576"/>
      <c r="R147" s="888"/>
      <c r="S147" s="802"/>
      <c r="T147" s="882"/>
      <c r="U147" s="661"/>
      <c r="V147" s="661"/>
      <c r="W147" s="661"/>
      <c r="X147" s="661"/>
      <c r="Y147" s="661"/>
      <c r="Z147" s="661"/>
      <c r="AA147" s="661"/>
      <c r="AB147" s="675"/>
      <c r="AC147" s="675"/>
      <c r="AD147" s="675"/>
      <c r="AE147" s="675"/>
      <c r="AF147" s="675"/>
      <c r="AG147" s="675"/>
      <c r="AH147" s="675"/>
      <c r="AI147" s="675"/>
      <c r="AJ147" s="675"/>
      <c r="AK147" s="675"/>
      <c r="AL147" s="675"/>
      <c r="AM147" s="675"/>
      <c r="AN147" s="675"/>
      <c r="AO147" s="675"/>
      <c r="AP147" s="675"/>
      <c r="AQ147" s="675"/>
      <c r="AR147" s="675"/>
      <c r="AS147" s="675"/>
      <c r="AT147" s="675"/>
      <c r="AU147" s="675"/>
      <c r="AV147" s="675"/>
      <c r="AZ147" s="505"/>
      <c r="BB147" s="505"/>
      <c r="BI147" s="478" t="s">
        <v>126</v>
      </c>
      <c r="BJ147" s="489"/>
      <c r="BN147" s="661"/>
      <c r="CU147" s="479"/>
      <c r="CV147" s="661"/>
      <c r="CW147" s="479"/>
      <c r="DS147" s="661"/>
      <c r="EV147" s="818" t="str">
        <f t="shared" si="70"/>
        <v/>
      </c>
      <c r="EW147" s="818"/>
    </row>
    <row r="148" spans="1:153" s="475" customFormat="1" ht="13.5" customHeight="1">
      <c r="A148" s="654" t="str">
        <f t="shared" ca="1" si="68"/>
        <v>D.1.148</v>
      </c>
      <c r="B148" s="654" t="str">
        <f t="shared" ca="1" si="69"/>
        <v>1.148</v>
      </c>
      <c r="C148" s="654" t="str">
        <f t="shared" si="37"/>
        <v>[148]</v>
      </c>
      <c r="D148" s="654">
        <f>ROW()</f>
        <v>148</v>
      </c>
      <c r="E148" s="1129" t="str">
        <f>BP148</f>
        <v>Photovoltaik - Nutzanteil an Dach-Absorberflächen</v>
      </c>
      <c r="F148" s="1129"/>
      <c r="G148" s="1129"/>
      <c r="H148" s="1129"/>
      <c r="I148" s="1129"/>
      <c r="J148" s="471" t="s">
        <v>38</v>
      </c>
      <c r="K148" s="557">
        <f ca="1">INDIRECT($W$1&amp;U148)</f>
        <v>91.067754181530773</v>
      </c>
      <c r="L148" s="485" t="str">
        <f ca="1">HYPERLINK($CK$1&amp;U148,$CE$1&amp;U148&amp;$CF$1)</f>
        <v>[149]</v>
      </c>
      <c r="M148" s="558">
        <f ca="1">INDIRECT($W$1&amp;W148)</f>
        <v>99.282891172842923</v>
      </c>
      <c r="N148" s="533" t="str">
        <f ca="1">HYPERLINK($CK$1&amp;W148,$CE$1&amp;W148&amp;$CF$1)</f>
        <v>[151]</v>
      </c>
      <c r="O148" s="869">
        <v>148</v>
      </c>
      <c r="P148" s="570"/>
      <c r="Q148" s="583"/>
      <c r="R148" s="852"/>
      <c r="S148" s="784"/>
      <c r="T148" s="864"/>
      <c r="U148" s="672">
        <f>D149</f>
        <v>149</v>
      </c>
      <c r="V148" s="905" t="s">
        <v>126</v>
      </c>
      <c r="W148" s="672">
        <f>D151</f>
        <v>151</v>
      </c>
      <c r="X148" s="658"/>
      <c r="Y148" s="658"/>
      <c r="Z148" s="658"/>
      <c r="AA148" s="658"/>
      <c r="AB148" s="801"/>
      <c r="AC148" s="801"/>
      <c r="AD148" s="674"/>
      <c r="AE148" s="674"/>
      <c r="AF148" s="674"/>
      <c r="AG148" s="674"/>
      <c r="AH148" s="674"/>
      <c r="AI148" s="674"/>
      <c r="AJ148" s="674"/>
      <c r="AK148" s="674"/>
      <c r="AL148" s="674"/>
      <c r="AM148" s="674"/>
      <c r="AN148" s="674"/>
      <c r="AO148" s="674"/>
      <c r="AP148" s="674"/>
      <c r="AQ148" s="674"/>
      <c r="AR148" s="674"/>
      <c r="AS148" s="674"/>
      <c r="AT148" s="674"/>
      <c r="AU148" s="674"/>
      <c r="AV148" s="674"/>
      <c r="AX148" s="475" t="s">
        <v>244</v>
      </c>
      <c r="AY148" s="500">
        <f ca="1">DA148</f>
        <v>93.780101608533315</v>
      </c>
      <c r="AZ148" s="508" t="str">
        <f ca="1">HYPERLINK(DN148,DC148)</f>
        <v xml:space="preserve"> 163</v>
      </c>
      <c r="BA148" s="500">
        <f ca="1">DB148</f>
        <v>93.5</v>
      </c>
      <c r="BB148" s="508" t="str">
        <f ca="1">HYPERLINK(DO148,DD148)</f>
        <v xml:space="preserve"> 164</v>
      </c>
      <c r="BC148" s="475" t="str">
        <f ca="1">CY148&amp;" | "&amp;CZ148</f>
        <v>Photovoltaik | Nutz-Anteil Solarstrom 
= Flächenanteil für Solarstromnutzung</v>
      </c>
      <c r="BI148" s="475" t="s">
        <v>126</v>
      </c>
      <c r="BJ148" s="492" t="str">
        <f>E148</f>
        <v>Photovoltaik - Nutzanteil an Dach-Absorberflächen</v>
      </c>
      <c r="BK148" s="486">
        <f ca="1">K148</f>
        <v>91.067754181530773</v>
      </c>
      <c r="BL148" s="486">
        <f ca="1">M148</f>
        <v>99.282891172842923</v>
      </c>
      <c r="BM148" s="472">
        <f>D148</f>
        <v>148</v>
      </c>
      <c r="BN148" s="658"/>
      <c r="BO148" s="475" t="s">
        <v>251</v>
      </c>
      <c r="BP148" s="521" t="s">
        <v>308</v>
      </c>
      <c r="CU148" s="476"/>
      <c r="CV148" s="658"/>
      <c r="CW148" s="518">
        <v>42</v>
      </c>
      <c r="CY148" s="472" t="str">
        <f t="shared" ref="CY148:DO148" ca="1" si="74">INDIRECT($CX$1&amp;CY$1&amp;$CW148)</f>
        <v>Photovoltaik</v>
      </c>
      <c r="CZ148" s="472" t="str">
        <f t="shared" ca="1" si="74"/>
        <v>Nutz-Anteil Solarstrom 
= Flächenanteil für Solarstromnutzung</v>
      </c>
      <c r="DA148" s="472">
        <f t="shared" ca="1" si="74"/>
        <v>93.780101608533315</v>
      </c>
      <c r="DB148" s="472">
        <f t="shared" ca="1" si="74"/>
        <v>93.5</v>
      </c>
      <c r="DC148" s="472" t="str">
        <f t="shared" ca="1" si="74"/>
        <v xml:space="preserve"> 163</v>
      </c>
      <c r="DD148" s="472" t="str">
        <f t="shared" ca="1" si="74"/>
        <v xml:space="preserve"> 164</v>
      </c>
      <c r="DE148" s="472" t="str">
        <f t="shared" ca="1" si="74"/>
        <v xml:space="preserve">So66 </v>
      </c>
      <c r="DF148" s="472" t="str">
        <f t="shared" ca="1" si="74"/>
        <v xml:space="preserve">So31 </v>
      </c>
      <c r="DG148" s="472" t="str">
        <f t="shared" ca="1" si="74"/>
        <v>So</v>
      </c>
      <c r="DH148" s="472" t="str">
        <f t="shared" ca="1" si="74"/>
        <v xml:space="preserve">66 </v>
      </c>
      <c r="DI148" s="472" t="str">
        <f t="shared" ca="1" si="74"/>
        <v>[So.xls]TEXT!Z66 S5</v>
      </c>
      <c r="DJ148" s="472" t="str">
        <f t="shared" ca="1" si="74"/>
        <v>So</v>
      </c>
      <c r="DK148" s="472" t="str">
        <f t="shared" ca="1" si="74"/>
        <v xml:space="preserve">31 </v>
      </c>
      <c r="DL148" s="472" t="str">
        <f t="shared" ca="1" si="74"/>
        <v>[So.xls]TEXT!Z31 S5</v>
      </c>
      <c r="DM148" s="472">
        <f t="shared" ca="1" si="74"/>
        <v>42</v>
      </c>
      <c r="DN148" s="472" t="str">
        <f t="shared" ca="1" si="74"/>
        <v>[Region.xls]PARAMETER!Z163S6</v>
      </c>
      <c r="DO148" s="472" t="str">
        <f t="shared" ca="1" si="74"/>
        <v>[Region.xls]PARAMETER!Z164S6</v>
      </c>
      <c r="DP148" s="472"/>
      <c r="DS148" s="656"/>
      <c r="DV148" s="472"/>
      <c r="DW148" s="472"/>
      <c r="DX148" s="472"/>
      <c r="DY148" s="472"/>
      <c r="DZ148" s="472"/>
      <c r="EA148" s="472"/>
      <c r="EB148" s="472"/>
      <c r="EC148" s="472"/>
      <c r="ED148" s="472"/>
      <c r="EE148" s="472"/>
      <c r="EF148" s="472"/>
      <c r="EG148" s="472"/>
      <c r="EH148" s="472"/>
      <c r="EI148" s="472"/>
      <c r="EJ148" s="472"/>
      <c r="EK148" s="472"/>
      <c r="EV148" s="819">
        <f t="shared" si="70"/>
        <v>148</v>
      </c>
      <c r="EW148" s="819"/>
    </row>
    <row r="149" spans="1:153" s="472" customFormat="1" ht="26">
      <c r="A149" s="654" t="str">
        <f t="shared" ca="1" si="68"/>
        <v>D.1.149</v>
      </c>
      <c r="B149" s="654" t="str">
        <f t="shared" ca="1" si="69"/>
        <v>1.149</v>
      </c>
      <c r="C149" s="654" t="str">
        <f t="shared" si="37"/>
        <v>[149]</v>
      </c>
      <c r="D149" s="654">
        <f>ROW()</f>
        <v>149</v>
      </c>
      <c r="E149" s="1130" t="str">
        <f>CU149</f>
        <v>- STATUS-Ansatz: Die nicht durch Solarthermie beanspruchten solaren Dachflächen werden mit Photovoltaik genutzt. Gesamt-Absorberfläche (= 100%) abzüglich Solarthermie-Nutzanteil gemäß [137].</v>
      </c>
      <c r="F149" s="1130"/>
      <c r="G149" s="1130"/>
      <c r="H149" s="1130"/>
      <c r="I149" s="1130"/>
      <c r="J149" s="1130"/>
      <c r="K149" s="1130"/>
      <c r="L149" s="1130"/>
      <c r="M149" s="1130"/>
      <c r="N149" s="1131"/>
      <c r="O149" s="869">
        <v>149</v>
      </c>
      <c r="P149" s="573" t="str">
        <f ca="1">HYPERLINK(EK149,EJ149)</f>
        <v/>
      </c>
      <c r="Q149" s="574" t="str">
        <f>Y149</f>
        <v xml:space="preserve"> </v>
      </c>
      <c r="R149" s="852"/>
      <c r="S149" s="784"/>
      <c r="T149" s="864"/>
      <c r="U149" s="1023" t="str">
        <f>"Die nicht durch Solarthermie beanspruchten solaren Dachflächen werden mit Photovoltaik genutzt. Gesamt-Absorberfläche (= 100%) abzüglich Solarthermie-Nutzanteil gemäß "&amp;C137&amp;"."</f>
        <v>Die nicht durch Solarthermie beanspruchten solaren Dachflächen werden mit Photovoltaik genutzt. Gesamt-Absorberfläche (= 100%) abzüglich Solarthermie-Nutzanteil gemäß [137].</v>
      </c>
      <c r="V149" s="905" t="s">
        <v>126</v>
      </c>
      <c r="W149" s="1034">
        <f>100-W138</f>
        <v>91.067754181530773</v>
      </c>
      <c r="X149" s="672"/>
      <c r="Y149" s="672" t="s">
        <v>126</v>
      </c>
      <c r="Z149" s="1025"/>
      <c r="AA149" s="658"/>
      <c r="AB149" s="801"/>
      <c r="AC149" s="801"/>
      <c r="AD149" s="801"/>
      <c r="AE149" s="801"/>
      <c r="AF149" s="801"/>
      <c r="AG149" s="801"/>
      <c r="AH149" s="801"/>
      <c r="AI149" s="801"/>
      <c r="AJ149" s="801"/>
      <c r="AK149" s="801"/>
      <c r="AL149" s="801"/>
      <c r="AM149" s="801"/>
      <c r="AN149" s="801"/>
      <c r="AO149" s="801"/>
      <c r="AP149" s="801"/>
      <c r="AQ149" s="801"/>
      <c r="AR149" s="801"/>
      <c r="AS149" s="801"/>
      <c r="AT149" s="801"/>
      <c r="AU149" s="801"/>
      <c r="AV149" s="801"/>
      <c r="BF149" s="473"/>
      <c r="BI149" s="472" t="s">
        <v>126</v>
      </c>
      <c r="BJ149" s="490"/>
      <c r="BN149" s="656"/>
      <c r="BO149" s="472" t="s">
        <v>259</v>
      </c>
      <c r="CU149" s="480" t="str">
        <f>CG$1&amp;IF(U149="",BF149,U149)</f>
        <v>- STATUS-Ansatz: Die nicht durch Solarthermie beanspruchten solaren Dachflächen werden mit Photovoltaik genutzt. Gesamt-Absorberfläche (= 100%) abzüglich Solarthermie-Nutzanteil gemäß [137].</v>
      </c>
      <c r="CV149" s="656"/>
      <c r="CW149" s="480"/>
      <c r="DS149" s="656"/>
      <c r="DT149" s="518">
        <f>I_Basisdaten!A87</f>
        <v>87</v>
      </c>
      <c r="EJ149" s="472" t="str">
        <f>IF(X149=0,"",EJ$1&amp;X149)</f>
        <v/>
      </c>
      <c r="EK149" s="472" t="str">
        <f ca="1">EK$1&amp;X149</f>
        <v>[D_Python.xlsx]9.Quellen!C</v>
      </c>
      <c r="EV149" s="819">
        <f t="shared" si="70"/>
        <v>149</v>
      </c>
      <c r="EW149" s="819"/>
    </row>
    <row r="150" spans="1:153" s="478" customFormat="1" ht="4">
      <c r="A150" s="677" t="str">
        <f t="shared" ca="1" si="68"/>
        <v>D.1.150</v>
      </c>
      <c r="B150" s="677" t="str">
        <f t="shared" ca="1" si="69"/>
        <v>1.150</v>
      </c>
      <c r="C150" s="677" t="str">
        <f t="shared" si="37"/>
        <v>[150]</v>
      </c>
      <c r="D150" s="677">
        <f>ROW()</f>
        <v>150</v>
      </c>
      <c r="E150" s="528"/>
      <c r="F150" s="528"/>
      <c r="G150" s="528"/>
      <c r="H150" s="528"/>
      <c r="I150" s="527"/>
      <c r="J150" s="527"/>
      <c r="K150" s="527"/>
      <c r="L150" s="527"/>
      <c r="M150" s="527"/>
      <c r="N150" s="528"/>
      <c r="O150" s="871">
        <v>150</v>
      </c>
      <c r="P150" s="566"/>
      <c r="Q150" s="567"/>
      <c r="R150" s="888"/>
      <c r="S150" s="802"/>
      <c r="T150" s="882"/>
      <c r="U150" s="661"/>
      <c r="V150" s="661"/>
      <c r="W150" s="661"/>
      <c r="X150" s="661"/>
      <c r="Y150" s="661"/>
      <c r="Z150" s="661"/>
      <c r="AA150" s="661"/>
      <c r="AB150" s="675"/>
      <c r="AC150" s="675"/>
      <c r="AD150" s="675"/>
      <c r="AE150" s="675"/>
      <c r="AF150" s="675"/>
      <c r="AG150" s="675"/>
      <c r="AH150" s="675"/>
      <c r="AI150" s="675"/>
      <c r="AJ150" s="675"/>
      <c r="AK150" s="675"/>
      <c r="AL150" s="675"/>
      <c r="AM150" s="675"/>
      <c r="AN150" s="675"/>
      <c r="AO150" s="675"/>
      <c r="AP150" s="675"/>
      <c r="AQ150" s="675"/>
      <c r="AR150" s="675"/>
      <c r="AS150" s="675"/>
      <c r="AT150" s="675"/>
      <c r="AU150" s="675"/>
      <c r="AV150" s="675"/>
      <c r="BI150" s="478" t="s">
        <v>126</v>
      </c>
      <c r="BJ150" s="489"/>
      <c r="BN150" s="661"/>
      <c r="CU150" s="479"/>
      <c r="CV150" s="661"/>
      <c r="CW150" s="479"/>
      <c r="DS150" s="661"/>
      <c r="EV150" s="818" t="str">
        <f t="shared" si="70"/>
        <v/>
      </c>
      <c r="EW150" s="818"/>
    </row>
    <row r="151" spans="1:153" s="472" customFormat="1" ht="26">
      <c r="A151" s="654" t="str">
        <f t="shared" ca="1" si="68"/>
        <v>D.1.151</v>
      </c>
      <c r="B151" s="654" t="str">
        <f t="shared" ca="1" si="69"/>
        <v>1.151</v>
      </c>
      <c r="C151" s="654" t="str">
        <f t="shared" si="37"/>
        <v>[151]</v>
      </c>
      <c r="D151" s="654">
        <f>ROW()</f>
        <v>151</v>
      </c>
      <c r="E151" s="1125" t="str">
        <f t="shared" ref="E151" si="75">CU151</f>
        <v>- ZIEL-Ansatz: Die nicht durch Solarthermie beanspruchten solaren Dachflächen werden mit Photovoltaik genutzt. Gesamt-Absorberfläche (= 100%) abzüglich Solarthermie-Nutzanteil gemäß [137].</v>
      </c>
      <c r="F151" s="1125"/>
      <c r="G151" s="1125"/>
      <c r="H151" s="1125"/>
      <c r="I151" s="1125"/>
      <c r="J151" s="1125"/>
      <c r="K151" s="1125"/>
      <c r="L151" s="1125"/>
      <c r="M151" s="1125"/>
      <c r="N151" s="1132"/>
      <c r="O151" s="869">
        <v>151</v>
      </c>
      <c r="P151" s="573" t="str">
        <f ca="1">HYPERLINK(EK151,EJ151)</f>
        <v/>
      </c>
      <c r="Q151" s="574" t="str">
        <f>Y151</f>
        <v xml:space="preserve"> </v>
      </c>
      <c r="R151" s="852"/>
      <c r="S151" s="784"/>
      <c r="T151" s="864"/>
      <c r="U151" s="1023" t="str">
        <f>"Die nicht durch Solarthermie beanspruchten solaren Dachflächen werden mit Photovoltaik genutzt. Gesamt-Absorberfläche (= 100%) abzüglich Solarthermie-Nutzanteil gemäß "&amp;C137&amp;"."</f>
        <v>Die nicht durch Solarthermie beanspruchten solaren Dachflächen werden mit Photovoltaik genutzt. Gesamt-Absorberfläche (= 100%) abzüglich Solarthermie-Nutzanteil gemäß [137].</v>
      </c>
      <c r="V151" s="905" t="s">
        <v>126</v>
      </c>
      <c r="W151" s="1034">
        <f>100-W141</f>
        <v>99.282891172842923</v>
      </c>
      <c r="X151" s="672"/>
      <c r="Y151" s="672" t="s">
        <v>126</v>
      </c>
      <c r="Z151" s="1025"/>
      <c r="AA151" s="905"/>
      <c r="AB151" s="801"/>
      <c r="AC151" s="830"/>
      <c r="AD151" s="801"/>
      <c r="AE151" s="801"/>
      <c r="AF151" s="801"/>
      <c r="AG151" s="801"/>
      <c r="AH151" s="801"/>
      <c r="AI151" s="801"/>
      <c r="AJ151" s="801"/>
      <c r="AK151" s="801"/>
      <c r="AL151" s="801"/>
      <c r="AM151" s="801"/>
      <c r="AN151" s="801"/>
      <c r="AO151" s="801"/>
      <c r="AP151" s="801"/>
      <c r="AQ151" s="801"/>
      <c r="AR151" s="801"/>
      <c r="AS151" s="801"/>
      <c r="AT151" s="801"/>
      <c r="AU151" s="801"/>
      <c r="AV151" s="801"/>
      <c r="BF151" s="473"/>
      <c r="BI151" s="472" t="s">
        <v>126</v>
      </c>
      <c r="BJ151" s="490"/>
      <c r="BN151" s="656"/>
      <c r="BO151" s="472" t="s">
        <v>259</v>
      </c>
      <c r="CU151" s="480" t="str">
        <f>CH$1&amp;IF(U151="",BF151,U151)</f>
        <v>- ZIEL-Ansatz: Die nicht durch Solarthermie beanspruchten solaren Dachflächen werden mit Photovoltaik genutzt. Gesamt-Absorberfläche (= 100%) abzüglich Solarthermie-Nutzanteil gemäß [137].</v>
      </c>
      <c r="CV151" s="656"/>
      <c r="CW151" s="480"/>
      <c r="DS151" s="656"/>
      <c r="DT151" s="518">
        <v>53</v>
      </c>
      <c r="EJ151" s="472" t="str">
        <f>IF(X151=0,"",EJ$1&amp;X151)</f>
        <v/>
      </c>
      <c r="EK151" s="472" t="str">
        <f ca="1">EK$1&amp;X151</f>
        <v>[D_Python.xlsx]9.Quellen!C</v>
      </c>
      <c r="EV151" s="819">
        <f t="shared" si="70"/>
        <v>151</v>
      </c>
      <c r="EW151" s="819"/>
    </row>
    <row r="152" spans="1:153" s="478" customFormat="1" ht="4">
      <c r="A152" s="677" t="str">
        <f t="shared" ca="1" si="68"/>
        <v>D.1.152</v>
      </c>
      <c r="B152" s="677" t="str">
        <f t="shared" ca="1" si="69"/>
        <v>1.152</v>
      </c>
      <c r="C152" s="677" t="str">
        <f t="shared" si="37"/>
        <v>[152]</v>
      </c>
      <c r="D152" s="677">
        <f>ROW()</f>
        <v>152</v>
      </c>
      <c r="E152" s="548"/>
      <c r="F152" s="548"/>
      <c r="G152" s="548"/>
      <c r="H152" s="548"/>
      <c r="I152" s="549"/>
      <c r="J152" s="549"/>
      <c r="K152" s="549"/>
      <c r="L152" s="549"/>
      <c r="M152" s="549"/>
      <c r="N152" s="548"/>
      <c r="O152" s="871">
        <v>152</v>
      </c>
      <c r="P152" s="575"/>
      <c r="Q152" s="576"/>
      <c r="R152" s="888"/>
      <c r="S152" s="802"/>
      <c r="T152" s="882"/>
      <c r="U152" s="661"/>
      <c r="V152" s="661"/>
      <c r="W152" s="661"/>
      <c r="X152" s="661"/>
      <c r="Y152" s="661"/>
      <c r="Z152" s="661"/>
      <c r="AA152" s="661"/>
      <c r="AB152" s="675"/>
      <c r="AC152" s="675"/>
      <c r="AD152" s="675"/>
      <c r="AE152" s="675"/>
      <c r="AF152" s="675"/>
      <c r="AG152" s="675"/>
      <c r="AH152" s="675"/>
      <c r="AI152" s="675"/>
      <c r="AJ152" s="675"/>
      <c r="AK152" s="675"/>
      <c r="AL152" s="675"/>
      <c r="AM152" s="675"/>
      <c r="AN152" s="675"/>
      <c r="AO152" s="675"/>
      <c r="AP152" s="675"/>
      <c r="AQ152" s="675"/>
      <c r="AR152" s="675"/>
      <c r="AS152" s="675"/>
      <c r="AT152" s="675"/>
      <c r="AU152" s="675"/>
      <c r="AV152" s="675"/>
      <c r="AZ152" s="505"/>
      <c r="BB152" s="505"/>
      <c r="BI152" s="478" t="s">
        <v>126</v>
      </c>
      <c r="BJ152" s="489"/>
      <c r="BN152" s="661"/>
      <c r="CU152" s="479"/>
      <c r="CV152" s="661"/>
      <c r="CW152" s="479"/>
      <c r="DS152" s="661"/>
      <c r="EV152" s="818" t="str">
        <f t="shared" si="70"/>
        <v/>
      </c>
      <c r="EW152" s="818"/>
    </row>
    <row r="153" spans="1:153" s="475" customFormat="1" ht="13.5" customHeight="1">
      <c r="A153" s="654" t="str">
        <f t="shared" ca="1" si="68"/>
        <v>D.1.153</v>
      </c>
      <c r="B153" s="654" t="str">
        <f t="shared" ca="1" si="69"/>
        <v>1.153</v>
      </c>
      <c r="C153" s="654" t="str">
        <f t="shared" si="37"/>
        <v>[153]</v>
      </c>
      <c r="D153" s="654">
        <f>ROW()</f>
        <v>153</v>
      </c>
      <c r="E153" s="1129" t="str">
        <f>BP153</f>
        <v>Photovoltaik - Energieertrag (Modulfläche)</v>
      </c>
      <c r="F153" s="1129"/>
      <c r="G153" s="1129"/>
      <c r="H153" s="1129"/>
      <c r="I153" s="1129"/>
      <c r="J153" s="559" t="s">
        <v>280</v>
      </c>
      <c r="K153" s="546">
        <f ca="1">INDIRECT($W$1&amp;U153)</f>
        <v>1313.9285714285713</v>
      </c>
      <c r="L153" s="485" t="str">
        <f ca="1">HYPERLINK($CK$1&amp;U153,$CE$1&amp;U153&amp;$CF$1)</f>
        <v>[154]</v>
      </c>
      <c r="M153" s="547">
        <f ca="1">INDIRECT($W$1&amp;W153)</f>
        <v>1839.5</v>
      </c>
      <c r="N153" s="533" t="str">
        <f ca="1">HYPERLINK($CK$1&amp;W153,$CE$1&amp;W153&amp;$CF$1)</f>
        <v>[158]</v>
      </c>
      <c r="O153" s="869">
        <v>153</v>
      </c>
      <c r="P153" s="570"/>
      <c r="Q153" s="583"/>
      <c r="R153" s="852"/>
      <c r="S153" s="784"/>
      <c r="T153" s="864"/>
      <c r="U153" s="672">
        <f>D154</f>
        <v>154</v>
      </c>
      <c r="V153" s="905" t="s">
        <v>126</v>
      </c>
      <c r="W153" s="672">
        <f>D158</f>
        <v>158</v>
      </c>
      <c r="X153" s="658"/>
      <c r="Y153" s="658"/>
      <c r="Z153" s="658"/>
      <c r="AA153" s="658"/>
      <c r="AB153" s="801"/>
      <c r="AC153" s="801"/>
      <c r="AD153" s="674"/>
      <c r="AE153" s="674"/>
      <c r="AF153" s="674"/>
      <c r="AG153" s="674"/>
      <c r="AH153" s="674"/>
      <c r="AI153" s="674"/>
      <c r="AJ153" s="674"/>
      <c r="AK153" s="674"/>
      <c r="AL153" s="674"/>
      <c r="AM153" s="674"/>
      <c r="AN153" s="674"/>
      <c r="AO153" s="674"/>
      <c r="AP153" s="674"/>
      <c r="AQ153" s="674"/>
      <c r="AR153" s="674"/>
      <c r="AS153" s="674"/>
      <c r="AT153" s="674"/>
      <c r="AU153" s="674"/>
      <c r="AV153" s="674"/>
      <c r="AX153" s="475" t="s">
        <v>244</v>
      </c>
      <c r="AY153" s="500">
        <f ca="1">DA153</f>
        <v>1122.4999999999998</v>
      </c>
      <c r="AZ153" s="508" t="str">
        <f ca="1">HYPERLINK(DN153,DC153)</f>
        <v xml:space="preserve"> 170</v>
      </c>
      <c r="BA153" s="500">
        <f ca="1">DB153</f>
        <v>1500</v>
      </c>
      <c r="BB153" s="508" t="str">
        <f ca="1">HYPERLINK(DO153,DD153)</f>
        <v xml:space="preserve"> 171</v>
      </c>
      <c r="BC153" s="475" t="str">
        <f ca="1">CY153&amp;" | "&amp;CZ153</f>
        <v>Strom | 3. Energieertrag Solarstrom</v>
      </c>
      <c r="BI153" s="475" t="s">
        <v>126</v>
      </c>
      <c r="BJ153" s="492" t="str">
        <f>E153</f>
        <v>Photovoltaik - Energieertrag (Modulfläche)</v>
      </c>
      <c r="BK153" s="486">
        <f ca="1">K153</f>
        <v>1313.9285714285713</v>
      </c>
      <c r="BL153" s="486">
        <f ca="1">M153</f>
        <v>1839.5</v>
      </c>
      <c r="BM153" s="472">
        <f>D153</f>
        <v>153</v>
      </c>
      <c r="BN153" s="658"/>
      <c r="BO153" s="475" t="s">
        <v>251</v>
      </c>
      <c r="BP153" s="521" t="s">
        <v>305</v>
      </c>
      <c r="CU153" s="476"/>
      <c r="CV153" s="658"/>
      <c r="CW153" s="518">
        <v>43</v>
      </c>
      <c r="CY153" s="472" t="str">
        <f t="shared" ref="CY153:DO153" ca="1" si="76">INDIRECT($CX$1&amp;CY$1&amp;$CW153)</f>
        <v>Strom</v>
      </c>
      <c r="CZ153" s="472" t="str">
        <f t="shared" ca="1" si="76"/>
        <v>3. Energieertrag Solarstrom</v>
      </c>
      <c r="DA153" s="472">
        <f t="shared" ca="1" si="76"/>
        <v>1122.4999999999998</v>
      </c>
      <c r="DB153" s="472">
        <f t="shared" ca="1" si="76"/>
        <v>1500</v>
      </c>
      <c r="DC153" s="472" t="str">
        <f t="shared" ca="1" si="76"/>
        <v xml:space="preserve"> 170</v>
      </c>
      <c r="DD153" s="472" t="str">
        <f t="shared" ca="1" si="76"/>
        <v xml:space="preserve"> 171</v>
      </c>
      <c r="DE153" s="472" t="str">
        <f t="shared" ca="1" si="76"/>
        <v xml:space="preserve">So57 </v>
      </c>
      <c r="DF153" s="472" t="str">
        <f t="shared" ca="1" si="76"/>
        <v xml:space="preserve">So56 </v>
      </c>
      <c r="DG153" s="472" t="str">
        <f t="shared" ca="1" si="76"/>
        <v>So</v>
      </c>
      <c r="DH153" s="472" t="str">
        <f t="shared" ca="1" si="76"/>
        <v xml:space="preserve">57 </v>
      </c>
      <c r="DI153" s="472" t="str">
        <f t="shared" ca="1" si="76"/>
        <v>[So.xls]TEXT!Z57 S5</v>
      </c>
      <c r="DJ153" s="472" t="str">
        <f t="shared" ca="1" si="76"/>
        <v>So</v>
      </c>
      <c r="DK153" s="472" t="str">
        <f t="shared" ca="1" si="76"/>
        <v xml:space="preserve">56 </v>
      </c>
      <c r="DL153" s="472" t="str">
        <f t="shared" ca="1" si="76"/>
        <v>[So.xls]TEXT!Z56 S5</v>
      </c>
      <c r="DM153" s="472">
        <f t="shared" ca="1" si="76"/>
        <v>43</v>
      </c>
      <c r="DN153" s="472" t="str">
        <f t="shared" ca="1" si="76"/>
        <v>[Region.xls]PARAMETER!Z170S6</v>
      </c>
      <c r="DO153" s="472" t="str">
        <f t="shared" ca="1" si="76"/>
        <v>[Region.xls]PARAMETER!Z171S6</v>
      </c>
      <c r="DP153" s="472"/>
      <c r="DS153" s="656"/>
      <c r="DV153" s="472"/>
      <c r="DW153" s="472"/>
      <c r="DX153" s="472"/>
      <c r="DY153" s="472"/>
      <c r="DZ153" s="472"/>
      <c r="EA153" s="472"/>
      <c r="EB153" s="472"/>
      <c r="EC153" s="472"/>
      <c r="ED153" s="472"/>
      <c r="EE153" s="472"/>
      <c r="EF153" s="472"/>
      <c r="EG153" s="472"/>
      <c r="EH153" s="472"/>
      <c r="EI153" s="472"/>
      <c r="EJ153" s="472"/>
      <c r="EK153" s="472"/>
      <c r="EV153" s="819">
        <f t="shared" si="70"/>
        <v>153</v>
      </c>
      <c r="EW153" s="819"/>
    </row>
    <row r="154" spans="1:153" s="472" customFormat="1" ht="39">
      <c r="A154" s="654" t="str">
        <f t="shared" ca="1" si="68"/>
        <v>D.1.154</v>
      </c>
      <c r="B154" s="654" t="str">
        <f t="shared" ca="1" si="69"/>
        <v>1.154</v>
      </c>
      <c r="C154" s="654" t="str">
        <f t="shared" si="37"/>
        <v>[154]</v>
      </c>
      <c r="D154" s="654">
        <f>ROW()</f>
        <v>154</v>
      </c>
      <c r="E154" s="1130" t="str">
        <f>CU154</f>
        <v>- STATUS-Ansatz: Aus der mittleren jährlichen Ausnutzungsdauer gemäß [167] und einem angenommenen spezifischen Flächenbedarf gemäß [155], plausibilisiert mit [156],  ergibt sich für die heutigen PV-Dachanlagen ein durchschnittlicher Energieertrag von 1.314 MWh/ha/a.</v>
      </c>
      <c r="F154" s="1130"/>
      <c r="G154" s="1130"/>
      <c r="H154" s="1130"/>
      <c r="I154" s="1130"/>
      <c r="J154" s="1130"/>
      <c r="K154" s="1130"/>
      <c r="L154" s="1130"/>
      <c r="M154" s="1130"/>
      <c r="N154" s="1131"/>
      <c r="O154" s="869">
        <v>154</v>
      </c>
      <c r="P154" s="573" t="str">
        <f ca="1">HYPERLINK(EK154,EJ154)</f>
        <v/>
      </c>
      <c r="Q154" s="574" t="str">
        <f>Y154</f>
        <v xml:space="preserve"> </v>
      </c>
      <c r="R154" s="852"/>
      <c r="S154" s="784"/>
      <c r="T154" s="864"/>
      <c r="U154" s="1023" t="str">
        <f>"Aus der mittleren jährlichen Ausnutzungsdauer gemäß "&amp;C167&amp;" und einem angenommenen spezifischen Flächenbedarf gemäß "&amp;C155&amp;", plausibilisiert mit "&amp;C156&amp;",  ergibt sich für die heutigen PV-Dachanlagen ein durchschnittlicher Energieertrag von "&amp;TEXT(W154,"0.000")&amp;" MWh/ha/a."</f>
        <v>Aus der mittleren jährlichen Ausnutzungsdauer gemäß [167] und einem angenommenen spezifischen Flächenbedarf gemäß [155], plausibilisiert mit [156],  ergibt sich für die heutigen PV-Dachanlagen ein durchschnittlicher Energieertrag von 1.314 MWh/ha/a.</v>
      </c>
      <c r="V154" s="905" t="s">
        <v>126</v>
      </c>
      <c r="W154" s="1024">
        <f>W167/W155*10000/1000</f>
        <v>1313.9285714285713</v>
      </c>
      <c r="X154" s="672"/>
      <c r="Y154" s="672" t="s">
        <v>126</v>
      </c>
      <c r="Z154" s="1025"/>
      <c r="AA154" s="658"/>
      <c r="AB154" s="801"/>
      <c r="AC154" s="801"/>
      <c r="AD154" s="801"/>
      <c r="AE154" s="801"/>
      <c r="AF154" s="801"/>
      <c r="AG154" s="801"/>
      <c r="AH154" s="801"/>
      <c r="AI154" s="801"/>
      <c r="AJ154" s="801"/>
      <c r="AK154" s="687"/>
      <c r="AL154" s="801"/>
      <c r="AM154" s="801"/>
      <c r="AN154" s="801"/>
      <c r="AO154" s="801"/>
      <c r="AP154" s="801"/>
      <c r="AQ154" s="801"/>
      <c r="AR154" s="801"/>
      <c r="AS154" s="801"/>
      <c r="AT154" s="801"/>
      <c r="AU154" s="801"/>
      <c r="AV154" s="801"/>
      <c r="BF154" s="473"/>
      <c r="BI154" s="472" t="s">
        <v>126</v>
      </c>
      <c r="BJ154" s="490"/>
      <c r="BN154" s="656"/>
      <c r="BO154" s="472" t="s">
        <v>259</v>
      </c>
      <c r="CU154" s="480" t="str">
        <f>CG$1&amp;IF(U154="",BF154,U154)</f>
        <v>- STATUS-Ansatz: Aus der mittleren jährlichen Ausnutzungsdauer gemäß [167] und einem angenommenen spezifischen Flächenbedarf gemäß [155], plausibilisiert mit [156],  ergibt sich für die heutigen PV-Dachanlagen ein durchschnittlicher Energieertrag von 1.314 MWh/ha/a.</v>
      </c>
      <c r="CV154" s="656"/>
      <c r="CW154" s="480"/>
      <c r="DS154" s="656"/>
      <c r="DT154" s="518">
        <f>I_Basisdaten!A91</f>
        <v>91</v>
      </c>
      <c r="EJ154" s="472" t="str">
        <f>IF(X154=0,"",EJ$1&amp;X154)</f>
        <v/>
      </c>
      <c r="EK154" s="472" t="str">
        <f ca="1">EK$1&amp;X154</f>
        <v>[D_Python.xlsx]9.Quellen!C</v>
      </c>
      <c r="EV154" s="819">
        <f t="shared" si="70"/>
        <v>154</v>
      </c>
      <c r="EW154" s="819"/>
    </row>
    <row r="155" spans="1:153" s="472" customFormat="1" ht="52">
      <c r="A155" s="654" t="str">
        <f t="shared" ca="1" si="68"/>
        <v>D.1.155</v>
      </c>
      <c r="B155" s="654" t="str">
        <f t="shared" ca="1" si="69"/>
        <v>1.155</v>
      </c>
      <c r="C155" s="654" t="str">
        <f t="shared" si="37"/>
        <v>[155]</v>
      </c>
      <c r="D155" s="654">
        <f>ROW()</f>
        <v>155</v>
      </c>
      <c r="E155" s="1130" t="str">
        <f ca="1">CU155</f>
        <v xml:space="preserve">"In Deutschland werden (…) spezifische Erträge um 900 kWh/kWp erzielt. Pro Quadratmeter Modulen entspricht dies ca. 130 kWh, bei Spitzenmodulen ca. 180 kWh. " [9.264], Seite 23 (2012). 
Aus dem Wert für die Standardmodule resultiert ein spezifischer Flächenbedarf von gerundet 7,0 qm/kWp, der hier als Durchschnitt für den Anlagenbestand zugrunde gelegt wird. </v>
      </c>
      <c r="F155" s="1130"/>
      <c r="G155" s="1130"/>
      <c r="H155" s="1130"/>
      <c r="I155" s="1130"/>
      <c r="J155" s="1130"/>
      <c r="K155" s="1130"/>
      <c r="L155" s="1130"/>
      <c r="M155" s="1130"/>
      <c r="N155" s="1131"/>
      <c r="O155" s="869">
        <v>155</v>
      </c>
      <c r="P155" s="573" t="str">
        <f ca="1">HYPERLINK(EK155,EJ155)</f>
        <v>9.264</v>
      </c>
      <c r="Q155" s="574" t="str">
        <f>Y155</f>
        <v>Seite 23</v>
      </c>
      <c r="R155" s="852"/>
      <c r="S155" s="784"/>
      <c r="T155" s="864"/>
      <c r="U155" s="1033" t="str">
        <f ca="1">"""In Deutschland werden (…) spezifische Erträge um "&amp;AD155&amp;AE155&amp;" erzielt. Pro Quadratmeter Modulen entspricht dies ca. "&amp;AF155&amp;" kWh, bei Spitzenmodulen ca. 180 kWh. "" ["&amp;P155&amp;"], "&amp;Q155&amp;" (2012). 
Aus dem Wert für die Standardmodule resultiert ein spezifischer Flächenbedarf von gerundet "&amp;TEXT(W155,"0,0")&amp;" qm/kWp, der hier als Durchschnitt für den Anlagenbestand zugrunde gelegt wird. "</f>
        <v xml:space="preserve">"In Deutschland werden (…) spezifische Erträge um 900 kWh/kWp erzielt. Pro Quadratmeter Modulen entspricht dies ca. 130 kWh, bei Spitzenmodulen ca. 180 kWh. " [9.264], Seite 23 (2012). 
Aus dem Wert für die Standardmodule resultiert ein spezifischer Flächenbedarf von gerundet 7,0 qm/kWp, der hier als Durchschnitt für den Anlagenbestand zugrunde gelegt wird. </v>
      </c>
      <c r="V155" s="905" t="s">
        <v>126</v>
      </c>
      <c r="W155" s="1034">
        <f>ROUND(AH155,0)</f>
        <v>7</v>
      </c>
      <c r="X155" s="672">
        <f>'9.Quellen'!C264</f>
        <v>264</v>
      </c>
      <c r="Y155" s="672" t="s">
        <v>298</v>
      </c>
      <c r="Z155" s="1025"/>
      <c r="AA155" s="905"/>
      <c r="AB155" s="801"/>
      <c r="AC155" s="801"/>
      <c r="AD155" s="801">
        <v>900</v>
      </c>
      <c r="AE155" s="801" t="s">
        <v>292</v>
      </c>
      <c r="AF155" s="801">
        <v>130</v>
      </c>
      <c r="AG155" s="801" t="s">
        <v>299</v>
      </c>
      <c r="AH155" s="801">
        <f>AD155/AF155</f>
        <v>6.9230769230769234</v>
      </c>
      <c r="AI155" s="801" t="s">
        <v>300</v>
      </c>
      <c r="AJ155" s="801">
        <v>180</v>
      </c>
      <c r="AK155" s="801" t="s">
        <v>299</v>
      </c>
      <c r="AL155" s="801">
        <f>AD155/AJ155</f>
        <v>5</v>
      </c>
      <c r="AM155" s="801" t="s">
        <v>300</v>
      </c>
      <c r="AN155" s="801"/>
      <c r="AO155" s="801"/>
      <c r="AP155" s="801"/>
      <c r="AQ155" s="801"/>
      <c r="AR155" s="801"/>
      <c r="AS155" s="801"/>
      <c r="AT155" s="801"/>
      <c r="AU155" s="801"/>
      <c r="AV155" s="801"/>
      <c r="BF155" s="473"/>
      <c r="BI155" s="472" t="s">
        <v>126</v>
      </c>
      <c r="BJ155" s="490"/>
      <c r="BN155" s="656"/>
      <c r="BO155" s="472" t="s">
        <v>252</v>
      </c>
      <c r="CU155" s="480" t="str">
        <f ca="1">IF(U155="",BF155,U155)</f>
        <v xml:space="preserve">"In Deutschland werden (…) spezifische Erträge um 900 kWh/kWp erzielt. Pro Quadratmeter Modulen entspricht dies ca. 130 kWh, bei Spitzenmodulen ca. 180 kWh. " [9.264], Seite 23 (2012). 
Aus dem Wert für die Standardmodule resultiert ein spezifischer Flächenbedarf von gerundet 7,0 qm/kWp, der hier als Durchschnitt für den Anlagenbestand zugrunde gelegt wird. </v>
      </c>
      <c r="CV155" s="656"/>
      <c r="CW155" s="480"/>
      <c r="DS155" s="656"/>
      <c r="DT155" s="518"/>
      <c r="EJ155" s="472" t="str">
        <f ca="1">IF(X155=0,"",EJ$1&amp;X155)</f>
        <v>9.264</v>
      </c>
      <c r="EK155" s="472" t="str">
        <f ca="1">EK$1&amp;X155</f>
        <v>[D_Python.xlsx]9.Quellen!C264</v>
      </c>
      <c r="EV155" s="819">
        <f t="shared" ca="1" si="70"/>
        <v>155</v>
      </c>
      <c r="EW155" s="819"/>
    </row>
    <row r="156" spans="1:153" s="472" customFormat="1">
      <c r="A156" s="654" t="str">
        <f t="shared" ca="1" si="68"/>
        <v>D.1.156</v>
      </c>
      <c r="B156" s="654" t="str">
        <f t="shared" ca="1" si="69"/>
        <v>1.156</v>
      </c>
      <c r="C156" s="654" t="str">
        <f t="shared" si="37"/>
        <v>[156]</v>
      </c>
      <c r="D156" s="654">
        <f>ROW()</f>
        <v>156</v>
      </c>
      <c r="E156" s="1130" t="str">
        <f ca="1">CU156</f>
        <v>"Pro 1 kWp elektrischer Leistung wird eine Fläche von ca. 7 m² benötigt." [9.96].</v>
      </c>
      <c r="F156" s="1130"/>
      <c r="G156" s="1130"/>
      <c r="H156" s="1130"/>
      <c r="I156" s="1130"/>
      <c r="J156" s="1130"/>
      <c r="K156" s="1130"/>
      <c r="L156" s="1130"/>
      <c r="M156" s="1130"/>
      <c r="N156" s="1131"/>
      <c r="O156" s="869">
        <v>156</v>
      </c>
      <c r="P156" s="573" t="str">
        <f ca="1">HYPERLINK(EK156,EJ156)</f>
        <v>9.96</v>
      </c>
      <c r="Q156" s="574" t="str">
        <f>Y156</f>
        <v xml:space="preserve"> </v>
      </c>
      <c r="R156" s="852"/>
      <c r="S156" s="784"/>
      <c r="T156" s="864"/>
      <c r="U156" s="1033" t="str">
        <f ca="1">"""Pro 1 kWp elektrischer Leistung wird eine Fläche von ca. 7 m² benötigt."" ["&amp;P156&amp;"]."</f>
        <v>"Pro 1 kWp elektrischer Leistung wird eine Fläche von ca. 7 m² benötigt." [9.96].</v>
      </c>
      <c r="V156" s="905" t="s">
        <v>126</v>
      </c>
      <c r="W156" s="1034">
        <v>7</v>
      </c>
      <c r="X156" s="672">
        <f>'9.Quellen'!C96</f>
        <v>96</v>
      </c>
      <c r="Y156" s="672" t="s">
        <v>126</v>
      </c>
      <c r="Z156" s="1025"/>
      <c r="AA156" s="905"/>
      <c r="AB156" s="801"/>
      <c r="AC156" s="801"/>
      <c r="AD156" s="801"/>
      <c r="AE156" s="801"/>
      <c r="AF156" s="801"/>
      <c r="AG156" s="801"/>
      <c r="AH156" s="801"/>
      <c r="AI156" s="801"/>
      <c r="AJ156" s="801"/>
      <c r="AK156" s="687"/>
      <c r="AL156" s="801"/>
      <c r="AM156" s="801"/>
      <c r="AN156" s="801"/>
      <c r="AO156" s="801"/>
      <c r="AP156" s="801"/>
      <c r="AQ156" s="801"/>
      <c r="AR156" s="801"/>
      <c r="AS156" s="801"/>
      <c r="AT156" s="801"/>
      <c r="AU156" s="801"/>
      <c r="AV156" s="801"/>
      <c r="BF156" s="473"/>
      <c r="BI156" s="472" t="s">
        <v>126</v>
      </c>
      <c r="BJ156" s="490"/>
      <c r="BN156" s="656"/>
      <c r="BO156" s="472" t="s">
        <v>252</v>
      </c>
      <c r="CU156" s="480" t="str">
        <f ca="1">IF(U156="",BF156,U156)</f>
        <v>"Pro 1 kWp elektrischer Leistung wird eine Fläche von ca. 7 m² benötigt." [9.96].</v>
      </c>
      <c r="CV156" s="656"/>
      <c r="CW156" s="480"/>
      <c r="DS156" s="656"/>
      <c r="DT156" s="518"/>
      <c r="EJ156" s="472" t="str">
        <f ca="1">IF(X156=0,"",EJ$1&amp;X156)</f>
        <v>9.96</v>
      </c>
      <c r="EK156" s="472" t="str">
        <f ca="1">EK$1&amp;X156</f>
        <v>[D_Python.xlsx]9.Quellen!C96</v>
      </c>
      <c r="EV156" s="819">
        <f t="shared" ca="1" si="70"/>
        <v>156</v>
      </c>
      <c r="EW156" s="819"/>
    </row>
    <row r="157" spans="1:153" s="478" customFormat="1" ht="4">
      <c r="A157" s="677" t="str">
        <f t="shared" ca="1" si="68"/>
        <v>D.1.157</v>
      </c>
      <c r="B157" s="677" t="str">
        <f t="shared" ca="1" si="69"/>
        <v>1.157</v>
      </c>
      <c r="C157" s="677" t="str">
        <f t="shared" ref="C157:C219" si="77">CE$1&amp;D157&amp;CF$1</f>
        <v>[157]</v>
      </c>
      <c r="D157" s="677">
        <f>ROW()</f>
        <v>157</v>
      </c>
      <c r="E157" s="528"/>
      <c r="F157" s="528"/>
      <c r="G157" s="528"/>
      <c r="H157" s="528"/>
      <c r="I157" s="527"/>
      <c r="J157" s="527"/>
      <c r="K157" s="527"/>
      <c r="L157" s="527"/>
      <c r="M157" s="527"/>
      <c r="N157" s="528"/>
      <c r="O157" s="871">
        <v>157</v>
      </c>
      <c r="P157" s="566"/>
      <c r="Q157" s="567"/>
      <c r="R157" s="888"/>
      <c r="S157" s="802"/>
      <c r="T157" s="882"/>
      <c r="U157" s="661"/>
      <c r="V157" s="661"/>
      <c r="W157" s="661"/>
      <c r="X157" s="661"/>
      <c r="Y157" s="661"/>
      <c r="Z157" s="661"/>
      <c r="AA157" s="661"/>
      <c r="AB157" s="675"/>
      <c r="AC157" s="675"/>
      <c r="AD157" s="675"/>
      <c r="AE157" s="675"/>
      <c r="AF157" s="675"/>
      <c r="AG157" s="675"/>
      <c r="AH157" s="675"/>
      <c r="AI157" s="675"/>
      <c r="AJ157" s="675"/>
      <c r="AK157" s="675"/>
      <c r="AL157" s="675"/>
      <c r="AM157" s="675"/>
      <c r="AN157" s="675"/>
      <c r="AO157" s="675"/>
      <c r="AP157" s="675"/>
      <c r="AQ157" s="675"/>
      <c r="AR157" s="675"/>
      <c r="AS157" s="675"/>
      <c r="AT157" s="675"/>
      <c r="AU157" s="675"/>
      <c r="AV157" s="675"/>
      <c r="BI157" s="478" t="s">
        <v>126</v>
      </c>
      <c r="BJ157" s="489"/>
      <c r="BN157" s="661"/>
      <c r="CU157" s="479"/>
      <c r="CV157" s="661"/>
      <c r="CW157" s="479"/>
      <c r="DS157" s="661"/>
      <c r="EV157" s="818" t="str">
        <f t="shared" si="70"/>
        <v/>
      </c>
      <c r="EW157" s="818"/>
    </row>
    <row r="158" spans="1:153" s="472" customFormat="1" ht="39">
      <c r="A158" s="654" t="str">
        <f t="shared" ca="1" si="68"/>
        <v>D.1.158</v>
      </c>
      <c r="B158" s="654" t="str">
        <f t="shared" ca="1" si="69"/>
        <v>1.158</v>
      </c>
      <c r="C158" s="654" t="str">
        <f t="shared" si="77"/>
        <v>[158]</v>
      </c>
      <c r="D158" s="654">
        <f>ROW()</f>
        <v>158</v>
      </c>
      <c r="E158" s="1125" t="str">
        <f t="shared" ref="E158" si="78">CU158</f>
        <v xml:space="preserve">- ZIEL-Ansatz: Mit einem durch technische Innovation verringerten spezifischen Flächenbedarf von 5 qm/kWp gemäß [159] und einer jährlichen Ausnutzungsdauer von 920 KWh/kWp gemäß [169] ergibt sich ein Energieertrag von 1.840 MWh/ha/a. </v>
      </c>
      <c r="F158" s="1125"/>
      <c r="G158" s="1125"/>
      <c r="H158" s="1125"/>
      <c r="I158" s="1125"/>
      <c r="J158" s="1125"/>
      <c r="K158" s="1125"/>
      <c r="L158" s="1125"/>
      <c r="M158" s="1125"/>
      <c r="N158" s="1132"/>
      <c r="O158" s="869">
        <v>158</v>
      </c>
      <c r="P158" s="573" t="str">
        <f ca="1">HYPERLINK(EK158,EJ158)</f>
        <v/>
      </c>
      <c r="Q158" s="574" t="str">
        <f>Y158</f>
        <v xml:space="preserve"> </v>
      </c>
      <c r="R158" s="852"/>
      <c r="S158" s="784"/>
      <c r="T158" s="864"/>
      <c r="U158" s="1023" t="str">
        <f>"Mit einem durch technische Innovation verringerten spezifischen Flächenbedarf von "&amp;W159&amp;" qm/kWp gemäß "&amp;C159&amp;" und einer jährlichen Ausnutzungsdauer von "&amp;TEXT(W169,"0")&amp;" KWh/kWp gemäß "&amp;C169&amp;" ergibt sich ein Energieertrag von "&amp;TEXT(W158,"0.000")&amp;" MWh/ha/a. "</f>
        <v xml:space="preserve">Mit einem durch technische Innovation verringerten spezifischen Flächenbedarf von 5 qm/kWp gemäß [159] und einer jährlichen Ausnutzungsdauer von 920 KWh/kWp gemäß [169] ergibt sich ein Energieertrag von 1.840 MWh/ha/a. </v>
      </c>
      <c r="V158" s="905" t="s">
        <v>126</v>
      </c>
      <c r="W158" s="1024">
        <f>W169*10000/W159/1000</f>
        <v>1839.5</v>
      </c>
      <c r="X158" s="672"/>
      <c r="Y158" s="672" t="s">
        <v>126</v>
      </c>
      <c r="Z158" s="1025"/>
      <c r="AA158" s="905"/>
      <c r="AB158" s="801"/>
      <c r="AC158" s="801"/>
      <c r="AD158" s="801"/>
      <c r="AE158" s="801"/>
      <c r="AF158" s="801"/>
      <c r="AG158" s="801"/>
      <c r="AH158" s="801"/>
      <c r="AI158" s="801"/>
      <c r="AJ158" s="801"/>
      <c r="AK158" s="801"/>
      <c r="AL158" s="801"/>
      <c r="AM158" s="801"/>
      <c r="AN158" s="801"/>
      <c r="AO158" s="801"/>
      <c r="AP158" s="801"/>
      <c r="AQ158" s="801"/>
      <c r="AR158" s="801"/>
      <c r="AS158" s="801"/>
      <c r="AT158" s="801"/>
      <c r="AU158" s="801"/>
      <c r="AV158" s="801"/>
      <c r="BF158" s="473"/>
      <c r="BI158" s="472" t="s">
        <v>126</v>
      </c>
      <c r="BJ158" s="490"/>
      <c r="BN158" s="656"/>
      <c r="BO158" s="472" t="s">
        <v>259</v>
      </c>
      <c r="CU158" s="480" t="str">
        <f>CH$1&amp;IF(U158="",BF158,U158)</f>
        <v xml:space="preserve">- ZIEL-Ansatz: Mit einem durch technische Innovation verringerten spezifischen Flächenbedarf von 5 qm/kWp gemäß [159] und einer jährlichen Ausnutzungsdauer von 920 KWh/kWp gemäß [169] ergibt sich ein Energieertrag von 1.840 MWh/ha/a. </v>
      </c>
      <c r="CV158" s="656"/>
      <c r="CW158" s="480"/>
      <c r="DS158" s="656"/>
      <c r="DT158" s="518">
        <v>53</v>
      </c>
      <c r="EJ158" s="472" t="str">
        <f>IF(X158=0,"",EJ$1&amp;X158)</f>
        <v/>
      </c>
      <c r="EK158" s="472" t="str">
        <f ca="1">EK$1&amp;X158</f>
        <v>[D_Python.xlsx]9.Quellen!C</v>
      </c>
      <c r="EV158" s="819">
        <f t="shared" si="70"/>
        <v>158</v>
      </c>
      <c r="EW158" s="819"/>
    </row>
    <row r="159" spans="1:153" s="472" customFormat="1" ht="65">
      <c r="A159" s="654" t="str">
        <f t="shared" ca="1" si="68"/>
        <v>D.1.159</v>
      </c>
      <c r="B159" s="654" t="str">
        <f t="shared" ca="1" si="69"/>
        <v>1.159</v>
      </c>
      <c r="C159" s="654" t="str">
        <f t="shared" si="77"/>
        <v>[159]</v>
      </c>
      <c r="D159" s="654">
        <f>ROW()</f>
        <v>159</v>
      </c>
      <c r="E159" s="1125" t="str">
        <f ca="1">CU159</f>
        <v xml:space="preserve">"In Deutschland werden (…) spezifische Erträge um 900 kWh/kWp erzielt. Pro Quadratmeter Modulen entspricht dies ca. 130 kWh, bei Spitzenmodulen ca. 180 kWh. " [9.264], Seite 23 (2012). 
Daraus resultiert für Spitzenmodule ein spezifischer Flächenbedarf von rund 5,0 qm/kWp, der hier als ein durch technische Innovation erreichbar erscheinender Durchschnittswert für einen künftigen Anlagenpark zugrunde gelegt wird. </v>
      </c>
      <c r="F159" s="1125"/>
      <c r="G159" s="1125"/>
      <c r="H159" s="1125"/>
      <c r="I159" s="1125"/>
      <c r="J159" s="1125"/>
      <c r="K159" s="1125"/>
      <c r="L159" s="1125"/>
      <c r="M159" s="1125"/>
      <c r="N159" s="1132"/>
      <c r="O159" s="869">
        <v>159</v>
      </c>
      <c r="P159" s="573" t="str">
        <f ca="1">HYPERLINK(EK159,EJ159)</f>
        <v>9.264</v>
      </c>
      <c r="Q159" s="574" t="s">
        <v>298</v>
      </c>
      <c r="R159" s="852"/>
      <c r="S159" s="784"/>
      <c r="T159" s="864"/>
      <c r="U159" s="1033" t="str">
        <f ca="1">"""In Deutschland werden (…) spezifische Erträge um "&amp;AD159&amp;AE159&amp;" erzielt. Pro Quadratmeter Modulen entspricht dies ca. "&amp;AF159&amp;" kWh, bei Spitzenmodulen ca. "&amp;AJ159&amp;" kWh. "" ["&amp;P159&amp;"], "&amp;Q159&amp;" (2012). 
Daraus resultiert für Spitzenmodule ein spezifischer Flächenbedarf von rund "&amp;TEXT(W159,"0,0")&amp;" qm/kWp, der hier als ein durch technische Innovation erreichbar erscheinender Durchschnittswert für einen künftigen Anlagenpark zugrunde gelegt wird. "</f>
        <v xml:space="preserve">"In Deutschland werden (…) spezifische Erträge um 900 kWh/kWp erzielt. Pro Quadratmeter Modulen entspricht dies ca. 130 kWh, bei Spitzenmodulen ca. 180 kWh. " [9.264], Seite 23 (2012). 
Daraus resultiert für Spitzenmodule ein spezifischer Flächenbedarf von rund 5,0 qm/kWp, der hier als ein durch technische Innovation erreichbar erscheinender Durchschnittswert für einen künftigen Anlagenpark zugrunde gelegt wird. </v>
      </c>
      <c r="V159" s="905" t="s">
        <v>126</v>
      </c>
      <c r="W159" s="1034">
        <f>AL159</f>
        <v>5</v>
      </c>
      <c r="X159" s="672">
        <f>'9.Quellen'!C264</f>
        <v>264</v>
      </c>
      <c r="Y159" s="672" t="s">
        <v>298</v>
      </c>
      <c r="Z159" s="1025"/>
      <c r="AA159" s="905"/>
      <c r="AB159" s="801"/>
      <c r="AC159" s="801"/>
      <c r="AD159" s="801">
        <v>900</v>
      </c>
      <c r="AE159" s="801" t="s">
        <v>292</v>
      </c>
      <c r="AF159" s="801">
        <v>130</v>
      </c>
      <c r="AG159" s="801" t="s">
        <v>299</v>
      </c>
      <c r="AH159" s="801">
        <f>AD159/AF159</f>
        <v>6.9230769230769234</v>
      </c>
      <c r="AI159" s="801" t="s">
        <v>300</v>
      </c>
      <c r="AJ159" s="801">
        <v>180</v>
      </c>
      <c r="AK159" s="801" t="s">
        <v>299</v>
      </c>
      <c r="AL159" s="801">
        <f>AD159/AJ159</f>
        <v>5</v>
      </c>
      <c r="AM159" s="801" t="s">
        <v>300</v>
      </c>
      <c r="AN159" s="801"/>
      <c r="AO159" s="801"/>
      <c r="AP159" s="801"/>
      <c r="AQ159" s="801"/>
      <c r="AR159" s="801"/>
      <c r="AS159" s="801"/>
      <c r="AT159" s="801"/>
      <c r="AU159" s="801"/>
      <c r="AV159" s="801"/>
      <c r="BF159" s="473"/>
      <c r="BI159" s="472" t="s">
        <v>126</v>
      </c>
      <c r="BJ159" s="490"/>
      <c r="BN159" s="656"/>
      <c r="BO159" s="472" t="s">
        <v>252</v>
      </c>
      <c r="CU159" s="480" t="str">
        <f ca="1">IF(U159="",BF159,U159)</f>
        <v xml:space="preserve">"In Deutschland werden (…) spezifische Erträge um 900 kWh/kWp erzielt. Pro Quadratmeter Modulen entspricht dies ca. 130 kWh, bei Spitzenmodulen ca. 180 kWh. " [9.264], Seite 23 (2012). 
Daraus resultiert für Spitzenmodule ein spezifischer Flächenbedarf von rund 5,0 qm/kWp, der hier als ein durch technische Innovation erreichbar erscheinender Durchschnittswert für einen künftigen Anlagenpark zugrunde gelegt wird. </v>
      </c>
      <c r="CV159" s="656"/>
      <c r="CW159" s="480"/>
      <c r="DS159" s="656"/>
      <c r="DT159" s="518"/>
      <c r="EJ159" s="472" t="str">
        <f ca="1">IF(X159=0,"",EJ$1&amp;X159)</f>
        <v>9.264</v>
      </c>
      <c r="EK159" s="472" t="str">
        <f ca="1">EK$1&amp;X159</f>
        <v>[D_Python.xlsx]9.Quellen!C264</v>
      </c>
      <c r="EV159" s="819">
        <f t="shared" ca="1" si="70"/>
        <v>159</v>
      </c>
      <c r="EW159" s="819"/>
    </row>
    <row r="160" spans="1:153" s="478" customFormat="1" ht="4">
      <c r="A160" s="677" t="str">
        <f t="shared" ca="1" si="68"/>
        <v>D.1.160</v>
      </c>
      <c r="B160" s="677" t="str">
        <f t="shared" ca="1" si="69"/>
        <v>1.160</v>
      </c>
      <c r="C160" s="677" t="str">
        <f t="shared" si="77"/>
        <v>[160]</v>
      </c>
      <c r="D160" s="677">
        <f>ROW()</f>
        <v>160</v>
      </c>
      <c r="E160" s="548"/>
      <c r="F160" s="548"/>
      <c r="G160" s="548"/>
      <c r="H160" s="548"/>
      <c r="I160" s="549"/>
      <c r="J160" s="549"/>
      <c r="K160" s="549"/>
      <c r="L160" s="549"/>
      <c r="M160" s="549"/>
      <c r="N160" s="548"/>
      <c r="O160" s="871">
        <v>160</v>
      </c>
      <c r="P160" s="575"/>
      <c r="Q160" s="576"/>
      <c r="R160" s="888"/>
      <c r="S160" s="802"/>
      <c r="T160" s="882"/>
      <c r="U160" s="661"/>
      <c r="V160" s="661"/>
      <c r="W160" s="661"/>
      <c r="X160" s="661"/>
      <c r="Y160" s="661"/>
      <c r="Z160" s="661"/>
      <c r="AA160" s="661"/>
      <c r="AB160" s="675"/>
      <c r="AC160" s="675"/>
      <c r="AD160" s="675"/>
      <c r="AE160" s="675"/>
      <c r="AF160" s="675"/>
      <c r="AG160" s="675"/>
      <c r="AH160" s="675"/>
      <c r="AI160" s="675"/>
      <c r="AJ160" s="675"/>
      <c r="AK160" s="675"/>
      <c r="AL160" s="675"/>
      <c r="AM160" s="675"/>
      <c r="AN160" s="675"/>
      <c r="AO160" s="675"/>
      <c r="AP160" s="675"/>
      <c r="AQ160" s="675"/>
      <c r="AR160" s="675"/>
      <c r="AS160" s="675"/>
      <c r="AT160" s="675"/>
      <c r="AU160" s="675"/>
      <c r="AV160" s="675"/>
      <c r="AZ160" s="505"/>
      <c r="BB160" s="505"/>
      <c r="BI160" s="478" t="s">
        <v>126</v>
      </c>
      <c r="BJ160" s="489"/>
      <c r="BN160" s="661"/>
      <c r="CU160" s="479"/>
      <c r="CV160" s="661"/>
      <c r="CW160" s="479"/>
      <c r="DS160" s="661"/>
      <c r="EV160" s="818" t="str">
        <f t="shared" si="70"/>
        <v/>
      </c>
      <c r="EW160" s="818"/>
    </row>
    <row r="161" spans="1:153" s="475" customFormat="1" ht="13.5" customHeight="1">
      <c r="A161" s="654" t="str">
        <f t="shared" ca="1" si="68"/>
        <v>D.1.161</v>
      </c>
      <c r="B161" s="654" t="str">
        <f t="shared" ca="1" si="69"/>
        <v>1.161</v>
      </c>
      <c r="C161" s="654" t="str">
        <f t="shared" si="77"/>
        <v>[161]</v>
      </c>
      <c r="D161" s="654">
        <f>ROW()</f>
        <v>161</v>
      </c>
      <c r="E161" s="1148" t="str">
        <f>BP161</f>
        <v>Photovoltaik - Energieertrag (Freifläche)</v>
      </c>
      <c r="F161" s="1148"/>
      <c r="G161" s="1148"/>
      <c r="H161" s="1148"/>
      <c r="I161" s="1148"/>
      <c r="J161" s="559" t="s">
        <v>280</v>
      </c>
      <c r="K161" s="546">
        <f ca="1">INDIRECT($W$1&amp;U161)</f>
        <v>525.57142857142856</v>
      </c>
      <c r="L161" s="485" t="str">
        <f ca="1">HYPERLINK($CK$1&amp;U161,$CE$1&amp;U161&amp;$CF$1)</f>
        <v>[162]</v>
      </c>
      <c r="M161" s="547">
        <f ca="1">INDIRECT($W$1&amp;W161)</f>
        <v>735.8</v>
      </c>
      <c r="N161" s="533" t="str">
        <f ca="1">HYPERLINK($CK$1&amp;W161,$CE$1&amp;W161&amp;$CF$1)</f>
        <v>[164]</v>
      </c>
      <c r="O161" s="869">
        <v>161</v>
      </c>
      <c r="P161" s="570"/>
      <c r="Q161" s="583"/>
      <c r="R161" s="852"/>
      <c r="S161" s="784"/>
      <c r="T161" s="864"/>
      <c r="U161" s="672">
        <f>D162</f>
        <v>162</v>
      </c>
      <c r="V161" s="905" t="s">
        <v>126</v>
      </c>
      <c r="W161" s="672">
        <f>D164</f>
        <v>164</v>
      </c>
      <c r="X161" s="658"/>
      <c r="Y161" s="658"/>
      <c r="Z161" s="658"/>
      <c r="AA161" s="658"/>
      <c r="AB161" s="801"/>
      <c r="AC161" s="801"/>
      <c r="AD161" s="674"/>
      <c r="AE161" s="674"/>
      <c r="AF161" s="674"/>
      <c r="AG161" s="674"/>
      <c r="AH161" s="674"/>
      <c r="AI161" s="674"/>
      <c r="AJ161" s="674"/>
      <c r="AK161" s="674"/>
      <c r="AL161" s="674"/>
      <c r="AM161" s="674"/>
      <c r="AN161" s="674"/>
      <c r="AO161" s="674"/>
      <c r="AP161" s="674"/>
      <c r="AQ161" s="674"/>
      <c r="AR161" s="674"/>
      <c r="AS161" s="674"/>
      <c r="AT161" s="674"/>
      <c r="AU161" s="674"/>
      <c r="AV161" s="674"/>
      <c r="AX161" s="475" t="s">
        <v>244</v>
      </c>
      <c r="AY161" s="500" t="e">
        <f ca="1">DA161</f>
        <v>#REF!</v>
      </c>
      <c r="AZ161" s="508" t="e">
        <f ca="1">HYPERLINK(DN161,DC161)</f>
        <v>#REF!</v>
      </c>
      <c r="BA161" s="500" t="e">
        <f ca="1">DB161</f>
        <v>#REF!</v>
      </c>
      <c r="BB161" s="508" t="e">
        <f ca="1">HYPERLINK(DO161,DD161)</f>
        <v>#REF!</v>
      </c>
      <c r="BC161" s="475" t="e">
        <f ca="1">CY161&amp;" | "&amp;CZ161</f>
        <v>#REF!</v>
      </c>
      <c r="BI161" s="475" t="s">
        <v>126</v>
      </c>
      <c r="BJ161" s="492" t="str">
        <f>E161</f>
        <v>Photovoltaik - Energieertrag (Freifläche)</v>
      </c>
      <c r="BK161" s="486">
        <f ca="1">K161</f>
        <v>525.57142857142856</v>
      </c>
      <c r="BL161" s="486">
        <f ca="1">M161</f>
        <v>735.8</v>
      </c>
      <c r="BM161" s="472">
        <f>D161</f>
        <v>161</v>
      </c>
      <c r="BN161" s="658"/>
      <c r="BO161" s="475" t="s">
        <v>251</v>
      </c>
      <c r="BP161" s="521" t="s">
        <v>306</v>
      </c>
      <c r="CU161" s="476"/>
      <c r="CV161" s="658"/>
      <c r="CW161" s="518"/>
      <c r="CY161" s="472" t="e">
        <f t="shared" ref="CY161:DO161" ca="1" si="79">INDIRECT($CX$1&amp;CY$1&amp;$CW161)</f>
        <v>#REF!</v>
      </c>
      <c r="CZ161" s="472" t="e">
        <f t="shared" ca="1" si="79"/>
        <v>#REF!</v>
      </c>
      <c r="DA161" s="472" t="e">
        <f t="shared" ca="1" si="79"/>
        <v>#REF!</v>
      </c>
      <c r="DB161" s="472" t="e">
        <f t="shared" ca="1" si="79"/>
        <v>#REF!</v>
      </c>
      <c r="DC161" s="472" t="e">
        <f t="shared" ca="1" si="79"/>
        <v>#REF!</v>
      </c>
      <c r="DD161" s="472" t="e">
        <f t="shared" ca="1" si="79"/>
        <v>#REF!</v>
      </c>
      <c r="DE161" s="472" t="e">
        <f t="shared" ca="1" si="79"/>
        <v>#REF!</v>
      </c>
      <c r="DF161" s="472" t="e">
        <f t="shared" ca="1" si="79"/>
        <v>#REF!</v>
      </c>
      <c r="DG161" s="472" t="e">
        <f t="shared" ca="1" si="79"/>
        <v>#REF!</v>
      </c>
      <c r="DH161" s="472" t="e">
        <f t="shared" ca="1" si="79"/>
        <v>#REF!</v>
      </c>
      <c r="DI161" s="472" t="e">
        <f t="shared" ca="1" si="79"/>
        <v>#REF!</v>
      </c>
      <c r="DJ161" s="472" t="e">
        <f t="shared" ca="1" si="79"/>
        <v>#REF!</v>
      </c>
      <c r="DK161" s="472" t="e">
        <f t="shared" ca="1" si="79"/>
        <v>#REF!</v>
      </c>
      <c r="DL161" s="472" t="e">
        <f t="shared" ca="1" si="79"/>
        <v>#REF!</v>
      </c>
      <c r="DM161" s="472" t="e">
        <f t="shared" ca="1" si="79"/>
        <v>#REF!</v>
      </c>
      <c r="DN161" s="472" t="e">
        <f t="shared" ca="1" si="79"/>
        <v>#REF!</v>
      </c>
      <c r="DO161" s="472" t="e">
        <f t="shared" ca="1" si="79"/>
        <v>#REF!</v>
      </c>
      <c r="DP161" s="472"/>
      <c r="DS161" s="656"/>
      <c r="DV161" s="472"/>
      <c r="DW161" s="472"/>
      <c r="DX161" s="472"/>
      <c r="DY161" s="472"/>
      <c r="DZ161" s="472"/>
      <c r="EA161" s="472"/>
      <c r="EB161" s="472"/>
      <c r="EC161" s="472"/>
      <c r="ED161" s="472"/>
      <c r="EE161" s="472"/>
      <c r="EF161" s="472"/>
      <c r="EG161" s="472"/>
      <c r="EH161" s="472"/>
      <c r="EI161" s="472"/>
      <c r="EJ161" s="472"/>
      <c r="EK161" s="472"/>
      <c r="EV161" s="819">
        <f t="shared" si="70"/>
        <v>161</v>
      </c>
      <c r="EW161" s="819"/>
    </row>
    <row r="162" spans="1:153" s="472" customFormat="1" ht="39">
      <c r="A162" s="654" t="str">
        <f t="shared" ca="1" si="68"/>
        <v>D.1.162</v>
      </c>
      <c r="B162" s="654" t="str">
        <f t="shared" ca="1" si="69"/>
        <v>1.162</v>
      </c>
      <c r="C162" s="654" t="str">
        <f t="shared" si="77"/>
        <v>[162]</v>
      </c>
      <c r="D162" s="654">
        <f>ROW()</f>
        <v>162</v>
      </c>
      <c r="E162" s="1130" t="str">
        <f>CU162</f>
        <v>- STATUS-Ansatz: Aus dem auf PV-Module bezogenen Energieertrag (1.314 MWh/ha/a  gemäß [154]) und dem erhöhten Flächenbedarf für unverschattete Modulaufstellung (2,5-faches der Modulfläche gemäß [131]) resultiert für PV-Freiflächen ein durchschnittlicher Energieertrag von 526 MWh/ha/a.</v>
      </c>
      <c r="F162" s="1130"/>
      <c r="G162" s="1130"/>
      <c r="H162" s="1130"/>
      <c r="I162" s="1130"/>
      <c r="J162" s="1130"/>
      <c r="K162" s="1130"/>
      <c r="L162" s="1130"/>
      <c r="M162" s="1130"/>
      <c r="N162" s="1131"/>
      <c r="O162" s="869">
        <v>162</v>
      </c>
      <c r="P162" s="573" t="str">
        <f ca="1">HYPERLINK(EK162,EJ162)</f>
        <v/>
      </c>
      <c r="Q162" s="574" t="str">
        <f>Y162</f>
        <v xml:space="preserve"> </v>
      </c>
      <c r="R162" s="852"/>
      <c r="S162" s="784"/>
      <c r="T162" s="864"/>
      <c r="U162" s="1023" t="str">
        <f>"Aus dem auf PV-Module bezogenen Energieertrag ("&amp;TEXT(W154,"0.000")&amp;" MWh/ha/a  gemäß "&amp;C154&amp;") und dem erhöhten Flächenbedarf für unverschattete Modulaufstellung ("&amp;W131&amp;"-faches der Modulfläche gemäß "&amp;C131&amp;") resultiert für PV-Freiflächen ein durchschnittlicher Energieertrag von "&amp;TEXT(W162,"0")&amp;" MWh/ha/a."</f>
        <v>Aus dem auf PV-Module bezogenen Energieertrag (1.314 MWh/ha/a  gemäß [154]) und dem erhöhten Flächenbedarf für unverschattete Modulaufstellung (2,5-faches der Modulfläche gemäß [131]) resultiert für PV-Freiflächen ein durchschnittlicher Energieertrag von 526 MWh/ha/a.</v>
      </c>
      <c r="V162" s="905" t="s">
        <v>126</v>
      </c>
      <c r="W162" s="1024">
        <f>W154/W131</f>
        <v>525.57142857142856</v>
      </c>
      <c r="X162" s="672"/>
      <c r="Y162" s="672" t="s">
        <v>126</v>
      </c>
      <c r="Z162" s="1025"/>
      <c r="AA162" s="658"/>
      <c r="AB162" s="801"/>
      <c r="AC162" s="801"/>
      <c r="AD162" s="801"/>
      <c r="AE162" s="801"/>
      <c r="AF162" s="801"/>
      <c r="AG162" s="801"/>
      <c r="AH162" s="801"/>
      <c r="AI162" s="801"/>
      <c r="AJ162" s="801"/>
      <c r="AK162" s="687"/>
      <c r="AL162" s="801"/>
      <c r="AM162" s="801"/>
      <c r="AN162" s="801"/>
      <c r="AO162" s="801"/>
      <c r="AP162" s="801"/>
      <c r="AQ162" s="801"/>
      <c r="AR162" s="801"/>
      <c r="AS162" s="801"/>
      <c r="AT162" s="801"/>
      <c r="AU162" s="801"/>
      <c r="AV162" s="801"/>
      <c r="BF162" s="473"/>
      <c r="BI162" s="472" t="s">
        <v>126</v>
      </c>
      <c r="BJ162" s="490"/>
      <c r="BN162" s="656"/>
      <c r="BO162" s="472" t="s">
        <v>259</v>
      </c>
      <c r="CU162" s="480" t="str">
        <f>CG$1&amp;IF(U162="",BF162,U162)</f>
        <v>- STATUS-Ansatz: Aus dem auf PV-Module bezogenen Energieertrag (1.314 MWh/ha/a  gemäß [154]) und dem erhöhten Flächenbedarf für unverschattete Modulaufstellung (2,5-faches der Modulfläche gemäß [131]) resultiert für PV-Freiflächen ein durchschnittlicher Energieertrag von 526 MWh/ha/a.</v>
      </c>
      <c r="CV162" s="656"/>
      <c r="CW162" s="480"/>
      <c r="DS162" s="656"/>
      <c r="DT162" s="518"/>
      <c r="EJ162" s="472" t="str">
        <f>IF(X162=0,"",EJ$1&amp;X162)</f>
        <v/>
      </c>
      <c r="EK162" s="472" t="str">
        <f ca="1">EK$1&amp;X162</f>
        <v>[D_Python.xlsx]9.Quellen!C</v>
      </c>
      <c r="EV162" s="819">
        <f t="shared" si="70"/>
        <v>162</v>
      </c>
      <c r="EW162" s="819"/>
    </row>
    <row r="163" spans="1:153" s="478" customFormat="1" ht="4">
      <c r="A163" s="677" t="str">
        <f t="shared" ca="1" si="68"/>
        <v>D.1.163</v>
      </c>
      <c r="B163" s="677" t="str">
        <f t="shared" ca="1" si="69"/>
        <v>1.163</v>
      </c>
      <c r="C163" s="677" t="str">
        <f t="shared" si="77"/>
        <v>[163]</v>
      </c>
      <c r="D163" s="677">
        <f>ROW()</f>
        <v>163</v>
      </c>
      <c r="E163" s="528"/>
      <c r="F163" s="528"/>
      <c r="G163" s="528"/>
      <c r="H163" s="528"/>
      <c r="I163" s="527"/>
      <c r="J163" s="527"/>
      <c r="K163" s="527"/>
      <c r="L163" s="527"/>
      <c r="M163" s="527"/>
      <c r="N163" s="528"/>
      <c r="O163" s="871">
        <v>163</v>
      </c>
      <c r="P163" s="566"/>
      <c r="Q163" s="567"/>
      <c r="R163" s="888"/>
      <c r="S163" s="802"/>
      <c r="T163" s="882"/>
      <c r="U163" s="661"/>
      <c r="V163" s="661"/>
      <c r="W163" s="661"/>
      <c r="X163" s="661"/>
      <c r="Y163" s="661"/>
      <c r="Z163" s="661"/>
      <c r="AA163" s="661"/>
      <c r="AB163" s="675"/>
      <c r="AC163" s="675"/>
      <c r="AD163" s="675"/>
      <c r="AE163" s="675"/>
      <c r="AF163" s="675"/>
      <c r="AG163" s="675"/>
      <c r="AH163" s="675"/>
      <c r="AI163" s="675"/>
      <c r="AJ163" s="675"/>
      <c r="AK163" s="675"/>
      <c r="AL163" s="675"/>
      <c r="AM163" s="675"/>
      <c r="AN163" s="675"/>
      <c r="AO163" s="675"/>
      <c r="AP163" s="675"/>
      <c r="AQ163" s="675"/>
      <c r="AR163" s="675"/>
      <c r="AS163" s="675"/>
      <c r="AT163" s="675"/>
      <c r="AU163" s="675"/>
      <c r="AV163" s="675"/>
      <c r="BI163" s="478" t="s">
        <v>126</v>
      </c>
      <c r="BJ163" s="489"/>
      <c r="BN163" s="661"/>
      <c r="CU163" s="479"/>
      <c r="CV163" s="661"/>
      <c r="CW163" s="479"/>
      <c r="DS163" s="661"/>
      <c r="EV163" s="818" t="str">
        <f t="shared" si="70"/>
        <v/>
      </c>
      <c r="EW163" s="818"/>
    </row>
    <row r="164" spans="1:153" s="472" customFormat="1" ht="39">
      <c r="A164" s="654" t="str">
        <f t="shared" ca="1" si="68"/>
        <v>D.1.164</v>
      </c>
      <c r="B164" s="654" t="str">
        <f t="shared" ca="1" si="69"/>
        <v>1.164</v>
      </c>
      <c r="C164" s="654" t="str">
        <f t="shared" si="77"/>
        <v>[164]</v>
      </c>
      <c r="D164" s="654">
        <f>ROW()</f>
        <v>164</v>
      </c>
      <c r="E164" s="1125" t="str">
        <f t="shared" ref="E164" si="80">CU164</f>
        <v>- ZIEL-Ansatz: Aus dem auf PV-Module bezogenen Energieertrag (1.840 MWh/ha/a  gemäß [158]) und dem erhöhten Flächenbedarf für unverschattete Modulaufstellung (2,5-faches der Modulfläche gemäß [131]) resultiert für PV-Freiflächen ein durchschnittlicher Energieertrag von 736 MWh/ha/a.</v>
      </c>
      <c r="F164" s="1125"/>
      <c r="G164" s="1125"/>
      <c r="H164" s="1125"/>
      <c r="I164" s="1125"/>
      <c r="J164" s="1125"/>
      <c r="K164" s="1125"/>
      <c r="L164" s="1125"/>
      <c r="M164" s="1125"/>
      <c r="N164" s="1132"/>
      <c r="O164" s="869">
        <v>164</v>
      </c>
      <c r="P164" s="573" t="str">
        <f ca="1">HYPERLINK(EK164,EJ164)</f>
        <v/>
      </c>
      <c r="Q164" s="574" t="str">
        <f>Y164</f>
        <v xml:space="preserve"> </v>
      </c>
      <c r="R164" s="852"/>
      <c r="S164" s="784"/>
      <c r="T164" s="864"/>
      <c r="U164" s="1023" t="str">
        <f>"Aus dem auf PV-Module bezogenen Energieertrag ("&amp;TEXT(W158,"0.000")&amp;" MWh/ha/a  gemäß "&amp;C158&amp;") und dem erhöhten Flächenbedarf für unverschattete Modulaufstellung ("&amp;W131&amp;"-faches der Modulfläche gemäß "&amp;C131&amp;") resultiert für PV-Freiflächen ein durchschnittlicher Energieertrag von "&amp;TEXT(W164,"0")&amp;" MWh/ha/a."</f>
        <v>Aus dem auf PV-Module bezogenen Energieertrag (1.840 MWh/ha/a  gemäß [158]) und dem erhöhten Flächenbedarf für unverschattete Modulaufstellung (2,5-faches der Modulfläche gemäß [131]) resultiert für PV-Freiflächen ein durchschnittlicher Energieertrag von 736 MWh/ha/a.</v>
      </c>
      <c r="V164" s="905" t="s">
        <v>126</v>
      </c>
      <c r="W164" s="1024">
        <f>W158/W131</f>
        <v>735.8</v>
      </c>
      <c r="X164" s="672"/>
      <c r="Y164" s="672" t="s">
        <v>126</v>
      </c>
      <c r="Z164" s="1025"/>
      <c r="AA164" s="905"/>
      <c r="AB164" s="801"/>
      <c r="AC164" s="801"/>
      <c r="AD164" s="801"/>
      <c r="AE164" s="801"/>
      <c r="AF164" s="801"/>
      <c r="AG164" s="801"/>
      <c r="AH164" s="801"/>
      <c r="AI164" s="801"/>
      <c r="AJ164" s="801"/>
      <c r="AK164" s="801"/>
      <c r="AL164" s="801"/>
      <c r="AM164" s="801"/>
      <c r="AN164" s="801"/>
      <c r="AO164" s="801"/>
      <c r="AP164" s="801"/>
      <c r="AQ164" s="801"/>
      <c r="AR164" s="801"/>
      <c r="AS164" s="801"/>
      <c r="AT164" s="801"/>
      <c r="AU164" s="801"/>
      <c r="AV164" s="801"/>
      <c r="BF164" s="473"/>
      <c r="BI164" s="472" t="s">
        <v>126</v>
      </c>
      <c r="BJ164" s="490"/>
      <c r="BN164" s="656"/>
      <c r="BO164" s="472" t="s">
        <v>259</v>
      </c>
      <c r="CU164" s="480" t="str">
        <f>CH$1&amp;IF(U164="",BF164,U164)</f>
        <v>- ZIEL-Ansatz: Aus dem auf PV-Module bezogenen Energieertrag (1.840 MWh/ha/a  gemäß [158]) und dem erhöhten Flächenbedarf für unverschattete Modulaufstellung (2,5-faches der Modulfläche gemäß [131]) resultiert für PV-Freiflächen ein durchschnittlicher Energieertrag von 736 MWh/ha/a.</v>
      </c>
      <c r="CV164" s="656"/>
      <c r="CW164" s="480"/>
      <c r="DS164" s="656"/>
      <c r="DT164" s="518">
        <v>53</v>
      </c>
      <c r="EJ164" s="472" t="str">
        <f>IF(X164=0,"",EJ$1&amp;X164)</f>
        <v/>
      </c>
      <c r="EK164" s="472" t="str">
        <f ca="1">EK$1&amp;X164</f>
        <v>[D_Python.xlsx]9.Quellen!C</v>
      </c>
      <c r="EV164" s="819">
        <f t="shared" si="70"/>
        <v>164</v>
      </c>
      <c r="EW164" s="819"/>
    </row>
    <row r="165" spans="1:153" s="478" customFormat="1" ht="4">
      <c r="A165" s="677" t="str">
        <f t="shared" ca="1" si="68"/>
        <v>D.1.165</v>
      </c>
      <c r="B165" s="677" t="str">
        <f t="shared" ca="1" si="69"/>
        <v>1.165</v>
      </c>
      <c r="C165" s="677" t="str">
        <f t="shared" si="77"/>
        <v>[165]</v>
      </c>
      <c r="D165" s="677">
        <f>ROW()</f>
        <v>165</v>
      </c>
      <c r="E165" s="548"/>
      <c r="F165" s="548"/>
      <c r="G165" s="548"/>
      <c r="H165" s="548"/>
      <c r="I165" s="549"/>
      <c r="J165" s="549"/>
      <c r="K165" s="549"/>
      <c r="L165" s="549"/>
      <c r="M165" s="549"/>
      <c r="N165" s="548"/>
      <c r="O165" s="871">
        <v>165</v>
      </c>
      <c r="P165" s="575"/>
      <c r="Q165" s="576"/>
      <c r="R165" s="888"/>
      <c r="S165" s="802"/>
      <c r="T165" s="882"/>
      <c r="U165" s="661"/>
      <c r="V165" s="661"/>
      <c r="W165" s="661"/>
      <c r="X165" s="661"/>
      <c r="Y165" s="661"/>
      <c r="Z165" s="661"/>
      <c r="AA165" s="661"/>
      <c r="AB165" s="675"/>
      <c r="AC165" s="675"/>
      <c r="AD165" s="675"/>
      <c r="AE165" s="675"/>
      <c r="AF165" s="675"/>
      <c r="AG165" s="675"/>
      <c r="AH165" s="675"/>
      <c r="AI165" s="675"/>
      <c r="AJ165" s="675"/>
      <c r="AK165" s="675"/>
      <c r="AL165" s="675"/>
      <c r="AM165" s="675"/>
      <c r="AN165" s="675"/>
      <c r="AO165" s="675"/>
      <c r="AP165" s="675"/>
      <c r="AQ165" s="675"/>
      <c r="AR165" s="675"/>
      <c r="AS165" s="675"/>
      <c r="AT165" s="675"/>
      <c r="AU165" s="675"/>
      <c r="AV165" s="675"/>
      <c r="AZ165" s="505"/>
      <c r="BB165" s="505"/>
      <c r="BI165" s="478" t="s">
        <v>126</v>
      </c>
      <c r="BJ165" s="489"/>
      <c r="BN165" s="661"/>
      <c r="CU165" s="479"/>
      <c r="CV165" s="661"/>
      <c r="CW165" s="479"/>
      <c r="DS165" s="661"/>
      <c r="EV165" s="818" t="str">
        <f t="shared" si="70"/>
        <v/>
      </c>
      <c r="EW165" s="818"/>
    </row>
    <row r="166" spans="1:153" s="475" customFormat="1" ht="13.5" customHeight="1">
      <c r="A166" s="654" t="str">
        <f t="shared" ca="1" si="68"/>
        <v>D.1.166</v>
      </c>
      <c r="B166" s="654" t="str">
        <f t="shared" ca="1" si="69"/>
        <v>1.166</v>
      </c>
      <c r="C166" s="654" t="str">
        <f t="shared" si="77"/>
        <v>[166]</v>
      </c>
      <c r="D166" s="654">
        <f>ROW()</f>
        <v>166</v>
      </c>
      <c r="E166" s="1148" t="str">
        <f>BP166</f>
        <v>Photovoltaik - Vollbetriebsstunden jährlich</v>
      </c>
      <c r="F166" s="1148"/>
      <c r="G166" s="1148"/>
      <c r="H166" s="1148"/>
      <c r="I166" s="1148"/>
      <c r="J166" s="559" t="s">
        <v>320</v>
      </c>
      <c r="K166" s="546">
        <f ca="1">INDIRECT($W$1&amp;U166)</f>
        <v>919.75</v>
      </c>
      <c r="L166" s="485" t="str">
        <f ca="1">HYPERLINK($CK$1&amp;U166,$CE$1&amp;U166&amp;$CF$1)</f>
        <v>[167]</v>
      </c>
      <c r="M166" s="547">
        <f ca="1">INDIRECT($W$1&amp;W166)</f>
        <v>919.75</v>
      </c>
      <c r="N166" s="533" t="str">
        <f ca="1">HYPERLINK($CK$1&amp;W166,$CE$1&amp;W166&amp;$CF$1)</f>
        <v>[169]</v>
      </c>
      <c r="O166" s="869">
        <v>166</v>
      </c>
      <c r="P166" s="570"/>
      <c r="Q166" s="583"/>
      <c r="R166" s="852"/>
      <c r="S166" s="784"/>
      <c r="T166" s="864"/>
      <c r="U166" s="672">
        <f>D167</f>
        <v>167</v>
      </c>
      <c r="V166" s="905" t="s">
        <v>126</v>
      </c>
      <c r="W166" s="672">
        <f>D169</f>
        <v>169</v>
      </c>
      <c r="X166" s="658"/>
      <c r="Y166" s="658"/>
      <c r="Z166" s="658"/>
      <c r="AA166" s="658"/>
      <c r="AB166" s="801"/>
      <c r="AC166" s="801"/>
      <c r="AD166" s="674"/>
      <c r="AE166" s="674"/>
      <c r="AF166" s="674"/>
      <c r="AG166" s="674"/>
      <c r="AH166" s="674"/>
      <c r="AI166" s="674"/>
      <c r="AJ166" s="674"/>
      <c r="AK166" s="674"/>
      <c r="AL166" s="674"/>
      <c r="AM166" s="674"/>
      <c r="AN166" s="674"/>
      <c r="AO166" s="674"/>
      <c r="AP166" s="674"/>
      <c r="AQ166" s="674"/>
      <c r="AR166" s="674"/>
      <c r="AS166" s="674"/>
      <c r="AT166" s="674"/>
      <c r="AU166" s="674"/>
      <c r="AV166" s="674"/>
      <c r="AX166" s="475" t="s">
        <v>244</v>
      </c>
      <c r="AY166" s="500" t="e">
        <f ca="1">DA166</f>
        <v>#REF!</v>
      </c>
      <c r="AZ166" s="508" t="e">
        <f ca="1">HYPERLINK(DN166,DC166)</f>
        <v>#REF!</v>
      </c>
      <c r="BA166" s="500" t="e">
        <f ca="1">DB166</f>
        <v>#REF!</v>
      </c>
      <c r="BB166" s="508" t="e">
        <f ca="1">HYPERLINK(DO166,DD166)</f>
        <v>#REF!</v>
      </c>
      <c r="BC166" s="475" t="e">
        <f ca="1">CY166&amp;" | "&amp;CZ166</f>
        <v>#REF!</v>
      </c>
      <c r="BI166" s="475" t="s">
        <v>126</v>
      </c>
      <c r="BJ166" s="492" t="str">
        <f>E166</f>
        <v>Photovoltaik - Vollbetriebsstunden jährlich</v>
      </c>
      <c r="BK166" s="486">
        <f ca="1">K166</f>
        <v>919.75</v>
      </c>
      <c r="BL166" s="486">
        <f ca="1">M166</f>
        <v>919.75</v>
      </c>
      <c r="BM166" s="472">
        <f>D166</f>
        <v>166</v>
      </c>
      <c r="BN166" s="658"/>
      <c r="BO166" s="475" t="s">
        <v>251</v>
      </c>
      <c r="BP166" s="521" t="s">
        <v>521</v>
      </c>
      <c r="CU166" s="476"/>
      <c r="CV166" s="658"/>
      <c r="CW166" s="518"/>
      <c r="CY166" s="472" t="e">
        <f t="shared" ref="CY166:DO166" ca="1" si="81">INDIRECT($CX$1&amp;CY$1&amp;$CW166)</f>
        <v>#REF!</v>
      </c>
      <c r="CZ166" s="472" t="e">
        <f t="shared" ca="1" si="81"/>
        <v>#REF!</v>
      </c>
      <c r="DA166" s="472" t="e">
        <f t="shared" ca="1" si="81"/>
        <v>#REF!</v>
      </c>
      <c r="DB166" s="472" t="e">
        <f t="shared" ca="1" si="81"/>
        <v>#REF!</v>
      </c>
      <c r="DC166" s="472" t="e">
        <f t="shared" ca="1" si="81"/>
        <v>#REF!</v>
      </c>
      <c r="DD166" s="472" t="e">
        <f t="shared" ca="1" si="81"/>
        <v>#REF!</v>
      </c>
      <c r="DE166" s="472" t="e">
        <f t="shared" ca="1" si="81"/>
        <v>#REF!</v>
      </c>
      <c r="DF166" s="472" t="e">
        <f t="shared" ca="1" si="81"/>
        <v>#REF!</v>
      </c>
      <c r="DG166" s="472" t="e">
        <f t="shared" ca="1" si="81"/>
        <v>#REF!</v>
      </c>
      <c r="DH166" s="472" t="e">
        <f t="shared" ca="1" si="81"/>
        <v>#REF!</v>
      </c>
      <c r="DI166" s="472" t="e">
        <f t="shared" ca="1" si="81"/>
        <v>#REF!</v>
      </c>
      <c r="DJ166" s="472" t="e">
        <f t="shared" ca="1" si="81"/>
        <v>#REF!</v>
      </c>
      <c r="DK166" s="472" t="e">
        <f t="shared" ca="1" si="81"/>
        <v>#REF!</v>
      </c>
      <c r="DL166" s="472" t="e">
        <f t="shared" ca="1" si="81"/>
        <v>#REF!</v>
      </c>
      <c r="DM166" s="472" t="e">
        <f t="shared" ca="1" si="81"/>
        <v>#REF!</v>
      </c>
      <c r="DN166" s="472" t="e">
        <f t="shared" ca="1" si="81"/>
        <v>#REF!</v>
      </c>
      <c r="DO166" s="472" t="e">
        <f t="shared" ca="1" si="81"/>
        <v>#REF!</v>
      </c>
      <c r="DP166" s="472"/>
      <c r="DS166" s="656"/>
      <c r="DV166" s="472"/>
      <c r="DW166" s="472"/>
      <c r="DX166" s="472"/>
      <c r="DY166" s="472"/>
      <c r="DZ166" s="472"/>
      <c r="EA166" s="472"/>
      <c r="EB166" s="472"/>
      <c r="EC166" s="472"/>
      <c r="ED166" s="472"/>
      <c r="EE166" s="472"/>
      <c r="EF166" s="472"/>
      <c r="EG166" s="472"/>
      <c r="EH166" s="472"/>
      <c r="EI166" s="472"/>
      <c r="EJ166" s="472"/>
      <c r="EK166" s="472"/>
      <c r="EV166" s="819">
        <f t="shared" si="70"/>
        <v>166</v>
      </c>
      <c r="EW166" s="819"/>
    </row>
    <row r="167" spans="1:153" s="472" customFormat="1" ht="26">
      <c r="A167" s="654" t="str">
        <f t="shared" ca="1" si="68"/>
        <v>D.1.167</v>
      </c>
      <c r="B167" s="654" t="str">
        <f t="shared" ca="1" si="69"/>
        <v>1.167</v>
      </c>
      <c r="C167" s="654" t="str">
        <f t="shared" si="77"/>
        <v>[167]</v>
      </c>
      <c r="D167" s="654">
        <f>ROW()</f>
        <v>167</v>
      </c>
      <c r="E167" s="1130" t="str">
        <f ca="1">CU167</f>
        <v>- STATUS-Ansatz: Gemäß AEE  [9.16], Zeile 115, lag die mittlere jährliche Ausnutzungsdauer (Vollbetriebsstunden) von Photovoltaik in Deutschland 2012 bis 2015 bei 920 kWh/kWp (Einzelwerte: 934, 867 926, 952, [167]).</v>
      </c>
      <c r="F167" s="1130"/>
      <c r="G167" s="1130"/>
      <c r="H167" s="1130"/>
      <c r="I167" s="1130"/>
      <c r="J167" s="1130"/>
      <c r="K167" s="1130"/>
      <c r="L167" s="1130"/>
      <c r="M167" s="1130"/>
      <c r="N167" s="1131"/>
      <c r="O167" s="869">
        <v>167</v>
      </c>
      <c r="P167" s="573" t="str">
        <f ca="1">HYPERLINK(EK167,EJ167)</f>
        <v>9.16</v>
      </c>
      <c r="Q167" s="574" t="str">
        <f>Y167</f>
        <v>Zeile 115</v>
      </c>
      <c r="R167" s="852"/>
      <c r="S167" s="784"/>
      <c r="T167" s="864"/>
      <c r="U167" s="1023" t="str">
        <f ca="1">"Gemäß "&amp;'9.Quellen'!E16&amp;"  ["&amp;P167&amp;"], "&amp;'1.'!Q167&amp;", lag die mittlere jährliche Ausnutzungsdauer (Vollbetriebsstunden) von Photovoltaik in Deutschland 2012 bis 2015 bei "&amp;TEXT(AK167,"0")&amp;AL167&amp;" (Einzelwerte: "&amp;'1.'!AE167&amp;", "&amp;'1.'!AF167&amp;" "&amp;'1.'!AG167&amp;", "&amp;'1.'!AH167&amp;", "&amp;C167&amp;")."</f>
        <v>Gemäß AEE  [9.16], Zeile 115, lag die mittlere jährliche Ausnutzungsdauer (Vollbetriebsstunden) von Photovoltaik in Deutschland 2012 bis 2015 bei 920 kWh/kWp (Einzelwerte: 934, 867 926, 952, [167]).</v>
      </c>
      <c r="V167" s="905" t="s">
        <v>126</v>
      </c>
      <c r="W167" s="1034">
        <f>AK167</f>
        <v>919.75</v>
      </c>
      <c r="X167" s="672">
        <f>'9.Quellen'!C16</f>
        <v>16</v>
      </c>
      <c r="Y167" s="672" t="s">
        <v>984</v>
      </c>
      <c r="Z167" s="1025"/>
      <c r="AA167" s="658"/>
      <c r="AB167" s="801"/>
      <c r="AC167" s="801"/>
      <c r="AD167" s="563" t="s">
        <v>499</v>
      </c>
      <c r="AE167" s="801">
        <v>934</v>
      </c>
      <c r="AF167" s="801">
        <v>867</v>
      </c>
      <c r="AG167" s="801">
        <v>926</v>
      </c>
      <c r="AH167" s="801">
        <v>952</v>
      </c>
      <c r="AI167" s="563" t="s">
        <v>983</v>
      </c>
      <c r="AJ167" s="801"/>
      <c r="AK167" s="687">
        <f>SUM(AE167:AH167)/COUNTA(AE167:AH167)</f>
        <v>919.75</v>
      </c>
      <c r="AL167" s="801" t="s">
        <v>292</v>
      </c>
      <c r="AM167" s="801"/>
      <c r="AN167" s="801"/>
      <c r="AO167" s="801"/>
      <c r="AP167" s="801"/>
      <c r="AQ167" s="801"/>
      <c r="AR167" s="801"/>
      <c r="AS167" s="801"/>
      <c r="AT167" s="801"/>
      <c r="AU167" s="801"/>
      <c r="AV167" s="801"/>
      <c r="BF167" s="473"/>
      <c r="BI167" s="472" t="s">
        <v>126</v>
      </c>
      <c r="BJ167" s="490"/>
      <c r="BN167" s="656"/>
      <c r="BO167" s="472" t="s">
        <v>259</v>
      </c>
      <c r="CU167" s="480" t="str">
        <f ca="1">CG$1&amp;IF(U167="",BF167,U167)</f>
        <v>- STATUS-Ansatz: Gemäß AEE  [9.16], Zeile 115, lag die mittlere jährliche Ausnutzungsdauer (Vollbetriebsstunden) von Photovoltaik in Deutschland 2012 bis 2015 bei 920 kWh/kWp (Einzelwerte: 934, 867 926, 952, [167]).</v>
      </c>
      <c r="CV167" s="656"/>
      <c r="CW167" s="480"/>
      <c r="DS167" s="656"/>
      <c r="DT167" s="518"/>
      <c r="EJ167" s="472" t="str">
        <f ca="1">IF(X167=0,"",EJ$1&amp;X167)</f>
        <v>9.16</v>
      </c>
      <c r="EK167" s="472" t="str">
        <f ca="1">EK$1&amp;X167</f>
        <v>[D_Python.xlsx]9.Quellen!C16</v>
      </c>
      <c r="EV167" s="819">
        <f t="shared" ca="1" si="70"/>
        <v>167</v>
      </c>
      <c r="EW167" s="819"/>
    </row>
    <row r="168" spans="1:153" s="478" customFormat="1" ht="4">
      <c r="A168" s="677" t="str">
        <f t="shared" ca="1" si="68"/>
        <v>D.1.168</v>
      </c>
      <c r="B168" s="677" t="str">
        <f t="shared" ca="1" si="69"/>
        <v>1.168</v>
      </c>
      <c r="C168" s="677" t="str">
        <f t="shared" si="77"/>
        <v>[168]</v>
      </c>
      <c r="D168" s="677">
        <f>ROW()</f>
        <v>168</v>
      </c>
      <c r="E168" s="528"/>
      <c r="F168" s="528"/>
      <c r="G168" s="528"/>
      <c r="H168" s="528"/>
      <c r="I168" s="527"/>
      <c r="J168" s="527"/>
      <c r="K168" s="527"/>
      <c r="L168" s="527"/>
      <c r="M168" s="527"/>
      <c r="N168" s="528"/>
      <c r="O168" s="871">
        <v>168</v>
      </c>
      <c r="P168" s="566"/>
      <c r="Q168" s="567"/>
      <c r="R168" s="888"/>
      <c r="S168" s="802"/>
      <c r="T168" s="882"/>
      <c r="U168" s="661"/>
      <c r="V168" s="661"/>
      <c r="W168" s="661"/>
      <c r="X168" s="661"/>
      <c r="Y168" s="661"/>
      <c r="Z168" s="661"/>
      <c r="AA168" s="661"/>
      <c r="AB168" s="675"/>
      <c r="AC168" s="675"/>
      <c r="AD168" s="675"/>
      <c r="AE168" s="675"/>
      <c r="AF168" s="675"/>
      <c r="AG168" s="675"/>
      <c r="AH168" s="675"/>
      <c r="AI168" s="675"/>
      <c r="AJ168" s="675"/>
      <c r="AK168" s="675"/>
      <c r="AL168" s="675"/>
      <c r="AM168" s="675"/>
      <c r="AN168" s="675"/>
      <c r="AO168" s="675"/>
      <c r="AP168" s="675"/>
      <c r="AQ168" s="675"/>
      <c r="AR168" s="675"/>
      <c r="AS168" s="675"/>
      <c r="AT168" s="675"/>
      <c r="AU168" s="675"/>
      <c r="AV168" s="675"/>
      <c r="BI168" s="478" t="s">
        <v>126</v>
      </c>
      <c r="BJ168" s="489"/>
      <c r="BN168" s="661"/>
      <c r="CU168" s="479"/>
      <c r="CV168" s="661"/>
      <c r="CW168" s="479"/>
      <c r="DS168" s="661"/>
      <c r="EV168" s="818" t="str">
        <f t="shared" si="70"/>
        <v/>
      </c>
      <c r="EW168" s="818"/>
    </row>
    <row r="169" spans="1:153" s="472" customFormat="1" ht="52">
      <c r="A169" s="654" t="str">
        <f t="shared" ca="1" si="68"/>
        <v>D.1.169</v>
      </c>
      <c r="B169" s="654" t="str">
        <f t="shared" ca="1" si="69"/>
        <v>1.169</v>
      </c>
      <c r="C169" s="654" t="str">
        <f t="shared" si="77"/>
        <v>[169]</v>
      </c>
      <c r="D169" s="654">
        <f>ROW()</f>
        <v>169</v>
      </c>
      <c r="E169" s="1125" t="str">
        <f t="shared" ref="E169" si="82">CU169</f>
        <v xml:space="preserve">- ZIEL-Ansatz: Unter der Annahme  eines gleichbleibenden Modul-Ausrichtungspektrums und dass Klimaveränderungen ohne Einfluss auf die Strahlungsverhältnisse bleiben, wird für Niedersachsen von einer jährlichen Ausnutzungsdauer (Vollbetriebsstunden) wie in den vergangenen Jahren von 920 KWh/kWp [167] ausgegangen. </v>
      </c>
      <c r="F169" s="1125"/>
      <c r="G169" s="1125"/>
      <c r="H169" s="1125"/>
      <c r="I169" s="1125"/>
      <c r="J169" s="1125"/>
      <c r="K169" s="1125"/>
      <c r="L169" s="1125"/>
      <c r="M169" s="1125"/>
      <c r="N169" s="1132"/>
      <c r="O169" s="869">
        <v>169</v>
      </c>
      <c r="P169" s="573" t="str">
        <f ca="1">HYPERLINK(EK169,EJ169)</f>
        <v/>
      </c>
      <c r="Q169" s="574" t="str">
        <f>Y169</f>
        <v xml:space="preserve"> </v>
      </c>
      <c r="R169" s="852"/>
      <c r="S169" s="784"/>
      <c r="T169" s="864"/>
      <c r="U169" s="1023" t="str">
        <f>"Unter der Annahme  eines gleichbleibenden Modul-Ausrichtungspektrums und dass Klimaveränderungen ohne Einfluss auf die Strahlungsverhältnisse bleiben, "&amp;"wird für Niedersachsen von einer jährlichen Ausnutzungsdauer (Vollbetriebsstunden) wie in den vergangenen Jahren von "&amp;TEXT(W167,"0")&amp;" KWh/kWp "&amp;C167&amp;" ausgegangen. "</f>
        <v xml:space="preserve">Unter der Annahme  eines gleichbleibenden Modul-Ausrichtungspektrums und dass Klimaveränderungen ohne Einfluss auf die Strahlungsverhältnisse bleiben, wird für Niedersachsen von einer jährlichen Ausnutzungsdauer (Vollbetriebsstunden) wie in den vergangenen Jahren von 920 KWh/kWp [167] ausgegangen. </v>
      </c>
      <c r="V169" s="905" t="s">
        <v>126</v>
      </c>
      <c r="W169" s="1024">
        <f>W167</f>
        <v>919.75</v>
      </c>
      <c r="X169" s="672"/>
      <c r="Y169" s="672" t="s">
        <v>126</v>
      </c>
      <c r="Z169" s="1025"/>
      <c r="AA169" s="905"/>
      <c r="AB169" s="801"/>
      <c r="AC169" s="801"/>
      <c r="AD169" s="801"/>
      <c r="AE169" s="801"/>
      <c r="AF169" s="801"/>
      <c r="AG169" s="801"/>
      <c r="AH169" s="801"/>
      <c r="AI169" s="801"/>
      <c r="AJ169" s="801"/>
      <c r="AK169" s="801"/>
      <c r="AL169" s="801"/>
      <c r="AM169" s="801"/>
      <c r="AN169" s="801"/>
      <c r="AO169" s="801"/>
      <c r="AP169" s="801"/>
      <c r="AQ169" s="801"/>
      <c r="AR169" s="801"/>
      <c r="AS169" s="801"/>
      <c r="AT169" s="801"/>
      <c r="AU169" s="801"/>
      <c r="AV169" s="801"/>
      <c r="BF169" s="473"/>
      <c r="BI169" s="472" t="s">
        <v>126</v>
      </c>
      <c r="BJ169" s="490"/>
      <c r="BN169" s="656"/>
      <c r="BO169" s="472" t="s">
        <v>259</v>
      </c>
      <c r="CU169" s="480" t="str">
        <f>CH$1&amp;IF(U169="",BF169,U169)</f>
        <v xml:space="preserve">- ZIEL-Ansatz: Unter der Annahme  eines gleichbleibenden Modul-Ausrichtungspektrums und dass Klimaveränderungen ohne Einfluss auf die Strahlungsverhältnisse bleiben, wird für Niedersachsen von einer jährlichen Ausnutzungsdauer (Vollbetriebsstunden) wie in den vergangenen Jahren von 920 KWh/kWp [167] ausgegangen. </v>
      </c>
      <c r="CV169" s="656"/>
      <c r="CW169" s="480"/>
      <c r="DS169" s="656"/>
      <c r="DT169" s="518">
        <v>53</v>
      </c>
      <c r="EJ169" s="472" t="str">
        <f>IF(X169=0,"",EJ$1&amp;X169)</f>
        <v/>
      </c>
      <c r="EK169" s="472" t="str">
        <f ca="1">EK$1&amp;X169</f>
        <v>[D_Python.xlsx]9.Quellen!C</v>
      </c>
      <c r="EV169" s="819">
        <f t="shared" si="70"/>
        <v>169</v>
      </c>
      <c r="EW169" s="819"/>
    </row>
    <row r="170" spans="1:153" s="528" customFormat="1" ht="4">
      <c r="A170" s="540" t="str">
        <f t="shared" ca="1" si="68"/>
        <v>D.1.170</v>
      </c>
      <c r="B170" s="540" t="str">
        <f t="shared" ca="1" si="69"/>
        <v>1.170</v>
      </c>
      <c r="C170" s="540" t="str">
        <f t="shared" si="77"/>
        <v>[170]</v>
      </c>
      <c r="D170" s="540">
        <f>ROW()</f>
        <v>170</v>
      </c>
      <c r="I170" s="527"/>
      <c r="J170" s="527"/>
      <c r="K170" s="527"/>
      <c r="L170" s="527"/>
      <c r="M170" s="527"/>
      <c r="O170" s="870">
        <v>170</v>
      </c>
      <c r="P170" s="566"/>
      <c r="Q170" s="567"/>
      <c r="R170" s="889"/>
      <c r="S170" s="802"/>
      <c r="T170" s="883"/>
      <c r="U170" s="661"/>
      <c r="V170" s="661"/>
      <c r="W170" s="661"/>
      <c r="X170" s="661"/>
      <c r="Y170" s="661"/>
      <c r="Z170" s="661"/>
      <c r="AA170" s="661"/>
      <c r="AB170" s="675"/>
      <c r="AC170" s="675"/>
      <c r="AD170" s="675"/>
      <c r="AE170" s="675"/>
      <c r="AF170" s="675"/>
      <c r="AG170" s="675"/>
      <c r="AH170" s="675"/>
      <c r="AI170" s="675"/>
      <c r="AJ170" s="675"/>
      <c r="AK170" s="675"/>
      <c r="AL170" s="675"/>
      <c r="AM170" s="675"/>
      <c r="AN170" s="675"/>
      <c r="AO170" s="675"/>
      <c r="AP170" s="675"/>
      <c r="AQ170" s="675"/>
      <c r="AR170" s="675"/>
      <c r="AS170" s="675"/>
      <c r="AT170" s="675"/>
      <c r="AU170" s="675"/>
      <c r="AV170" s="675"/>
      <c r="AZ170" s="541"/>
      <c r="BB170" s="541"/>
      <c r="BI170" s="528" t="s">
        <v>126</v>
      </c>
      <c r="BJ170" s="542"/>
      <c r="BN170" s="680"/>
      <c r="CU170" s="543"/>
      <c r="CV170" s="680"/>
      <c r="CW170" s="543"/>
      <c r="DS170" s="680"/>
      <c r="EV170" s="820" t="str">
        <f t="shared" si="70"/>
        <v/>
      </c>
      <c r="EW170" s="820"/>
    </row>
    <row r="171" spans="1:153" s="472" customFormat="1" ht="13">
      <c r="A171" s="654" t="str">
        <f t="shared" ca="1" si="68"/>
        <v>D.1.171</v>
      </c>
      <c r="B171" s="654" t="str">
        <f t="shared" ca="1" si="69"/>
        <v>1.171</v>
      </c>
      <c r="C171" s="654" t="str">
        <f t="shared" si="77"/>
        <v>[171]</v>
      </c>
      <c r="D171" s="654">
        <f>ROW()</f>
        <v>171</v>
      </c>
      <c r="E171" s="481" t="str">
        <f>BP171</f>
        <v>Windenergie Onshore</v>
      </c>
      <c r="F171" s="482"/>
      <c r="G171" s="482"/>
      <c r="H171" s="482"/>
      <c r="I171" s="483"/>
      <c r="J171" s="484"/>
      <c r="K171" s="484"/>
      <c r="L171" s="484"/>
      <c r="M171" s="484"/>
      <c r="N171" s="532"/>
      <c r="O171" s="869">
        <v>171</v>
      </c>
      <c r="P171" s="568"/>
      <c r="Q171" s="569"/>
      <c r="R171" s="852"/>
      <c r="S171" s="804"/>
      <c r="T171" s="864"/>
      <c r="U171" s="905"/>
      <c r="V171" s="905"/>
      <c r="W171" s="905"/>
      <c r="X171" s="905"/>
      <c r="Y171" s="905"/>
      <c r="Z171" s="905"/>
      <c r="AA171" s="905"/>
      <c r="AB171" s="801"/>
      <c r="AC171" s="801"/>
      <c r="AD171" s="801"/>
      <c r="AE171" s="801"/>
      <c r="AF171" s="801"/>
      <c r="AG171" s="801"/>
      <c r="AH171" s="801"/>
      <c r="AI171" s="801"/>
      <c r="AJ171" s="801"/>
      <c r="AK171" s="801"/>
      <c r="AL171" s="801"/>
      <c r="AM171" s="801"/>
      <c r="AN171" s="801"/>
      <c r="AO171" s="801"/>
      <c r="AP171" s="801"/>
      <c r="AQ171" s="801"/>
      <c r="AR171" s="801"/>
      <c r="AS171" s="801"/>
      <c r="AT171" s="801"/>
      <c r="AU171" s="801"/>
      <c r="AV171" s="801"/>
      <c r="AZ171" s="504"/>
      <c r="BB171" s="506"/>
      <c r="BI171" s="472" t="s">
        <v>126</v>
      </c>
      <c r="BJ171" s="490"/>
      <c r="BN171" s="656"/>
      <c r="BO171" s="472" t="s">
        <v>250</v>
      </c>
      <c r="BP171" s="518" t="s">
        <v>346</v>
      </c>
      <c r="CU171" s="480"/>
      <c r="CV171" s="656"/>
      <c r="CW171" s="480"/>
      <c r="DS171" s="656"/>
      <c r="EV171" s="819">
        <f t="shared" si="70"/>
        <v>171</v>
      </c>
      <c r="EW171" s="819"/>
    </row>
    <row r="172" spans="1:153" s="478" customFormat="1" ht="4">
      <c r="A172" s="677" t="str">
        <f t="shared" ca="1" si="68"/>
        <v>D.1.172</v>
      </c>
      <c r="B172" s="677" t="str">
        <f t="shared" ca="1" si="69"/>
        <v>1.172</v>
      </c>
      <c r="C172" s="677" t="str">
        <f t="shared" si="77"/>
        <v>[172]</v>
      </c>
      <c r="D172" s="677">
        <f>ROW()</f>
        <v>172</v>
      </c>
      <c r="E172" s="528"/>
      <c r="F172" s="528"/>
      <c r="G172" s="528"/>
      <c r="H172" s="528"/>
      <c r="I172" s="527"/>
      <c r="J172" s="527"/>
      <c r="K172" s="527"/>
      <c r="L172" s="527"/>
      <c r="M172" s="527"/>
      <c r="N172" s="528"/>
      <c r="O172" s="871">
        <v>172</v>
      </c>
      <c r="P172" s="566"/>
      <c r="Q172" s="567"/>
      <c r="R172" s="888"/>
      <c r="S172" s="802"/>
      <c r="T172" s="882"/>
      <c r="U172" s="661"/>
      <c r="V172" s="661"/>
      <c r="W172" s="661"/>
      <c r="X172" s="661"/>
      <c r="Y172" s="661"/>
      <c r="Z172" s="661"/>
      <c r="AA172" s="661"/>
      <c r="AB172" s="675"/>
      <c r="AC172" s="675"/>
      <c r="AD172" s="675"/>
      <c r="AE172" s="675"/>
      <c r="AF172" s="675"/>
      <c r="AG172" s="675"/>
      <c r="AH172" s="675"/>
      <c r="AI172" s="675"/>
      <c r="AJ172" s="675"/>
      <c r="AK172" s="675"/>
      <c r="AL172" s="675"/>
      <c r="AM172" s="675"/>
      <c r="AN172" s="675"/>
      <c r="AO172" s="675"/>
      <c r="AP172" s="675"/>
      <c r="AQ172" s="675"/>
      <c r="AR172" s="675"/>
      <c r="AS172" s="675"/>
      <c r="AT172" s="675"/>
      <c r="AU172" s="675"/>
      <c r="AV172" s="675"/>
      <c r="AZ172" s="505"/>
      <c r="BB172" s="505"/>
      <c r="BI172" s="478" t="s">
        <v>126</v>
      </c>
      <c r="BJ172" s="489"/>
      <c r="BN172" s="661"/>
      <c r="CU172" s="479"/>
      <c r="CV172" s="661"/>
      <c r="CW172" s="479"/>
      <c r="DS172" s="661"/>
      <c r="EV172" s="818" t="str">
        <f t="shared" si="70"/>
        <v/>
      </c>
      <c r="EW172" s="818"/>
    </row>
    <row r="173" spans="1:153" s="475" customFormat="1" ht="13.5" customHeight="1">
      <c r="A173" s="654" t="str">
        <f t="shared" ca="1" si="68"/>
        <v>D.1.173</v>
      </c>
      <c r="B173" s="654" t="str">
        <f t="shared" ca="1" si="69"/>
        <v>1.173</v>
      </c>
      <c r="C173" s="654" t="str">
        <f t="shared" si="77"/>
        <v>[173]</v>
      </c>
      <c r="D173" s="654">
        <f>ROW()</f>
        <v>173</v>
      </c>
      <c r="E173" s="1129" t="str">
        <f>BP173</f>
        <v>Windenergie Flächenpotenzial</v>
      </c>
      <c r="F173" s="1129"/>
      <c r="G173" s="1129"/>
      <c r="H173" s="1129"/>
      <c r="I173" s="1129"/>
      <c r="J173" s="471" t="s">
        <v>272</v>
      </c>
      <c r="K173" s="546">
        <f ca="1">INDIRECT($W$1&amp;U173)</f>
        <v>2900000</v>
      </c>
      <c r="L173" s="485" t="str">
        <f ca="1">HYPERLINK($CK$1&amp;U173,$CE$1&amp;U173&amp;$CF$1)</f>
        <v>[174]</v>
      </c>
      <c r="M173" s="547">
        <f ca="1">INDIRECT($W$1&amp;W173)</f>
        <v>2320000</v>
      </c>
      <c r="N173" s="533" t="str">
        <f ca="1">HYPERLINK($CK$1&amp;W173,$CE$1&amp;W173&amp;$CF$1)</f>
        <v>[179]</v>
      </c>
      <c r="O173" s="869">
        <v>173</v>
      </c>
      <c r="P173" s="570"/>
      <c r="Q173" s="583"/>
      <c r="R173" s="852"/>
      <c r="S173" s="784"/>
      <c r="T173" s="864"/>
      <c r="U173" s="672">
        <f>D174</f>
        <v>174</v>
      </c>
      <c r="V173" s="905" t="s">
        <v>126</v>
      </c>
      <c r="W173" s="672">
        <f>D179</f>
        <v>179</v>
      </c>
      <c r="X173" s="658"/>
      <c r="Y173" s="658"/>
      <c r="Z173" s="658"/>
      <c r="AA173" s="658"/>
      <c r="AB173" s="801"/>
      <c r="AC173" s="801"/>
      <c r="AD173" s="674"/>
      <c r="AE173" s="674"/>
      <c r="AF173" s="674"/>
      <c r="AG173" s="674"/>
      <c r="AH173" s="674"/>
      <c r="AI173" s="674"/>
      <c r="AJ173" s="674"/>
      <c r="AK173" s="674"/>
      <c r="AL173" s="674"/>
      <c r="AM173" s="674"/>
      <c r="AN173" s="674"/>
      <c r="AO173" s="674"/>
      <c r="AP173" s="674"/>
      <c r="AQ173" s="674"/>
      <c r="AR173" s="674"/>
      <c r="AS173" s="674"/>
      <c r="AT173" s="674"/>
      <c r="AU173" s="674"/>
      <c r="AV173" s="674"/>
      <c r="AX173" s="475" t="s">
        <v>244</v>
      </c>
      <c r="AY173" s="500">
        <f ca="1">DA173</f>
        <v>36590.400000000001</v>
      </c>
      <c r="AZ173" s="508" t="str">
        <f ca="1">HYPERLINK(DN173,DC173)</f>
        <v xml:space="preserve"> 191</v>
      </c>
      <c r="BA173" s="500">
        <f ca="1">DB173</f>
        <v>119034.45</v>
      </c>
      <c r="BB173" s="508" t="str">
        <f ca="1">HYPERLINK(DO173,DD173)</f>
        <v xml:space="preserve"> 59</v>
      </c>
      <c r="BC173" s="475" t="str">
        <f ca="1">CY173&amp;" | "&amp;CZ173</f>
        <v>Windpark-Fl.
Onshore | 2.1.5 Für Windparks genutzte Abstands-Flächen (Onshore)</v>
      </c>
      <c r="BI173" s="475" t="s">
        <v>126</v>
      </c>
      <c r="BJ173" s="492" t="str">
        <f>E173</f>
        <v>Windenergie Flächenpotenzial</v>
      </c>
      <c r="BK173" s="486">
        <f ca="1">K173</f>
        <v>2900000</v>
      </c>
      <c r="BL173" s="486">
        <f ca="1">M173</f>
        <v>2320000</v>
      </c>
      <c r="BM173" s="472">
        <f>D173</f>
        <v>173</v>
      </c>
      <c r="BN173" s="658"/>
      <c r="BO173" s="475" t="s">
        <v>251</v>
      </c>
      <c r="BP173" s="521" t="s">
        <v>348</v>
      </c>
      <c r="CU173" s="476"/>
      <c r="CV173" s="658"/>
      <c r="CW173" s="518">
        <v>30</v>
      </c>
      <c r="CY173" s="472" t="str">
        <f t="shared" ref="CY173:DO173" ca="1" si="83">INDIRECT($CX$1&amp;CY$1&amp;$CW173)</f>
        <v>Windpark-Fl.
Onshore</v>
      </c>
      <c r="CZ173" s="472" t="str">
        <f t="shared" ca="1" si="83"/>
        <v>2.1.5 Für Windparks genutzte Abstands-Flächen (Onshore)</v>
      </c>
      <c r="DA173" s="472">
        <f t="shared" ca="1" si="83"/>
        <v>36590.400000000001</v>
      </c>
      <c r="DB173" s="472">
        <f t="shared" ca="1" si="83"/>
        <v>119034.45</v>
      </c>
      <c r="DC173" s="472" t="str">
        <f t="shared" ca="1" si="83"/>
        <v xml:space="preserve"> 191</v>
      </c>
      <c r="DD173" s="472" t="str">
        <f t="shared" ca="1" si="83"/>
        <v xml:space="preserve"> 59</v>
      </c>
      <c r="DE173" s="472" t="str">
        <f t="shared" ca="1" si="83"/>
        <v>Wi20</v>
      </c>
      <c r="DF173" s="472" t="str">
        <f t="shared" ca="1" si="83"/>
        <v>Wi40</v>
      </c>
      <c r="DG173" s="472" t="str">
        <f t="shared" ca="1" si="83"/>
        <v>Wi</v>
      </c>
      <c r="DH173" s="472" t="str">
        <f t="shared" ca="1" si="83"/>
        <v>20</v>
      </c>
      <c r="DI173" s="472" t="str">
        <f t="shared" ca="1" si="83"/>
        <v>[Wi.xls]TEXT!Z20S5</v>
      </c>
      <c r="DJ173" s="472" t="str">
        <f t="shared" ca="1" si="83"/>
        <v>Wi</v>
      </c>
      <c r="DK173" s="472" t="str">
        <f t="shared" ca="1" si="83"/>
        <v>40</v>
      </c>
      <c r="DL173" s="472" t="str">
        <f t="shared" ca="1" si="83"/>
        <v>[Wi.xls]TEXT!Z40S5</v>
      </c>
      <c r="DM173" s="472">
        <f t="shared" ca="1" si="83"/>
        <v>30</v>
      </c>
      <c r="DN173" s="472" t="str">
        <f t="shared" ca="1" si="83"/>
        <v>[Region.xls]PARAMETER!Z191S6</v>
      </c>
      <c r="DO173" s="472" t="str">
        <f t="shared" ca="1" si="83"/>
        <v>[Region.xls]PARAMETER!Z59S6</v>
      </c>
      <c r="DP173" s="472"/>
      <c r="DS173" s="656"/>
      <c r="DV173" s="472"/>
      <c r="DW173" s="472"/>
      <c r="DX173" s="472"/>
      <c r="DY173" s="472"/>
      <c r="DZ173" s="472"/>
      <c r="EA173" s="472"/>
      <c r="EB173" s="472"/>
      <c r="EC173" s="472"/>
      <c r="ED173" s="472"/>
      <c r="EE173" s="472"/>
      <c r="EF173" s="472"/>
      <c r="EG173" s="472"/>
      <c r="EH173" s="472"/>
      <c r="EI173" s="472"/>
      <c r="EJ173" s="472"/>
      <c r="EK173" s="472"/>
      <c r="EV173" s="819">
        <f t="shared" si="70"/>
        <v>173</v>
      </c>
      <c r="EW173" s="819"/>
    </row>
    <row r="174" spans="1:153" s="472" customFormat="1" ht="60" customHeight="1">
      <c r="A174" s="654" t="str">
        <f t="shared" ca="1" si="68"/>
        <v>D.1.174</v>
      </c>
      <c r="B174" s="654" t="str">
        <f t="shared" ca="1" si="69"/>
        <v>1.174</v>
      </c>
      <c r="C174" s="654" t="str">
        <f t="shared" si="77"/>
        <v>[174]</v>
      </c>
      <c r="D174" s="654">
        <f>ROW()</f>
        <v>174</v>
      </c>
      <c r="E174" s="1130" t="str">
        <f ca="1">CU174</f>
        <v>- STATUS-Ansatz: Gemäß einer Studie von BWE/IWES [9.84], S. 22, verfügt Niedersachsen über eine für die Aufstellung von Windenergieanlagen ohne Restriktionen nutzbare Fläche [175] von 29.000 qkm, die hier als technisches Flächenpotenzial übernommen wird. Die Studien-Ergebnisse sind mit Unsicherheiten behaftet (siehe Seite 46), erscheinen zurzeit jedoch als die am besten geeignete Grundlage.</v>
      </c>
      <c r="F174" s="1130"/>
      <c r="G174" s="1130"/>
      <c r="H174" s="1130"/>
      <c r="I174" s="1130"/>
      <c r="J174" s="1130"/>
      <c r="K174" s="1130"/>
      <c r="L174" s="1130"/>
      <c r="M174" s="1130"/>
      <c r="N174" s="1131"/>
      <c r="O174" s="869">
        <v>174</v>
      </c>
      <c r="P174" s="573" t="str">
        <f ca="1">HYPERLINK(EK174,EJ174)</f>
        <v>9.84</v>
      </c>
      <c r="Q174" s="574" t="str">
        <f>Y174</f>
        <v>S. 22</v>
      </c>
      <c r="R174" s="852"/>
      <c r="S174" s="784"/>
      <c r="T174" s="864"/>
      <c r="U174" s="1023" t="str">
        <f ca="1">"Gemäß einer Studie von "&amp;'9.Quellen'!E84&amp;" ["&amp;'1.'!P174&amp;"], "&amp;'1.'!Q174&amp;", verfügt Niedersachsen über eine für die Aufstellung von Windenergieanlagen ohne Restriktionen nutzbare Fläche "&amp;C175&amp;" von "&amp;TEXT('1.'!AD174,"0.000")&amp;'1.'!AE174&amp;", die hier als technisches Flächenpotenzial übernommen wird. Die Studien-Ergebnisse sind mit Unsicherheiten behaftet (siehe Seite 46), erscheinen zurzeit jedoch als die am besten geeignete Grundlage."</f>
        <v>Gemäß einer Studie von BWE/IWES [9.84], S. 22, verfügt Niedersachsen über eine für die Aufstellung von Windenergieanlagen ohne Restriktionen nutzbare Fläche [175] von 29.000 qkm, die hier als technisches Flächenpotenzial übernommen wird. Die Studien-Ergebnisse sind mit Unsicherheiten behaftet (siehe Seite 46), erscheinen zurzeit jedoch als die am besten geeignete Grundlage.</v>
      </c>
      <c r="V174" s="905" t="s">
        <v>126</v>
      </c>
      <c r="W174" s="1080">
        <f>AD174*100</f>
        <v>2900000</v>
      </c>
      <c r="X174" s="672">
        <f>'9.Quellen'!C84</f>
        <v>84</v>
      </c>
      <c r="Y174" s="672" t="s">
        <v>563</v>
      </c>
      <c r="Z174" s="1025"/>
      <c r="AA174" s="658"/>
      <c r="AB174" s="801"/>
      <c r="AC174" s="801"/>
      <c r="AD174" s="801">
        <v>29000</v>
      </c>
      <c r="AE174" s="801" t="s">
        <v>349</v>
      </c>
      <c r="AF174" s="801"/>
      <c r="AG174" s="801"/>
      <c r="AH174" s="801"/>
      <c r="AI174" s="801"/>
      <c r="AJ174" s="801"/>
      <c r="AK174" s="801"/>
      <c r="AL174" s="801"/>
      <c r="AM174" s="801"/>
      <c r="AN174" s="801"/>
      <c r="AO174" s="801"/>
      <c r="AP174" s="801"/>
      <c r="AQ174" s="801"/>
      <c r="AR174" s="801"/>
      <c r="AS174" s="801"/>
      <c r="AT174" s="801"/>
      <c r="AU174" s="801"/>
      <c r="AV174" s="801"/>
      <c r="BF174" s="473"/>
      <c r="BI174" s="472" t="s">
        <v>126</v>
      </c>
      <c r="BJ174" s="490"/>
      <c r="BN174" s="656"/>
      <c r="BO174" s="472" t="s">
        <v>259</v>
      </c>
      <c r="CU174" s="480" t="str">
        <f ca="1">CG$1&amp;IF(U174="",BF174,U174)</f>
        <v>- STATUS-Ansatz: Gemäß einer Studie von BWE/IWES [9.84], S. 22, verfügt Niedersachsen über eine für die Aufstellung von Windenergieanlagen ohne Restriktionen nutzbare Fläche [175] von 29.000 qkm, die hier als technisches Flächenpotenzial übernommen wird. Die Studien-Ergebnisse sind mit Unsicherheiten behaftet (siehe Seite 46), erscheinen zurzeit jedoch als die am besten geeignete Grundlage.</v>
      </c>
      <c r="CV174" s="656"/>
      <c r="CW174" s="480"/>
      <c r="DS174" s="656"/>
      <c r="DT174" s="518">
        <f>I_Basisdaten!A56</f>
        <v>56</v>
      </c>
      <c r="EJ174" s="472" t="str">
        <f ca="1">IF(X174=0,"",EJ$1&amp;X174)</f>
        <v>9.84</v>
      </c>
      <c r="EK174" s="472" t="str">
        <f ca="1">EK$1&amp;X174</f>
        <v>[D_Python.xlsx]9.Quellen!C84</v>
      </c>
      <c r="EV174" s="819">
        <f t="shared" ca="1" si="70"/>
        <v>174</v>
      </c>
      <c r="EW174" s="819"/>
    </row>
    <row r="175" spans="1:153" s="472" customFormat="1" ht="39">
      <c r="A175" s="654" t="str">
        <f t="shared" ca="1" si="68"/>
        <v>D.1.175</v>
      </c>
      <c r="B175" s="654" t="str">
        <f t="shared" ca="1" si="69"/>
        <v>1.175</v>
      </c>
      <c r="C175" s="654" t="str">
        <f t="shared" si="77"/>
        <v>[175]</v>
      </c>
      <c r="D175" s="654">
        <f>ROW()</f>
        <v>175</v>
      </c>
      <c r="E175" s="1130" t="str">
        <f ca="1">CU175</f>
        <v>"Nutzbare Flächen ohne Restriktionen sind die als nutzbar berechneten Flächen [176], die außerhalb von Wald- und Schutzgebieten liegen. Hierbei handelt es sich hauptsächlich um verschiedene Formen landwirtschaftlicher Flächen (…) sowie Wiesen und Weiden, Heiden und Grünland." [9.84] S. 12.</v>
      </c>
      <c r="F175" s="1130"/>
      <c r="G175" s="1130"/>
      <c r="H175" s="1130"/>
      <c r="I175" s="1130"/>
      <c r="J175" s="1130"/>
      <c r="K175" s="1130"/>
      <c r="L175" s="1130"/>
      <c r="M175" s="1130"/>
      <c r="N175" s="1131"/>
      <c r="O175" s="869">
        <v>175</v>
      </c>
      <c r="P175" s="573" t="str">
        <f ca="1">HYPERLINK(EK175,EJ175)</f>
        <v>9.84</v>
      </c>
      <c r="Q175" s="574" t="str">
        <f>Y175</f>
        <v>S. 12</v>
      </c>
      <c r="R175" s="852"/>
      <c r="S175" s="784"/>
      <c r="T175" s="864"/>
      <c r="U175" s="1033" t="str">
        <f ca="1">"""Nutzbare Flächen ohne Restriktionen sind die als nutzbar berechneten Flächen "&amp;C176&amp;", die außerhalb von Wald- und Schutzgebieten liegen. "&amp;"Hierbei handelt es sich hauptsächlich um verschiedene Formen landwirtschaftlicher Flächen (…) sowie Wiesen und Weiden, Heiden und Grünland."" ["&amp;P175&amp;"] "&amp;Q175&amp;"."</f>
        <v>"Nutzbare Flächen ohne Restriktionen sind die als nutzbar berechneten Flächen [176], die außerhalb von Wald- und Schutzgebieten liegen. Hierbei handelt es sich hauptsächlich um verschiedene Formen landwirtschaftlicher Flächen (…) sowie Wiesen und Weiden, Heiden und Grünland." [9.84] S. 12.</v>
      </c>
      <c r="V175" s="905" t="s">
        <v>126</v>
      </c>
      <c r="W175" s="1034"/>
      <c r="X175" s="672">
        <f>'9.Quellen'!C84</f>
        <v>84</v>
      </c>
      <c r="Y175" s="672" t="s">
        <v>356</v>
      </c>
      <c r="Z175" s="1025"/>
      <c r="AA175" s="905"/>
      <c r="AB175" s="801"/>
      <c r="AC175" s="801"/>
      <c r="AD175" s="801"/>
      <c r="AE175" s="801"/>
      <c r="AF175" s="801"/>
      <c r="AG175" s="801"/>
      <c r="AH175" s="801"/>
      <c r="AI175" s="801"/>
      <c r="AJ175" s="801"/>
      <c r="AK175" s="687"/>
      <c r="AL175" s="801"/>
      <c r="AM175" s="801"/>
      <c r="AN175" s="801"/>
      <c r="AO175" s="801"/>
      <c r="AP175" s="801"/>
      <c r="AQ175" s="801"/>
      <c r="AR175" s="801"/>
      <c r="AS175" s="801"/>
      <c r="AT175" s="801"/>
      <c r="AU175" s="801"/>
      <c r="AV175" s="801"/>
      <c r="BF175" s="473"/>
      <c r="BI175" s="472" t="s">
        <v>126</v>
      </c>
      <c r="BJ175" s="490"/>
      <c r="BN175" s="656"/>
      <c r="BO175" s="472" t="s">
        <v>252</v>
      </c>
      <c r="CU175" s="480" t="str">
        <f ca="1">IF(U175="",BF175,U175)</f>
        <v>"Nutzbare Flächen ohne Restriktionen sind die als nutzbar berechneten Flächen [176], die außerhalb von Wald- und Schutzgebieten liegen. Hierbei handelt es sich hauptsächlich um verschiedene Formen landwirtschaftlicher Flächen (…) sowie Wiesen und Weiden, Heiden und Grünland." [9.84] S. 12.</v>
      </c>
      <c r="CV175" s="656"/>
      <c r="CW175" s="480"/>
      <c r="DS175" s="656"/>
      <c r="DT175" s="518"/>
      <c r="EJ175" s="472" t="str">
        <f ca="1">IF(X175=0,"",EJ$1&amp;X175)</f>
        <v>9.84</v>
      </c>
      <c r="EK175" s="472" t="str">
        <f ca="1">EK$1&amp;X175</f>
        <v>[D_Python.xlsx]9.Quellen!C84</v>
      </c>
      <c r="EV175" s="819">
        <f t="shared" ca="1" si="70"/>
        <v>175</v>
      </c>
      <c r="EW175" s="819"/>
    </row>
    <row r="176" spans="1:153" s="472" customFormat="1" ht="52">
      <c r="A176" s="654" t="str">
        <f t="shared" ca="1" si="68"/>
        <v>D.1.176</v>
      </c>
      <c r="B176" s="654" t="str">
        <f t="shared" ca="1" si="69"/>
        <v>1.176</v>
      </c>
      <c r="C176" s="654" t="str">
        <f t="shared" si="77"/>
        <v>[176]</v>
      </c>
      <c r="D176" s="654">
        <f>ROW()</f>
        <v>176</v>
      </c>
      <c r="E176" s="1130" t="str">
        <f ca="1">CU176</f>
        <v>"Im Rahmen der Studie werden Ausschlussflächen definiert, die für Windenergie nicht nutzbar sind. Hierzu gehören u. a. bebaute Flächen, Gewässer, Gletscher, und Dauerschneegebiete oder in Gezeitenzonen liegende Flächen. Darüber hinaus werden auch Flächen ausgeschlossen, auf denen Straßen, Schienen oder Hochspannungsleitungen verlaufen." [9.84] S. 13.</v>
      </c>
      <c r="F176" s="1130"/>
      <c r="G176" s="1130"/>
      <c r="H176" s="1130"/>
      <c r="I176" s="1130"/>
      <c r="J176" s="1130"/>
      <c r="K176" s="1130"/>
      <c r="L176" s="1130"/>
      <c r="M176" s="1130"/>
      <c r="N176" s="1131"/>
      <c r="O176" s="869">
        <v>176</v>
      </c>
      <c r="P176" s="573" t="str">
        <f ca="1">HYPERLINK(EK176,EJ176)</f>
        <v>9.84</v>
      </c>
      <c r="Q176" s="574" t="str">
        <f>Y176</f>
        <v>S. 13</v>
      </c>
      <c r="R176" s="852"/>
      <c r="S176" s="784"/>
      <c r="T176" s="864"/>
      <c r="U176" s="1033" t="str">
        <f ca="1">"""Im Rahmen der Studie werden Ausschlussflächen definiert, die für Windenergie nicht nutzbar sind. Hierzu gehören u. a. bebaute Flächen, Gewässer, Gletscher, und Dauerschneegebiete oder in Gezeitenzonen liegende Flächen. "&amp;"Darüber hinaus werden auch Flächen ausgeschlossen, auf denen Straßen, Schienen oder Hochspannungsleitungen verlaufen."" ["&amp;P176&amp;"] "&amp;Q176&amp;"."</f>
        <v>"Im Rahmen der Studie werden Ausschlussflächen definiert, die für Windenergie nicht nutzbar sind. Hierzu gehören u. a. bebaute Flächen, Gewässer, Gletscher, und Dauerschneegebiete oder in Gezeitenzonen liegende Flächen. Darüber hinaus werden auch Flächen ausgeschlossen, auf denen Straßen, Schienen oder Hochspannungsleitungen verlaufen." [9.84] S. 13.</v>
      </c>
      <c r="V176" s="905" t="s">
        <v>126</v>
      </c>
      <c r="W176" s="1034"/>
      <c r="X176" s="672">
        <f>'9.Quellen'!C84</f>
        <v>84</v>
      </c>
      <c r="Y176" s="672" t="s">
        <v>336</v>
      </c>
      <c r="Z176" s="1025"/>
      <c r="AA176" s="905"/>
      <c r="AB176" s="801"/>
      <c r="AC176" s="801"/>
      <c r="AD176" s="801"/>
      <c r="AE176" s="801"/>
      <c r="AF176" s="801"/>
      <c r="AG176" s="801"/>
      <c r="AH176" s="801"/>
      <c r="AI176" s="801"/>
      <c r="AJ176" s="801"/>
      <c r="AK176" s="687"/>
      <c r="AL176" s="801"/>
      <c r="AM176" s="801"/>
      <c r="AN176" s="801"/>
      <c r="AO176" s="801"/>
      <c r="AP176" s="801"/>
      <c r="AQ176" s="801"/>
      <c r="AR176" s="801"/>
      <c r="AS176" s="801"/>
      <c r="AT176" s="801"/>
      <c r="AU176" s="801"/>
      <c r="AV176" s="801"/>
      <c r="BF176" s="473"/>
      <c r="BI176" s="472" t="s">
        <v>126</v>
      </c>
      <c r="BJ176" s="490"/>
      <c r="BN176" s="656"/>
      <c r="BO176" s="472" t="s">
        <v>252</v>
      </c>
      <c r="CU176" s="480" t="str">
        <f ca="1">IF(U176="",BF176,U176)</f>
        <v>"Im Rahmen der Studie werden Ausschlussflächen definiert, die für Windenergie nicht nutzbar sind. Hierzu gehören u. a. bebaute Flächen, Gewässer, Gletscher, und Dauerschneegebiete oder in Gezeitenzonen liegende Flächen. Darüber hinaus werden auch Flächen ausgeschlossen, auf denen Straßen, Schienen oder Hochspannungsleitungen verlaufen." [9.84] S. 13.</v>
      </c>
      <c r="CV176" s="656"/>
      <c r="CW176" s="480"/>
      <c r="DS176" s="656"/>
      <c r="DT176" s="518"/>
      <c r="EJ176" s="472" t="str">
        <f ca="1">IF(X176=0,"",EJ$1&amp;X176)</f>
        <v>9.84</v>
      </c>
      <c r="EK176" s="472" t="str">
        <f ca="1">EK$1&amp;X176</f>
        <v>[D_Python.xlsx]9.Quellen!C84</v>
      </c>
      <c r="EV176" s="819">
        <f t="shared" ca="1" si="70"/>
        <v>176</v>
      </c>
      <c r="EW176" s="819"/>
    </row>
    <row r="177" spans="1:153" s="472" customFormat="1" ht="52">
      <c r="A177" s="654" t="str">
        <f t="shared" ca="1" si="68"/>
        <v>D.1.177</v>
      </c>
      <c r="B177" s="654" t="str">
        <f t="shared" ca="1" si="69"/>
        <v>1.177</v>
      </c>
      <c r="C177" s="654" t="str">
        <f t="shared" si="77"/>
        <v>[177]</v>
      </c>
      <c r="D177" s="654">
        <f>ROW()</f>
        <v>177</v>
      </c>
      <c r="E177" s="1130" t="str">
        <f ca="1">CU177</f>
        <v>"Neben diesem direkten Ausschluss (s. oben) gibt es einen Ausschluss durch Puffer. So werden z. B. einzuhaltende Abstände von Windenergieanlagen zu Siedlungen (1.000 m), Straßen (100 m) oder größeren schiffbaren Flüssen (300 m) angenommen. (...) In der Studie werden die nicht nutzbaren Schutzgebiete noch mit einem Abstand von 200 m gepuffert." [9.84] S. 13, 15.</v>
      </c>
      <c r="F177" s="1130"/>
      <c r="G177" s="1130"/>
      <c r="H177" s="1130"/>
      <c r="I177" s="1130"/>
      <c r="J177" s="1130"/>
      <c r="K177" s="1130"/>
      <c r="L177" s="1130"/>
      <c r="M177" s="1130"/>
      <c r="N177" s="1131"/>
      <c r="O177" s="869">
        <v>177</v>
      </c>
      <c r="P177" s="573" t="str">
        <f ca="1">HYPERLINK(EK177,EJ177)</f>
        <v>9.84</v>
      </c>
      <c r="Q177" s="574" t="str">
        <f>Y177</f>
        <v>S. 13, 15</v>
      </c>
      <c r="R177" s="852"/>
      <c r="S177" s="784"/>
      <c r="T177" s="864"/>
      <c r="U177" s="1033" t="str">
        <f ca="1">"""Neben diesem direkten Ausschluss (s. oben) gibt es einen Ausschluss durch Puffer. So werden z. B. einzuhaltende Abstände von Windenergieanlagen zu Siedlungen (1.000 m), Straßen (100 m) oder größeren schiffbaren Flüssen (300 m) angenommen. (...) "&amp;"In der Studie werden die nicht nutzbaren Schutzgebiete noch mit einem Abstand von 200 m gepuffert."" ["&amp;P177&amp;"] "&amp;Q177&amp;"."</f>
        <v>"Neben diesem direkten Ausschluss (s. oben) gibt es einen Ausschluss durch Puffer. So werden z. B. einzuhaltende Abstände von Windenergieanlagen zu Siedlungen (1.000 m), Straßen (100 m) oder größeren schiffbaren Flüssen (300 m) angenommen. (...) In der Studie werden die nicht nutzbaren Schutzgebiete noch mit einem Abstand von 200 m gepuffert." [9.84] S. 13, 15.</v>
      </c>
      <c r="V177" s="905" t="s">
        <v>126</v>
      </c>
      <c r="W177" s="1034"/>
      <c r="X177" s="672">
        <f>'9.Quellen'!C84</f>
        <v>84</v>
      </c>
      <c r="Y177" s="672" t="s">
        <v>357</v>
      </c>
      <c r="Z177" s="1025"/>
      <c r="AA177" s="905"/>
      <c r="AB177" s="801"/>
      <c r="AC177" s="801"/>
      <c r="AD177" s="801"/>
      <c r="AE177" s="801"/>
      <c r="AF177" s="801"/>
      <c r="AG177" s="801"/>
      <c r="AH177" s="801"/>
      <c r="AI177" s="801"/>
      <c r="AJ177" s="801"/>
      <c r="AK177" s="687"/>
      <c r="AL177" s="801"/>
      <c r="AM177" s="801"/>
      <c r="AN177" s="801"/>
      <c r="AO177" s="801"/>
      <c r="AP177" s="801"/>
      <c r="AQ177" s="801"/>
      <c r="AR177" s="801"/>
      <c r="AS177" s="801"/>
      <c r="AT177" s="801"/>
      <c r="AU177" s="801"/>
      <c r="AV177" s="801"/>
      <c r="BF177" s="473"/>
      <c r="BI177" s="472" t="s">
        <v>126</v>
      </c>
      <c r="BJ177" s="490"/>
      <c r="BN177" s="656"/>
      <c r="BO177" s="472" t="s">
        <v>252</v>
      </c>
      <c r="CU177" s="480" t="str">
        <f ca="1">IF(U177="",BF177,U177)</f>
        <v>"Neben diesem direkten Ausschluss (s. oben) gibt es einen Ausschluss durch Puffer. So werden z. B. einzuhaltende Abstände von Windenergieanlagen zu Siedlungen (1.000 m), Straßen (100 m) oder größeren schiffbaren Flüssen (300 m) angenommen. (...) In der Studie werden die nicht nutzbaren Schutzgebiete noch mit einem Abstand von 200 m gepuffert." [9.84] S. 13, 15.</v>
      </c>
      <c r="CV177" s="656"/>
      <c r="CW177" s="480"/>
      <c r="DS177" s="656"/>
      <c r="DT177" s="518"/>
      <c r="EJ177" s="472" t="str">
        <f ca="1">IF(X177=0,"",EJ$1&amp;X177)</f>
        <v>9.84</v>
      </c>
      <c r="EK177" s="472" t="str">
        <f ca="1">EK$1&amp;X177</f>
        <v>[D_Python.xlsx]9.Quellen!C84</v>
      </c>
      <c r="EV177" s="819">
        <f t="shared" ca="1" si="70"/>
        <v>177</v>
      </c>
      <c r="EW177" s="819"/>
    </row>
    <row r="178" spans="1:153" s="478" customFormat="1" ht="4">
      <c r="A178" s="677" t="str">
        <f t="shared" ca="1" si="68"/>
        <v>D.1.178</v>
      </c>
      <c r="B178" s="677" t="str">
        <f t="shared" ca="1" si="69"/>
        <v>1.178</v>
      </c>
      <c r="C178" s="677" t="str">
        <f t="shared" si="77"/>
        <v>[178]</v>
      </c>
      <c r="D178" s="677">
        <f>ROW()</f>
        <v>178</v>
      </c>
      <c r="E178" s="528"/>
      <c r="F178" s="528"/>
      <c r="G178" s="528"/>
      <c r="H178" s="528"/>
      <c r="I178" s="527"/>
      <c r="J178" s="527"/>
      <c r="K178" s="527"/>
      <c r="L178" s="527"/>
      <c r="M178" s="527"/>
      <c r="N178" s="528"/>
      <c r="O178" s="871">
        <v>178</v>
      </c>
      <c r="P178" s="566"/>
      <c r="Q178" s="567"/>
      <c r="R178" s="888"/>
      <c r="S178" s="802"/>
      <c r="T178" s="882"/>
      <c r="U178" s="661"/>
      <c r="V178" s="661"/>
      <c r="W178" s="661"/>
      <c r="X178" s="661"/>
      <c r="Y178" s="661"/>
      <c r="Z178" s="661"/>
      <c r="AA178" s="661"/>
      <c r="AB178" s="675"/>
      <c r="AC178" s="675"/>
      <c r="AD178" s="675"/>
      <c r="AE178" s="675"/>
      <c r="AF178" s="675"/>
      <c r="AG178" s="675"/>
      <c r="AH178" s="675"/>
      <c r="AI178" s="675"/>
      <c r="AJ178" s="675"/>
      <c r="AK178" s="675"/>
      <c r="AL178" s="675"/>
      <c r="AM178" s="675"/>
      <c r="AN178" s="675"/>
      <c r="AO178" s="675"/>
      <c r="AP178" s="675"/>
      <c r="AQ178" s="675"/>
      <c r="AR178" s="675"/>
      <c r="AS178" s="675"/>
      <c r="AT178" s="675"/>
      <c r="AU178" s="675"/>
      <c r="AV178" s="675"/>
      <c r="BI178" s="478" t="s">
        <v>126</v>
      </c>
      <c r="BJ178" s="489"/>
      <c r="BN178" s="661"/>
      <c r="CU178" s="479"/>
      <c r="CV178" s="661"/>
      <c r="CW178" s="479"/>
      <c r="DS178" s="661"/>
      <c r="EV178" s="818" t="str">
        <f t="shared" si="70"/>
        <v/>
      </c>
      <c r="EW178" s="818"/>
    </row>
    <row r="179" spans="1:153" s="472" customFormat="1" ht="91">
      <c r="A179" s="654" t="str">
        <f t="shared" ca="1" si="68"/>
        <v>D.1.179</v>
      </c>
      <c r="B179" s="654" t="str">
        <f t="shared" ca="1" si="69"/>
        <v>1.179</v>
      </c>
      <c r="C179" s="654" t="str">
        <f t="shared" si="77"/>
        <v>[179]</v>
      </c>
      <c r="D179" s="654">
        <f>ROW()</f>
        <v>179</v>
      </c>
      <c r="E179" s="1125" t="str">
        <f t="shared" ref="E179" si="84">CU179</f>
        <v xml:space="preserve">- ZIEL-Ansatz: Die Potenzialermittlung für die zur Aufstellung von Windenergieanlagen ohne Restriktionen nutzbaren Flächen auf Grundlage der Studie  von BWE/IWES aufgrund heutiger räumlicher Gegebenheiten (siehe Status-Ansatz [174]) wird übernommen, allerdings mit einem pauschal angesetzten Abschlag von 20% zur Berücksichtigung nicht ausreichend einschätzbarer Veränderungen der räumlichen Gegebenheiten (Ausweitung der besiedelten Bereiche, Verkehswege, Schutzgebiete usw.). Daraus resultiert ein Flächenpotenzial von 2.320.000 ha für Deutschland. Eine Sensitivitätsanalyse zeigt die gravierende Bedeutung der Abstandsvorgaben: Die Erhöhung des Puffers um 50%  würde die Potenzialfläche auf ein Drittel reduzieren [180]. </v>
      </c>
      <c r="F179" s="1125"/>
      <c r="G179" s="1125"/>
      <c r="H179" s="1125"/>
      <c r="I179" s="1125"/>
      <c r="J179" s="1125"/>
      <c r="K179" s="1125"/>
      <c r="L179" s="1125"/>
      <c r="M179" s="1125"/>
      <c r="N179" s="1132"/>
      <c r="O179" s="869">
        <v>179</v>
      </c>
      <c r="P179" s="573" t="str">
        <f ca="1">HYPERLINK(EK179,EJ179)</f>
        <v/>
      </c>
      <c r="Q179" s="574" t="str">
        <f>Y179</f>
        <v xml:space="preserve"> </v>
      </c>
      <c r="R179" s="852"/>
      <c r="S179" s="784"/>
      <c r="T179" s="864"/>
      <c r="U179" s="1023" t="str">
        <f>"Die Potenzialermittlung für die zur Aufstellung von Windenergieanlagen ohne Restriktionen nutzbaren Flächen auf Grundlage der Studie  von "&amp;'9.Quellen'!E84&amp;" aufgrund heutiger räumlicher Gegebenheiten (siehe Status-Ansatz "&amp;C174&amp;") wird übernommen, allerdings mit einem pauschal angesetzten Abschlag von "&amp;AD179&amp;AE179&amp;" zur Berücksichtigung nicht ausreichend einschätzbarer Veränderungen der räumlichen Gegebenheiten (Ausweitung der besiedelten Bereiche, Verkehswege, Schutzgebiete usw.). Daraus resultiert ein Flächenpotenzial von "&amp;TEXT(W179,"0.000")&amp;" ha für Deutschland. Eine Sensitivitätsanalyse zeigt die gravierende Bedeutung der Abstandsvorgaben: Die Erhöhung des Puffers um 50%  würde die Potenzialfläche auf ein Drittel reduzieren "&amp;C180&amp;". "</f>
        <v xml:space="preserve">Die Potenzialermittlung für die zur Aufstellung von Windenergieanlagen ohne Restriktionen nutzbaren Flächen auf Grundlage der Studie  von BWE/IWES aufgrund heutiger räumlicher Gegebenheiten (siehe Status-Ansatz [174]) wird übernommen, allerdings mit einem pauschal angesetzten Abschlag von 20% zur Berücksichtigung nicht ausreichend einschätzbarer Veränderungen der räumlichen Gegebenheiten (Ausweitung der besiedelten Bereiche, Verkehswege, Schutzgebiete usw.). Daraus resultiert ein Flächenpotenzial von 2.320.000 ha für Deutschland. Eine Sensitivitätsanalyse zeigt die gravierende Bedeutung der Abstandsvorgaben: Die Erhöhung des Puffers um 50%  würde die Potenzialfläche auf ein Drittel reduzieren [180]. </v>
      </c>
      <c r="V179" s="905" t="s">
        <v>126</v>
      </c>
      <c r="W179" s="1024">
        <f>W174*(100-AD179)%</f>
        <v>2320000</v>
      </c>
      <c r="X179" s="672"/>
      <c r="Y179" s="672" t="s">
        <v>126</v>
      </c>
      <c r="Z179" s="1025"/>
      <c r="AA179" s="905"/>
      <c r="AB179" s="801"/>
      <c r="AC179" s="801"/>
      <c r="AD179" s="801">
        <v>20</v>
      </c>
      <c r="AE179" s="801" t="s">
        <v>38</v>
      </c>
      <c r="AF179" s="801"/>
      <c r="AG179" s="801"/>
      <c r="AH179" s="801"/>
      <c r="AI179" s="801"/>
      <c r="AJ179" s="801"/>
      <c r="AK179" s="801"/>
      <c r="AL179" s="801"/>
      <c r="AM179" s="801"/>
      <c r="AN179" s="801"/>
      <c r="AO179" s="801"/>
      <c r="AP179" s="801"/>
      <c r="AQ179" s="801"/>
      <c r="AR179" s="801"/>
      <c r="AS179" s="801"/>
      <c r="AT179" s="801"/>
      <c r="AU179" s="801"/>
      <c r="AV179" s="801"/>
      <c r="BF179" s="473"/>
      <c r="BI179" s="472" t="s">
        <v>126</v>
      </c>
      <c r="BJ179" s="490"/>
      <c r="BN179" s="656"/>
      <c r="BO179" s="472" t="s">
        <v>259</v>
      </c>
      <c r="CU179" s="480" t="str">
        <f>CH$1&amp;IF(U179="",BF179,U179)</f>
        <v xml:space="preserve">- ZIEL-Ansatz: Die Potenzialermittlung für die zur Aufstellung von Windenergieanlagen ohne Restriktionen nutzbaren Flächen auf Grundlage der Studie  von BWE/IWES aufgrund heutiger räumlicher Gegebenheiten (siehe Status-Ansatz [174]) wird übernommen, allerdings mit einem pauschal angesetzten Abschlag von 20% zur Berücksichtigung nicht ausreichend einschätzbarer Veränderungen der räumlichen Gegebenheiten (Ausweitung der besiedelten Bereiche, Verkehswege, Schutzgebiete usw.). Daraus resultiert ein Flächenpotenzial von 2.320.000 ha für Deutschland. Eine Sensitivitätsanalyse zeigt die gravierende Bedeutung der Abstandsvorgaben: Die Erhöhung des Puffers um 50%  würde die Potenzialfläche auf ein Drittel reduzieren [180]. </v>
      </c>
      <c r="CV179" s="656"/>
      <c r="CW179" s="480"/>
      <c r="DS179" s="656"/>
      <c r="DT179" s="518">
        <v>53</v>
      </c>
      <c r="EJ179" s="472" t="str">
        <f>IF(X179=0,"",EJ$1&amp;X179)</f>
        <v/>
      </c>
      <c r="EK179" s="472" t="str">
        <f ca="1">EK$1&amp;X179</f>
        <v>[D_Python.xlsx]9.Quellen!C</v>
      </c>
      <c r="EV179" s="819">
        <f t="shared" si="70"/>
        <v>179</v>
      </c>
      <c r="EW179" s="819"/>
    </row>
    <row r="180" spans="1:153" s="472" customFormat="1" ht="143">
      <c r="A180" s="654" t="str">
        <f t="shared" ca="1" si="68"/>
        <v>D.1.180</v>
      </c>
      <c r="B180" s="654" t="str">
        <f t="shared" ca="1" si="69"/>
        <v>1.180</v>
      </c>
      <c r="C180" s="654" t="str">
        <f t="shared" si="77"/>
        <v>[180]</v>
      </c>
      <c r="D180" s="654">
        <f>ROW()</f>
        <v>180</v>
      </c>
      <c r="E180" s="1125" t="str">
        <f ca="1">CU180</f>
        <v>"Insgesamt hat die Pufferung (Abstandsvorgaben zu Siedlungen, Verkehrswegen, Schutzgebieten usw.) einen entscheidenden Einfluss auf die verfügbaren Flächen. (…) Die Reduktion des Puffers um 50 % führt zu einer Erhöhung der Fläche ohne Restriktionen um fast das 2,5-fache (+142%) und eine Erhöhung des Puffers um denselben Wert führt zu einer Reduktion der Fläche auf ein Drittel des Basiswerts." [9.84]  S. 13, 15. 
Für die Berechnungen wurden Anlagen mit einer Gesamthöhe von 150 m bzw. 208 m in Schwachwindgebieten zugrunde gelegt [9.84, S. 21]. Als Abstandsvorgabe zu Siedlungen, die den größten Einfluss auf die verbleibenden Flächen hat, wurden 1000 m angenommen [9.84 S. 13, 15]. Dies entspricht einer Abstandsvorgabe vom 6,7-fachen der Anlagenhöhe bzw. dem 4,8-fachen in Schwachwindgebieten.
 Bei einer um 50% auf 1500 m erhöhten Abstandsvorgabe entspräche das dem 10-fachen bzw. dem 7,2-fachen der Anlagenhöhe. Das zeigt zum Beispiel, dass mit Beibehaltung der 10h-Regelung in Bayern die verbleibende Fläche für Schwachwindanlagen noch weit unter einem Drittel der hier angenommenen Potenzialfläche liegen würde.</v>
      </c>
      <c r="F180" s="1125"/>
      <c r="G180" s="1125"/>
      <c r="H180" s="1125"/>
      <c r="I180" s="1125"/>
      <c r="J180" s="1125"/>
      <c r="K180" s="1125"/>
      <c r="L180" s="1125"/>
      <c r="M180" s="1125"/>
      <c r="N180" s="1132"/>
      <c r="O180" s="869">
        <v>180</v>
      </c>
      <c r="P180" s="573" t="str">
        <f ca="1">HYPERLINK(EK180,EJ180)</f>
        <v>9.84</v>
      </c>
      <c r="Q180" s="574" t="str">
        <f>Y180</f>
        <v xml:space="preserve"> S. 13, 15</v>
      </c>
      <c r="R180" s="852"/>
      <c r="S180" s="784"/>
      <c r="T180" s="864"/>
      <c r="U180" s="1033" t="str">
        <f ca="1">"""Insgesamt hat die Pufferung (Abstandsvorgaben zu Siedlungen, Verkehrswegen, Schutzgebieten usw.) einen entscheidenden Einfluss auf die verfügbaren Flächen. (…) "&amp;"Die Reduktion des Puffers um 50 % führt zu einer Erhöhung der Fläche ohne Restriktionen um fast das 2,5-fache (+142%) "&amp;"und eine Erhöhung des Puffers um denselben Wert führt zu einer Reduktion der Fläche auf ein Drittel des Basiswerts."" ["&amp;P180&amp;"] "&amp;Q180&amp;". 
Für die Berechnungen wurden Anlagen mit einer Gesamthöhe von 150 m bzw. 208 m in Schwachwindgebieten zugrunde gelegt ["&amp;P180&amp;", S. 21]. Als Abstandsvorgabe zu Siedlungen, die den größten Einfluss auf die verbleibenden Flächen hat, "&amp;"wurden 1000 m angenommen ["&amp;P180&amp;Q180&amp;"]. Dies entspricht einer Abstandsvorgabe vom 6,7-fachen der Anlagenhöhe bzw. dem 4,8-fachen in Schwachwindgebieten.
"&amp;" Bei einer um 50% auf 1500 m erhöhten Abstandsvorgabe entspräche das dem 10-fachen bzw. dem 7,2-fachen der Anlagenhöhe. "&amp;"Das zeigt zum Beispiel, dass mit Beibehaltung der 10h-Regelung in Bayern die verbleibende Fläche für Schwachwindanlagen noch weit unter einem Drittel der hier angenommenen Potenzialfläche liegen würde."</f>
        <v>"Insgesamt hat die Pufferung (Abstandsvorgaben zu Siedlungen, Verkehrswegen, Schutzgebieten usw.) einen entscheidenden Einfluss auf die verfügbaren Flächen. (…) Die Reduktion des Puffers um 50 % führt zu einer Erhöhung der Fläche ohne Restriktionen um fast das 2,5-fache (+142%) und eine Erhöhung des Puffers um denselben Wert führt zu einer Reduktion der Fläche auf ein Drittel des Basiswerts." [9.84]  S. 13, 15. 
Für die Berechnungen wurden Anlagen mit einer Gesamthöhe von 150 m bzw. 208 m in Schwachwindgebieten zugrunde gelegt [9.84, S. 21]. Als Abstandsvorgabe zu Siedlungen, die den größten Einfluss auf die verbleibenden Flächen hat, wurden 1000 m angenommen [9.84 S. 13, 15]. Dies entspricht einer Abstandsvorgabe vom 6,7-fachen der Anlagenhöhe bzw. dem 4,8-fachen in Schwachwindgebieten.
 Bei einer um 50% auf 1500 m erhöhten Abstandsvorgabe entspräche das dem 10-fachen bzw. dem 7,2-fachen der Anlagenhöhe. Das zeigt zum Beispiel, dass mit Beibehaltung der 10h-Regelung in Bayern die verbleibende Fläche für Schwachwindanlagen noch weit unter einem Drittel der hier angenommenen Potenzialfläche liegen würde.</v>
      </c>
      <c r="V180" s="905" t="s">
        <v>126</v>
      </c>
      <c r="W180" s="1034"/>
      <c r="X180" s="672">
        <f>'9.Quellen'!C84</f>
        <v>84</v>
      </c>
      <c r="Y180" s="672" t="s">
        <v>985</v>
      </c>
      <c r="Z180" s="1025"/>
      <c r="AA180" s="905"/>
      <c r="AB180" s="801"/>
      <c r="AC180" s="801"/>
      <c r="AD180" s="801">
        <f>56*1000/26</f>
        <v>2153.8461538461538</v>
      </c>
      <c r="AE180" s="801">
        <f>627/292*1000</f>
        <v>2147.2602739726026</v>
      </c>
      <c r="AF180" s="801">
        <f>1000/150</f>
        <v>6.666666666666667</v>
      </c>
      <c r="AG180" s="801">
        <f>1000/208</f>
        <v>4.8076923076923075</v>
      </c>
      <c r="AH180" s="801">
        <f>1500/150</f>
        <v>10</v>
      </c>
      <c r="AI180" s="801">
        <f>1500/208</f>
        <v>7.2115384615384617</v>
      </c>
      <c r="AJ180" s="801"/>
      <c r="AK180" s="687"/>
      <c r="AL180" s="801"/>
      <c r="AM180" s="801"/>
      <c r="AN180" s="801"/>
      <c r="AO180" s="801"/>
      <c r="AP180" s="801"/>
      <c r="AQ180" s="801"/>
      <c r="AR180" s="801"/>
      <c r="AS180" s="801"/>
      <c r="AT180" s="801"/>
      <c r="AU180" s="801"/>
      <c r="AV180" s="801"/>
      <c r="BF180" s="473"/>
      <c r="BI180" s="472" t="s">
        <v>126</v>
      </c>
      <c r="BJ180" s="490"/>
      <c r="BN180" s="656"/>
      <c r="BO180" s="472" t="s">
        <v>252</v>
      </c>
      <c r="CU180" s="480" t="str">
        <f ca="1">IF(U180="",BF180,U180)</f>
        <v>"Insgesamt hat die Pufferung (Abstandsvorgaben zu Siedlungen, Verkehrswegen, Schutzgebieten usw.) einen entscheidenden Einfluss auf die verfügbaren Flächen. (…) Die Reduktion des Puffers um 50 % führt zu einer Erhöhung der Fläche ohne Restriktionen um fast das 2,5-fache (+142%) und eine Erhöhung des Puffers um denselben Wert führt zu einer Reduktion der Fläche auf ein Drittel des Basiswerts." [9.84]  S. 13, 15. 
Für die Berechnungen wurden Anlagen mit einer Gesamthöhe von 150 m bzw. 208 m in Schwachwindgebieten zugrunde gelegt [9.84, S. 21]. Als Abstandsvorgabe zu Siedlungen, die den größten Einfluss auf die verbleibenden Flächen hat, wurden 1000 m angenommen [9.84 S. 13, 15]. Dies entspricht einer Abstandsvorgabe vom 6,7-fachen der Anlagenhöhe bzw. dem 4,8-fachen in Schwachwindgebieten.
 Bei einer um 50% auf 1500 m erhöhten Abstandsvorgabe entspräche das dem 10-fachen bzw. dem 7,2-fachen der Anlagenhöhe. Das zeigt zum Beispiel, dass mit Beibehaltung der 10h-Regelung in Bayern die verbleibende Fläche für Schwachwindanlagen noch weit unter einem Drittel der hier angenommenen Potenzialfläche liegen würde.</v>
      </c>
      <c r="CV180" s="656"/>
      <c r="CW180" s="480"/>
      <c r="DS180" s="656"/>
      <c r="DT180" s="518"/>
      <c r="EJ180" s="472" t="str">
        <f ca="1">IF(X180=0,"",EJ$1&amp;X180)</f>
        <v>9.84</v>
      </c>
      <c r="EK180" s="472" t="str">
        <f ca="1">EK$1&amp;X180</f>
        <v>[D_Python.xlsx]9.Quellen!C84</v>
      </c>
      <c r="EV180" s="819">
        <f t="shared" ca="1" si="70"/>
        <v>180</v>
      </c>
      <c r="EW180" s="819"/>
    </row>
    <row r="181" spans="1:153" s="475" customFormat="1" ht="13.5" hidden="1" customHeight="1">
      <c r="A181" s="654" t="str">
        <f t="shared" ca="1" si="68"/>
        <v>D.1.181</v>
      </c>
      <c r="B181" s="654" t="str">
        <f t="shared" ca="1" si="69"/>
        <v>1.181</v>
      </c>
      <c r="C181" s="654" t="str">
        <f t="shared" si="77"/>
        <v>[181]</v>
      </c>
      <c r="D181" s="654">
        <f>ROW()</f>
        <v>181</v>
      </c>
      <c r="E181" s="1126" t="str">
        <f>BP181</f>
        <v xml:space="preserve">Belegung (Potenzialflächen) </v>
      </c>
      <c r="F181" s="1126"/>
      <c r="G181" s="1126"/>
      <c r="H181" s="1126"/>
      <c r="I181" s="1126"/>
      <c r="J181" s="791" t="s">
        <v>272</v>
      </c>
      <c r="K181" s="792" t="str">
        <f ca="1">INDIRECT($W$1&amp;U181)</f>
        <v>n.r.</v>
      </c>
      <c r="L181" s="793" t="str">
        <f ca="1">HYPERLINK($CK$1&amp;U181,$CE$1&amp;U181&amp;$CF$1)</f>
        <v>[184]</v>
      </c>
      <c r="M181" s="794">
        <f ca="1">INDIRECT($W$1&amp;W181)</f>
        <v>190821.43702432371</v>
      </c>
      <c r="N181" s="795" t="str">
        <f ca="1">HYPERLINK($CK$1&amp;W181,$CE$1&amp;W181&amp;$CF$1)</f>
        <v>[186]</v>
      </c>
      <c r="O181" s="869">
        <v>181</v>
      </c>
      <c r="P181" s="570"/>
      <c r="Q181" s="583"/>
      <c r="R181" s="852"/>
      <c r="S181" s="784"/>
      <c r="T181" s="864" t="s">
        <v>852</v>
      </c>
      <c r="U181" s="672">
        <f>D184</f>
        <v>184</v>
      </c>
      <c r="V181" s="905" t="s">
        <v>126</v>
      </c>
      <c r="W181" s="672">
        <f>D186</f>
        <v>186</v>
      </c>
      <c r="X181" s="658"/>
      <c r="Y181" s="658"/>
      <c r="Z181" s="658"/>
      <c r="AA181" s="658"/>
      <c r="AB181" s="801"/>
      <c r="AC181" s="801"/>
      <c r="AD181" s="674"/>
      <c r="AE181" s="674"/>
      <c r="AF181" s="674"/>
      <c r="AG181" s="674"/>
      <c r="AH181" s="674"/>
      <c r="AI181" s="674"/>
      <c r="AJ181" s="674"/>
      <c r="AK181" s="674"/>
      <c r="AL181" s="674"/>
      <c r="AM181" s="674"/>
      <c r="AN181" s="674"/>
      <c r="AO181" s="674"/>
      <c r="AP181" s="674"/>
      <c r="AQ181" s="674"/>
      <c r="AR181" s="674"/>
      <c r="AS181" s="674"/>
      <c r="AT181" s="674"/>
      <c r="AU181" s="674"/>
      <c r="AV181" s="674"/>
      <c r="AX181" s="475" t="s">
        <v>244</v>
      </c>
      <c r="AY181" s="500">
        <f ca="1">DA181</f>
        <v>36590.400000000001</v>
      </c>
      <c r="AZ181" s="508" t="str">
        <f ca="1">HYPERLINK(DN181,DC181)</f>
        <v xml:space="preserve"> 191</v>
      </c>
      <c r="BA181" s="500">
        <f ca="1">DB181</f>
        <v>119034.45</v>
      </c>
      <c r="BB181" s="508" t="str">
        <f ca="1">HYPERLINK(DO181,DD181)</f>
        <v xml:space="preserve"> 59</v>
      </c>
      <c r="BC181" s="475" t="str">
        <f ca="1">CY181&amp;" | "&amp;CZ181</f>
        <v>Windpark-Fl.
Onshore | 2.1.5 Für Windparks genutzte Abstands-Flächen (Onshore)</v>
      </c>
      <c r="BI181" s="475" t="s">
        <v>126</v>
      </c>
      <c r="BJ181" s="492" t="str">
        <f>E181</f>
        <v xml:space="preserve">Belegung (Potenzialflächen) </v>
      </c>
      <c r="BK181" s="486" t="str">
        <f ca="1">K181</f>
        <v>n.r.</v>
      </c>
      <c r="BL181" s="486">
        <f ca="1">M181</f>
        <v>190821.43702432371</v>
      </c>
      <c r="BM181" s="472">
        <f>D181</f>
        <v>181</v>
      </c>
      <c r="BN181" s="658"/>
      <c r="BO181" s="475" t="s">
        <v>251</v>
      </c>
      <c r="BP181" s="521" t="s">
        <v>347</v>
      </c>
      <c r="CU181" s="476"/>
      <c r="CV181" s="658"/>
      <c r="CW181" s="518">
        <v>30</v>
      </c>
      <c r="CY181" s="472" t="str">
        <f t="shared" ref="CY181:DO181" ca="1" si="85">INDIRECT($CX$1&amp;CY$1&amp;$CW181)</f>
        <v>Windpark-Fl.
Onshore</v>
      </c>
      <c r="CZ181" s="472" t="str">
        <f t="shared" ca="1" si="85"/>
        <v>2.1.5 Für Windparks genutzte Abstands-Flächen (Onshore)</v>
      </c>
      <c r="DA181" s="472">
        <f t="shared" ca="1" si="85"/>
        <v>36590.400000000001</v>
      </c>
      <c r="DB181" s="472">
        <f t="shared" ca="1" si="85"/>
        <v>119034.45</v>
      </c>
      <c r="DC181" s="472" t="str">
        <f t="shared" ca="1" si="85"/>
        <v xml:space="preserve"> 191</v>
      </c>
      <c r="DD181" s="472" t="str">
        <f t="shared" ca="1" si="85"/>
        <v xml:space="preserve"> 59</v>
      </c>
      <c r="DE181" s="472" t="str">
        <f t="shared" ca="1" si="85"/>
        <v>Wi20</v>
      </c>
      <c r="DF181" s="472" t="str">
        <f t="shared" ca="1" si="85"/>
        <v>Wi40</v>
      </c>
      <c r="DG181" s="472" t="str">
        <f t="shared" ca="1" si="85"/>
        <v>Wi</v>
      </c>
      <c r="DH181" s="472" t="str">
        <f t="shared" ca="1" si="85"/>
        <v>20</v>
      </c>
      <c r="DI181" s="472" t="str">
        <f t="shared" ca="1" si="85"/>
        <v>[Wi.xls]TEXT!Z20S5</v>
      </c>
      <c r="DJ181" s="472" t="str">
        <f t="shared" ca="1" si="85"/>
        <v>Wi</v>
      </c>
      <c r="DK181" s="472" t="str">
        <f t="shared" ca="1" si="85"/>
        <v>40</v>
      </c>
      <c r="DL181" s="472" t="str">
        <f t="shared" ca="1" si="85"/>
        <v>[Wi.xls]TEXT!Z40S5</v>
      </c>
      <c r="DM181" s="472">
        <f t="shared" ca="1" si="85"/>
        <v>30</v>
      </c>
      <c r="DN181" s="472" t="str">
        <f t="shared" ca="1" si="85"/>
        <v>[Region.xls]PARAMETER!Z191S6</v>
      </c>
      <c r="DO181" s="472" t="str">
        <f t="shared" ca="1" si="85"/>
        <v>[Region.xls]PARAMETER!Z59S6</v>
      </c>
      <c r="DP181" s="472"/>
      <c r="DS181" s="656"/>
      <c r="DV181" s="472"/>
      <c r="DW181" s="472"/>
      <c r="DX181" s="472"/>
      <c r="DY181" s="472"/>
      <c r="DZ181" s="472"/>
      <c r="EA181" s="472"/>
      <c r="EB181" s="472"/>
      <c r="EC181" s="472"/>
      <c r="ED181" s="472"/>
      <c r="EE181" s="472"/>
      <c r="EF181" s="472"/>
      <c r="EG181" s="472"/>
      <c r="EH181" s="472"/>
      <c r="EI181" s="472"/>
      <c r="EJ181" s="472"/>
      <c r="EK181" s="472"/>
      <c r="EV181" s="819">
        <f t="shared" si="70"/>
        <v>181</v>
      </c>
      <c r="EW181" s="819"/>
    </row>
    <row r="182" spans="1:153" s="472" customFormat="1" ht="96" hidden="1" customHeight="1">
      <c r="A182" s="654" t="str">
        <f t="shared" ca="1" si="68"/>
        <v>D.1.182</v>
      </c>
      <c r="B182" s="654" t="str">
        <f t="shared" ca="1" si="69"/>
        <v>1.182</v>
      </c>
      <c r="C182" s="654" t="str">
        <f t="shared" si="77"/>
        <v>[182]</v>
      </c>
      <c r="D182" s="654">
        <f>ROW()</f>
        <v>182</v>
      </c>
      <c r="E182" s="1127" t="str">
        <f ca="1">CU182</f>
        <v>Stellt die künftig zu belegende Gesamt-Windparkfläche auf Grundlage einer Studie  von BWE/IWES [9.84] dar: Summe der tatsächlich mit Windenergieanlagen belegten Flächenanteile der 'ohne Restriktionen nutzbaren Potenzialflächen' im Szenario gemäß [174]. Damit werden die Windpark-Umgrenzungsflächen um die äußeren Anlagenstandorte herum und somit die räumliche Ausdehung der Windparks unter Berücksichtigung der räumlichen Gegebenheiten bei flächenorientierter Platzierung der Anlagen erfasst. Da zum einen wegen Bindung an räumliche Gegebenheiten nicht skalierbar und andererseits keine vergleichbaren Aussagen zum Status vorliegen, wird diese Flächenangabe ergänzt durch die parallel geführte 'Belegung (Ernteflächen) [188].</v>
      </c>
      <c r="F182" s="1127"/>
      <c r="G182" s="1127"/>
      <c r="H182" s="1127"/>
      <c r="I182" s="1127"/>
      <c r="J182" s="1127"/>
      <c r="K182" s="1127"/>
      <c r="L182" s="1127"/>
      <c r="M182" s="1127"/>
      <c r="N182" s="1156"/>
      <c r="O182" s="869">
        <v>182</v>
      </c>
      <c r="P182" s="573" t="str">
        <f ca="1">HYPERLINK(EK182,EJ182)</f>
        <v>9.84</v>
      </c>
      <c r="Q182" s="574" t="str">
        <f>Y182</f>
        <v xml:space="preserve"> </v>
      </c>
      <c r="R182" s="852"/>
      <c r="S182" s="784"/>
      <c r="T182" s="864" t="s">
        <v>852</v>
      </c>
      <c r="U182" s="1033" t="str">
        <f ca="1">"Stellt die künftig zu belegende Gesamt-Windparkfläche auf Grundlage einer Studie  von "&amp;'9.Quellen'!E84&amp;" ["&amp;'1.'!P182&amp;"] dar: Summe der tatsächlich mit Windenergieanlagen belegten Flächenanteile der 'ohne Restriktionen nutzbaren Potenzialflächen' im Szenario gemäß "&amp;C174&amp;". Damit werden die Windpark-Umgrenzungsflächen um die äußeren Anlagenstandorte herum und somit die räumliche Ausdehung der Windparks unter Berücksichtigung der räumlichen Gegebenheiten bei flächenorientierter Platzierung der Anlagen erfasst. "&amp;"Da zum einen wegen Bindung an räumliche Gegebenheiten nicht skalierbar und andererseits keine vergleichbaren Aussagen zum Status vorliegen, wird diese Flächenangabe ergänzt durch die parallel geführte 'Belegung (Ernteflächen) "&amp;C188&amp;"."</f>
        <v>Stellt die künftig zu belegende Gesamt-Windparkfläche auf Grundlage einer Studie  von BWE/IWES [9.84] dar: Summe der tatsächlich mit Windenergieanlagen belegten Flächenanteile der 'ohne Restriktionen nutzbaren Potenzialflächen' im Szenario gemäß [174]. Damit werden die Windpark-Umgrenzungsflächen um die äußeren Anlagenstandorte herum und somit die räumliche Ausdehung der Windparks unter Berücksichtigung der räumlichen Gegebenheiten bei flächenorientierter Platzierung der Anlagen erfasst. Da zum einen wegen Bindung an räumliche Gegebenheiten nicht skalierbar und andererseits keine vergleichbaren Aussagen zum Status vorliegen, wird diese Flächenangabe ergänzt durch die parallel geführte 'Belegung (Ernteflächen) [188].</v>
      </c>
      <c r="V182" s="905" t="s">
        <v>126</v>
      </c>
      <c r="W182" s="1024"/>
      <c r="X182" s="672">
        <f>'9.Quellen'!C84</f>
        <v>84</v>
      </c>
      <c r="Y182" s="672" t="s">
        <v>126</v>
      </c>
      <c r="Z182" s="1025"/>
      <c r="AA182" s="905"/>
      <c r="AB182" s="801"/>
      <c r="AC182" s="801"/>
      <c r="AD182" s="801"/>
      <c r="AE182" s="801"/>
      <c r="AF182" s="801"/>
      <c r="AG182" s="801"/>
      <c r="AH182" s="801"/>
      <c r="AI182" s="801"/>
      <c r="AJ182" s="801"/>
      <c r="AK182" s="801"/>
      <c r="AL182" s="801"/>
      <c r="AM182" s="801"/>
      <c r="AN182" s="801"/>
      <c r="AO182" s="801"/>
      <c r="AP182" s="801"/>
      <c r="AQ182" s="801"/>
      <c r="AR182" s="801"/>
      <c r="AS182" s="801"/>
      <c r="AT182" s="801"/>
      <c r="AU182" s="801"/>
      <c r="AV182" s="801"/>
      <c r="BF182" s="473"/>
      <c r="BI182" s="472" t="s">
        <v>126</v>
      </c>
      <c r="BJ182" s="490"/>
      <c r="BN182" s="656"/>
      <c r="BO182" s="472" t="s">
        <v>252</v>
      </c>
      <c r="CU182" s="480" t="str">
        <f ca="1">IF(U182="",BF182,U182)</f>
        <v>Stellt die künftig zu belegende Gesamt-Windparkfläche auf Grundlage einer Studie  von BWE/IWES [9.84] dar: Summe der tatsächlich mit Windenergieanlagen belegten Flächenanteile der 'ohne Restriktionen nutzbaren Potenzialflächen' im Szenario gemäß [174]. Damit werden die Windpark-Umgrenzungsflächen um die äußeren Anlagenstandorte herum und somit die räumliche Ausdehung der Windparks unter Berücksichtigung der räumlichen Gegebenheiten bei flächenorientierter Platzierung der Anlagen erfasst. Da zum einen wegen Bindung an räumliche Gegebenheiten nicht skalierbar und andererseits keine vergleichbaren Aussagen zum Status vorliegen, wird diese Flächenangabe ergänzt durch die parallel geführte 'Belegung (Ernteflächen) [188].</v>
      </c>
      <c r="CV182" s="656"/>
      <c r="CW182" s="480"/>
      <c r="DS182" s="656"/>
      <c r="DT182" s="518"/>
      <c r="EJ182" s="472" t="str">
        <f ca="1">IF(X182=0,"",EJ$1&amp;X182)</f>
        <v>9.84</v>
      </c>
      <c r="EK182" s="472" t="str">
        <f ca="1">EK$1&amp;X182</f>
        <v>[D_Python.xlsx]9.Quellen!C84</v>
      </c>
      <c r="EV182" s="819">
        <f t="shared" ca="1" si="70"/>
        <v>182</v>
      </c>
      <c r="EW182" s="819"/>
    </row>
    <row r="183" spans="1:153" s="478" customFormat="1" ht="5.25" hidden="1" customHeight="1">
      <c r="A183" s="677" t="str">
        <f t="shared" ca="1" si="68"/>
        <v>D.1.183</v>
      </c>
      <c r="B183" s="677" t="str">
        <f t="shared" ca="1" si="69"/>
        <v>1.183</v>
      </c>
      <c r="C183" s="677" t="str">
        <f t="shared" si="77"/>
        <v>[183]</v>
      </c>
      <c r="D183" s="677">
        <f>ROW()</f>
        <v>183</v>
      </c>
      <c r="E183" s="796"/>
      <c r="F183" s="796"/>
      <c r="G183" s="796"/>
      <c r="H183" s="796"/>
      <c r="I183" s="797"/>
      <c r="J183" s="797"/>
      <c r="K183" s="797"/>
      <c r="L183" s="797"/>
      <c r="M183" s="797"/>
      <c r="N183" s="796"/>
      <c r="O183" s="871">
        <v>183</v>
      </c>
      <c r="P183" s="566"/>
      <c r="Q183" s="567"/>
      <c r="R183" s="888"/>
      <c r="S183" s="802"/>
      <c r="T183" s="882" t="s">
        <v>852</v>
      </c>
      <c r="U183" s="661"/>
      <c r="V183" s="661"/>
      <c r="W183" s="661"/>
      <c r="X183" s="661"/>
      <c r="Y183" s="661"/>
      <c r="Z183" s="661"/>
      <c r="AA183" s="661"/>
      <c r="AB183" s="675"/>
      <c r="AC183" s="675"/>
      <c r="AD183" s="675"/>
      <c r="AE183" s="675"/>
      <c r="AF183" s="675"/>
      <c r="AG183" s="675"/>
      <c r="AH183" s="675"/>
      <c r="AI183" s="675"/>
      <c r="AJ183" s="675"/>
      <c r="AK183" s="675"/>
      <c r="AL183" s="675"/>
      <c r="AM183" s="675"/>
      <c r="AN183" s="675"/>
      <c r="AO183" s="675"/>
      <c r="AP183" s="675"/>
      <c r="AQ183" s="675"/>
      <c r="AR183" s="675"/>
      <c r="AS183" s="675"/>
      <c r="AT183" s="675"/>
      <c r="AU183" s="675"/>
      <c r="AV183" s="675"/>
      <c r="BI183" s="478" t="s">
        <v>126</v>
      </c>
      <c r="BJ183" s="489"/>
      <c r="BN183" s="661"/>
      <c r="CU183" s="479"/>
      <c r="CV183" s="661"/>
      <c r="CW183" s="479"/>
      <c r="DS183" s="661"/>
      <c r="EV183" s="818" t="str">
        <f t="shared" si="70"/>
        <v/>
      </c>
      <c r="EW183" s="818"/>
    </row>
    <row r="184" spans="1:153" s="472" customFormat="1" ht="72" hidden="1" customHeight="1">
      <c r="A184" s="654" t="str">
        <f t="shared" ca="1" si="68"/>
        <v>D.1.184</v>
      </c>
      <c r="B184" s="654" t="str">
        <f t="shared" ca="1" si="69"/>
        <v>1.184</v>
      </c>
      <c r="C184" s="654" t="str">
        <f t="shared" si="77"/>
        <v>[184]</v>
      </c>
      <c r="D184" s="654">
        <f>ROW()</f>
        <v>184</v>
      </c>
      <c r="E184" s="1128" t="str">
        <f ca="1">CU184</f>
        <v>- STATUS-Ansatz: Nicht relevant. Aussagen zum Status sind in der Studie [9.84] nicht enthalten und wären methodisch auch nicht sinnvoll, da mit 62,5 % der überwiegende Teil des Anlagenbestandes außerhalb der identifizierten Potenzialflächen liegt (S. 38), die als Bezugsgröße dient. Ein weiterer Grund: Der heutige Anlagenbestand nimmt wegen suboptimaler Verdichtung tatsächlich eine größere Fläche ein, als mit der Methodik zu ermitteln wäre. Aus diesem Grund wird parallel eine weitere Flächenkennzahl geführt: 'Windparkfläche' [188].</v>
      </c>
      <c r="F184" s="1128"/>
      <c r="G184" s="1128"/>
      <c r="H184" s="1128"/>
      <c r="I184" s="1128"/>
      <c r="J184" s="1128"/>
      <c r="K184" s="1128"/>
      <c r="L184" s="1128"/>
      <c r="M184" s="1128"/>
      <c r="N184" s="1157"/>
      <c r="O184" s="869">
        <v>184</v>
      </c>
      <c r="P184" s="573" t="str">
        <f ca="1">HYPERLINK(EK184,EJ184)</f>
        <v>9.84</v>
      </c>
      <c r="Q184" s="574" t="s">
        <v>359</v>
      </c>
      <c r="R184" s="852"/>
      <c r="S184" s="784"/>
      <c r="T184" s="864" t="s">
        <v>852</v>
      </c>
      <c r="U184" s="1023" t="str">
        <f ca="1">"Nicht relevant. Aussagen zum Status sind in der Studie ["&amp;P184&amp;"] nicht enthalten und wären methodisch auch nicht sinnvoll, da mit "&amp;AE184&amp;" % der überwiegende Teil des Anlagenbestandes außerhalb der identifizierten Potenzialflächen liegt ("&amp;Q184&amp;"), die als Bezugsgröße dient. Ein weiterer Grund: Der heutige Anlagenbestand nimmt wegen suboptimaler Verdichtung tatsächlich eine größere Fläche ein, als mit der Methodik zu ermitteln wäre. "&amp;"Aus diesem Grund wird parallel eine weitere Flächenkennzahl geführt: '"&amp;E188&amp;"' "&amp;C188&amp;"."</f>
        <v>Nicht relevant. Aussagen zum Status sind in der Studie [9.84] nicht enthalten und wären methodisch auch nicht sinnvoll, da mit 62,5 % der überwiegende Teil des Anlagenbestandes außerhalb der identifizierten Potenzialflächen liegt (S. 38), die als Bezugsgröße dient. Ein weiterer Grund: Der heutige Anlagenbestand nimmt wegen suboptimaler Verdichtung tatsächlich eine größere Fläche ein, als mit der Methodik zu ermitteln wäre. Aus diesem Grund wird parallel eine weitere Flächenkennzahl geführt: 'Windparkfläche' [188].</v>
      </c>
      <c r="V184" s="905" t="s">
        <v>126</v>
      </c>
      <c r="W184" s="1024" t="s">
        <v>358</v>
      </c>
      <c r="X184" s="672">
        <f>'9.Quellen'!C84</f>
        <v>84</v>
      </c>
      <c r="Y184" s="672" t="s">
        <v>126</v>
      </c>
      <c r="Z184" s="1025"/>
      <c r="AA184" s="658"/>
      <c r="AB184" s="801"/>
      <c r="AC184" s="801"/>
      <c r="AD184" s="801">
        <v>37.5</v>
      </c>
      <c r="AE184" s="801">
        <f>100-AD184</f>
        <v>62.5</v>
      </c>
      <c r="AF184" s="801"/>
      <c r="AG184" s="801"/>
      <c r="AH184" s="801"/>
      <c r="AI184" s="801"/>
      <c r="AJ184" s="801"/>
      <c r="AK184" s="801"/>
      <c r="AL184" s="801"/>
      <c r="AM184" s="801"/>
      <c r="AN184" s="801"/>
      <c r="AO184" s="801"/>
      <c r="AP184" s="801"/>
      <c r="AQ184" s="801"/>
      <c r="AR184" s="801"/>
      <c r="AS184" s="801"/>
      <c r="AT184" s="801"/>
      <c r="AU184" s="801"/>
      <c r="AV184" s="801"/>
      <c r="BF184" s="473"/>
      <c r="BI184" s="472" t="s">
        <v>126</v>
      </c>
      <c r="BJ184" s="490"/>
      <c r="BN184" s="656"/>
      <c r="BO184" s="472" t="s">
        <v>259</v>
      </c>
      <c r="CU184" s="480" t="str">
        <f ca="1">CG$1&amp;IF(U184="",BF184,U184)</f>
        <v>- STATUS-Ansatz: Nicht relevant. Aussagen zum Status sind in der Studie [9.84] nicht enthalten und wären methodisch auch nicht sinnvoll, da mit 62,5 % der überwiegende Teil des Anlagenbestandes außerhalb der identifizierten Potenzialflächen liegt (S. 38), die als Bezugsgröße dient. Ein weiterer Grund: Der heutige Anlagenbestand nimmt wegen suboptimaler Verdichtung tatsächlich eine größere Fläche ein, als mit der Methodik zu ermitteln wäre. Aus diesem Grund wird parallel eine weitere Flächenkennzahl geführt: 'Windparkfläche' [188].</v>
      </c>
      <c r="CV184" s="656"/>
      <c r="CW184" s="480"/>
      <c r="DS184" s="656"/>
      <c r="DT184" s="518">
        <f>I_Basisdaten!A60</f>
        <v>60</v>
      </c>
      <c r="EJ184" s="472" t="str">
        <f ca="1">IF(X184=0,"",EJ$1&amp;X184)</f>
        <v>9.84</v>
      </c>
      <c r="EK184" s="472" t="str">
        <f ca="1">EK$1&amp;X184</f>
        <v>[D_Python.xlsx]9.Quellen!C84</v>
      </c>
      <c r="EV184" s="819">
        <f t="shared" ca="1" si="70"/>
        <v>184</v>
      </c>
      <c r="EW184" s="819"/>
    </row>
    <row r="185" spans="1:153" s="478" customFormat="1" ht="5.25" hidden="1" customHeight="1">
      <c r="A185" s="677" t="str">
        <f t="shared" ca="1" si="68"/>
        <v>D.1.185</v>
      </c>
      <c r="B185" s="677" t="str">
        <f t="shared" ca="1" si="69"/>
        <v>1.185</v>
      </c>
      <c r="C185" s="677" t="str">
        <f t="shared" si="77"/>
        <v>[185]</v>
      </c>
      <c r="D185" s="677">
        <f>ROW()</f>
        <v>185</v>
      </c>
      <c r="E185" s="796"/>
      <c r="F185" s="796"/>
      <c r="G185" s="796"/>
      <c r="H185" s="796"/>
      <c r="I185" s="797"/>
      <c r="J185" s="797"/>
      <c r="K185" s="797"/>
      <c r="L185" s="797"/>
      <c r="M185" s="797"/>
      <c r="N185" s="796"/>
      <c r="O185" s="871">
        <v>185</v>
      </c>
      <c r="P185" s="566"/>
      <c r="Q185" s="567"/>
      <c r="R185" s="888"/>
      <c r="S185" s="802"/>
      <c r="T185" s="882" t="s">
        <v>852</v>
      </c>
      <c r="U185" s="661"/>
      <c r="V185" s="661"/>
      <c r="W185" s="661"/>
      <c r="X185" s="661"/>
      <c r="Y185" s="661"/>
      <c r="Z185" s="661"/>
      <c r="AA185" s="661"/>
      <c r="AB185" s="675"/>
      <c r="AC185" s="675"/>
      <c r="AD185" s="675"/>
      <c r="AE185" s="675"/>
      <c r="AF185" s="675"/>
      <c r="AG185" s="675"/>
      <c r="AH185" s="675"/>
      <c r="AI185" s="675"/>
      <c r="AJ185" s="675"/>
      <c r="AK185" s="675"/>
      <c r="AL185" s="675"/>
      <c r="AM185" s="675"/>
      <c r="AN185" s="675"/>
      <c r="AO185" s="675"/>
      <c r="AP185" s="675"/>
      <c r="AQ185" s="675"/>
      <c r="AR185" s="675"/>
      <c r="AS185" s="675"/>
      <c r="AT185" s="675"/>
      <c r="AU185" s="675"/>
      <c r="AV185" s="675"/>
      <c r="BI185" s="478" t="s">
        <v>126</v>
      </c>
      <c r="BJ185" s="489"/>
      <c r="BN185" s="661"/>
      <c r="CU185" s="479"/>
      <c r="CV185" s="661"/>
      <c r="CW185" s="479"/>
      <c r="DS185" s="661"/>
      <c r="EV185" s="818" t="str">
        <f t="shared" si="70"/>
        <v/>
      </c>
      <c r="EW185" s="818"/>
    </row>
    <row r="186" spans="1:153" s="472" customFormat="1" ht="36" hidden="1" customHeight="1">
      <c r="A186" s="654" t="str">
        <f t="shared" ca="1" si="68"/>
        <v>D.1.186</v>
      </c>
      <c r="B186" s="654" t="str">
        <f t="shared" ca="1" si="69"/>
        <v>1.186</v>
      </c>
      <c r="C186" s="654" t="str">
        <f t="shared" si="77"/>
        <v>[186]</v>
      </c>
      <c r="D186" s="654">
        <f>ROW()</f>
        <v>186</v>
      </c>
      <c r="E186" s="1127" t="str">
        <f t="shared" ref="E186" ca="1" si="86">CU186</f>
        <v>- ZIEL-Ansatz: 190.821 ha  der Potenzialflächen gemäß [179] sind mit Windenergieanlagen tatsächlich belegt (0,5%  der Bodenfläche Niedersachsens [64]), resultierend aus einer gegenüber der Studie [203] (715.159 ha) erhöhtem Flächenansatz von 26,7% [192].</v>
      </c>
      <c r="F186" s="1127"/>
      <c r="G186" s="1127"/>
      <c r="H186" s="1127"/>
      <c r="I186" s="1127"/>
      <c r="J186" s="1127"/>
      <c r="K186" s="1127"/>
      <c r="L186" s="1127"/>
      <c r="M186" s="1127"/>
      <c r="N186" s="1156"/>
      <c r="O186" s="869">
        <v>186</v>
      </c>
      <c r="P186" s="573" t="str">
        <f ca="1">HYPERLINK(EK186,EJ186)</f>
        <v/>
      </c>
      <c r="Q186" s="574" t="str">
        <f>Y186</f>
        <v xml:space="preserve"> </v>
      </c>
      <c r="R186" s="852"/>
      <c r="S186" s="784"/>
      <c r="T186" s="864" t="s">
        <v>852</v>
      </c>
      <c r="U186" s="1023" t="str">
        <f ca="1">TEXT(AJ186,"0.000")&amp;AK186&amp;" der Potenzialflächen gemäß "&amp;C179&amp;" sind mit Windenergieanlagen tatsächlich belegt ("&amp;TEXT(AL186,"0,0")&amp;AM186&amp;" der Bodenfläche Niedersachsens "&amp;C64&amp;"), resultierend aus einer gegenüber der Studie "&amp;C203&amp;" ("&amp;TEXT(AF186,"0.000")&amp;" ha) erhöhtem Flächenansatz von "&amp;TEXT(AH186,"0,0")&amp;AI186&amp;C192&amp;"."</f>
        <v>190.821 ha  der Potenzialflächen gemäß [179] sind mit Windenergieanlagen tatsächlich belegt (0,5%  der Bodenfläche Niedersachsens [64]), resultierend aus einer gegenüber der Studie [203] (715.159 ha) erhöhtem Flächenansatz von 26,7% [192].</v>
      </c>
      <c r="V186" s="905" t="s">
        <v>126</v>
      </c>
      <c r="W186" s="786">
        <f ca="1">AJ186</f>
        <v>190821.43702432371</v>
      </c>
      <c r="X186" s="672"/>
      <c r="Y186" s="672" t="s">
        <v>126</v>
      </c>
      <c r="Z186" s="1025"/>
      <c r="AA186" s="905"/>
      <c r="AB186" s="801"/>
      <c r="AC186" s="801"/>
      <c r="AD186" s="687">
        <f ca="1">K64</f>
        <v>35757963</v>
      </c>
      <c r="AE186" s="801" t="s">
        <v>289</v>
      </c>
      <c r="AF186" s="801">
        <f ca="1">AF203*AD186%</f>
        <v>715159.26</v>
      </c>
      <c r="AG186" s="801" t="s">
        <v>289</v>
      </c>
      <c r="AH186" s="801">
        <f ca="1">AL192</f>
        <v>26.682369605942558</v>
      </c>
      <c r="AI186" s="801" t="str">
        <f>AM192</f>
        <v xml:space="preserve">% </v>
      </c>
      <c r="AJ186" s="801">
        <f ca="1">AF186*AH186%</f>
        <v>190821.43702432371</v>
      </c>
      <c r="AK186" s="801" t="s">
        <v>382</v>
      </c>
      <c r="AL186" s="801">
        <f ca="1">AJ186/AD186%</f>
        <v>0.53364739211885115</v>
      </c>
      <c r="AM186" s="801" t="s">
        <v>835</v>
      </c>
      <c r="AN186" s="801"/>
      <c r="AO186" s="801"/>
      <c r="AP186" s="801"/>
      <c r="AQ186" s="801"/>
      <c r="AR186" s="801"/>
      <c r="AS186" s="801"/>
      <c r="AT186" s="801"/>
      <c r="AU186" s="801"/>
      <c r="AV186" s="801"/>
      <c r="BF186" s="473"/>
      <c r="BI186" s="472" t="s">
        <v>126</v>
      </c>
      <c r="BJ186" s="490"/>
      <c r="BN186" s="656"/>
      <c r="BO186" s="472" t="s">
        <v>259</v>
      </c>
      <c r="CU186" s="480" t="str">
        <f ca="1">CH$1&amp;IF(U186="",BF186,U186)</f>
        <v>- ZIEL-Ansatz: 190.821 ha  der Potenzialflächen gemäß [179] sind mit Windenergieanlagen tatsächlich belegt (0,5%  der Bodenfläche Niedersachsens [64]), resultierend aus einer gegenüber der Studie [203] (715.159 ha) erhöhtem Flächenansatz von 26,7% [192].</v>
      </c>
      <c r="CV186" s="656"/>
      <c r="CW186" s="480"/>
      <c r="DS186" s="656"/>
      <c r="DT186" s="518">
        <v>53</v>
      </c>
      <c r="EJ186" s="472" t="str">
        <f>IF(X186=0,"",EJ$1&amp;X186)</f>
        <v/>
      </c>
      <c r="EK186" s="472" t="str">
        <f ca="1">EK$1&amp;X186</f>
        <v>[D_Python.xlsx]9.Quellen!C</v>
      </c>
      <c r="EV186" s="819">
        <f t="shared" ca="1" si="70"/>
        <v>186</v>
      </c>
      <c r="EW186" s="819"/>
    </row>
    <row r="187" spans="1:153" s="478" customFormat="1" ht="4">
      <c r="A187" s="677" t="str">
        <f t="shared" ca="1" si="68"/>
        <v>D.1.187</v>
      </c>
      <c r="B187" s="677" t="str">
        <f t="shared" ca="1" si="69"/>
        <v>1.187</v>
      </c>
      <c r="C187" s="677" t="str">
        <f t="shared" si="77"/>
        <v>[187]</v>
      </c>
      <c r="D187" s="677">
        <f>ROW()</f>
        <v>187</v>
      </c>
      <c r="E187" s="548"/>
      <c r="F187" s="548"/>
      <c r="G187" s="548"/>
      <c r="H187" s="548"/>
      <c r="I187" s="549"/>
      <c r="J187" s="549"/>
      <c r="K187" s="549"/>
      <c r="L187" s="549"/>
      <c r="M187" s="549"/>
      <c r="N187" s="548"/>
      <c r="O187" s="871">
        <v>187</v>
      </c>
      <c r="P187" s="575"/>
      <c r="Q187" s="576"/>
      <c r="R187" s="888"/>
      <c r="S187" s="802"/>
      <c r="T187" s="882"/>
      <c r="U187" s="661"/>
      <c r="V187" s="661"/>
      <c r="W187" s="661"/>
      <c r="X187" s="661"/>
      <c r="Y187" s="661"/>
      <c r="Z187" s="661"/>
      <c r="AA187" s="661"/>
      <c r="AB187" s="675"/>
      <c r="AC187" s="675"/>
      <c r="AD187" s="675"/>
      <c r="AE187" s="675"/>
      <c r="AF187" s="675"/>
      <c r="AG187" s="675"/>
      <c r="AH187" s="675"/>
      <c r="AI187" s="675"/>
      <c r="AJ187" s="675"/>
      <c r="AK187" s="675"/>
      <c r="AL187" s="675"/>
      <c r="AM187" s="675"/>
      <c r="AN187" s="675"/>
      <c r="AO187" s="675"/>
      <c r="AP187" s="675"/>
      <c r="AQ187" s="675"/>
      <c r="AR187" s="675"/>
      <c r="AS187" s="675"/>
      <c r="AT187" s="675"/>
      <c r="AU187" s="675"/>
      <c r="AV187" s="675"/>
      <c r="AZ187" s="505"/>
      <c r="BB187" s="505"/>
      <c r="BI187" s="478" t="s">
        <v>126</v>
      </c>
      <c r="BJ187" s="489"/>
      <c r="BN187" s="661"/>
      <c r="CU187" s="479"/>
      <c r="CV187" s="661"/>
      <c r="CW187" s="479"/>
      <c r="DS187" s="661"/>
      <c r="EV187" s="818" t="str">
        <f t="shared" si="70"/>
        <v/>
      </c>
      <c r="EW187" s="818"/>
    </row>
    <row r="188" spans="1:153" s="475" customFormat="1" ht="13.5" customHeight="1">
      <c r="A188" s="654" t="str">
        <f t="shared" ca="1" si="68"/>
        <v>D.1.188</v>
      </c>
      <c r="B188" s="654" t="str">
        <f t="shared" ca="1" si="69"/>
        <v>1.188</v>
      </c>
      <c r="C188" s="654" t="str">
        <f t="shared" si="77"/>
        <v>[188]</v>
      </c>
      <c r="D188" s="654">
        <f>ROW()</f>
        <v>188</v>
      </c>
      <c r="E188" s="1129" t="str">
        <f>BP188</f>
        <v>Windparkfläche</v>
      </c>
      <c r="F188" s="1129"/>
      <c r="G188" s="1129"/>
      <c r="H188" s="1129"/>
      <c r="I188" s="1129"/>
      <c r="J188" s="471" t="s">
        <v>272</v>
      </c>
      <c r="K188" s="546">
        <f ca="1">INDIRECT($W$1&amp;U188)</f>
        <v>195708.05887181088</v>
      </c>
      <c r="L188" s="485" t="str">
        <f ca="1">HYPERLINK($CK$1&amp;U188,$CE$1&amp;U188&amp;$CF$1)</f>
        <v>[189]</v>
      </c>
      <c r="M188" s="547">
        <f ca="1">INDIRECT($W$1&amp;W188)</f>
        <v>749354.03087882814</v>
      </c>
      <c r="N188" s="533" t="str">
        <f ca="1">HYPERLINK($CK$1&amp;W188,$CE$1&amp;W188&amp;$CF$1)</f>
        <v>[192]</v>
      </c>
      <c r="O188" s="869">
        <v>188</v>
      </c>
      <c r="P188" s="570"/>
      <c r="Q188" s="583"/>
      <c r="R188" s="852"/>
      <c r="S188" s="784"/>
      <c r="T188" s="864"/>
      <c r="U188" s="672">
        <f>D189</f>
        <v>189</v>
      </c>
      <c r="V188" s="905" t="s">
        <v>126</v>
      </c>
      <c r="W188" s="672">
        <f>D192</f>
        <v>192</v>
      </c>
      <c r="X188" s="658"/>
      <c r="Y188" s="658"/>
      <c r="Z188" s="658"/>
      <c r="AA188" s="658"/>
      <c r="AB188" s="801"/>
      <c r="AC188" s="801"/>
      <c r="AD188" s="674"/>
      <c r="AE188" s="674"/>
      <c r="AF188" s="674"/>
      <c r="AG188" s="674"/>
      <c r="AH188" s="674"/>
      <c r="AI188" s="674"/>
      <c r="AJ188" s="674"/>
      <c r="AK188" s="674"/>
      <c r="AL188" s="674"/>
      <c r="AM188" s="674"/>
      <c r="AN188" s="674"/>
      <c r="AO188" s="674"/>
      <c r="AP188" s="674"/>
      <c r="AQ188" s="674"/>
      <c r="AR188" s="674"/>
      <c r="AS188" s="674"/>
      <c r="AT188" s="674"/>
      <c r="AU188" s="674"/>
      <c r="AV188" s="674"/>
      <c r="AX188" s="475" t="s">
        <v>244</v>
      </c>
      <c r="AY188" s="500">
        <f ca="1">DA188</f>
        <v>36590.400000000001</v>
      </c>
      <c r="AZ188" s="508" t="str">
        <f ca="1">HYPERLINK(DN188,DC188)</f>
        <v xml:space="preserve"> 191</v>
      </c>
      <c r="BA188" s="500">
        <f ca="1">DB188</f>
        <v>119034.45</v>
      </c>
      <c r="BB188" s="508" t="str">
        <f ca="1">HYPERLINK(DO188,DD188)</f>
        <v xml:space="preserve"> 59</v>
      </c>
      <c r="BC188" s="475" t="str">
        <f ca="1">CY188&amp;" | "&amp;CZ188</f>
        <v>Windpark-Fl.
Onshore | 2.1.5 Für Windparks genutzte Abstands-Flächen (Onshore)</v>
      </c>
      <c r="BI188" s="475" t="s">
        <v>126</v>
      </c>
      <c r="BJ188" s="492" t="str">
        <f>E188</f>
        <v>Windparkfläche</v>
      </c>
      <c r="BK188" s="486">
        <f ca="1">K188</f>
        <v>195708.05887181088</v>
      </c>
      <c r="BL188" s="486">
        <f ca="1">M188</f>
        <v>749354.03087882814</v>
      </c>
      <c r="BM188" s="472">
        <f>D188</f>
        <v>188</v>
      </c>
      <c r="BN188" s="658"/>
      <c r="BO188" s="475" t="s">
        <v>251</v>
      </c>
      <c r="BP188" s="521" t="s">
        <v>839</v>
      </c>
      <c r="CU188" s="476"/>
      <c r="CV188" s="658"/>
      <c r="CW188" s="518">
        <v>30</v>
      </c>
      <c r="CY188" s="472" t="str">
        <f t="shared" ref="CY188:DO188" ca="1" si="87">INDIRECT($CX$1&amp;CY$1&amp;$CW188)</f>
        <v>Windpark-Fl.
Onshore</v>
      </c>
      <c r="CZ188" s="472" t="str">
        <f t="shared" ca="1" si="87"/>
        <v>2.1.5 Für Windparks genutzte Abstands-Flächen (Onshore)</v>
      </c>
      <c r="DA188" s="472">
        <f t="shared" ca="1" si="87"/>
        <v>36590.400000000001</v>
      </c>
      <c r="DB188" s="472">
        <f t="shared" ca="1" si="87"/>
        <v>119034.45</v>
      </c>
      <c r="DC188" s="472" t="str">
        <f t="shared" ca="1" si="87"/>
        <v xml:space="preserve"> 191</v>
      </c>
      <c r="DD188" s="472" t="str">
        <f t="shared" ca="1" si="87"/>
        <v xml:space="preserve"> 59</v>
      </c>
      <c r="DE188" s="472" t="str">
        <f t="shared" ca="1" si="87"/>
        <v>Wi20</v>
      </c>
      <c r="DF188" s="472" t="str">
        <f t="shared" ca="1" si="87"/>
        <v>Wi40</v>
      </c>
      <c r="DG188" s="472" t="str">
        <f t="shared" ca="1" si="87"/>
        <v>Wi</v>
      </c>
      <c r="DH188" s="472" t="str">
        <f t="shared" ca="1" si="87"/>
        <v>20</v>
      </c>
      <c r="DI188" s="472" t="str">
        <f t="shared" ca="1" si="87"/>
        <v>[Wi.xls]TEXT!Z20S5</v>
      </c>
      <c r="DJ188" s="472" t="str">
        <f t="shared" ca="1" si="87"/>
        <v>Wi</v>
      </c>
      <c r="DK188" s="472" t="str">
        <f t="shared" ca="1" si="87"/>
        <v>40</v>
      </c>
      <c r="DL188" s="472" t="str">
        <f t="shared" ca="1" si="87"/>
        <v>[Wi.xls]TEXT!Z40S5</v>
      </c>
      <c r="DM188" s="472">
        <f t="shared" ca="1" si="87"/>
        <v>30</v>
      </c>
      <c r="DN188" s="472" t="str">
        <f t="shared" ca="1" si="87"/>
        <v>[Region.xls]PARAMETER!Z191S6</v>
      </c>
      <c r="DO188" s="472" t="str">
        <f t="shared" ca="1" si="87"/>
        <v>[Region.xls]PARAMETER!Z59S6</v>
      </c>
      <c r="DP188" s="472"/>
      <c r="DS188" s="656"/>
      <c r="DV188" s="472"/>
      <c r="DW188" s="472"/>
      <c r="DX188" s="472"/>
      <c r="DY188" s="472"/>
      <c r="DZ188" s="472"/>
      <c r="EA188" s="472"/>
      <c r="EB188" s="472"/>
      <c r="EC188" s="472"/>
      <c r="ED188" s="472"/>
      <c r="EE188" s="472"/>
      <c r="EF188" s="472"/>
      <c r="EG188" s="472"/>
      <c r="EH188" s="472"/>
      <c r="EI188" s="472"/>
      <c r="EJ188" s="472"/>
      <c r="EK188" s="472"/>
      <c r="EV188" s="819">
        <f t="shared" si="70"/>
        <v>188</v>
      </c>
      <c r="EW188" s="819"/>
    </row>
    <row r="189" spans="1:153" s="472" customFormat="1" ht="39">
      <c r="A189" s="654" t="str">
        <f t="shared" ca="1" si="68"/>
        <v>D.1.189</v>
      </c>
      <c r="B189" s="654" t="str">
        <f t="shared" ca="1" si="69"/>
        <v>1.189</v>
      </c>
      <c r="C189" s="654" t="str">
        <f t="shared" si="77"/>
        <v>[189]</v>
      </c>
      <c r="D189" s="654">
        <f>ROW()</f>
        <v>189</v>
      </c>
      <c r="E189" s="1130" t="str">
        <f>CU189</f>
        <v>- STATUS-Ansatz: 195.708 ha Windparkfläche wurden von Onshore-Windenergieanlagen in Deutschland 2015 beansprucht, das resultiert aus einer installierten Leistung von 40.989 MW [190] und einer spezifischen Flächenbeanspruchung von 4,77 ha/MW [199].</v>
      </c>
      <c r="F189" s="1130"/>
      <c r="G189" s="1130"/>
      <c r="H189" s="1130"/>
      <c r="I189" s="1130"/>
      <c r="J189" s="1130"/>
      <c r="K189" s="1130"/>
      <c r="L189" s="1130"/>
      <c r="M189" s="1130"/>
      <c r="N189" s="1131"/>
      <c r="O189" s="869">
        <v>189</v>
      </c>
      <c r="P189" s="573" t="str">
        <f ca="1">HYPERLINK(EK189,EJ189)</f>
        <v/>
      </c>
      <c r="Q189" s="574" t="str">
        <f>Y189</f>
        <v xml:space="preserve"> </v>
      </c>
      <c r="R189" s="852"/>
      <c r="S189" s="784"/>
      <c r="T189" s="864"/>
      <c r="U189" s="1023" t="str">
        <f>TEXT(AJ189,"0.000")&amp;AK189&amp;"Windparkfläche wurden von Onshore-Windenergieanlagen in Deutschland 2015 beansprucht, das resultiert aus einer installierten Leistung von "&amp;TEXT(AF189,"0.000")&amp;AG189&amp;C190&amp;" und einer spezifischen Flächenbeanspruchung von "&amp;TEXT(AH189,"0,00")&amp;AI189&amp;C199&amp;"."</f>
        <v>195.708 ha Windparkfläche wurden von Onshore-Windenergieanlagen in Deutschland 2015 beansprucht, das resultiert aus einer installierten Leistung von 40.989 MW [190] und einer spezifischen Flächenbeanspruchung von 4,77 ha/MW [199].</v>
      </c>
      <c r="V189" s="905" t="s">
        <v>126</v>
      </c>
      <c r="W189" s="1024">
        <f>AJ189</f>
        <v>195708.05887181088</v>
      </c>
      <c r="X189" s="672"/>
      <c r="Y189" s="672" t="s">
        <v>126</v>
      </c>
      <c r="Z189" s="1025"/>
      <c r="AA189" s="658"/>
      <c r="AB189" s="801"/>
      <c r="AC189" s="801"/>
      <c r="AD189" s="801">
        <f ca="1">AY188</f>
        <v>36590.400000000001</v>
      </c>
      <c r="AE189" s="801" t="s">
        <v>381</v>
      </c>
      <c r="AF189" s="687">
        <f>W190</f>
        <v>40989</v>
      </c>
      <c r="AG189" s="801" t="s">
        <v>378</v>
      </c>
      <c r="AH189" s="590">
        <f>W199</f>
        <v>4.7746482927568588</v>
      </c>
      <c r="AI189" s="801" t="s">
        <v>383</v>
      </c>
      <c r="AJ189" s="801">
        <f>AF189*AH189</f>
        <v>195708.05887181088</v>
      </c>
      <c r="AK189" s="801" t="s">
        <v>382</v>
      </c>
      <c r="AL189" s="801"/>
      <c r="AM189" s="801"/>
      <c r="AN189" s="801"/>
      <c r="AO189" s="801"/>
      <c r="AP189" s="801"/>
      <c r="AQ189" s="801"/>
      <c r="AR189" s="801"/>
      <c r="AS189" s="801"/>
      <c r="AT189" s="801"/>
      <c r="AU189" s="801"/>
      <c r="AV189" s="801"/>
      <c r="BF189" s="473"/>
      <c r="BI189" s="472" t="s">
        <v>126</v>
      </c>
      <c r="BJ189" s="490"/>
      <c r="BN189" s="656"/>
      <c r="BO189" s="472" t="s">
        <v>259</v>
      </c>
      <c r="CU189" s="480" t="str">
        <f>CG$1&amp;IF(U189="",BF189,U189)</f>
        <v>- STATUS-Ansatz: 195.708 ha Windparkfläche wurden von Onshore-Windenergieanlagen in Deutschland 2015 beansprucht, das resultiert aus einer installierten Leistung von 40.989 MW [190] und einer spezifischen Flächenbeanspruchung von 4,77 ha/MW [199].</v>
      </c>
      <c r="CV189" s="656"/>
      <c r="CW189" s="480"/>
      <c r="DS189" s="656"/>
      <c r="DT189" s="518">
        <f>I_Basisdaten!A60</f>
        <v>60</v>
      </c>
      <c r="EJ189" s="472" t="str">
        <f>IF(X189=0,"",EJ$1&amp;X189)</f>
        <v/>
      </c>
      <c r="EK189" s="472" t="str">
        <f ca="1">EK$1&amp;X189</f>
        <v>[D_Python.xlsx]9.Quellen!C</v>
      </c>
      <c r="EV189" s="819">
        <f t="shared" si="70"/>
        <v>189</v>
      </c>
      <c r="EW189" s="819"/>
    </row>
    <row r="190" spans="1:153" s="472" customFormat="1" ht="36" customHeight="1">
      <c r="A190" s="654" t="str">
        <f t="shared" ca="1" si="68"/>
        <v>D.1.190</v>
      </c>
      <c r="B190" s="654" t="str">
        <f t="shared" ca="1" si="69"/>
        <v>1.190</v>
      </c>
      <c r="C190" s="654" t="str">
        <f t="shared" si="77"/>
        <v>[190]</v>
      </c>
      <c r="D190" s="654">
        <f>ROW()</f>
        <v>190</v>
      </c>
      <c r="E190" s="1130" t="str">
        <f ca="1">CU190</f>
        <v>40.989 MW installierte Onshore-Windenergie-Leistung resultieren als Jahresdurchschnitt für 2015 unter der Annahme eines linear über das Jahr verteilten Zubaus: 41.521 MW betrug Ende 2015 die installierte Leistung der Onshore-Windenergie in Deutschland [9.22] Zeile 79, Ende 2014 waren es 40.457 MW.</v>
      </c>
      <c r="F190" s="1130"/>
      <c r="G190" s="1130"/>
      <c r="H190" s="1130"/>
      <c r="I190" s="1130"/>
      <c r="J190" s="1130"/>
      <c r="K190" s="1130"/>
      <c r="L190" s="1130"/>
      <c r="M190" s="1130"/>
      <c r="N190" s="1131"/>
      <c r="O190" s="869">
        <v>190</v>
      </c>
      <c r="P190" s="573" t="str">
        <f ca="1">HYPERLINK(EK190,EJ190)</f>
        <v>9.22</v>
      </c>
      <c r="Q190" s="574" t="str">
        <f>Y190</f>
        <v>Zeile 79</v>
      </c>
      <c r="R190" s="852"/>
      <c r="S190" s="784"/>
      <c r="T190" s="864"/>
      <c r="U190" s="1033" t="str">
        <f ca="1">TEXT(AF190,"0.000")&amp;" MW installierte Onshore-Windenergie-Leistung resultieren als Jahresdurchschnitt für 2015 unter der Annahme eines linear über das Jahr verteilten Zubaus: "&amp;TEXT(AD190,"0.000")&amp;" MW betrug Ende 2015 die installierte Leistung der Onshore-Windenergie in Deutschland ["&amp;P190&amp;"] "&amp;Q190&amp;", Ende 2014 waren es "&amp;TEXT(AE190,"0.000")&amp;" MW."</f>
        <v>40.989 MW installierte Onshore-Windenergie-Leistung resultieren als Jahresdurchschnitt für 2015 unter der Annahme eines linear über das Jahr verteilten Zubaus: 41.521 MW betrug Ende 2015 die installierte Leistung der Onshore-Windenergie in Deutschland [9.22] Zeile 79, Ende 2014 waren es 40.457 MW.</v>
      </c>
      <c r="V190" s="905" t="s">
        <v>126</v>
      </c>
      <c r="W190" s="1024">
        <f>AF190</f>
        <v>40989</v>
      </c>
      <c r="X190" s="672">
        <f>'9.Quellen'!C22</f>
        <v>22</v>
      </c>
      <c r="Y190" s="672" t="s">
        <v>991</v>
      </c>
      <c r="Z190" s="1025"/>
      <c r="AA190" s="905"/>
      <c r="AB190" s="801"/>
      <c r="AC190" s="801"/>
      <c r="AD190" s="801">
        <v>41521</v>
      </c>
      <c r="AE190" s="845">
        <v>40457</v>
      </c>
      <c r="AF190" s="845">
        <f>(AD190+AE190)/2</f>
        <v>40989</v>
      </c>
      <c r="AG190" s="801" t="s">
        <v>378</v>
      </c>
      <c r="AH190" s="801"/>
      <c r="AI190" s="801"/>
      <c r="AJ190" s="801"/>
      <c r="AK190" s="801"/>
      <c r="AL190" s="801"/>
      <c r="AM190" s="801"/>
      <c r="AN190" s="801"/>
      <c r="AO190" s="801"/>
      <c r="AP190" s="801"/>
      <c r="AQ190" s="801"/>
      <c r="AR190" s="801"/>
      <c r="AS190" s="801"/>
      <c r="AT190" s="801"/>
      <c r="AU190" s="801"/>
      <c r="AV190" s="801"/>
      <c r="BF190" s="473"/>
      <c r="BI190" s="472" t="s">
        <v>126</v>
      </c>
      <c r="BJ190" s="490"/>
      <c r="BN190" s="656"/>
      <c r="BO190" s="472" t="s">
        <v>252</v>
      </c>
      <c r="CU190" s="480" t="str">
        <f ca="1">IF(U190="",BF190,U190)</f>
        <v>40.989 MW installierte Onshore-Windenergie-Leistung resultieren als Jahresdurchschnitt für 2015 unter der Annahme eines linear über das Jahr verteilten Zubaus: 41.521 MW betrug Ende 2015 die installierte Leistung der Onshore-Windenergie in Deutschland [9.22] Zeile 79, Ende 2014 waren es 40.457 MW.</v>
      </c>
      <c r="CV190" s="656"/>
      <c r="CW190" s="480"/>
      <c r="DS190" s="656"/>
      <c r="DT190" s="518"/>
      <c r="EJ190" s="472" t="str">
        <f ca="1">IF(X190=0,"",EJ$1&amp;X190)</f>
        <v>9.22</v>
      </c>
      <c r="EK190" s="472" t="str">
        <f ca="1">EK$1&amp;X190</f>
        <v>[D_Python.xlsx]9.Quellen!C22</v>
      </c>
      <c r="EV190" s="819">
        <f t="shared" ca="1" si="70"/>
        <v>190</v>
      </c>
      <c r="EW190" s="819"/>
    </row>
    <row r="191" spans="1:153" s="478" customFormat="1" ht="4">
      <c r="A191" s="677" t="str">
        <f t="shared" ca="1" si="68"/>
        <v>D.1.191</v>
      </c>
      <c r="B191" s="677" t="str">
        <f t="shared" ca="1" si="69"/>
        <v>1.191</v>
      </c>
      <c r="C191" s="677" t="str">
        <f t="shared" si="77"/>
        <v>[191]</v>
      </c>
      <c r="D191" s="677">
        <f>ROW()</f>
        <v>191</v>
      </c>
      <c r="E191" s="528"/>
      <c r="F191" s="528"/>
      <c r="G191" s="528"/>
      <c r="H191" s="528"/>
      <c r="I191" s="527"/>
      <c r="J191" s="527"/>
      <c r="K191" s="527"/>
      <c r="L191" s="527"/>
      <c r="M191" s="527"/>
      <c r="N191" s="528"/>
      <c r="O191" s="871">
        <v>191</v>
      </c>
      <c r="P191" s="566"/>
      <c r="Q191" s="567"/>
      <c r="R191" s="888"/>
      <c r="S191" s="802"/>
      <c r="T191" s="882"/>
      <c r="U191" s="661"/>
      <c r="V191" s="661"/>
      <c r="W191" s="661"/>
      <c r="X191" s="661"/>
      <c r="Y191" s="661"/>
      <c r="Z191" s="661"/>
      <c r="AA191" s="661"/>
      <c r="AB191" s="675"/>
      <c r="AC191" s="675"/>
      <c r="AD191" s="675"/>
      <c r="AE191" s="675"/>
      <c r="AF191" s="675"/>
      <c r="AG191" s="675"/>
      <c r="AH191" s="675"/>
      <c r="AI191" s="675"/>
      <c r="AJ191" s="675"/>
      <c r="AK191" s="675"/>
      <c r="AL191" s="675"/>
      <c r="AM191" s="675"/>
      <c r="AN191" s="675"/>
      <c r="AO191" s="675"/>
      <c r="AP191" s="675"/>
      <c r="AQ191" s="675"/>
      <c r="AR191" s="675"/>
      <c r="AS191" s="675"/>
      <c r="AT191" s="675"/>
      <c r="AU191" s="675"/>
      <c r="AV191" s="675"/>
      <c r="BI191" s="478" t="s">
        <v>126</v>
      </c>
      <c r="BJ191" s="489"/>
      <c r="BN191" s="661"/>
      <c r="CU191" s="479"/>
      <c r="CV191" s="661"/>
      <c r="CW191" s="479"/>
      <c r="DS191" s="661"/>
      <c r="EV191" s="818" t="str">
        <f t="shared" si="70"/>
        <v/>
      </c>
      <c r="EW191" s="818"/>
    </row>
    <row r="192" spans="1:153" s="472" customFormat="1" ht="26">
      <c r="A192" s="654" t="str">
        <f t="shared" ca="1" si="68"/>
        <v>D.1.192</v>
      </c>
      <c r="B192" s="654" t="str">
        <f t="shared" ca="1" si="69"/>
        <v>1.192</v>
      </c>
      <c r="C192" s="654" t="str">
        <f t="shared" si="77"/>
        <v>[192]</v>
      </c>
      <c r="D192" s="654">
        <f>ROW()</f>
        <v>192</v>
      </c>
      <c r="E192" s="1125" t="str">
        <f t="shared" ref="E192" ca="1" si="88">CU192</f>
        <v xml:space="preserve">- ZIEL-Ansatz: 749.354 ha Windparkfläche resultieren aus der Annahme von 2,1 %  der Bodenfläche von Deutschland [64], die als Beitrag der Onshore-Windenergie zur Abdeckung des Strombedarfs gewählt wurden. </v>
      </c>
      <c r="F192" s="1125"/>
      <c r="G192" s="1125"/>
      <c r="H192" s="1125"/>
      <c r="I192" s="1125"/>
      <c r="J192" s="1125"/>
      <c r="K192" s="1125"/>
      <c r="L192" s="1125"/>
      <c r="M192" s="1125"/>
      <c r="N192" s="1132"/>
      <c r="O192" s="869">
        <v>192</v>
      </c>
      <c r="P192" s="573" t="str">
        <f ca="1">HYPERLINK(EK192,EJ192)</f>
        <v/>
      </c>
      <c r="Q192" s="574" t="str">
        <f>Y192</f>
        <v xml:space="preserve"> </v>
      </c>
      <c r="R192" s="852"/>
      <c r="S192" s="784"/>
      <c r="T192" s="864"/>
      <c r="U192" s="1023" t="str">
        <f ca="1">TEXT(AH192,"0.000")&amp;" ha Windparkfläche resultieren aus der Annahme von "&amp;TEXT(AD192,"0,0")&amp;AE192&amp;" der Bodenfläche von "&amp;AN192&amp;" "&amp;C64&amp;", die als Beitrag der Onshore-Windenergie zur Abdeckung des Strombedarfs gewählt wurden. "</f>
        <v xml:space="preserve">749.354 ha Windparkfläche resultieren aus der Annahme von 2,1 %  der Bodenfläche von Deutschland [64], die als Beitrag der Onshore-Windenergie zur Abdeckung des Strombedarfs gewählt wurden. </v>
      </c>
      <c r="V192" s="858" t="s">
        <v>126</v>
      </c>
      <c r="W192" s="1024">
        <v>749354.03087882814</v>
      </c>
      <c r="X192" s="672"/>
      <c r="Y192" s="672" t="s">
        <v>126</v>
      </c>
      <c r="Z192" s="1081"/>
      <c r="AA192" s="905"/>
      <c r="AB192" s="801"/>
      <c r="AC192" s="1020">
        <v>44045</v>
      </c>
      <c r="AD192" s="790">
        <f ca="1">W192/AF192%</f>
        <v>2.0956284083599175</v>
      </c>
      <c r="AE192" s="801" t="s">
        <v>531</v>
      </c>
      <c r="AF192" s="687">
        <f ca="1">K64</f>
        <v>35757963</v>
      </c>
      <c r="AG192" s="687" t="s">
        <v>382</v>
      </c>
      <c r="AH192" s="801">
        <f ca="1">AD192%*AF192</f>
        <v>749354.03087882826</v>
      </c>
      <c r="AI192" s="801" t="s">
        <v>382</v>
      </c>
      <c r="AJ192" s="801">
        <f>AJ193</f>
        <v>2808423.8467033906</v>
      </c>
      <c r="AK192" s="801" t="s">
        <v>712</v>
      </c>
      <c r="AL192" s="801">
        <f ca="1">AH192/AJ192%</f>
        <v>26.682369605942558</v>
      </c>
      <c r="AM192" s="801" t="s">
        <v>835</v>
      </c>
      <c r="AN192" s="801" t="str">
        <f>AD7</f>
        <v>Deutschland</v>
      </c>
      <c r="AO192" s="801"/>
      <c r="AP192" s="801"/>
      <c r="AQ192" s="801"/>
      <c r="AR192" s="801"/>
      <c r="AS192" s="801"/>
      <c r="AT192" s="801"/>
      <c r="AU192" s="801"/>
      <c r="AV192" s="801"/>
      <c r="BF192" s="473"/>
      <c r="BI192" s="472" t="s">
        <v>126</v>
      </c>
      <c r="BJ192" s="490"/>
      <c r="BN192" s="656"/>
      <c r="BO192" s="472" t="s">
        <v>259</v>
      </c>
      <c r="CU192" s="480" t="str">
        <f ca="1">CH$1&amp;IF(U192="",BF192,U192)</f>
        <v xml:space="preserve">- ZIEL-Ansatz: 749.354 ha Windparkfläche resultieren aus der Annahme von 2,1 %  der Bodenfläche von Deutschland [64], die als Beitrag der Onshore-Windenergie zur Abdeckung des Strombedarfs gewählt wurden. </v>
      </c>
      <c r="CV192" s="656"/>
      <c r="CW192" s="480"/>
      <c r="DS192" s="656"/>
      <c r="DT192" s="518">
        <v>53</v>
      </c>
      <c r="EJ192" s="472" t="str">
        <f>IF(X192=0,"",EJ$1&amp;X192)</f>
        <v/>
      </c>
      <c r="EK192" s="472" t="str">
        <f ca="1">EK$1&amp;X192</f>
        <v>[D_Python.xlsx]9.Quellen!C</v>
      </c>
      <c r="EV192" s="819">
        <f t="shared" ca="1" si="70"/>
        <v>192</v>
      </c>
      <c r="EW192" s="819"/>
    </row>
    <row r="193" spans="1:153" s="656" customFormat="1" ht="24" hidden="1" customHeight="1">
      <c r="A193" s="654" t="str">
        <f t="shared" ca="1" si="68"/>
        <v>D.1.193</v>
      </c>
      <c r="B193" s="654" t="str">
        <f t="shared" ca="1" si="69"/>
        <v>1.193</v>
      </c>
      <c r="C193" s="654" t="str">
        <f t="shared" ref="C193" si="89">CE$1&amp;D193&amp;CF$1</f>
        <v>[193]</v>
      </c>
      <c r="D193" s="654">
        <f>ROW()</f>
        <v>193</v>
      </c>
      <c r="E193" s="1154" t="str">
        <f>CU193</f>
        <v xml:space="preserve">2.808.424 ha Erntefläche resultiert aus der bei 2 %  Windparkfläche gemäß Studie installierten Leistung von 715.159 MW [203] und  3,93 ha/MW spezifische Erntefläche [194] durchschnittlich.  </v>
      </c>
      <c r="F193" s="1154"/>
      <c r="G193" s="1154"/>
      <c r="H193" s="1154"/>
      <c r="I193" s="1154"/>
      <c r="J193" s="1154"/>
      <c r="K193" s="1154"/>
      <c r="L193" s="1154"/>
      <c r="M193" s="1154"/>
      <c r="N193" s="1155"/>
      <c r="O193" s="869">
        <v>193</v>
      </c>
      <c r="P193" s="691" t="str">
        <f ca="1">HYPERLINK(EK193,EJ193)</f>
        <v/>
      </c>
      <c r="Q193" s="692" t="str">
        <f>Y193</f>
        <v xml:space="preserve"> </v>
      </c>
      <c r="R193" s="852"/>
      <c r="S193" s="784"/>
      <c r="T193" s="864"/>
      <c r="U193" s="787" t="str">
        <f>TEXT(W193,"0.000")&amp;" ha Erntefläche resultiert aus der bei "&amp;AL193&amp;AM193&amp;" Windparkfläche gemäß Studie installierten Leistung von "&amp;TEXT(AF193,"0.000")&amp;" MW "&amp;C203&amp;" und  "&amp;TEXT(AH193,"0,00")&amp;AI193&amp;C194&amp;" durchschnittlich.  "</f>
        <v xml:space="preserve">2.808.424 ha Erntefläche resultiert aus der bei 2 %  Windparkfläche gemäß Studie installierten Leistung von 715.159 MW [203] und  3,93 ha/MW spezifische Erntefläche [194] durchschnittlich.  </v>
      </c>
      <c r="V193" s="905" t="s">
        <v>126</v>
      </c>
      <c r="W193" s="1024">
        <f>AJ193</f>
        <v>2808423.8467033906</v>
      </c>
      <c r="X193" s="672"/>
      <c r="Y193" s="672" t="s">
        <v>126</v>
      </c>
      <c r="Z193" s="1025"/>
      <c r="AA193" s="905"/>
      <c r="AB193" s="801"/>
      <c r="AC193" s="801"/>
      <c r="AD193" s="801">
        <f ca="1">BA188</f>
        <v>119034.45</v>
      </c>
      <c r="AE193" s="801" t="s">
        <v>370</v>
      </c>
      <c r="AF193" s="687">
        <f>AH203</f>
        <v>715159.26</v>
      </c>
      <c r="AG193" s="801" t="s">
        <v>371</v>
      </c>
      <c r="AH193" s="590">
        <f>AD194</f>
        <v>3.926990816987241</v>
      </c>
      <c r="AI193" s="801" t="s">
        <v>373</v>
      </c>
      <c r="AJ193" s="801">
        <f>AF193*AH193</f>
        <v>2808423.8467033906</v>
      </c>
      <c r="AK193" s="801" t="s">
        <v>372</v>
      </c>
      <c r="AL193" s="801">
        <f>AF203</f>
        <v>2</v>
      </c>
      <c r="AM193" s="801" t="str">
        <f>AG203</f>
        <v xml:space="preserve"> % </v>
      </c>
      <c r="AN193" s="801"/>
      <c r="AO193" s="801"/>
      <c r="AP193" s="801"/>
      <c r="AQ193" s="801"/>
      <c r="AR193" s="801"/>
      <c r="AS193" s="801"/>
      <c r="AT193" s="801"/>
      <c r="AU193" s="801"/>
      <c r="AV193" s="801"/>
      <c r="BF193" s="657"/>
      <c r="BI193" s="656" t="s">
        <v>126</v>
      </c>
      <c r="BJ193" s="666"/>
      <c r="BO193" s="656" t="s">
        <v>252</v>
      </c>
      <c r="CU193" s="663" t="str">
        <f>IF(U193="",BF193,U193)</f>
        <v xml:space="preserve">2.808.424 ha Erntefläche resultiert aus der bei 2 %  Windparkfläche gemäß Studie installierten Leistung von 715.159 MW [203] und  3,93 ha/MW spezifische Erntefläche [194] durchschnittlich.  </v>
      </c>
      <c r="CW193" s="663"/>
      <c r="DT193" s="671"/>
      <c r="EJ193" s="656" t="str">
        <f>IF(X193=0,"",EJ$1&amp;X193)</f>
        <v/>
      </c>
      <c r="EK193" s="656" t="str">
        <f ca="1">EK$1&amp;X193</f>
        <v>[D_Python.xlsx]9.Quellen!C</v>
      </c>
      <c r="EV193" s="819">
        <f t="shared" si="70"/>
        <v>193</v>
      </c>
      <c r="EW193" s="819"/>
    </row>
    <row r="194" spans="1:153" s="472" customFormat="1" ht="15" hidden="1" customHeight="1">
      <c r="A194" s="654" t="str">
        <f t="shared" ca="1" si="68"/>
        <v>D.1.194</v>
      </c>
      <c r="B194" s="654" t="str">
        <f t="shared" ca="1" si="69"/>
        <v>1.194</v>
      </c>
      <c r="C194" s="654" t="str">
        <f t="shared" si="77"/>
        <v>[194]</v>
      </c>
      <c r="D194" s="654">
        <f>ROW()</f>
        <v>194</v>
      </c>
      <c r="E194" s="1154" t="str">
        <f ca="1">CU194</f>
        <v>Die Anteile eingesetzter Standard-Referenzanlagen [195] und Schwachwind-Referenzanlagen [212] sind aus der Studie [9.84] nicht ersichtlich  Bei der dort angewendeten flächenorientierten Platzierung [207] ist davon auszugehen, dass mit der Standortauswahl für 2% der Landesfläche das Potenzial der Standard-Referenz-Standorte wohl kaum ausgeschöpft sein dürfte. Hier wird ein Standard-Referenzanlagen-Anteil von 100 % angenommen, daraus resultiert  eine durchschnittliche spezifische Erntefläche von 3,93 ha/MW.</v>
      </c>
      <c r="F194" s="1154"/>
      <c r="G194" s="1154"/>
      <c r="H194" s="1154"/>
      <c r="I194" s="1154"/>
      <c r="J194" s="1154"/>
      <c r="K194" s="1154"/>
      <c r="L194" s="1154"/>
      <c r="M194" s="1154"/>
      <c r="N194" s="1154"/>
      <c r="O194" s="869">
        <v>194</v>
      </c>
      <c r="P194" s="573" t="str">
        <f ca="1">HYPERLINK(EK194,EJ194)</f>
        <v>9.84</v>
      </c>
      <c r="Q194" s="574" t="str">
        <f>Y194</f>
        <v>S. 21</v>
      </c>
      <c r="R194" s="852"/>
      <c r="S194" s="784"/>
      <c r="T194" s="864"/>
      <c r="U194" s="1033" t="str">
        <f ca="1">"Die Anteile eingesetzter Standard-Referenzanlagen "&amp;C195&amp;" und Schwachwind-Referenzanlagen "&amp;C212&amp;" sind aus der Studie ["&amp;P194&amp;"] nicht ersichtlich  Bei der dort angewendeten flächenorientierten Platzierung "&amp;C207&amp;" ist davon auszugehen, "&amp;"dass mit der Standortauswahl für 2% der Landesfläche das Potenzial der Standard-Referenz-Standorte wohl kaum ausgeschöpft sein dürfte. Hier wird ein Standard-Referenzanlagen-Anteil von "&amp;W194&amp;" % angenommen, daraus resultiert  eine durchschnittliche spezifische Erntefläche von "&amp;TEXT(AF194,"0,00")&amp;" ha/MW."</f>
        <v>Die Anteile eingesetzter Standard-Referenzanlagen [195] und Schwachwind-Referenzanlagen [212] sind aus der Studie [9.84] nicht ersichtlich  Bei der dort angewendeten flächenorientierten Platzierung [207] ist davon auszugehen, dass mit der Standortauswahl für 2% der Landesfläche das Potenzial der Standard-Referenz-Standorte wohl kaum ausgeschöpft sein dürfte. Hier wird ein Standard-Referenzanlagen-Anteil von 100 % angenommen, daraus resultiert  eine durchschnittliche spezifische Erntefläche von 3,93 ha/MW.</v>
      </c>
      <c r="V194" s="905" t="s">
        <v>126</v>
      </c>
      <c r="W194" s="1079">
        <v>100</v>
      </c>
      <c r="X194" s="672">
        <f>'9.Quellen'!C84</f>
        <v>84</v>
      </c>
      <c r="Y194" s="672" t="s">
        <v>362</v>
      </c>
      <c r="Z194" s="1025"/>
      <c r="AA194" s="905"/>
      <c r="AB194" s="801"/>
      <c r="AC194" s="801"/>
      <c r="AD194" s="590">
        <f>W195</f>
        <v>3.926990816987241</v>
      </c>
      <c r="AE194" s="590">
        <f>W212</f>
        <v>2077.5623268698064</v>
      </c>
      <c r="AF194" s="801">
        <f>AD194*W194%+AE194*(1-W194%)</f>
        <v>3.926990816987241</v>
      </c>
      <c r="AG194" s="801" t="s">
        <v>375</v>
      </c>
      <c r="AH194" s="801"/>
      <c r="AI194" s="801"/>
      <c r="AJ194" s="801"/>
      <c r="AK194" s="801"/>
      <c r="AL194" s="801"/>
      <c r="AM194" s="801"/>
      <c r="AN194" s="801"/>
      <c r="AO194" s="801"/>
      <c r="AP194" s="801"/>
      <c r="AQ194" s="801"/>
      <c r="AR194" s="801"/>
      <c r="AS194" s="801"/>
      <c r="AT194" s="801"/>
      <c r="AU194" s="801"/>
      <c r="AV194" s="801"/>
      <c r="BF194" s="473"/>
      <c r="BI194" s="472" t="s">
        <v>126</v>
      </c>
      <c r="BJ194" s="490"/>
      <c r="BN194" s="656"/>
      <c r="BO194" s="472" t="s">
        <v>252</v>
      </c>
      <c r="CU194" s="480" t="str">
        <f ca="1">IF(U194="",BF194,U194)</f>
        <v>Die Anteile eingesetzter Standard-Referenzanlagen [195] und Schwachwind-Referenzanlagen [212] sind aus der Studie [9.84] nicht ersichtlich  Bei der dort angewendeten flächenorientierten Platzierung [207] ist davon auszugehen, dass mit der Standortauswahl für 2% der Landesfläche das Potenzial der Standard-Referenz-Standorte wohl kaum ausgeschöpft sein dürfte. Hier wird ein Standard-Referenzanlagen-Anteil von 100 % angenommen, daraus resultiert  eine durchschnittliche spezifische Erntefläche von 3,93 ha/MW.</v>
      </c>
      <c r="CV194" s="656"/>
      <c r="CW194" s="480"/>
      <c r="DS194" s="656"/>
      <c r="DT194" s="518"/>
      <c r="EJ194" s="472" t="str">
        <f ca="1">IF(X194=0,"",EJ$1&amp;X194)</f>
        <v>9.84</v>
      </c>
      <c r="EK194" s="472" t="str">
        <f ca="1">EK$1&amp;X194</f>
        <v>[D_Python.xlsx]9.Quellen!C84</v>
      </c>
      <c r="EV194" s="819">
        <f t="shared" ca="1" si="70"/>
        <v>194</v>
      </c>
      <c r="EW194" s="819"/>
    </row>
    <row r="195" spans="1:153" s="472" customFormat="1" ht="60" hidden="1" customHeight="1">
      <c r="A195" s="654" t="str">
        <f t="shared" ca="1" si="68"/>
        <v>D.1.195</v>
      </c>
      <c r="B195" s="654" t="str">
        <f t="shared" ca="1" si="69"/>
        <v>1.195</v>
      </c>
      <c r="C195" s="654" t="str">
        <f t="shared" si="77"/>
        <v>[195]</v>
      </c>
      <c r="D195" s="654">
        <f>ROW()</f>
        <v>195</v>
      </c>
      <c r="E195" s="1154" t="str">
        <f ca="1">CU195</f>
        <v>3,93 ha/MW spezifische Erntefläche der Standard-Referenzanlage gemäß [9.84] S. 21 mit 3 MW Nennleistung, 100 m Nabenhöhe, 100 m Rotordurchmesser: Aus 7.854 m2 Rotorfläche resultiert bei Zugrundelegung des üblichen Mindestabstands zu Nachbaranlagen von 5 Rotorduchmessern in Hauptwindrichtung und 3 Rotordurchmessern rechtwinklig dazu 11,8 ha Anlagen-Erntefläche, in Bezug zur Nennleistung  ergibt sich 3,93 ha/MW spezifische Erntefläche.</v>
      </c>
      <c r="F195" s="1154"/>
      <c r="G195" s="1154"/>
      <c r="H195" s="1154"/>
      <c r="I195" s="1154"/>
      <c r="J195" s="1154"/>
      <c r="K195" s="1154"/>
      <c r="L195" s="1154"/>
      <c r="M195" s="1154"/>
      <c r="N195" s="1155"/>
      <c r="O195" s="869">
        <v>195</v>
      </c>
      <c r="P195" s="573" t="str">
        <f ca="1">HYPERLINK(EK195,EJ195)</f>
        <v>9.84</v>
      </c>
      <c r="Q195" s="574" t="str">
        <f>Y195</f>
        <v>S. 21</v>
      </c>
      <c r="R195" s="852"/>
      <c r="S195" s="784"/>
      <c r="T195" s="864"/>
      <c r="U195" s="1033" t="str">
        <f ca="1">TEXT(W195,"0,00")&amp;" ha/MW spezifische Erntefläche der Standard-Referenzanlage gemäß ["&amp;P195&amp;"] "&amp;Q195&amp;" mit "&amp;AD195&amp;AE195&amp;AF195&amp;AG195&amp;AH195&amp;AI195&amp;": Aus "&amp;TEXT(AJ195,"0.000")&amp;AK195&amp;" resultiert bei Zugrundelegung des üblichen Mindestabstands zu Nachbaranlagen von "&amp;AL195&amp;" Rotorduchmessern in Hauptwindrichtung und "&amp;AM195&amp;" Rotordurchmessern rechtwinklig dazu "&amp;TEXT(AN195,"0,0")&amp;AO195&amp;", in Bezug zur Nennleistung  ergibt sich "&amp;TEXT(W195,"0,00")&amp;AQ195&amp;"."</f>
        <v>3,93 ha/MW spezifische Erntefläche der Standard-Referenzanlage gemäß [9.84] S. 21 mit 3 MW Nennleistung, 100 m Nabenhöhe, 100 m Rotordurchmesser: Aus 7.854 m2 Rotorfläche resultiert bei Zugrundelegung des üblichen Mindestabstands zu Nachbaranlagen von 5 Rotorduchmessern in Hauptwindrichtung und 3 Rotordurchmessern rechtwinklig dazu 11,8 ha Anlagen-Erntefläche, in Bezug zur Nennleistung  ergibt sich 3,93 ha/MW spezifische Erntefläche.</v>
      </c>
      <c r="V195" s="905" t="s">
        <v>126</v>
      </c>
      <c r="W195" s="1079">
        <f>AP195</f>
        <v>3.926990816987241</v>
      </c>
      <c r="X195" s="672">
        <f>'9.Quellen'!C84</f>
        <v>84</v>
      </c>
      <c r="Y195" s="672" t="s">
        <v>362</v>
      </c>
      <c r="Z195" s="1025"/>
      <c r="AA195" s="905"/>
      <c r="AB195" s="801"/>
      <c r="AC195" s="801"/>
      <c r="AD195" s="801">
        <v>3</v>
      </c>
      <c r="AE195" s="801" t="s">
        <v>368</v>
      </c>
      <c r="AF195" s="801">
        <v>100</v>
      </c>
      <c r="AG195" s="801" t="s">
        <v>369</v>
      </c>
      <c r="AH195" s="801">
        <v>100</v>
      </c>
      <c r="AI195" s="801" t="s">
        <v>364</v>
      </c>
      <c r="AJ195" s="801">
        <f>AH195*AH195*PI()/4</f>
        <v>7853.981633974483</v>
      </c>
      <c r="AK195" s="801" t="s">
        <v>365</v>
      </c>
      <c r="AL195" s="801">
        <v>5</v>
      </c>
      <c r="AM195" s="801">
        <v>3</v>
      </c>
      <c r="AN195" s="801">
        <f>AJ195/10000*AL195*AM195</f>
        <v>11.780972450961723</v>
      </c>
      <c r="AO195" s="801" t="s">
        <v>366</v>
      </c>
      <c r="AP195" s="801">
        <f>AN195/AD195</f>
        <v>3.926990816987241</v>
      </c>
      <c r="AQ195" s="801" t="s">
        <v>367</v>
      </c>
      <c r="AR195" s="801"/>
      <c r="AS195" s="801"/>
      <c r="AT195" s="801"/>
      <c r="AU195" s="801"/>
      <c r="AV195" s="801"/>
      <c r="BF195" s="473"/>
      <c r="BI195" s="472" t="s">
        <v>126</v>
      </c>
      <c r="BJ195" s="490"/>
      <c r="BN195" s="656"/>
      <c r="BO195" s="472" t="s">
        <v>252</v>
      </c>
      <c r="CU195" s="480" t="str">
        <f ca="1">IF(U195="",BF195,U195)</f>
        <v>3,93 ha/MW spezifische Erntefläche der Standard-Referenzanlage gemäß [9.84] S. 21 mit 3 MW Nennleistung, 100 m Nabenhöhe, 100 m Rotordurchmesser: Aus 7.854 m2 Rotorfläche resultiert bei Zugrundelegung des üblichen Mindestabstands zu Nachbaranlagen von 5 Rotorduchmessern in Hauptwindrichtung und 3 Rotordurchmessern rechtwinklig dazu 11,8 ha Anlagen-Erntefläche, in Bezug zur Nennleistung  ergibt sich 3,93 ha/MW spezifische Erntefläche.</v>
      </c>
      <c r="CV195" s="656"/>
      <c r="CW195" s="480"/>
      <c r="DS195" s="656"/>
      <c r="DT195" s="518"/>
      <c r="EJ195" s="472" t="str">
        <f ca="1">IF(X195=0,"",EJ$1&amp;X195)</f>
        <v>9.84</v>
      </c>
      <c r="EK195" s="472" t="str">
        <f ca="1">EK$1&amp;X195</f>
        <v>[D_Python.xlsx]9.Quellen!C84</v>
      </c>
      <c r="EV195" s="819">
        <f t="shared" ca="1" si="70"/>
        <v>195</v>
      </c>
      <c r="EW195" s="819"/>
    </row>
    <row r="196" spans="1:153" s="478" customFormat="1" ht="4">
      <c r="A196" s="677" t="str">
        <f t="shared" ca="1" si="68"/>
        <v>D.1.196</v>
      </c>
      <c r="B196" s="677" t="str">
        <f t="shared" ca="1" si="69"/>
        <v>1.196</v>
      </c>
      <c r="C196" s="677" t="str">
        <f t="shared" si="77"/>
        <v>[196]</v>
      </c>
      <c r="D196" s="677">
        <f>ROW()</f>
        <v>196</v>
      </c>
      <c r="E196" s="548"/>
      <c r="F196" s="548"/>
      <c r="G196" s="548"/>
      <c r="H196" s="548"/>
      <c r="I196" s="549"/>
      <c r="J196" s="549"/>
      <c r="K196" s="549"/>
      <c r="L196" s="549"/>
      <c r="M196" s="549"/>
      <c r="N196" s="548"/>
      <c r="O196" s="871">
        <v>196</v>
      </c>
      <c r="P196" s="575"/>
      <c r="Q196" s="576"/>
      <c r="R196" s="888"/>
      <c r="S196" s="802"/>
      <c r="T196" s="882"/>
      <c r="U196" s="661"/>
      <c r="V196" s="661"/>
      <c r="W196" s="661"/>
      <c r="X196" s="661"/>
      <c r="Y196" s="661"/>
      <c r="Z196" s="661"/>
      <c r="AA196" s="661"/>
      <c r="AB196" s="675"/>
      <c r="AC196" s="675"/>
      <c r="AD196" s="675"/>
      <c r="AE196" s="675"/>
      <c r="AF196" s="675"/>
      <c r="AG196" s="675"/>
      <c r="AH196" s="675"/>
      <c r="AI196" s="675"/>
      <c r="AJ196" s="675"/>
      <c r="AK196" s="675"/>
      <c r="AL196" s="675"/>
      <c r="AM196" s="675"/>
      <c r="AN196" s="675"/>
      <c r="AO196" s="675"/>
      <c r="AP196" s="675"/>
      <c r="AQ196" s="675"/>
      <c r="AR196" s="675"/>
      <c r="AS196" s="675"/>
      <c r="AT196" s="675"/>
      <c r="AU196" s="675"/>
      <c r="AV196" s="675"/>
      <c r="AZ196" s="505"/>
      <c r="BB196" s="505"/>
      <c r="BI196" s="478" t="s">
        <v>126</v>
      </c>
      <c r="BJ196" s="489"/>
      <c r="BN196" s="661"/>
      <c r="CU196" s="479"/>
      <c r="CV196" s="661"/>
      <c r="CW196" s="479"/>
      <c r="DS196" s="661"/>
      <c r="EV196" s="818" t="str">
        <f t="shared" si="70"/>
        <v/>
      </c>
      <c r="EW196" s="818"/>
    </row>
    <row r="197" spans="1:153" s="475" customFormat="1" ht="13.5" customHeight="1">
      <c r="A197" s="654" t="str">
        <f t="shared" ca="1" si="68"/>
        <v>D.1.197</v>
      </c>
      <c r="B197" s="654" t="str">
        <f t="shared" ca="1" si="69"/>
        <v>1.197</v>
      </c>
      <c r="C197" s="654" t="str">
        <f t="shared" si="77"/>
        <v>[197]</v>
      </c>
      <c r="D197" s="654">
        <f>ROW()</f>
        <v>197</v>
      </c>
      <c r="E197" s="1129" t="str">
        <f>BP197</f>
        <v>Spezifischer Flächenbedarf Onshore-Windenergie</v>
      </c>
      <c r="F197" s="1129"/>
      <c r="G197" s="1129"/>
      <c r="H197" s="1129"/>
      <c r="I197" s="1129"/>
      <c r="J197" s="559" t="s">
        <v>375</v>
      </c>
      <c r="K197" s="788">
        <f ca="1">INDIRECT($W$1&amp;U197)</f>
        <v>4.7746482927568588</v>
      </c>
      <c r="L197" s="485" t="str">
        <f ca="1">HYPERLINK($CK$1&amp;U197,$CE$1&amp;U197&amp;$CF$1)</f>
        <v>[198]</v>
      </c>
      <c r="M197" s="789">
        <f ca="1">INDIRECT($W$1&amp;W197)</f>
        <v>3.7839114285714284</v>
      </c>
      <c r="N197" s="533" t="str">
        <f ca="1">HYPERLINK($CK$1&amp;W197,$CE$1&amp;W197&amp;$CF$1)</f>
        <v>[202]</v>
      </c>
      <c r="O197" s="869">
        <v>197</v>
      </c>
      <c r="P197" s="570"/>
      <c r="Q197" s="583"/>
      <c r="R197" s="852"/>
      <c r="S197" s="784"/>
      <c r="T197" s="864"/>
      <c r="U197" s="672">
        <f>D198</f>
        <v>198</v>
      </c>
      <c r="V197" s="905" t="s">
        <v>126</v>
      </c>
      <c r="W197" s="672">
        <f>D202</f>
        <v>202</v>
      </c>
      <c r="X197" s="658"/>
      <c r="Y197" s="658"/>
      <c r="Z197" s="658"/>
      <c r="AA197" s="658"/>
      <c r="AB197" s="801"/>
      <c r="AC197" s="801"/>
      <c r="AD197" s="674"/>
      <c r="AE197" s="674"/>
      <c r="AF197" s="674"/>
      <c r="AG197" s="674"/>
      <c r="AH197" s="674"/>
      <c r="AI197" s="674"/>
      <c r="AJ197" s="674"/>
      <c r="AK197" s="674"/>
      <c r="AL197" s="674"/>
      <c r="AM197" s="674"/>
      <c r="AN197" s="674"/>
      <c r="AO197" s="674"/>
      <c r="AP197" s="674"/>
      <c r="AQ197" s="674"/>
      <c r="AR197" s="674"/>
      <c r="AS197" s="674"/>
      <c r="AT197" s="674"/>
      <c r="AU197" s="674"/>
      <c r="AV197" s="674"/>
      <c r="AX197" s="475" t="s">
        <v>244</v>
      </c>
      <c r="AY197" s="500">
        <f ca="1">DA197</f>
        <v>373.89588525952161</v>
      </c>
      <c r="AZ197" s="508" t="str">
        <f ca="1">HYPERLINK(DN197,DC197)</f>
        <v xml:space="preserve"> 183</v>
      </c>
      <c r="BA197" s="500">
        <f ca="1">DB197</f>
        <v>448.6750623114259</v>
      </c>
      <c r="BB197" s="508" t="str">
        <f ca="1">HYPERLINK(DO197,DD197)</f>
        <v xml:space="preserve"> 184</v>
      </c>
      <c r="BC197" s="475" t="str">
        <f ca="1">CY197&amp;" | "&amp;CZ197</f>
        <v>Strom | Energieertrag Windkraft</v>
      </c>
      <c r="BI197" s="475" t="s">
        <v>126</v>
      </c>
      <c r="BJ197" s="492" t="str">
        <f>E197</f>
        <v>Spezifischer Flächenbedarf Onshore-Windenergie</v>
      </c>
      <c r="BK197" s="486">
        <f ca="1">K197</f>
        <v>4.7746482927568588</v>
      </c>
      <c r="BL197" s="486">
        <f ca="1">M197</f>
        <v>3.7839114285714284</v>
      </c>
      <c r="BM197" s="472">
        <f>D197</f>
        <v>197</v>
      </c>
      <c r="BN197" s="658"/>
      <c r="BO197" s="475" t="s">
        <v>251</v>
      </c>
      <c r="BP197" s="521" t="s">
        <v>853</v>
      </c>
      <c r="CU197" s="476"/>
      <c r="CV197" s="658"/>
      <c r="CW197" s="518">
        <v>47</v>
      </c>
      <c r="CY197" s="472" t="str">
        <f t="shared" ref="CY197:DO197" ca="1" si="90">INDIRECT($CX$1&amp;CY$1&amp;$CW197)</f>
        <v>Strom</v>
      </c>
      <c r="CZ197" s="472" t="str">
        <f t="shared" ca="1" si="90"/>
        <v>Energieertrag Windkraft</v>
      </c>
      <c r="DA197" s="472">
        <f t="shared" ca="1" si="90"/>
        <v>373.89588525952161</v>
      </c>
      <c r="DB197" s="472">
        <f t="shared" ca="1" si="90"/>
        <v>448.6750623114259</v>
      </c>
      <c r="DC197" s="472" t="str">
        <f t="shared" ca="1" si="90"/>
        <v xml:space="preserve"> 183</v>
      </c>
      <c r="DD197" s="472" t="str">
        <f t="shared" ca="1" si="90"/>
        <v xml:space="preserve"> 184</v>
      </c>
      <c r="DE197" s="472" t="str">
        <f t="shared" ca="1" si="90"/>
        <v>Wi51</v>
      </c>
      <c r="DF197" s="472" t="str">
        <f t="shared" ca="1" si="90"/>
        <v>Wi56</v>
      </c>
      <c r="DG197" s="472" t="str">
        <f t="shared" ca="1" si="90"/>
        <v>Wi</v>
      </c>
      <c r="DH197" s="472" t="str">
        <f t="shared" ca="1" si="90"/>
        <v>51</v>
      </c>
      <c r="DI197" s="472" t="str">
        <f t="shared" ca="1" si="90"/>
        <v>[Wi.xls]TEXT!Z51S5</v>
      </c>
      <c r="DJ197" s="472" t="str">
        <f t="shared" ca="1" si="90"/>
        <v>Wi</v>
      </c>
      <c r="DK197" s="472" t="str">
        <f t="shared" ca="1" si="90"/>
        <v>56</v>
      </c>
      <c r="DL197" s="472" t="str">
        <f t="shared" ca="1" si="90"/>
        <v>[Wi.xls]TEXT!Z56S5</v>
      </c>
      <c r="DM197" s="472">
        <f t="shared" ca="1" si="90"/>
        <v>47</v>
      </c>
      <c r="DN197" s="472" t="str">
        <f t="shared" ca="1" si="90"/>
        <v>[Region.xls]PARAMETER!Z183S6</v>
      </c>
      <c r="DO197" s="472" t="str">
        <f t="shared" ca="1" si="90"/>
        <v>[Region.xls]PARAMETER!Z184S6</v>
      </c>
      <c r="DP197" s="472"/>
      <c r="DS197" s="656"/>
      <c r="DV197" s="472"/>
      <c r="DW197" s="472"/>
      <c r="DX197" s="472"/>
      <c r="DY197" s="472"/>
      <c r="DZ197" s="472"/>
      <c r="EA197" s="472"/>
      <c r="EB197" s="472"/>
      <c r="EC197" s="472"/>
      <c r="ED197" s="472"/>
      <c r="EE197" s="472"/>
      <c r="EF197" s="472"/>
      <c r="EG197" s="472"/>
      <c r="EH197" s="472"/>
      <c r="EI197" s="472"/>
      <c r="EJ197" s="472"/>
      <c r="EK197" s="472"/>
      <c r="EV197" s="819">
        <f t="shared" si="70"/>
        <v>197</v>
      </c>
      <c r="EW197" s="819"/>
    </row>
    <row r="198" spans="1:153" s="472" customFormat="1" ht="26">
      <c r="A198" s="654" t="str">
        <f t="shared" ca="1" si="68"/>
        <v>D.1.198</v>
      </c>
      <c r="B198" s="654" t="str">
        <f t="shared" ca="1" si="69"/>
        <v>1.198</v>
      </c>
      <c r="C198" s="654" t="str">
        <f t="shared" si="77"/>
        <v>[198]</v>
      </c>
      <c r="D198" s="654">
        <f>ROW()</f>
        <v>198</v>
      </c>
      <c r="E198" s="1130" t="str">
        <f>CU198</f>
        <v>- STATUS-Ansatz: Als Grundlage für die Abschätzung des Windenegie-Flächenbedarfs wird in Ermangelung geeigneter statistischer Daten die spezifische Erntefläche von 4,77 ha/MW gemäß  [199] verwendet.</v>
      </c>
      <c r="F198" s="1130"/>
      <c r="G198" s="1130"/>
      <c r="H198" s="1130"/>
      <c r="I198" s="1130"/>
      <c r="J198" s="1130"/>
      <c r="K198" s="1130"/>
      <c r="L198" s="1130"/>
      <c r="M198" s="1130"/>
      <c r="N198" s="1131"/>
      <c r="O198" s="869">
        <v>198</v>
      </c>
      <c r="P198" s="573" t="str">
        <f ca="1">HYPERLINK(EK198,EJ198)</f>
        <v/>
      </c>
      <c r="Q198" s="574" t="str">
        <f>Y198</f>
        <v xml:space="preserve"> </v>
      </c>
      <c r="R198" s="852"/>
      <c r="S198" s="784"/>
      <c r="T198" s="864"/>
      <c r="U198" s="1023" t="str">
        <f>"Als Grundlage für die Abschätzung des Windenegie-Flächenbedarfs wird in Ermangelung geeigneter statistischer Daten die spezifische Erntefläche von "&amp;TEXT(W198,"0,00")&amp;" ha/MW gemäß  "&amp;C199&amp;" verwendet."</f>
        <v>Als Grundlage für die Abschätzung des Windenegie-Flächenbedarfs wird in Ermangelung geeigneter statistischer Daten die spezifische Erntefläche von 4,77 ha/MW gemäß  [199] verwendet.</v>
      </c>
      <c r="V198" s="905" t="s">
        <v>126</v>
      </c>
      <c r="W198" s="1079">
        <f>W199</f>
        <v>4.7746482927568588</v>
      </c>
      <c r="X198" s="672"/>
      <c r="Y198" s="672" t="s">
        <v>126</v>
      </c>
      <c r="Z198" s="1025"/>
      <c r="AA198" s="658"/>
      <c r="AB198" s="801"/>
      <c r="AC198" s="801"/>
      <c r="AD198" s="801">
        <f ca="1">AY197</f>
        <v>373.89588525952161</v>
      </c>
      <c r="AE198" s="801" t="s">
        <v>374</v>
      </c>
      <c r="AF198" s="801" t="e">
        <f>#REF!</f>
        <v>#REF!</v>
      </c>
      <c r="AG198" s="801" t="s">
        <v>385</v>
      </c>
      <c r="AH198" s="687">
        <f>W189</f>
        <v>195708.05887181088</v>
      </c>
      <c r="AI198" s="801" t="s">
        <v>382</v>
      </c>
      <c r="AJ198" s="801" t="e">
        <f>AF198*1000/AH198</f>
        <v>#REF!</v>
      </c>
      <c r="AK198" s="801" t="s">
        <v>386</v>
      </c>
      <c r="AL198" s="801"/>
      <c r="AM198" s="801"/>
      <c r="AN198" s="801"/>
      <c r="AO198" s="801"/>
      <c r="AP198" s="801"/>
      <c r="AQ198" s="801"/>
      <c r="AR198" s="801"/>
      <c r="AS198" s="801"/>
      <c r="AT198" s="801"/>
      <c r="AU198" s="801"/>
      <c r="AV198" s="801"/>
      <c r="BF198" s="473"/>
      <c r="BI198" s="472" t="s">
        <v>126</v>
      </c>
      <c r="BJ198" s="490"/>
      <c r="BN198" s="656"/>
      <c r="BO198" s="472" t="s">
        <v>259</v>
      </c>
      <c r="CU198" s="480" t="str">
        <f>CG$1&amp;IF(U198="",BF198,U198)</f>
        <v>- STATUS-Ansatz: Als Grundlage für die Abschätzung des Windenegie-Flächenbedarfs wird in Ermangelung geeigneter statistischer Daten die spezifische Erntefläche von 4,77 ha/MW gemäß  [199] verwendet.</v>
      </c>
      <c r="CV198" s="656"/>
      <c r="CW198" s="480"/>
      <c r="DS198" s="656"/>
      <c r="DT198" s="518">
        <f>I_Basisdaten!A62</f>
        <v>62</v>
      </c>
      <c r="EJ198" s="472" t="str">
        <f>IF(X198=0,"",EJ$1&amp;X198)</f>
        <v/>
      </c>
      <c r="EK198" s="472" t="str">
        <f ca="1">EK$1&amp;X198</f>
        <v>[D_Python.xlsx]9.Quellen!C</v>
      </c>
      <c r="EV198" s="819">
        <f t="shared" si="70"/>
        <v>198</v>
      </c>
      <c r="EW198" s="819"/>
    </row>
    <row r="199" spans="1:153" s="472" customFormat="1" ht="78">
      <c r="A199" s="654" t="str">
        <f t="shared" ca="1" si="68"/>
        <v>D.1.199</v>
      </c>
      <c r="B199" s="654" t="str">
        <f t="shared" ca="1" si="69"/>
        <v>1.199</v>
      </c>
      <c r="C199" s="654" t="str">
        <f>CE$1&amp;D199&amp;CF$1</f>
        <v>[199]</v>
      </c>
      <c r="D199" s="654">
        <f>ROW()</f>
        <v>199</v>
      </c>
      <c r="E199" s="1130" t="str">
        <f ca="1">CU199</f>
        <v xml:space="preserve">4,77 ha/MW spezifische Erntefläche für den Anlagenbestand in Niedersachsen 2016 resutliert aus einer Status-repräsentativen Referenzanlage: 1,7 MW Nennleistung gemäß AEE [9.22] Zeile 164, Rotorflächen-/Nennleistungs-Verhältnis 2,50 qm/kW gemäß [200], 4.250 qm  Rotorfläche entsprechend 73,6 m  Rotordurchmesser. Mit den üblichen Mindestabständen von 5 Rotordurchmessern in Hauptwindrichtung mal 3 Rotordurchmessern rechtwinklig dazu resultiert für die Referenzanlage eine Erntefläche von 8,12 ha und damit eine spezifische Erntefläche von 4,77 ha/MW. </v>
      </c>
      <c r="F199" s="1130"/>
      <c r="G199" s="1130"/>
      <c r="H199" s="1130"/>
      <c r="I199" s="1130"/>
      <c r="J199" s="1130"/>
      <c r="K199" s="1130"/>
      <c r="L199" s="1130"/>
      <c r="M199" s="1130"/>
      <c r="N199" s="1131"/>
      <c r="O199" s="869">
        <v>199</v>
      </c>
      <c r="P199" s="573" t="str">
        <f ca="1">HYPERLINK(EK199,EJ199)</f>
        <v>9.22</v>
      </c>
      <c r="Q199" s="574" t="str">
        <f>Y199</f>
        <v>Zeile 164</v>
      </c>
      <c r="R199" s="852"/>
      <c r="S199" s="784"/>
      <c r="T199" s="864"/>
      <c r="U199" s="1033" t="str">
        <f ca="1">TEXT(W199,"0,00")&amp;AP199&amp;" spezifische Erntefläche für den Anlagenbestand in Niedersachsen 2016 resutliert aus einer Status-repräsentativen Referenzanlage: "&amp;AD199&amp;AE199&amp;"Nennleistung gemäß "&amp;'9.Quellen'!E22&amp;" ["&amp;'1.'!P199&amp;"] "&amp;'1.'!Y199&amp;", Rotorflächen-/Nennleistungs-Verhältnis "&amp;TEXT('1.'!AF199,"0,00")&amp;'1.'!AG199&amp;" gemäß "&amp;C200&amp;", "&amp;TEXT('1.'!AH199,"0.000")&amp;'1.'!AI199&amp;" Rotorfläche entsprechend "&amp;TEXT('1.'!AJ199,"0,0")&amp;'1.'!AK199&amp;" Rotordurchmesser. Mit den üblichen Mindestabständen von "&amp;AL199&amp;" Rotordurchmessern in Hauptwindrichtung mal "&amp;AM199&amp;" Rotordurchmessern rechtwinklig dazu resultiert für die Referenzanlage eine Erntefläche von "&amp;TEXT(AN199,"0,00")&amp;" ha und damit eine spezifische Erntefläche von "&amp;TEXT(AO199,"0,00")&amp;AP199&amp;". "</f>
        <v xml:space="preserve">4,77 ha/MW spezifische Erntefläche für den Anlagenbestand in Niedersachsen 2016 resutliert aus einer Status-repräsentativen Referenzanlage: 1,7 MW Nennleistung gemäß AEE [9.22] Zeile 164, Rotorflächen-/Nennleistungs-Verhältnis 2,50 qm/kW gemäß [200], 4.250 qm  Rotorfläche entsprechend 73,6 m  Rotordurchmesser. Mit den üblichen Mindestabständen von 5 Rotordurchmessern in Hauptwindrichtung mal 3 Rotordurchmessern rechtwinklig dazu resultiert für die Referenzanlage eine Erntefläche von 8,12 ha und damit eine spezifische Erntefläche von 4,77 ha/MW. </v>
      </c>
      <c r="V199" s="905" t="s">
        <v>126</v>
      </c>
      <c r="W199" s="1079">
        <f>AO199</f>
        <v>4.7746482927568588</v>
      </c>
      <c r="X199" s="672">
        <f>'9.Quellen'!C22</f>
        <v>22</v>
      </c>
      <c r="Y199" s="672" t="s">
        <v>989</v>
      </c>
      <c r="Z199" s="1025"/>
      <c r="AA199" s="905"/>
      <c r="AB199" s="801"/>
      <c r="AC199" s="801"/>
      <c r="AD199" s="801">
        <v>1.7</v>
      </c>
      <c r="AE199" s="801" t="s">
        <v>378</v>
      </c>
      <c r="AF199" s="801">
        <f>AD200</f>
        <v>2.5</v>
      </c>
      <c r="AG199" s="801" t="str">
        <f>AE200</f>
        <v xml:space="preserve"> qm/kW</v>
      </c>
      <c r="AH199" s="801">
        <f>AD199*1000*AF199</f>
        <v>4250</v>
      </c>
      <c r="AI199" s="801" t="s">
        <v>379</v>
      </c>
      <c r="AJ199" s="801">
        <f>SQRT(AH199*4/PI())</f>
        <v>73.56132180109627</v>
      </c>
      <c r="AK199" s="801" t="s">
        <v>380</v>
      </c>
      <c r="AL199" s="801">
        <v>5</v>
      </c>
      <c r="AM199" s="801">
        <v>3</v>
      </c>
      <c r="AN199" s="801">
        <f>AJ199*AJ199*AL199*AM199/10000</f>
        <v>8.1169020976866602</v>
      </c>
      <c r="AO199" s="801">
        <f>AN199/AD199</f>
        <v>4.7746482927568588</v>
      </c>
      <c r="AP199" s="801" t="s">
        <v>363</v>
      </c>
      <c r="AQ199" s="801"/>
      <c r="AR199" s="801"/>
      <c r="AS199" s="801"/>
      <c r="AT199" s="801"/>
      <c r="AU199" s="801"/>
      <c r="AV199" s="801"/>
      <c r="BF199" s="473"/>
      <c r="BI199" s="472" t="s">
        <v>126</v>
      </c>
      <c r="BJ199" s="490"/>
      <c r="BN199" s="656"/>
      <c r="BO199" s="472" t="s">
        <v>252</v>
      </c>
      <c r="CU199" s="480" t="str">
        <f ca="1">IF(U199="",BF199,U199)</f>
        <v xml:space="preserve">4,77 ha/MW spezifische Erntefläche für den Anlagenbestand in Niedersachsen 2016 resutliert aus einer Status-repräsentativen Referenzanlage: 1,7 MW Nennleistung gemäß AEE [9.22] Zeile 164, Rotorflächen-/Nennleistungs-Verhältnis 2,50 qm/kW gemäß [200], 4.250 qm  Rotorfläche entsprechend 73,6 m  Rotordurchmesser. Mit den üblichen Mindestabständen von 5 Rotordurchmessern in Hauptwindrichtung mal 3 Rotordurchmessern rechtwinklig dazu resultiert für die Referenzanlage eine Erntefläche von 8,12 ha und damit eine spezifische Erntefläche von 4,77 ha/MW. </v>
      </c>
      <c r="CV199" s="656"/>
      <c r="CW199" s="480"/>
      <c r="DS199" s="656"/>
      <c r="DT199" s="518"/>
      <c r="EJ199" s="472" t="str">
        <f ca="1">IF(X199=0,"",EJ$1&amp;X199)</f>
        <v>9.22</v>
      </c>
      <c r="EK199" s="472" t="str">
        <f ca="1">EK$1&amp;X199</f>
        <v>[D_Python.xlsx]9.Quellen!C22</v>
      </c>
      <c r="EV199" s="819">
        <f t="shared" ca="1" si="70"/>
        <v>199</v>
      </c>
      <c r="EW199" s="819"/>
    </row>
    <row r="200" spans="1:153" s="472" customFormat="1" ht="65">
      <c r="A200" s="654" t="str">
        <f t="shared" ca="1" si="68"/>
        <v>D.1.200</v>
      </c>
      <c r="B200" s="654" t="str">
        <f t="shared" ca="1" si="69"/>
        <v>1.200</v>
      </c>
      <c r="C200" s="654" t="str">
        <f>CE$1&amp;D200&amp;CF$1</f>
        <v>[200]</v>
      </c>
      <c r="D200" s="654">
        <f>ROW()</f>
        <v>200</v>
      </c>
      <c r="E200" s="1130" t="str">
        <f>CU200</f>
        <v xml:space="preserve">Annahme des durchschnittlichen Rotorfläche-/Nennleistungs-Verhältnis von 2,50 qm/kW für die Status-repräsentative Referenzanlage - in Anlehnung an das nach installierter Leistung gewichtete Mittel der zwischen 1992 und 2013 von ENERCON hergestellten Windenergieanlagen von 2,19 qm/kW (Maximum bei Schwachwindanlagen: 2,67, Minimum bei Starkwindanlagen: 1,72) und der Tendenz seit 2014 zu steigendem Rotorfläche/Nennleistung-Verhältnis an einem konkreten Beispiel von 3,2 qm/kW. </v>
      </c>
      <c r="F200" s="1130"/>
      <c r="G200" s="1130"/>
      <c r="H200" s="1130"/>
      <c r="I200" s="1130"/>
      <c r="J200" s="1130"/>
      <c r="K200" s="1130"/>
      <c r="L200" s="1130"/>
      <c r="M200" s="1130"/>
      <c r="N200" s="1131"/>
      <c r="O200" s="869">
        <v>200</v>
      </c>
      <c r="P200" s="573" t="str">
        <f ca="1">HYPERLINK(EK200,EJ200)</f>
        <v>9.217</v>
      </c>
      <c r="Q200" s="574" t="str">
        <f>Y200</f>
        <v xml:space="preserve"> </v>
      </c>
      <c r="R200" s="852"/>
      <c r="S200" s="784"/>
      <c r="T200" s="864"/>
      <c r="U200" s="1033" t="str">
        <f>"Annahme des durchschnittlichen Rotorfläche-/Nennleistungs-Verhältnis von "&amp;TEXT(AD200,"0,00")&amp;AE200&amp;" für die Status-repräsentative Referenzanlage - in Anlehnung an das nach installierter Leistung gewichtete Mittel der zwischen 1992 und 2013 von ENERCON hergestellten Windenergieanlagen von "&amp;TEXT(AH200,"0,00")&amp;" qm/kW (Maximum bei Schwachwindanlagen: "&amp;TEXT(AF200,"0,00")&amp;", Minimum bei Starkwindanlagen: "&amp;TEXT(AG200,"0,00")&amp;") und der Tendenz seit 2014 zu steigendem Rotorfläche/Nennleistung-Verhältnis an einem konkreten Beispiel von 3,2 qm/kW. "</f>
        <v xml:space="preserve">Annahme des durchschnittlichen Rotorfläche-/Nennleistungs-Verhältnis von 2,50 qm/kW für die Status-repräsentative Referenzanlage - in Anlehnung an das nach installierter Leistung gewichtete Mittel der zwischen 1992 und 2013 von ENERCON hergestellten Windenergieanlagen von 2,19 qm/kW (Maximum bei Schwachwindanlagen: 2,67, Minimum bei Starkwindanlagen: 1,72) und der Tendenz seit 2014 zu steigendem Rotorfläche/Nennleistung-Verhältnis an einem konkreten Beispiel von 3,2 qm/kW. </v>
      </c>
      <c r="V200" s="905" t="s">
        <v>126</v>
      </c>
      <c r="W200" s="1024"/>
      <c r="X200" s="672">
        <f>'9.Quellen'!C217</f>
        <v>217</v>
      </c>
      <c r="Y200" s="672" t="s">
        <v>126</v>
      </c>
      <c r="Z200" s="1025"/>
      <c r="AA200" s="905"/>
      <c r="AB200" s="801"/>
      <c r="AC200" s="801"/>
      <c r="AD200" s="801">
        <v>2.5</v>
      </c>
      <c r="AE200" s="801" t="s">
        <v>377</v>
      </c>
      <c r="AF200" s="801">
        <v>2.67</v>
      </c>
      <c r="AG200" s="801">
        <v>1.72</v>
      </c>
      <c r="AH200" s="801">
        <v>2.19</v>
      </c>
      <c r="AI200" s="801"/>
      <c r="AJ200" s="801"/>
      <c r="AK200" s="801"/>
      <c r="AL200" s="801"/>
      <c r="AM200" s="801"/>
      <c r="AN200" s="801"/>
      <c r="AO200" s="801"/>
      <c r="AP200" s="801"/>
      <c r="AQ200" s="801"/>
      <c r="AR200" s="801"/>
      <c r="AS200" s="801"/>
      <c r="AT200" s="801"/>
      <c r="AU200" s="801"/>
      <c r="AV200" s="801"/>
      <c r="BF200" s="473"/>
      <c r="BI200" s="472" t="s">
        <v>126</v>
      </c>
      <c r="BJ200" s="490"/>
      <c r="BN200" s="656"/>
      <c r="BO200" s="472" t="s">
        <v>252</v>
      </c>
      <c r="CU200" s="480" t="str">
        <f>IF(U200="",BF200,U200)</f>
        <v xml:space="preserve">Annahme des durchschnittlichen Rotorfläche-/Nennleistungs-Verhältnis von 2,50 qm/kW für die Status-repräsentative Referenzanlage - in Anlehnung an das nach installierter Leistung gewichtete Mittel der zwischen 1992 und 2013 von ENERCON hergestellten Windenergieanlagen von 2,19 qm/kW (Maximum bei Schwachwindanlagen: 2,67, Minimum bei Starkwindanlagen: 1,72) und der Tendenz seit 2014 zu steigendem Rotorfläche/Nennleistung-Verhältnis an einem konkreten Beispiel von 3,2 qm/kW. </v>
      </c>
      <c r="CV200" s="656"/>
      <c r="CW200" s="480"/>
      <c r="DS200" s="656"/>
      <c r="DT200" s="518"/>
      <c r="EJ200" s="472" t="str">
        <f ca="1">IF(X200=0,"",EJ$1&amp;X200)</f>
        <v>9.217</v>
      </c>
      <c r="EK200" s="472" t="str">
        <f ca="1">EK$1&amp;X200</f>
        <v>[D_Python.xlsx]9.Quellen!C217</v>
      </c>
      <c r="EV200" s="819">
        <f t="shared" si="70"/>
        <v>200</v>
      </c>
      <c r="EW200" s="819"/>
    </row>
    <row r="201" spans="1:153" s="478" customFormat="1" ht="4">
      <c r="A201" s="677" t="str">
        <f t="shared" ca="1" si="68"/>
        <v>D.1.201</v>
      </c>
      <c r="B201" s="677" t="str">
        <f t="shared" ca="1" si="69"/>
        <v>1.201</v>
      </c>
      <c r="C201" s="677" t="str">
        <f t="shared" si="77"/>
        <v>[201]</v>
      </c>
      <c r="D201" s="677">
        <f>ROW()</f>
        <v>201</v>
      </c>
      <c r="E201" s="528"/>
      <c r="F201" s="528"/>
      <c r="G201" s="528"/>
      <c r="H201" s="528"/>
      <c r="I201" s="527"/>
      <c r="J201" s="527"/>
      <c r="K201" s="527"/>
      <c r="L201" s="527"/>
      <c r="M201" s="527"/>
      <c r="N201" s="528"/>
      <c r="O201" s="871">
        <v>201</v>
      </c>
      <c r="P201" s="566"/>
      <c r="Q201" s="567"/>
      <c r="R201" s="888"/>
      <c r="S201" s="802"/>
      <c r="T201" s="882"/>
      <c r="U201" s="661"/>
      <c r="V201" s="661"/>
      <c r="W201" s="661"/>
      <c r="X201" s="661"/>
      <c r="Y201" s="661"/>
      <c r="Z201" s="661"/>
      <c r="AA201" s="661"/>
      <c r="AB201" s="675"/>
      <c r="AC201" s="675"/>
      <c r="AD201" s="675"/>
      <c r="AE201" s="675"/>
      <c r="AF201" s="675"/>
      <c r="AG201" s="675"/>
      <c r="AH201" s="675"/>
      <c r="AI201" s="675"/>
      <c r="AJ201" s="675"/>
      <c r="AK201" s="675"/>
      <c r="AL201" s="675"/>
      <c r="AM201" s="675"/>
      <c r="AN201" s="675"/>
      <c r="AO201" s="675"/>
      <c r="AP201" s="675"/>
      <c r="AQ201" s="675"/>
      <c r="AR201" s="675"/>
      <c r="AS201" s="675"/>
      <c r="AT201" s="675"/>
      <c r="AU201" s="675"/>
      <c r="AV201" s="675"/>
      <c r="BI201" s="478" t="s">
        <v>126</v>
      </c>
      <c r="BJ201" s="489"/>
      <c r="BN201" s="661"/>
      <c r="CU201" s="479"/>
      <c r="CV201" s="661"/>
      <c r="CW201" s="479"/>
      <c r="DS201" s="661"/>
      <c r="EV201" s="818" t="str">
        <f t="shared" si="70"/>
        <v/>
      </c>
      <c r="EW201" s="818"/>
    </row>
    <row r="202" spans="1:153" s="472" customFormat="1" ht="91">
      <c r="A202" s="654" t="str">
        <f t="shared" ca="1" si="68"/>
        <v>D.1.202</v>
      </c>
      <c r="B202" s="654" t="str">
        <f t="shared" ca="1" si="69"/>
        <v>1.202</v>
      </c>
      <c r="C202" s="654" t="str">
        <f t="shared" si="77"/>
        <v>[202]</v>
      </c>
      <c r="D202" s="654">
        <f>ROW()</f>
        <v>202</v>
      </c>
      <c r="E202" s="1125" t="str">
        <f t="shared" ref="E202" si="91">CU202</f>
        <v>- ZIEL-Ansatz: 3,78 ha/MW beträgt gemäß [203] die durchschnittliche Flächenbeanspruchung künftiger Windparks unter Berücksichtigung der räumlichen Verhältnisse in Deutschland bei einer Beanspruchung von 2% der Bodenfläche. Es wird hier angenommen, dass dieser Wert in guter Näherung auch für andere Beanspruchungen in der Nähe dieses Wertes gilt. 
  Der gegenüber dem Status geringere Wert resultiert aus der Anwendung unterschiedlicher Ermittlungsmethoden: Die Summe der Ernteflächen [199] enthält auch die Flächenanteile, die über die Windparkgrenzen hinausragen, während die GIS-Ermittlung ausschließlich die von Windenergieanlagenstandorten umgrenzte Fläche erfasst.</v>
      </c>
      <c r="F202" s="1125"/>
      <c r="G202" s="1125"/>
      <c r="H202" s="1125"/>
      <c r="I202" s="1125"/>
      <c r="J202" s="1125"/>
      <c r="K202" s="1125"/>
      <c r="L202" s="1125"/>
      <c r="M202" s="1125"/>
      <c r="N202" s="1132"/>
      <c r="O202" s="869">
        <v>202</v>
      </c>
      <c r="P202" s="573" t="str">
        <f ca="1">HYPERLINK(EK202,EJ202)</f>
        <v/>
      </c>
      <c r="Q202" s="574" t="str">
        <f>Y202</f>
        <v xml:space="preserve"> </v>
      </c>
      <c r="R202" s="852"/>
      <c r="S202" s="784"/>
      <c r="T202" s="864"/>
      <c r="U202" s="1023" t="str">
        <f>TEXT(W202,"0,00")&amp;" ha/MW beträgt gemäß "&amp;C203&amp;" die durchschnittliche Flächenbeanspruchung künftiger Windparks unter Berücksichtigung der räumlichen Verhältnisse in Deutschland bei einer Beanspruchung von 2% der Bodenfläche. "&amp;"Es wird hier angenommen, dass dieser Wert in guter Näherung auch für andere Beanspruchungen in der Nähe dieses Wertes gilt. "&amp;"
  Der gegenüber dem Status geringere Wert resultiert aus der Anwendung unterschiedlicher Ermittlungsmethoden: Die Summe der Ernteflächen "&amp;C199&amp;" enthält auch die Flächenanteile, die über die Windparkgrenzen hinausragen, während die GIS-Ermittlung ausschließlich die von Windenergieanlagenstandorten umgrenzte Fläche erfasst."</f>
        <v>3,78 ha/MW beträgt gemäß [203] die durchschnittliche Flächenbeanspruchung künftiger Windparks unter Berücksichtigung der räumlichen Verhältnisse in Deutschland bei einer Beanspruchung von 2% der Bodenfläche. Es wird hier angenommen, dass dieser Wert in guter Näherung auch für andere Beanspruchungen in der Nähe dieses Wertes gilt. 
  Der gegenüber dem Status geringere Wert resultiert aus der Anwendung unterschiedlicher Ermittlungsmethoden: Die Summe der Ernteflächen [199] enthält auch die Flächenanteile, die über die Windparkgrenzen hinausragen, während die GIS-Ermittlung ausschließlich die von Windenergieanlagenstandorten umgrenzte Fläche erfasst.</v>
      </c>
      <c r="V202" s="905" t="s">
        <v>126</v>
      </c>
      <c r="W202" s="1079">
        <f>AL203</f>
        <v>3.7839114285714284</v>
      </c>
      <c r="X202" s="672"/>
      <c r="Y202" s="672" t="s">
        <v>126</v>
      </c>
      <c r="Z202" s="1025"/>
      <c r="AA202" s="905"/>
      <c r="AB202" s="801"/>
      <c r="AC202" s="801"/>
      <c r="AD202" s="801"/>
      <c r="AE202" s="801"/>
      <c r="AF202" s="801"/>
      <c r="AG202" s="687" t="s">
        <v>376</v>
      </c>
      <c r="AH202" s="687">
        <f>AJ193</f>
        <v>2808423.8467033906</v>
      </c>
      <c r="AI202" s="687" t="s">
        <v>372</v>
      </c>
      <c r="AJ202" s="801"/>
      <c r="AK202" s="801"/>
      <c r="AL202" s="801"/>
      <c r="AM202" s="801"/>
      <c r="AN202" s="801"/>
      <c r="AO202" s="801"/>
      <c r="AP202" s="801"/>
      <c r="AQ202" s="801"/>
      <c r="AR202" s="801"/>
      <c r="AS202" s="801"/>
      <c r="AT202" s="801"/>
      <c r="AU202" s="801"/>
      <c r="AV202" s="801"/>
      <c r="BF202" s="473"/>
      <c r="BI202" s="472" t="s">
        <v>126</v>
      </c>
      <c r="BJ202" s="490"/>
      <c r="BN202" s="656"/>
      <c r="BO202" s="472" t="s">
        <v>259</v>
      </c>
      <c r="CU202" s="480" t="str">
        <f>CH$1&amp;IF(U202="",BF202,U202)</f>
        <v>- ZIEL-Ansatz: 3,78 ha/MW beträgt gemäß [203] die durchschnittliche Flächenbeanspruchung künftiger Windparks unter Berücksichtigung der räumlichen Verhältnisse in Deutschland bei einer Beanspruchung von 2% der Bodenfläche. Es wird hier angenommen, dass dieser Wert in guter Näherung auch für andere Beanspruchungen in der Nähe dieses Wertes gilt. 
  Der gegenüber dem Status geringere Wert resultiert aus der Anwendung unterschiedlicher Ermittlungsmethoden: Die Summe der Ernteflächen [199] enthält auch die Flächenanteile, die über die Windparkgrenzen hinausragen, während die GIS-Ermittlung ausschließlich die von Windenergieanlagenstandorten umgrenzte Fläche erfasst.</v>
      </c>
      <c r="CV202" s="656"/>
      <c r="CW202" s="480"/>
      <c r="DS202" s="656"/>
      <c r="DT202" s="518">
        <v>53</v>
      </c>
      <c r="EJ202" s="472" t="str">
        <f>IF(X202=0,"",EJ$1&amp;X202)</f>
        <v/>
      </c>
      <c r="EK202" s="472" t="str">
        <f ca="1">EK$1&amp;X202</f>
        <v>[D_Python.xlsx]9.Quellen!C</v>
      </c>
      <c r="EV202" s="819">
        <f t="shared" si="70"/>
        <v>202</v>
      </c>
      <c r="EW202" s="819"/>
    </row>
    <row r="203" spans="1:153" s="472" customFormat="1" ht="65">
      <c r="A203" s="654" t="str">
        <f t="shared" ref="A203:A269" ca="1" si="92">BT$1&amp;D203</f>
        <v>D.1.203</v>
      </c>
      <c r="B203" s="654" t="str">
        <f t="shared" ref="B203:B269" ca="1" si="93">BW$1&amp;D203</f>
        <v>1.203</v>
      </c>
      <c r="C203" s="654" t="str">
        <f>CE$1&amp;D203&amp;CF$1</f>
        <v>[203]</v>
      </c>
      <c r="D203" s="654">
        <f>ROW()</f>
        <v>203</v>
      </c>
      <c r="E203" s="1125" t="str">
        <f ca="1">CU203</f>
        <v>In der Studie [9.84] S. 33 wurde aufgrund von GIS-Analysen mit einem Raster von 100 mal 100 Meter ermittelt, dass bei Beanspruchung von 2 %  der Bodenfläche Deutschlands entsprechend 715.159 ha  für Windparks eine Nennleistung von 189 GW  installierbar ist. Daraus resultiert ein spezifischer Flächenbedarf von 3,78 ha/MW . Als beanspruchte Fläche wurden dabei die von Anlagen belegten Rasterelemente und die zwischen benachbarten Anlagen gelegenen Rasterelemente innerhalb der jeweiligen Windparkfläche gewertet.</v>
      </c>
      <c r="F203" s="1125"/>
      <c r="G203" s="1125"/>
      <c r="H203" s="1125"/>
      <c r="I203" s="1125"/>
      <c r="J203" s="1125"/>
      <c r="K203" s="1125"/>
      <c r="L203" s="1125"/>
      <c r="M203" s="1125"/>
      <c r="N203" s="1132"/>
      <c r="O203" s="869">
        <v>203</v>
      </c>
      <c r="P203" s="573" t="str">
        <f ca="1">HYPERLINK(EK203,EJ203)</f>
        <v>9.84</v>
      </c>
      <c r="Q203" s="574" t="str">
        <f>Y203</f>
        <v>S. 33</v>
      </c>
      <c r="R203" s="852"/>
      <c r="S203" s="784"/>
      <c r="T203" s="864"/>
      <c r="U203" s="1033" t="str">
        <f ca="1">"In der Studie ["&amp;P203&amp;"] "&amp;Q203&amp;" wurde aufgrund von GIS-Analysen mit einem Raster von 100 mal 100 Meter ermittelt, dass bei Beanspruchung von "&amp;AF203&amp;AG203&amp;" der Bodenfläche Deutschlands entsprechend "&amp;TEXT(AH203,"0.000")&amp;AI203&amp;" für Windparks eine Nennleistung von "&amp;AJ203&amp;AK203&amp;" installierbar ist. Daraus resultiert ein spezifischer Flächenbedarf von "&amp;TEXT(AL203,"0,00")&amp;AM203&amp;". Als beanspruchte Fläche wurden dabei die von Anlagen belegten Rasterelemente und die zwischen benachbarten Anlagen gelegenen Rasterelemente innerhalb der jeweiligen Windparkfläche gewertet."</f>
        <v>In der Studie [9.84] S. 33 wurde aufgrund von GIS-Analysen mit einem Raster von 100 mal 100 Meter ermittelt, dass bei Beanspruchung von 2 %  der Bodenfläche Deutschlands entsprechend 715.159 ha  für Windparks eine Nennleistung von 189 GW  installierbar ist. Daraus resultiert ein spezifischer Flächenbedarf von 3,78 ha/MW . Als beanspruchte Fläche wurden dabei die von Anlagen belegten Rasterelemente und die zwischen benachbarten Anlagen gelegenen Rasterelemente innerhalb der jeweiligen Windparkfläche gewertet.</v>
      </c>
      <c r="V203" s="905" t="s">
        <v>126</v>
      </c>
      <c r="W203" s="1082"/>
      <c r="X203" s="672">
        <f>'9.Quellen'!C84</f>
        <v>84</v>
      </c>
      <c r="Y203" s="672" t="s">
        <v>990</v>
      </c>
      <c r="Z203" s="1025"/>
      <c r="AA203" s="905"/>
      <c r="AB203" s="801"/>
      <c r="AC203" s="801"/>
      <c r="AD203" s="687">
        <f>W67</f>
        <v>35757963</v>
      </c>
      <c r="AE203" s="801" t="s">
        <v>382</v>
      </c>
      <c r="AF203" s="801">
        <v>2</v>
      </c>
      <c r="AG203" s="801" t="s">
        <v>531</v>
      </c>
      <c r="AH203" s="801">
        <f>AD203*AF203%</f>
        <v>715159.26</v>
      </c>
      <c r="AI203" s="801" t="s">
        <v>382</v>
      </c>
      <c r="AJ203" s="801">
        <v>189</v>
      </c>
      <c r="AK203" s="801" t="s">
        <v>840</v>
      </c>
      <c r="AL203" s="801">
        <f>AH203/AJ203/1000</f>
        <v>3.7839114285714284</v>
      </c>
      <c r="AM203" s="801" t="s">
        <v>383</v>
      </c>
      <c r="AN203" s="801"/>
      <c r="AO203" s="801"/>
      <c r="AP203" s="801"/>
      <c r="AQ203" s="801"/>
      <c r="AR203" s="801"/>
      <c r="AS203" s="801"/>
      <c r="AT203" s="801"/>
      <c r="AU203" s="801"/>
      <c r="AV203" s="801"/>
      <c r="BF203" s="473" t="str">
        <f ca="1">"In der Studie ["&amp;P203&amp;"] "&amp;Q203&amp;" wurden für Niedersachsen unter Berücksichtigung der räumlichen Gegebenheiten bei flächenorientierter Belgung von Potenzialflächen gemäß "&amp;C179&amp;" von "&amp;AF203&amp;AG203&amp;" der Landesfläche entsprechend "&amp;TEXT(W203,"0.000")&amp;" ha folgends ermittelt: "&amp;TEXT(AH203,"0.000")&amp;AI203&amp;" installierare Leistung, "&amp;TEXT(AJ203,"0.000")&amp;AK203&amp;" Energiegewinn. Es wird angenommen, dass Ansätze in der Nähe dieser "&amp;AF203&amp;AG203&amp;"-Ansatzvorlage mit vernachlässigbarem Fehler linear interpolierbar sind."</f>
        <v>In der Studie [9.84] S. 33 wurden für Niedersachsen unter Berücksichtigung der räumlichen Gegebenheiten bei flächenorientierter Belgung von Potenzialflächen gemäß [179] von 2 %  der Landesfläche entsprechend 0.000 ha folgends ermittelt: 715.159 ha  installierare Leistung, 0.189 GW  Energiegewinn. Es wird angenommen, dass Ansätze in der Nähe dieser 2 % -Ansatzvorlage mit vernachlässigbarem Fehler linear interpolierbar sind.</v>
      </c>
      <c r="BI203" s="472" t="s">
        <v>126</v>
      </c>
      <c r="BJ203" s="490"/>
      <c r="BN203" s="656"/>
      <c r="BO203" s="472" t="s">
        <v>252</v>
      </c>
      <c r="CU203" s="480" t="str">
        <f ca="1">IF(U203="",BF203,U203)</f>
        <v>In der Studie [9.84] S. 33 wurde aufgrund von GIS-Analysen mit einem Raster von 100 mal 100 Meter ermittelt, dass bei Beanspruchung von 2 %  der Bodenfläche Deutschlands entsprechend 715.159 ha  für Windparks eine Nennleistung von 189 GW  installierbar ist. Daraus resultiert ein spezifischer Flächenbedarf von 3,78 ha/MW . Als beanspruchte Fläche wurden dabei die von Anlagen belegten Rasterelemente und die zwischen benachbarten Anlagen gelegenen Rasterelemente innerhalb der jeweiligen Windparkfläche gewertet.</v>
      </c>
      <c r="CV203" s="656"/>
      <c r="CW203" s="480"/>
      <c r="DS203" s="656"/>
      <c r="DT203" s="518"/>
      <c r="EJ203" s="472" t="str">
        <f ca="1">IF(X203=0,"",EJ$1&amp;X203)</f>
        <v>9.84</v>
      </c>
      <c r="EK203" s="472" t="str">
        <f ca="1">EK$1&amp;X203</f>
        <v>[D_Python.xlsx]9.Quellen!C84</v>
      </c>
      <c r="EV203" s="819">
        <f t="shared" ref="EV203:EV269" ca="1" si="94">IF(U203&amp;BP203="","",D203)</f>
        <v>203</v>
      </c>
      <c r="EW203" s="819"/>
    </row>
    <row r="204" spans="1:153" s="478" customFormat="1" ht="4">
      <c r="A204" s="677" t="str">
        <f t="shared" ca="1" si="92"/>
        <v>D.1.204</v>
      </c>
      <c r="B204" s="677" t="str">
        <f t="shared" ca="1" si="93"/>
        <v>1.204</v>
      </c>
      <c r="C204" s="677" t="str">
        <f t="shared" si="77"/>
        <v>[204]</v>
      </c>
      <c r="D204" s="677">
        <f>ROW()</f>
        <v>204</v>
      </c>
      <c r="E204" s="548"/>
      <c r="F204" s="548"/>
      <c r="G204" s="548"/>
      <c r="H204" s="548"/>
      <c r="I204" s="549"/>
      <c r="J204" s="549"/>
      <c r="K204" s="549"/>
      <c r="L204" s="549"/>
      <c r="M204" s="549"/>
      <c r="N204" s="548"/>
      <c r="O204" s="871">
        <v>204</v>
      </c>
      <c r="P204" s="575"/>
      <c r="Q204" s="576"/>
      <c r="R204" s="882"/>
      <c r="S204" s="802"/>
      <c r="T204" s="882"/>
      <c r="U204" s="661"/>
      <c r="V204" s="661"/>
      <c r="W204" s="661"/>
      <c r="X204" s="661"/>
      <c r="Y204" s="661"/>
      <c r="Z204" s="661"/>
      <c r="AA204" s="661"/>
      <c r="AB204" s="675"/>
      <c r="AC204" s="675"/>
      <c r="AD204" s="675"/>
      <c r="AE204" s="675"/>
      <c r="AF204" s="675"/>
      <c r="AG204" s="675"/>
      <c r="AH204" s="675"/>
      <c r="AI204" s="675"/>
      <c r="AJ204" s="675"/>
      <c r="AK204" s="675"/>
      <c r="AL204" s="675"/>
      <c r="AM204" s="675"/>
      <c r="AN204" s="675"/>
      <c r="AO204" s="675"/>
      <c r="AP204" s="675"/>
      <c r="AQ204" s="675"/>
      <c r="AR204" s="675"/>
      <c r="AS204" s="675"/>
      <c r="AT204" s="675"/>
      <c r="AU204" s="675"/>
      <c r="AV204" s="675"/>
      <c r="AZ204" s="505"/>
      <c r="BB204" s="505"/>
      <c r="BI204" s="478" t="s">
        <v>126</v>
      </c>
      <c r="BJ204" s="489"/>
      <c r="BN204" s="661"/>
      <c r="CU204" s="479"/>
      <c r="CV204" s="661"/>
      <c r="CW204" s="479"/>
      <c r="DS204" s="661"/>
      <c r="EV204" s="818" t="str">
        <f t="shared" si="94"/>
        <v/>
      </c>
      <c r="EW204" s="818"/>
    </row>
    <row r="205" spans="1:153" s="475" customFormat="1" ht="13.5" customHeight="1">
      <c r="A205" s="654" t="str">
        <f t="shared" ca="1" si="92"/>
        <v>D.1.205</v>
      </c>
      <c r="B205" s="654" t="str">
        <f t="shared" ca="1" si="93"/>
        <v>1.205</v>
      </c>
      <c r="C205" s="654" t="str">
        <f t="shared" si="77"/>
        <v>[205]</v>
      </c>
      <c r="D205" s="654">
        <f>ROW()</f>
        <v>205</v>
      </c>
      <c r="E205" s="1129" t="str">
        <f>BP205</f>
        <v>Onshore: Vollbetriebstunden jährlich</v>
      </c>
      <c r="F205" s="1129"/>
      <c r="G205" s="1129"/>
      <c r="H205" s="1129"/>
      <c r="I205" s="1129"/>
      <c r="J205" s="471" t="s">
        <v>320</v>
      </c>
      <c r="K205" s="546">
        <f ca="1">INDIRECT($W$1&amp;U205)</f>
        <v>1708.0995159076131</v>
      </c>
      <c r="L205" s="485" t="str">
        <f ca="1">HYPERLINK($CK$1&amp;U205,$CE$1&amp;U205&amp;$CF$1)</f>
        <v>[206]</v>
      </c>
      <c r="M205" s="547">
        <f ca="1">INDIRECT($W$1&amp;W205)</f>
        <v>2242.5207756232689</v>
      </c>
      <c r="N205" s="533" t="str">
        <f ca="1">HYPERLINK($CK$1&amp;W205,$CE$1&amp;W205&amp;$CF$1)</f>
        <v>[209]</v>
      </c>
      <c r="O205" s="869">
        <v>205</v>
      </c>
      <c r="P205" s="570"/>
      <c r="Q205" s="583"/>
      <c r="R205" s="852"/>
      <c r="S205" s="784"/>
      <c r="T205" s="864"/>
      <c r="U205" s="672">
        <f>D206</f>
        <v>206</v>
      </c>
      <c r="V205" s="905" t="s">
        <v>126</v>
      </c>
      <c r="W205" s="672">
        <f>D209</f>
        <v>209</v>
      </c>
      <c r="X205" s="658"/>
      <c r="Y205" s="658"/>
      <c r="Z205" s="658"/>
      <c r="AA205" s="658"/>
      <c r="AB205" s="801"/>
      <c r="AC205" s="801"/>
      <c r="AD205" s="674"/>
      <c r="AE205" s="674"/>
      <c r="AF205" s="674"/>
      <c r="AG205" s="674"/>
      <c r="AH205" s="674"/>
      <c r="AI205" s="674"/>
      <c r="AJ205" s="674"/>
      <c r="AK205" s="674"/>
      <c r="AL205" s="674"/>
      <c r="AM205" s="674"/>
      <c r="AN205" s="674"/>
      <c r="AO205" s="674"/>
      <c r="AP205" s="674"/>
      <c r="AQ205" s="674"/>
      <c r="AR205" s="674"/>
      <c r="AS205" s="674"/>
      <c r="AT205" s="674"/>
      <c r="AU205" s="674"/>
      <c r="AV205" s="674"/>
      <c r="AX205" s="582" t="s">
        <v>244</v>
      </c>
      <c r="AY205" s="500" t="e">
        <f ca="1">DA205</f>
        <v>#REF!</v>
      </c>
      <c r="AZ205" s="508" t="e">
        <f ca="1">HYPERLINK(DN205,DC205)</f>
        <v>#REF!</v>
      </c>
      <c r="BA205" s="500" t="e">
        <f ca="1">DB205</f>
        <v>#REF!</v>
      </c>
      <c r="BB205" s="508" t="e">
        <f ca="1">HYPERLINK(DO205,DD205)</f>
        <v>#REF!</v>
      </c>
      <c r="BC205" s="475" t="e">
        <f ca="1">CY205&amp;" | "&amp;CZ205</f>
        <v>#REF!</v>
      </c>
      <c r="BI205" s="475" t="s">
        <v>126</v>
      </c>
      <c r="BJ205" s="492" t="str">
        <f>E205</f>
        <v>Onshore: Vollbetriebstunden jährlich</v>
      </c>
      <c r="BK205" s="486">
        <f ca="1">K205</f>
        <v>1708.0995159076131</v>
      </c>
      <c r="BL205" s="486">
        <f ca="1">M205</f>
        <v>2242.5207756232689</v>
      </c>
      <c r="BM205" s="472">
        <f>D205</f>
        <v>205</v>
      </c>
      <c r="BN205" s="658"/>
      <c r="BO205" s="475" t="s">
        <v>251</v>
      </c>
      <c r="BP205" s="521" t="s">
        <v>522</v>
      </c>
      <c r="CU205" s="476"/>
      <c r="CV205" s="658"/>
      <c r="CW205" s="518"/>
      <c r="CY205" s="472" t="e">
        <f t="shared" ref="CY205:DO205" ca="1" si="95">INDIRECT($CX$1&amp;CY$1&amp;$CW205)</f>
        <v>#REF!</v>
      </c>
      <c r="CZ205" s="472" t="e">
        <f t="shared" ca="1" si="95"/>
        <v>#REF!</v>
      </c>
      <c r="DA205" s="472" t="e">
        <f t="shared" ca="1" si="95"/>
        <v>#REF!</v>
      </c>
      <c r="DB205" s="472" t="e">
        <f t="shared" ca="1" si="95"/>
        <v>#REF!</v>
      </c>
      <c r="DC205" s="472" t="e">
        <f t="shared" ca="1" si="95"/>
        <v>#REF!</v>
      </c>
      <c r="DD205" s="472" t="e">
        <f t="shared" ca="1" si="95"/>
        <v>#REF!</v>
      </c>
      <c r="DE205" s="472" t="e">
        <f t="shared" ca="1" si="95"/>
        <v>#REF!</v>
      </c>
      <c r="DF205" s="472" t="e">
        <f t="shared" ca="1" si="95"/>
        <v>#REF!</v>
      </c>
      <c r="DG205" s="472" t="e">
        <f t="shared" ca="1" si="95"/>
        <v>#REF!</v>
      </c>
      <c r="DH205" s="472" t="e">
        <f t="shared" ca="1" si="95"/>
        <v>#REF!</v>
      </c>
      <c r="DI205" s="472" t="e">
        <f t="shared" ca="1" si="95"/>
        <v>#REF!</v>
      </c>
      <c r="DJ205" s="472" t="e">
        <f t="shared" ca="1" si="95"/>
        <v>#REF!</v>
      </c>
      <c r="DK205" s="472" t="e">
        <f t="shared" ca="1" si="95"/>
        <v>#REF!</v>
      </c>
      <c r="DL205" s="472" t="e">
        <f t="shared" ca="1" si="95"/>
        <v>#REF!</v>
      </c>
      <c r="DM205" s="472" t="e">
        <f t="shared" ca="1" si="95"/>
        <v>#REF!</v>
      </c>
      <c r="DN205" s="472" t="e">
        <f t="shared" ca="1" si="95"/>
        <v>#REF!</v>
      </c>
      <c r="DO205" s="472" t="e">
        <f t="shared" ca="1" si="95"/>
        <v>#REF!</v>
      </c>
      <c r="DP205" s="472"/>
      <c r="DS205" s="656"/>
      <c r="DV205" s="472"/>
      <c r="DW205" s="472"/>
      <c r="DX205" s="472"/>
      <c r="DY205" s="472"/>
      <c r="DZ205" s="472"/>
      <c r="EA205" s="472"/>
      <c r="EB205" s="472"/>
      <c r="EC205" s="472"/>
      <c r="ED205" s="472"/>
      <c r="EE205" s="472"/>
      <c r="EF205" s="472"/>
      <c r="EG205" s="472"/>
      <c r="EH205" s="472"/>
      <c r="EI205" s="472"/>
      <c r="EJ205" s="472"/>
      <c r="EK205" s="472"/>
      <c r="EV205" s="819">
        <f t="shared" si="94"/>
        <v>205</v>
      </c>
      <c r="EW205" s="819"/>
    </row>
    <row r="206" spans="1:153" s="472" customFormat="1" ht="26">
      <c r="A206" s="654" t="str">
        <f t="shared" ca="1" si="92"/>
        <v>D.1.206</v>
      </c>
      <c r="B206" s="654" t="str">
        <f t="shared" ca="1" si="93"/>
        <v>1.206</v>
      </c>
      <c r="C206" s="654" t="str">
        <f t="shared" si="77"/>
        <v>[206]</v>
      </c>
      <c r="D206" s="654">
        <f>ROW()</f>
        <v>206</v>
      </c>
      <c r="E206" s="1130" t="str">
        <f>CU206</f>
        <v>- STATUS-Ansatz: Mit 1.708 Vollbetriebsstunden waren die Onshore-Windernergieanlagen 2015 in Deutschland im Einsatz, resultierend aus 70.922 GWh Stromerzeugung [207] und 41.521 MW [190] installierter Leistung.</v>
      </c>
      <c r="F206" s="1130"/>
      <c r="G206" s="1130"/>
      <c r="H206" s="1130"/>
      <c r="I206" s="1130"/>
      <c r="J206" s="1130"/>
      <c r="K206" s="1130"/>
      <c r="L206" s="1130"/>
      <c r="M206" s="1130"/>
      <c r="N206" s="1131"/>
      <c r="O206" s="869">
        <v>206</v>
      </c>
      <c r="P206" s="573" t="str">
        <f ca="1">HYPERLINK(EK206,EJ206)</f>
        <v/>
      </c>
      <c r="Q206" s="574" t="str">
        <f>Y206</f>
        <v xml:space="preserve"> </v>
      </c>
      <c r="R206" s="852"/>
      <c r="S206" s="784"/>
      <c r="T206" s="864"/>
      <c r="U206" s="1023" t="str">
        <f>"Mit "&amp;TEXT(W206,"0.000")&amp;" Vollbetriebsstunden waren die Onshore-Windernergieanlagen 2015 in Deutschland im Einsatz, resultierend aus "&amp;TEXT(AD206,"0.000")&amp;AE206&amp;" Stromerzeugung "&amp;C207&amp;" und "&amp;TEXT(AF206,"0.000")&amp;AG206&amp;C190&amp;" installierter Leistung."</f>
        <v>Mit 1.708 Vollbetriebsstunden waren die Onshore-Windernergieanlagen 2015 in Deutschland im Einsatz, resultierend aus 70.922 GWh Stromerzeugung [207] und 41.521 MW [190] installierter Leistung.</v>
      </c>
      <c r="V206" s="905" t="s">
        <v>126</v>
      </c>
      <c r="W206" s="1024">
        <f>AH206</f>
        <v>1708.0995159076131</v>
      </c>
      <c r="X206" s="672"/>
      <c r="Y206" s="672" t="s">
        <v>126</v>
      </c>
      <c r="Z206" s="1025"/>
      <c r="AA206" s="658"/>
      <c r="AB206" s="801"/>
      <c r="AC206" s="801"/>
      <c r="AD206" s="687">
        <f>AD207</f>
        <v>70922</v>
      </c>
      <c r="AE206" s="801" t="s">
        <v>325</v>
      </c>
      <c r="AF206" s="687">
        <v>41521</v>
      </c>
      <c r="AG206" s="801" t="s">
        <v>378</v>
      </c>
      <c r="AH206" s="801">
        <f>AD206*1000/AF206</f>
        <v>1708.0995159076131</v>
      </c>
      <c r="AI206" s="801" t="s">
        <v>326</v>
      </c>
      <c r="AJ206" s="801"/>
      <c r="AK206" s="801"/>
      <c r="AL206" s="801"/>
      <c r="AM206" s="801"/>
      <c r="AN206" s="801"/>
      <c r="AO206" s="801"/>
      <c r="AP206" s="801"/>
      <c r="AQ206" s="801"/>
      <c r="AR206" s="801"/>
      <c r="AS206" s="801"/>
      <c r="AT206" s="801"/>
      <c r="AU206" s="801"/>
      <c r="AV206" s="801"/>
      <c r="BF206" s="473"/>
      <c r="BI206" s="472" t="s">
        <v>126</v>
      </c>
      <c r="BJ206" s="490"/>
      <c r="BN206" s="656"/>
      <c r="BO206" s="472" t="s">
        <v>259</v>
      </c>
      <c r="CU206" s="480" t="str">
        <f>CG$1&amp;IF(U206="",BF206,U206)</f>
        <v>- STATUS-Ansatz: Mit 1.708 Vollbetriebsstunden waren die Onshore-Windernergieanlagen 2015 in Deutschland im Einsatz, resultierend aus 70.922 GWh Stromerzeugung [207] und 41.521 MW [190] installierter Leistung.</v>
      </c>
      <c r="CV206" s="656"/>
      <c r="CW206" s="480"/>
      <c r="DS206" s="656"/>
      <c r="DT206" s="518">
        <f>I_Basisdaten!A54</f>
        <v>54</v>
      </c>
      <c r="EJ206" s="472" t="str">
        <f>IF(X206=0,"",EJ$1&amp;X206)</f>
        <v/>
      </c>
      <c r="EK206" s="472" t="str">
        <f ca="1">EK$1&amp;X206</f>
        <v>[D_Python.xlsx]9.Quellen!C</v>
      </c>
      <c r="EV206" s="819">
        <f t="shared" si="94"/>
        <v>206</v>
      </c>
      <c r="EW206" s="819"/>
    </row>
    <row r="207" spans="1:153" s="472" customFormat="1">
      <c r="A207" s="654" t="str">
        <f t="shared" ca="1" si="92"/>
        <v>D.1.207</v>
      </c>
      <c r="B207" s="654" t="str">
        <f t="shared" ca="1" si="93"/>
        <v>1.207</v>
      </c>
      <c r="C207" s="654" t="str">
        <f>CE$1&amp;D207&amp;CF$1</f>
        <v>[207]</v>
      </c>
      <c r="D207" s="654">
        <f>ROW()</f>
        <v>207</v>
      </c>
      <c r="E207" s="1133" t="str">
        <f ca="1">CU207</f>
        <v>70.922 GWh Strom aus Onshore-Windenergie wurden im Jahr 2015 in Deutschland eingespeist  [9.22], Zeile 23.</v>
      </c>
      <c r="F207" s="1133"/>
      <c r="G207" s="1133"/>
      <c r="H207" s="1133"/>
      <c r="I207" s="1133"/>
      <c r="J207" s="1133"/>
      <c r="K207" s="1133"/>
      <c r="L207" s="1133"/>
      <c r="M207" s="1133"/>
      <c r="N207" s="1134"/>
      <c r="O207" s="869">
        <v>207</v>
      </c>
      <c r="P207" s="573" t="str">
        <f ca="1">HYPERLINK(EK207,EJ207)</f>
        <v>9.22</v>
      </c>
      <c r="Q207" s="574" t="str">
        <f>Y207</f>
        <v>Zeile 23</v>
      </c>
      <c r="R207" s="852"/>
      <c r="S207" s="784"/>
      <c r="T207" s="864"/>
      <c r="U207" s="1033" t="str">
        <f ca="1">TEXT(AD207,"0.000")&amp;AE207&amp;" Strom aus Onshore-Windenergie wurden im Jahr 2015 in Deutschland eingespeist  ["&amp;P207&amp;"], "&amp;Q207&amp;"."</f>
        <v>70.922 GWh Strom aus Onshore-Windenergie wurden im Jahr 2015 in Deutschland eingespeist  [9.22], Zeile 23.</v>
      </c>
      <c r="V207" s="905" t="s">
        <v>126</v>
      </c>
      <c r="W207" s="1082">
        <f>AD207</f>
        <v>70922</v>
      </c>
      <c r="X207" s="672">
        <f>'9.Quellen'!C22</f>
        <v>22</v>
      </c>
      <c r="Y207" s="672" t="s">
        <v>992</v>
      </c>
      <c r="Z207" s="1025"/>
      <c r="AA207" s="905"/>
      <c r="AB207" s="801"/>
      <c r="AC207" s="801"/>
      <c r="AD207" s="687">
        <v>70922</v>
      </c>
      <c r="AE207" s="801" t="s">
        <v>325</v>
      </c>
      <c r="AF207" s="801"/>
      <c r="AG207" s="801"/>
      <c r="AH207" s="859">
        <v>12048</v>
      </c>
      <c r="AI207" s="844" t="s">
        <v>384</v>
      </c>
      <c r="AJ207" s="844">
        <v>7315</v>
      </c>
      <c r="AK207" s="844" t="s">
        <v>849</v>
      </c>
      <c r="AL207" s="844">
        <v>7664</v>
      </c>
      <c r="AM207" s="844" t="s">
        <v>850</v>
      </c>
      <c r="AN207" s="844">
        <f>AH207*AL207/AJ207</f>
        <v>12622.812303485987</v>
      </c>
      <c r="AO207" s="844" t="s">
        <v>851</v>
      </c>
      <c r="AP207" s="801"/>
      <c r="AQ207" s="801"/>
      <c r="AR207" s="801"/>
      <c r="AS207" s="801"/>
      <c r="AT207" s="801"/>
      <c r="AU207" s="801"/>
      <c r="AV207" s="801"/>
      <c r="BF207" s="473" t="str">
        <f ca="1">"Unberücksichtigt blieb dabei der Aspekt einer gleichmäßigeren Verteilung der Windparks im Land. Wie auf der Potenzialkarte in ["&amp;P207&amp;"] "&amp;Q207&amp;" deutlich erkennbar, befinden sich die ertragsstraken Potenzialflächen dabei nahezu ausschließlich im nordwestlichen Landesteil. "&amp;"Bei flächenorientierter Platzierung weit unterhalb der Potenzialgrenze konzentriert sich die Belegung auf den Nordwesten. "&amp;"Eine gleichmäßigere Verteilung auch auf ertragsschwächere Standorte im Südosten würde wegen des erforderlichen höheren Anteils von Schwachwindanlagen mit einem deutlich erhöhten Flächenbedarf einhergehen (ggf. in einer gesonderten Studie zu untersuchen)."</f>
        <v>Unberücksichtigt blieb dabei der Aspekt einer gleichmäßigeren Verteilung der Windparks im Land. Wie auf der Potenzialkarte in [9.22] Zeile 23 deutlich erkennbar, befinden sich die ertragsstraken Potenzialflächen dabei nahezu ausschließlich im nordwestlichen Landesteil. Bei flächenorientierter Platzierung weit unterhalb der Potenzialgrenze konzentriert sich die Belegung auf den Nordwesten. Eine gleichmäßigere Verteilung auch auf ertragsschwächere Standorte im Südosten würde wegen des erforderlichen höheren Anteils von Schwachwindanlagen mit einem deutlich erhöhten Flächenbedarf einhergehen (ggf. in einer gesonderten Studie zu untersuchen).</v>
      </c>
      <c r="BI207" s="472" t="s">
        <v>126</v>
      </c>
      <c r="BJ207" s="490"/>
      <c r="BN207" s="656"/>
      <c r="BO207" s="472" t="s">
        <v>252</v>
      </c>
      <c r="CU207" s="480" t="str">
        <f ca="1">IF(U207="",BF207,U207)</f>
        <v>70.922 GWh Strom aus Onshore-Windenergie wurden im Jahr 2015 in Deutschland eingespeist  [9.22], Zeile 23.</v>
      </c>
      <c r="CV207" s="656"/>
      <c r="CW207" s="480"/>
      <c r="DS207" s="656"/>
      <c r="DT207" s="518"/>
      <c r="EJ207" s="472" t="str">
        <f ca="1">IF(X207=0,"",EJ$1&amp;X207)</f>
        <v>9.22</v>
      </c>
      <c r="EK207" s="472" t="str">
        <f ca="1">EK$1&amp;X207</f>
        <v>[D_Python.xlsx]9.Quellen!C22</v>
      </c>
      <c r="EV207" s="819">
        <f t="shared" ca="1" si="94"/>
        <v>207</v>
      </c>
      <c r="EW207" s="819"/>
    </row>
    <row r="208" spans="1:153" s="478" customFormat="1" ht="4">
      <c r="A208" s="677" t="str">
        <f t="shared" ca="1" si="92"/>
        <v>D.1.208</v>
      </c>
      <c r="B208" s="677" t="str">
        <f t="shared" ca="1" si="93"/>
        <v>1.208</v>
      </c>
      <c r="C208" s="677" t="str">
        <f t="shared" si="77"/>
        <v>[208]</v>
      </c>
      <c r="D208" s="677">
        <f>ROW()</f>
        <v>208</v>
      </c>
      <c r="E208" s="528"/>
      <c r="F208" s="528"/>
      <c r="G208" s="528"/>
      <c r="H208" s="528"/>
      <c r="I208" s="527"/>
      <c r="J208" s="527"/>
      <c r="K208" s="527"/>
      <c r="L208" s="527"/>
      <c r="M208" s="527"/>
      <c r="N208" s="528"/>
      <c r="O208" s="871">
        <v>208</v>
      </c>
      <c r="P208" s="566"/>
      <c r="Q208" s="567"/>
      <c r="R208" s="888"/>
      <c r="S208" s="802"/>
      <c r="T208" s="882"/>
      <c r="U208" s="661"/>
      <c r="V208" s="661"/>
      <c r="W208" s="661"/>
      <c r="X208" s="661"/>
      <c r="Y208" s="661"/>
      <c r="Z208" s="661"/>
      <c r="AA208" s="661"/>
      <c r="AB208" s="675"/>
      <c r="AC208" s="675"/>
      <c r="AD208" s="675"/>
      <c r="AE208" s="675"/>
      <c r="AF208" s="675"/>
      <c r="AG208" s="675"/>
      <c r="AH208" s="675"/>
      <c r="AI208" s="675"/>
      <c r="AJ208" s="675"/>
      <c r="AK208" s="675"/>
      <c r="AL208" s="675"/>
      <c r="AM208" s="675"/>
      <c r="AN208" s="675"/>
      <c r="AO208" s="675"/>
      <c r="AP208" s="675"/>
      <c r="AQ208" s="675"/>
      <c r="AR208" s="675"/>
      <c r="AS208" s="675"/>
      <c r="AT208" s="675"/>
      <c r="AU208" s="675"/>
      <c r="AV208" s="675"/>
      <c r="BI208" s="478" t="s">
        <v>126</v>
      </c>
      <c r="BJ208" s="489"/>
      <c r="BN208" s="661"/>
      <c r="CU208" s="479"/>
      <c r="CV208" s="661"/>
      <c r="CW208" s="479"/>
      <c r="DS208" s="661"/>
      <c r="EV208" s="818" t="str">
        <f t="shared" si="94"/>
        <v/>
      </c>
      <c r="EW208" s="818"/>
    </row>
    <row r="209" spans="1:153" s="472" customFormat="1" ht="104">
      <c r="A209" s="654" t="str">
        <f t="shared" ca="1" si="92"/>
        <v>D.1.209</v>
      </c>
      <c r="B209" s="654" t="str">
        <f t="shared" ca="1" si="93"/>
        <v>1.209</v>
      </c>
      <c r="C209" s="654" t="str">
        <f t="shared" si="77"/>
        <v>[209]</v>
      </c>
      <c r="D209" s="654">
        <f>ROW()</f>
        <v>209</v>
      </c>
      <c r="E209" s="1125" t="str">
        <f ca="1">CU209</f>
        <v>- ZIEL-Ansatz: Der belegte, aber bezüglich der künftigen Entwicklung der Nabenhöhen konservative Ansatz gemäß [212] wird im Interesse minimaler Flächenbeanspruchung durch eine optimistische Annahme von  2.243 Vollbetriebsstunden gemäß [210] ersetzt. Auf eine Verringerung des in der Studie angenommenen Verhältnisses von Generatorleistung zur Rotorkreisfläche wurde jedoch verzichtet, obwohl damit eine weitere Erhöhung der Vollbetriebsstundenzahl verbunden wäre (wie zum Beispiel in einer Agora-Studie  angegeben [9.34] S. 10). Dies wäre nämlich mit einem steigenden Flächenbedarf verbunden, weil die Verwertbarkeitsgrenze  starker Winde schon bei niedrigeren Windgeschwindigkeiten erreicht wäre.  Zur Präzisierung der hier getroffenen, mit Unsicherheiten verbundenen Abschätzung wären weitere GIS-Analysen angeraten.</v>
      </c>
      <c r="F209" s="1125"/>
      <c r="G209" s="1125"/>
      <c r="H209" s="1125"/>
      <c r="I209" s="1125"/>
      <c r="J209" s="1125"/>
      <c r="K209" s="1125"/>
      <c r="L209" s="1125"/>
      <c r="M209" s="1125"/>
      <c r="N209" s="1132"/>
      <c r="O209" s="869">
        <v>209</v>
      </c>
      <c r="P209" s="573" t="str">
        <f ca="1">HYPERLINK(EK209,EJ209)</f>
        <v>9.34</v>
      </c>
      <c r="Q209" s="574" t="str">
        <f>Y209</f>
        <v>S. 10</v>
      </c>
      <c r="R209" s="852"/>
      <c r="S209" s="784"/>
      <c r="T209" s="864"/>
      <c r="U209" s="1023" t="str">
        <f ca="1">"Der belegte, aber bezüglich der künftigen Entwicklung der Nabenhöhen konservative Ansatz gemäß "&amp;C212&amp;" wird im Interesse minimaler Flächenbeanspruchung durch eine optimistische Annahme von  "&amp;TEXT(W209,"0.000")&amp;" Vollbetriebsstunden gemäß "&amp;C210&amp;" ersetzt. Auf eine Verringerung des in der Studie angenommenen Verhältnisses von Generatorleistung zur Rotorkreisfläche wurde jedoch verzichtet, "&amp;"obwohl damit eine weitere Erhöhung der Vollbetriebsstundenzahl verbunden wäre (wie zum Beispiel in einer Agora-Studie  angegeben ["&amp;P209&amp;"] "&amp;Q209&amp;"). Dies wäre nämlich mit einem steigenden Flächenbedarf verbunden, weil die Verwertbarkeitsgrenze  starker Winde schon bei niedrigeren Windgeschwindigkeiten erreicht wäre.  "&amp;"Zur Präzisierung der hier getroffenen, mit Unsicherheiten verbundenen Abschätzung wären weitere GIS-Analysen angeraten."</f>
        <v>Der belegte, aber bezüglich der künftigen Entwicklung der Nabenhöhen konservative Ansatz gemäß [212] wird im Interesse minimaler Flächenbeanspruchung durch eine optimistische Annahme von  2.243 Vollbetriebsstunden gemäß [210] ersetzt. Auf eine Verringerung des in der Studie angenommenen Verhältnisses von Generatorleistung zur Rotorkreisfläche wurde jedoch verzichtet, obwohl damit eine weitere Erhöhung der Vollbetriebsstundenzahl verbunden wäre (wie zum Beispiel in einer Agora-Studie  angegeben [9.34] S. 10). Dies wäre nämlich mit einem steigenden Flächenbedarf verbunden, weil die Verwertbarkeitsgrenze  starker Winde schon bei niedrigeren Windgeschwindigkeiten erreicht wäre.  Zur Präzisierung der hier getroffenen, mit Unsicherheiten verbundenen Abschätzung wären weitere GIS-Analysen angeraten.</v>
      </c>
      <c r="V209" s="905" t="s">
        <v>126</v>
      </c>
      <c r="W209" s="1024">
        <f>AH210</f>
        <v>2242.5207756232689</v>
      </c>
      <c r="X209" s="672">
        <f>'9.Quellen'!C34</f>
        <v>34</v>
      </c>
      <c r="Y209" s="672" t="s">
        <v>333</v>
      </c>
      <c r="Z209" s="1025"/>
      <c r="AA209" s="905"/>
      <c r="AB209" s="801"/>
      <c r="AC209" s="801"/>
      <c r="AD209" s="801"/>
      <c r="AE209" s="801"/>
      <c r="AF209" s="801"/>
      <c r="AG209" s="801"/>
      <c r="AH209" s="801"/>
      <c r="AI209" s="801"/>
      <c r="AJ209" s="801"/>
      <c r="AK209" s="801"/>
      <c r="AL209" s="801"/>
      <c r="AM209" s="801"/>
      <c r="AN209" s="801"/>
      <c r="AO209" s="801"/>
      <c r="AP209" s="801"/>
      <c r="AQ209" s="801"/>
      <c r="AR209" s="801"/>
      <c r="AS209" s="801"/>
      <c r="AT209" s="801"/>
      <c r="AU209" s="801"/>
      <c r="AV209" s="801"/>
      <c r="BF209" s="473"/>
      <c r="BI209" s="472" t="s">
        <v>126</v>
      </c>
      <c r="BJ209" s="490"/>
      <c r="BN209" s="656"/>
      <c r="BO209" s="472" t="s">
        <v>259</v>
      </c>
      <c r="CU209" s="480" t="str">
        <f ca="1">CH$1&amp;IF(U209="",BF209,U209)</f>
        <v>- ZIEL-Ansatz: Der belegte, aber bezüglich der künftigen Entwicklung der Nabenhöhen konservative Ansatz gemäß [212] wird im Interesse minimaler Flächenbeanspruchung durch eine optimistische Annahme von  2.243 Vollbetriebsstunden gemäß [210] ersetzt. Auf eine Verringerung des in der Studie angenommenen Verhältnisses von Generatorleistung zur Rotorkreisfläche wurde jedoch verzichtet, obwohl damit eine weitere Erhöhung der Vollbetriebsstundenzahl verbunden wäre (wie zum Beispiel in einer Agora-Studie  angegeben [9.34] S. 10). Dies wäre nämlich mit einem steigenden Flächenbedarf verbunden, weil die Verwertbarkeitsgrenze  starker Winde schon bei niedrigeren Windgeschwindigkeiten erreicht wäre.  Zur Präzisierung der hier getroffenen, mit Unsicherheiten verbundenen Abschätzung wären weitere GIS-Analysen angeraten.</v>
      </c>
      <c r="CV209" s="656"/>
      <c r="CW209" s="480"/>
      <c r="DS209" s="656"/>
      <c r="DT209" s="518">
        <v>53</v>
      </c>
      <c r="EJ209" s="472" t="str">
        <f ca="1">IF(X209=0,"",EJ$1&amp;X209)</f>
        <v>9.34</v>
      </c>
      <c r="EK209" s="472" t="str">
        <f ca="1">EK$1&amp;X209</f>
        <v>[D_Python.xlsx]9.Quellen!C34</v>
      </c>
      <c r="EV209" s="819">
        <f t="shared" ca="1" si="94"/>
        <v>209</v>
      </c>
      <c r="EW209" s="819"/>
    </row>
    <row r="210" spans="1:153" s="472" customFormat="1" ht="104">
      <c r="A210" s="654" t="str">
        <f t="shared" ca="1" si="92"/>
        <v>D.1.210</v>
      </c>
      <c r="B210" s="654" t="str">
        <f t="shared" ca="1" si="93"/>
        <v>1.210</v>
      </c>
      <c r="C210" s="654" t="str">
        <f>CE$1&amp;D210&amp;CF$1</f>
        <v>[210]</v>
      </c>
      <c r="D210" s="654">
        <f>ROW()</f>
        <v>210</v>
      </c>
      <c r="E210" s="1125" t="str">
        <f ca="1">CU210</f>
        <v>Eine Steigerung der in der Studie [212] für Windenergie in Deutschland ermittelten Erträge und damit der mittleren Vollbetriebsstundenzahl um 7,94%  auf 2.243 h/a  lässt sich durch eine Steigerung der Nabenhöhen gemäß [211] erreichen. Dies resultiert aus einer Abschätzung aufgrund der von FWG veröffentlichten EEG-Referenzerträge von existierende Anlagentypen mit verschiedenen Nabenhöhen und Extrapolation, exemplarisch wurde das ENERCON-Typenspektrum oberhalb 2 MW Nennleistung verwendet [9.111]: Ertragssteigerung Starkwindanlagen um 12,06%  durch Erhöhung der NH 100 m auf 150 m, bei Schwachwindanlagen um 3,81% durch NH 150 m auf 170 m. Unter Annahme gleicher Anteile an Stark- und Schwachwindanlagen resultiert die oben angegebene durchschnittliche Ertragssteigerung.</v>
      </c>
      <c r="F210" s="1125"/>
      <c r="G210" s="1125"/>
      <c r="H210" s="1125"/>
      <c r="I210" s="1125"/>
      <c r="J210" s="1125"/>
      <c r="K210" s="1125"/>
      <c r="L210" s="1125"/>
      <c r="M210" s="1125"/>
      <c r="N210" s="1132"/>
      <c r="O210" s="869">
        <v>210</v>
      </c>
      <c r="P210" s="573" t="str">
        <f ca="1">HYPERLINK(EK210,EJ210)</f>
        <v>9.111</v>
      </c>
      <c r="Q210" s="574" t="str">
        <f>Y210</f>
        <v xml:space="preserve"> </v>
      </c>
      <c r="R210" s="852"/>
      <c r="S210" s="784"/>
      <c r="T210" s="864"/>
      <c r="U210" s="1033" t="str">
        <f ca="1">"Eine Steigerung der in der Studie "&amp;C212&amp;" für Windenergie in Deutschland ermittelten Erträge und damit der mittleren Vollbetriebsstundenzahl um "&amp;TEXT(AF210,"0,00")&amp;AG210&amp;" auf "&amp; TEXT(W210,"0.000")&amp;" h/a  lässt sich durch eine Steigerung der Nabenhöhen gemäß "&amp;C211&amp;" erreichen. Dies resultiert aus einer Abschätzung aufgrund der von FWG veröffentlichten EEG-Referenzerträge von existierende Anlagentypen mit verschiedenen Nabenhöhen und Extrapolation, "&amp;"exemplarisch wurde das ENERCON-Typenspektrum oberhalb 2 MW Nennleistung verwendet ["&amp;P210&amp;"]: Ertragssteigerung Starkwindanlagen um "&amp;TEXT(AJ210,"0,00")&amp;AK210&amp;" durch Erhöhung der NH 100 m auf 150 m, bei Schwachwindanlagen um "&amp;TEXT(AL210,"0,00")&amp;AM210&amp;" durch NH 150 m auf 170 m. Unter Annahme gleicher Anteile an Stark- und Schwachwindanlagen resultiert die oben angegebene durchschnittliche Ertragssteigerung."</f>
        <v>Eine Steigerung der in der Studie [212] für Windenergie in Deutschland ermittelten Erträge und damit der mittleren Vollbetriebsstundenzahl um 7,94%  auf 2.243 h/a  lässt sich durch eine Steigerung der Nabenhöhen gemäß [211] erreichen. Dies resultiert aus einer Abschätzung aufgrund der von FWG veröffentlichten EEG-Referenzerträge von existierende Anlagentypen mit verschiedenen Nabenhöhen und Extrapolation, exemplarisch wurde das ENERCON-Typenspektrum oberhalb 2 MW Nennleistung verwendet [9.111]: Ertragssteigerung Starkwindanlagen um 12,06%  durch Erhöhung der NH 100 m auf 150 m, bei Schwachwindanlagen um 3,81% durch NH 150 m auf 170 m. Unter Annahme gleicher Anteile an Stark- und Schwachwindanlagen resultiert die oben angegebene durchschnittliche Ertragssteigerung.</v>
      </c>
      <c r="V210" s="905" t="s">
        <v>126</v>
      </c>
      <c r="W210" s="1024">
        <f>AH210</f>
        <v>2242.5207756232689</v>
      </c>
      <c r="X210" s="672">
        <f>'9.Quellen'!C111</f>
        <v>111</v>
      </c>
      <c r="Y210" s="526" t="s">
        <v>126</v>
      </c>
      <c r="Z210" s="1025"/>
      <c r="AA210" s="905"/>
      <c r="AB210" s="801"/>
      <c r="AC210" s="801"/>
      <c r="AD210" s="801">
        <f>AJ212</f>
        <v>2077.5623268698064</v>
      </c>
      <c r="AE210" s="801">
        <f>AL212</f>
        <v>0</v>
      </c>
      <c r="AF210" s="801">
        <f>ROUND((AJ210+AL210)/2,2)</f>
        <v>7.94</v>
      </c>
      <c r="AG210" s="801" t="s">
        <v>835</v>
      </c>
      <c r="AH210" s="801">
        <f>AD210*(1+AF210%)</f>
        <v>2242.5207756232689</v>
      </c>
      <c r="AI210" s="801" t="s">
        <v>598</v>
      </c>
      <c r="AJ210" s="801">
        <v>12.062607876981019</v>
      </c>
      <c r="AK210" s="801" t="s">
        <v>835</v>
      </c>
      <c r="AL210" s="801">
        <v>3.8084236305246861</v>
      </c>
      <c r="AM210" s="801" t="s">
        <v>38</v>
      </c>
      <c r="AN210" s="801"/>
      <c r="AO210" s="801"/>
      <c r="AP210" s="801"/>
      <c r="AQ210" s="801"/>
      <c r="AR210" s="801"/>
      <c r="AS210" s="801"/>
      <c r="AT210" s="801"/>
      <c r="AU210" s="801"/>
      <c r="AV210" s="801"/>
      <c r="BF210" s="473"/>
      <c r="BI210" s="472" t="s">
        <v>126</v>
      </c>
      <c r="BJ210" s="490"/>
      <c r="BN210" s="656"/>
      <c r="BO210" s="472" t="s">
        <v>252</v>
      </c>
      <c r="CU210" s="480" t="str">
        <f ca="1">IF(U210="",BF210,U210)</f>
        <v>Eine Steigerung der in der Studie [212] für Windenergie in Deutschland ermittelten Erträge und damit der mittleren Vollbetriebsstundenzahl um 7,94%  auf 2.243 h/a  lässt sich durch eine Steigerung der Nabenhöhen gemäß [211] erreichen. Dies resultiert aus einer Abschätzung aufgrund der von FWG veröffentlichten EEG-Referenzerträge von existierende Anlagentypen mit verschiedenen Nabenhöhen und Extrapolation, exemplarisch wurde das ENERCON-Typenspektrum oberhalb 2 MW Nennleistung verwendet [9.111]: Ertragssteigerung Starkwindanlagen um 12,06%  durch Erhöhung der NH 100 m auf 150 m, bei Schwachwindanlagen um 3,81% durch NH 150 m auf 170 m. Unter Annahme gleicher Anteile an Stark- und Schwachwindanlagen resultiert die oben angegebene durchschnittliche Ertragssteigerung.</v>
      </c>
      <c r="CV210" s="656"/>
      <c r="CW210" s="480"/>
      <c r="DS210" s="656"/>
      <c r="DT210" s="518"/>
      <c r="EJ210" s="472" t="str">
        <f ca="1">IF(X210=0,"",EJ$1&amp;X210)</f>
        <v>9.111</v>
      </c>
      <c r="EK210" s="472" t="str">
        <f ca="1">EK$1&amp;X210</f>
        <v>[D_Python.xlsx]9.Quellen!C111</v>
      </c>
      <c r="EV210" s="819">
        <f t="shared" ca="1" si="94"/>
        <v>210</v>
      </c>
      <c r="EW210" s="819"/>
    </row>
    <row r="211" spans="1:153" s="656" customFormat="1" ht="65">
      <c r="A211" s="654" t="str">
        <f t="shared" ca="1" si="92"/>
        <v>D.1.211</v>
      </c>
      <c r="B211" s="654" t="str">
        <f t="shared" ca="1" si="93"/>
        <v>1.211</v>
      </c>
      <c r="C211" s="654" t="str">
        <f>CE$1&amp;D211&amp;CF$1</f>
        <v>[211]</v>
      </c>
      <c r="D211" s="654">
        <f>ROW()</f>
        <v>211</v>
      </c>
      <c r="E211" s="1125" t="str">
        <f ca="1">CU211</f>
        <v xml:space="preserve">'Erträge und resultierende Vollbetriebsstunden gemäß [212] wären durch größere Nabenhöhen steigerbar.   In einer Agora-Studie [9.34], S. 9, mit dem Zeithorizont 2033 werden durchschnittliche Nabenhöhen von 120 m für Starkwind- bzw. 150 m für Schwachwindanlagen erwartet und darauf verwiesen, dass hohe Türme auch 200 Meter erreichen können. Um eine minimale Flächnbeanspruchung zu erreichen, werden hier für das Zieljahr 2050 Nabenhöhen von 150 Metern (Starkwindstandorte) und 170 Metern (Schwachwindstanorte) angenommen. </v>
      </c>
      <c r="F211" s="1125"/>
      <c r="G211" s="1125"/>
      <c r="H211" s="1125"/>
      <c r="I211" s="1125"/>
      <c r="J211" s="1125"/>
      <c r="K211" s="1125"/>
      <c r="L211" s="1125"/>
      <c r="M211" s="1125"/>
      <c r="N211" s="1132"/>
      <c r="O211" s="869">
        <v>211</v>
      </c>
      <c r="P211" s="691" t="str">
        <f ca="1">HYPERLINK(EK211,EJ211)</f>
        <v>9.34</v>
      </c>
      <c r="Q211" s="692" t="str">
        <f>Y211</f>
        <v>S. 9</v>
      </c>
      <c r="R211" s="852"/>
      <c r="S211" s="784"/>
      <c r="T211" s="864"/>
      <c r="U211" s="1033" t="str">
        <f ca="1">"'Erträge und resultierende Vollbetriebsstunden gemäß "&amp;C212&amp;" wären durch größere Nabenhöhen steigerbar.   In einer Agora-Studie ["&amp;P211&amp;"], "&amp;Q211&amp;", mit dem Zeithorizont 2033 werden durchschnittliche Nabenhöhen von 120 m für Starkwind- bzw. 150 m für Schwachwindanlagen erwartet und darauf verwiesen, dass hohe Türme auch 200 Meter erreichen können. "&amp;"Um eine minimale Flächnbeanspruchung zu erreichen, werden hier für das Zieljahr 2050 Nabenhöhen von 150 Metern (Starkwindstandorte) und 170 Metern (Schwachwindstanorte) angenommen. "</f>
        <v xml:space="preserve">'Erträge und resultierende Vollbetriebsstunden gemäß [212] wären durch größere Nabenhöhen steigerbar.   In einer Agora-Studie [9.34], S. 9, mit dem Zeithorizont 2033 werden durchschnittliche Nabenhöhen von 120 m für Starkwind- bzw. 150 m für Schwachwindanlagen erwartet und darauf verwiesen, dass hohe Türme auch 200 Meter erreichen können. Um eine minimale Flächnbeanspruchung zu erreichen, werden hier für das Zieljahr 2050 Nabenhöhen von 150 Metern (Starkwindstandorte) und 170 Metern (Schwachwindstanorte) angenommen. </v>
      </c>
      <c r="V211" s="905" t="s">
        <v>126</v>
      </c>
      <c r="W211" s="1079"/>
      <c r="X211" s="672">
        <f>'9.Quellen'!C34</f>
        <v>34</v>
      </c>
      <c r="Y211" s="672" t="s">
        <v>413</v>
      </c>
      <c r="Z211" s="1025"/>
      <c r="AA211" s="905"/>
      <c r="AB211" s="801"/>
      <c r="AC211" s="801"/>
      <c r="AD211" s="801"/>
      <c r="AE211" s="801"/>
      <c r="AF211" s="801"/>
      <c r="AG211" s="801"/>
      <c r="AH211" s="801"/>
      <c r="AI211" s="801"/>
      <c r="AJ211" s="801"/>
      <c r="AK211" s="801"/>
      <c r="AL211" s="801"/>
      <c r="AM211" s="801"/>
      <c r="AN211" s="801"/>
      <c r="AO211" s="801"/>
      <c r="AP211" s="801"/>
      <c r="AQ211" s="801"/>
      <c r="AR211" s="801"/>
      <c r="AS211" s="801"/>
      <c r="AT211" s="801"/>
      <c r="AU211" s="801"/>
      <c r="AV211" s="801"/>
      <c r="BF211" s="657"/>
      <c r="BI211" s="656" t="s">
        <v>126</v>
      </c>
      <c r="BJ211" s="666"/>
      <c r="BO211" s="656" t="s">
        <v>252</v>
      </c>
      <c r="CU211" s="663" t="str">
        <f ca="1">IF(U211="",BF211,U211)</f>
        <v xml:space="preserve">'Erträge und resultierende Vollbetriebsstunden gemäß [212] wären durch größere Nabenhöhen steigerbar.   In einer Agora-Studie [9.34], S. 9, mit dem Zeithorizont 2033 werden durchschnittliche Nabenhöhen von 120 m für Starkwind- bzw. 150 m für Schwachwindanlagen erwartet und darauf verwiesen, dass hohe Türme auch 200 Meter erreichen können. Um eine minimale Flächnbeanspruchung zu erreichen, werden hier für das Zieljahr 2050 Nabenhöhen von 150 Metern (Starkwindstandorte) und 170 Metern (Schwachwindstanorte) angenommen. </v>
      </c>
      <c r="CW211" s="663"/>
      <c r="DT211" s="671"/>
      <c r="EJ211" s="656" t="str">
        <f ca="1">IF(X211=0,"",EJ$1&amp;X211)</f>
        <v>9.34</v>
      </c>
      <c r="EK211" s="656" t="str">
        <f ca="1">EK$1&amp;X211</f>
        <v>[D_Python.xlsx]9.Quellen!C34</v>
      </c>
      <c r="EV211" s="819">
        <f t="shared" ca="1" si="94"/>
        <v>211</v>
      </c>
      <c r="EW211" s="819"/>
    </row>
    <row r="212" spans="1:153" s="472" customFormat="1" ht="117">
      <c r="A212" s="654" t="str">
        <f t="shared" ca="1" si="92"/>
        <v>D.1.212</v>
      </c>
      <c r="B212" s="654" t="str">
        <f t="shared" ca="1" si="93"/>
        <v>1.212</v>
      </c>
      <c r="C212" s="654" t="str">
        <f>CE$1&amp;D212&amp;CF$1</f>
        <v>[212]</v>
      </c>
      <c r="D212" s="654">
        <f>ROW()</f>
        <v>212</v>
      </c>
      <c r="E212" s="1125" t="str">
        <f ca="1">CU212</f>
        <v>2.078 Vollbetriebsstunden können in Deutschland im Mittel gemäß [9.84] S. 31 erreicht werden, wenn die gesamte für Onshore-Windenergie nutzbare Fläche ohne Restriktionen von 7,9 %  der Bodenfläche vollständig belegt würde: Installierten Leistung  722 GW , daraus resultierenden Jahresproduktion  1500 TWh/a . Im Rahmen der angewendeten GIS-Analyse mit einem Raster von 100 mal 100 Metern wurden die restriktionsfreien und die eingeschränkt nutzbaren Flächen ermittelt und unter Einhaltung der erforderlichen Abstände mit Anlagen besetzt. Je nach Standortgüte wurden Starkwind-Referenzanlagen (Nabenhöhe 100 m, Rotorfläche/Generatorleistung 2,6 qm/kW)  oder Schwachwindanlagen (Nabenhöhe 150 m, Rotorfläche/Generatorleistung 3,5 qm/kW) eingesetzt und die jährlich erreichbare Stromproduktion ermittelt. Aus den Summen von Stromproduktion und installierter Leistung resultiert die Vollbetriebsstundenzahl.</v>
      </c>
      <c r="F212" s="1125"/>
      <c r="G212" s="1125"/>
      <c r="H212" s="1125"/>
      <c r="I212" s="1125"/>
      <c r="J212" s="1125"/>
      <c r="K212" s="1125"/>
      <c r="L212" s="1125"/>
      <c r="M212" s="1125"/>
      <c r="N212" s="1132"/>
      <c r="O212" s="869">
        <v>212</v>
      </c>
      <c r="P212" s="573" t="str">
        <f ca="1">HYPERLINK(EK212,EJ212)</f>
        <v>9.84</v>
      </c>
      <c r="Q212" s="574" t="str">
        <f>Y212</f>
        <v>S. 31</v>
      </c>
      <c r="R212" s="852"/>
      <c r="S212" s="784"/>
      <c r="T212" s="864"/>
      <c r="U212" s="1033" t="str">
        <f ca="1">TEXT(AJ212,"0.000")&amp;" Vollbetriebsstunden können in Deutschland im Mittel gemäß ["&amp;P212&amp;"] "&amp;Q212&amp;" erreicht werden, wenn die gesamte für Onshore-Windenergie nutzbare Fläche ohne Restriktionen von "&amp;AD212&amp;AE212&amp;" der Bodenfläche vollständig belegt würde: Installierten Leistung  "&amp;AF212&amp;AG212&amp;", daraus resultierenden Jahresproduktion  "&amp;AH212&amp;AI212&amp;". Im Rahmen der angewendeten GIS-Analyse mit einem Raster von 100 mal 100 Metern wurden die restriktionsfreien und die eingeschränkt nutzbaren Flächen ermittelt und unter Einhaltung der erforderlichen Abstände mit Anlagen besetzt."&amp;" Je nach Standortgüte wurden Starkwind-Referenzanlagen (Nabenhöhe 100 m, Rotorfläche/Generatorleistung 2,6 qm/kW)  "&amp;"oder Schwachwindanlagen (Nabenhöhe 150 m, Rotorfläche/Generatorleistung 3,5 qm/kW) eingesetzt und die jährlich erreichbare Stromproduktion ermittelt."&amp;" Aus den Summen von Stromproduktion und installierter Leistung resultiert die Vollbetriebsstundenzahl."</f>
        <v>2.078 Vollbetriebsstunden können in Deutschland im Mittel gemäß [9.84] S. 31 erreicht werden, wenn die gesamte für Onshore-Windenergie nutzbare Fläche ohne Restriktionen von 7,9 %  der Bodenfläche vollständig belegt würde: Installierten Leistung  722 GW , daraus resultierenden Jahresproduktion  1500 TWh/a . Im Rahmen der angewendeten GIS-Analyse mit einem Raster von 100 mal 100 Metern wurden die restriktionsfreien und die eingeschränkt nutzbaren Flächen ermittelt und unter Einhaltung der erforderlichen Abstände mit Anlagen besetzt. Je nach Standortgüte wurden Starkwind-Referenzanlagen (Nabenhöhe 100 m, Rotorfläche/Generatorleistung 2,6 qm/kW)  oder Schwachwindanlagen (Nabenhöhe 150 m, Rotorfläche/Generatorleistung 3,5 qm/kW) eingesetzt und die jährlich erreichbare Stromproduktion ermittelt. Aus den Summen von Stromproduktion und installierter Leistung resultiert die Vollbetriebsstundenzahl.</v>
      </c>
      <c r="V212" s="905" t="s">
        <v>126</v>
      </c>
      <c r="W212" s="1079">
        <f>AJ212</f>
        <v>2077.5623268698064</v>
      </c>
      <c r="X212" s="672">
        <f>'9.Quellen'!C84</f>
        <v>84</v>
      </c>
      <c r="Y212" s="672" t="s">
        <v>993</v>
      </c>
      <c r="Z212" s="1025"/>
      <c r="AA212" s="905"/>
      <c r="AB212" s="801"/>
      <c r="AC212" s="801"/>
      <c r="AD212" s="801">
        <v>7.9</v>
      </c>
      <c r="AE212" s="801" t="s">
        <v>531</v>
      </c>
      <c r="AF212" s="801">
        <v>722</v>
      </c>
      <c r="AG212" s="801" t="s">
        <v>840</v>
      </c>
      <c r="AH212" s="801">
        <v>1500</v>
      </c>
      <c r="AI212" s="801" t="s">
        <v>841</v>
      </c>
      <c r="AJ212" s="801">
        <f>AH212/AF212*1000</f>
        <v>2077.5623268698064</v>
      </c>
      <c r="AK212" s="801"/>
      <c r="AL212" s="801"/>
      <c r="AM212" s="801"/>
      <c r="AN212" s="801"/>
      <c r="AO212" s="801"/>
      <c r="AP212" s="801"/>
      <c r="AQ212" s="801"/>
      <c r="AR212" s="801"/>
      <c r="AS212" s="801"/>
      <c r="AT212" s="801"/>
      <c r="AU212" s="801"/>
      <c r="AV212" s="801"/>
      <c r="BF212" s="473"/>
      <c r="BI212" s="472" t="s">
        <v>126</v>
      </c>
      <c r="BJ212" s="490"/>
      <c r="BN212" s="656"/>
      <c r="BO212" s="472" t="s">
        <v>252</v>
      </c>
      <c r="CU212" s="480" t="str">
        <f ca="1">IF(U212="",BF212,U212)</f>
        <v>2.078 Vollbetriebsstunden können in Deutschland im Mittel gemäß [9.84] S. 31 erreicht werden, wenn die gesamte für Onshore-Windenergie nutzbare Fläche ohne Restriktionen von 7,9 %  der Bodenfläche vollständig belegt würde: Installierten Leistung  722 GW , daraus resultierenden Jahresproduktion  1500 TWh/a . Im Rahmen der angewendeten GIS-Analyse mit einem Raster von 100 mal 100 Metern wurden die restriktionsfreien und die eingeschränkt nutzbaren Flächen ermittelt und unter Einhaltung der erforderlichen Abstände mit Anlagen besetzt. Je nach Standortgüte wurden Starkwind-Referenzanlagen (Nabenhöhe 100 m, Rotorfläche/Generatorleistung 2,6 qm/kW)  oder Schwachwindanlagen (Nabenhöhe 150 m, Rotorfläche/Generatorleistung 3,5 qm/kW) eingesetzt und die jährlich erreichbare Stromproduktion ermittelt. Aus den Summen von Stromproduktion und installierter Leistung resultiert die Vollbetriebsstundenzahl.</v>
      </c>
      <c r="CV212" s="656"/>
      <c r="CW212" s="480"/>
      <c r="DS212" s="656"/>
      <c r="DT212" s="518"/>
      <c r="EJ212" s="472" t="str">
        <f ca="1">IF(X212=0,"",EJ$1&amp;X212)</f>
        <v>9.84</v>
      </c>
      <c r="EK212" s="472" t="str">
        <f ca="1">EK$1&amp;X212</f>
        <v>[D_Python.xlsx]9.Quellen!C84</v>
      </c>
      <c r="EV212" s="819">
        <f t="shared" ca="1" si="94"/>
        <v>212</v>
      </c>
      <c r="EW212" s="819"/>
    </row>
    <row r="213" spans="1:153" s="528" customFormat="1" ht="4">
      <c r="A213" s="540" t="str">
        <f t="shared" ca="1" si="92"/>
        <v>D.1.213</v>
      </c>
      <c r="B213" s="540" t="str">
        <f t="shared" ca="1" si="93"/>
        <v>1.213</v>
      </c>
      <c r="C213" s="540" t="str">
        <f t="shared" si="77"/>
        <v>[213]</v>
      </c>
      <c r="D213" s="540">
        <f>ROW()</f>
        <v>213</v>
      </c>
      <c r="I213" s="527"/>
      <c r="J213" s="527"/>
      <c r="K213" s="527"/>
      <c r="L213" s="527"/>
      <c r="M213" s="527"/>
      <c r="O213" s="870">
        <v>213</v>
      </c>
      <c r="P213" s="566"/>
      <c r="Q213" s="567"/>
      <c r="R213" s="889"/>
      <c r="S213" s="802"/>
      <c r="T213" s="883"/>
      <c r="U213" s="661"/>
      <c r="V213" s="661"/>
      <c r="W213" s="661"/>
      <c r="X213" s="661"/>
      <c r="Y213" s="661"/>
      <c r="Z213" s="661"/>
      <c r="AA213" s="661"/>
      <c r="AB213" s="675"/>
      <c r="AC213" s="675"/>
      <c r="AD213" s="675"/>
      <c r="AE213" s="675"/>
      <c r="AF213" s="675"/>
      <c r="AG213" s="675"/>
      <c r="AH213" s="675"/>
      <c r="AI213" s="675"/>
      <c r="AJ213" s="675"/>
      <c r="AK213" s="675"/>
      <c r="AL213" s="675"/>
      <c r="AM213" s="675"/>
      <c r="AN213" s="675"/>
      <c r="AO213" s="675"/>
      <c r="AP213" s="675"/>
      <c r="AQ213" s="675"/>
      <c r="AR213" s="675"/>
      <c r="AS213" s="675"/>
      <c r="AT213" s="675"/>
      <c r="AU213" s="675"/>
      <c r="AV213" s="675"/>
      <c r="AZ213" s="541"/>
      <c r="BB213" s="541"/>
      <c r="BI213" s="528" t="s">
        <v>126</v>
      </c>
      <c r="BJ213" s="542"/>
      <c r="BN213" s="680"/>
      <c r="CU213" s="543"/>
      <c r="CV213" s="680"/>
      <c r="CW213" s="543"/>
      <c r="DS213" s="680"/>
      <c r="EV213" s="820" t="str">
        <f t="shared" si="94"/>
        <v/>
      </c>
      <c r="EW213" s="820"/>
    </row>
    <row r="214" spans="1:153" s="472" customFormat="1" ht="13">
      <c r="A214" s="654" t="str">
        <f t="shared" ca="1" si="92"/>
        <v>D.1.214</v>
      </c>
      <c r="B214" s="654" t="str">
        <f t="shared" ca="1" si="93"/>
        <v>1.214</v>
      </c>
      <c r="C214" s="654" t="str">
        <f t="shared" si="77"/>
        <v>[214]</v>
      </c>
      <c r="D214" s="654">
        <f>ROW()</f>
        <v>214</v>
      </c>
      <c r="E214" s="481" t="str">
        <f>BP214</f>
        <v>Windenergie Offshore</v>
      </c>
      <c r="F214" s="482"/>
      <c r="G214" s="482"/>
      <c r="H214" s="482"/>
      <c r="I214" s="483"/>
      <c r="J214" s="484"/>
      <c r="K214" s="484"/>
      <c r="L214" s="484"/>
      <c r="M214" s="484"/>
      <c r="N214" s="532"/>
      <c r="O214" s="869">
        <v>214</v>
      </c>
      <c r="P214" s="568"/>
      <c r="Q214" s="569"/>
      <c r="R214" s="852"/>
      <c r="S214" s="804"/>
      <c r="T214" s="864"/>
      <c r="U214" s="905"/>
      <c r="V214" s="905"/>
      <c r="W214" s="905"/>
      <c r="X214" s="905"/>
      <c r="Y214" s="905"/>
      <c r="Z214" s="905"/>
      <c r="AA214" s="905"/>
      <c r="AB214" s="801"/>
      <c r="AC214" s="801"/>
      <c r="AD214" s="801"/>
      <c r="AE214" s="801"/>
      <c r="AF214" s="801"/>
      <c r="AG214" s="801"/>
      <c r="AH214" s="801"/>
      <c r="AI214" s="801"/>
      <c r="AJ214" s="801"/>
      <c r="AK214" s="801"/>
      <c r="AL214" s="801"/>
      <c r="AM214" s="801"/>
      <c r="AN214" s="801"/>
      <c r="AO214" s="801"/>
      <c r="AP214" s="801"/>
      <c r="AQ214" s="801"/>
      <c r="AR214" s="801"/>
      <c r="AS214" s="801"/>
      <c r="AT214" s="801"/>
      <c r="AU214" s="801"/>
      <c r="AV214" s="801"/>
      <c r="AZ214" s="504"/>
      <c r="BB214" s="506"/>
      <c r="BI214" s="472" t="s">
        <v>126</v>
      </c>
      <c r="BJ214" s="490"/>
      <c r="BN214" s="656"/>
      <c r="BO214" s="472" t="s">
        <v>250</v>
      </c>
      <c r="BP214" s="518" t="s">
        <v>345</v>
      </c>
      <c r="CU214" s="480"/>
      <c r="CV214" s="656"/>
      <c r="CW214" s="480"/>
      <c r="DS214" s="656"/>
      <c r="EV214" s="819">
        <f t="shared" si="94"/>
        <v>214</v>
      </c>
      <c r="EW214" s="819"/>
    </row>
    <row r="215" spans="1:153" s="478" customFormat="1" ht="4">
      <c r="A215" s="677" t="str">
        <f t="shared" ca="1" si="92"/>
        <v>D.1.215</v>
      </c>
      <c r="B215" s="677" t="str">
        <f t="shared" ca="1" si="93"/>
        <v>1.215</v>
      </c>
      <c r="C215" s="677" t="str">
        <f t="shared" si="77"/>
        <v>[215]</v>
      </c>
      <c r="D215" s="677">
        <f>ROW()</f>
        <v>215</v>
      </c>
      <c r="E215" s="528"/>
      <c r="F215" s="528"/>
      <c r="G215" s="528"/>
      <c r="H215" s="528"/>
      <c r="I215" s="527"/>
      <c r="J215" s="527"/>
      <c r="K215" s="527"/>
      <c r="L215" s="527"/>
      <c r="M215" s="527"/>
      <c r="N215" s="528"/>
      <c r="O215" s="871">
        <v>215</v>
      </c>
      <c r="P215" s="566"/>
      <c r="Q215" s="567"/>
      <c r="R215" s="888"/>
      <c r="S215" s="802"/>
      <c r="T215" s="882"/>
      <c r="U215" s="661"/>
      <c r="V215" s="661"/>
      <c r="W215" s="661"/>
      <c r="X215" s="661"/>
      <c r="Y215" s="661"/>
      <c r="Z215" s="661"/>
      <c r="AA215" s="661"/>
      <c r="AB215" s="675"/>
      <c r="AC215" s="675"/>
      <c r="AD215" s="675"/>
      <c r="AE215" s="675"/>
      <c r="AF215" s="675"/>
      <c r="AG215" s="675"/>
      <c r="AH215" s="675"/>
      <c r="AI215" s="675"/>
      <c r="AJ215" s="675"/>
      <c r="AK215" s="675"/>
      <c r="AL215" s="675"/>
      <c r="AM215" s="675"/>
      <c r="AN215" s="675"/>
      <c r="AO215" s="675"/>
      <c r="AP215" s="675"/>
      <c r="AQ215" s="675"/>
      <c r="AR215" s="675"/>
      <c r="AS215" s="675"/>
      <c r="AT215" s="675"/>
      <c r="AU215" s="675"/>
      <c r="AV215" s="675"/>
      <c r="AZ215" s="505"/>
      <c r="BB215" s="505"/>
      <c r="BI215" s="478" t="s">
        <v>126</v>
      </c>
      <c r="BJ215" s="489"/>
      <c r="BN215" s="661"/>
      <c r="CU215" s="479"/>
      <c r="CV215" s="661"/>
      <c r="CW215" s="479"/>
      <c r="DS215" s="661"/>
      <c r="EV215" s="818" t="str">
        <f t="shared" si="94"/>
        <v/>
      </c>
      <c r="EW215" s="818"/>
    </row>
    <row r="216" spans="1:153" s="475" customFormat="1" ht="13.5" customHeight="1">
      <c r="A216" s="654" t="str">
        <f t="shared" ca="1" si="92"/>
        <v>D.1.216</v>
      </c>
      <c r="B216" s="654" t="str">
        <f t="shared" ca="1" si="93"/>
        <v>1.216</v>
      </c>
      <c r="C216" s="654" t="str">
        <f t="shared" si="77"/>
        <v>[216]</v>
      </c>
      <c r="D216" s="654">
        <f>ROW()</f>
        <v>216</v>
      </c>
      <c r="E216" s="1129" t="str">
        <f>BP216</f>
        <v>Offshore Deutschland: Leistung am Netz</v>
      </c>
      <c r="F216" s="1129"/>
      <c r="G216" s="1129"/>
      <c r="H216" s="1129"/>
      <c r="I216" s="1129"/>
      <c r="J216" s="471" t="s">
        <v>319</v>
      </c>
      <c r="K216" s="546">
        <f ca="1">INDIRECT($W$1&amp;U216)</f>
        <v>2566</v>
      </c>
      <c r="L216" s="485" t="str">
        <f ca="1">HYPERLINK($CK$1&amp;U216,$CE$1&amp;U216&amp;$CF$1)</f>
        <v>[217]</v>
      </c>
      <c r="M216" s="547">
        <f ca="1">INDIRECT($W$1&amp;W216)</f>
        <v>54000</v>
      </c>
      <c r="N216" s="533" t="str">
        <f ca="1">HYPERLINK($CK$1&amp;W216,$CE$1&amp;W216&amp;$CF$1)</f>
        <v>[219]</v>
      </c>
      <c r="O216" s="869">
        <v>216</v>
      </c>
      <c r="P216" s="570"/>
      <c r="Q216" s="583"/>
      <c r="R216" s="852"/>
      <c r="S216" s="784"/>
      <c r="T216" s="864"/>
      <c r="U216" s="672">
        <f>D217</f>
        <v>217</v>
      </c>
      <c r="V216" s="905" t="s">
        <v>126</v>
      </c>
      <c r="W216" s="672">
        <f>D219</f>
        <v>219</v>
      </c>
      <c r="X216" s="658"/>
      <c r="Y216" s="658"/>
      <c r="Z216" s="658"/>
      <c r="AA216" s="658"/>
      <c r="AB216" s="801"/>
      <c r="AC216" s="801"/>
      <c r="AD216" s="674"/>
      <c r="AE216" s="674"/>
      <c r="AF216" s="674"/>
      <c r="AG216" s="674"/>
      <c r="AH216" s="674"/>
      <c r="AI216" s="674"/>
      <c r="AJ216" s="674"/>
      <c r="AK216" s="674"/>
      <c r="AL216" s="674"/>
      <c r="AM216" s="674"/>
      <c r="AN216" s="674"/>
      <c r="AO216" s="674"/>
      <c r="AP216" s="674"/>
      <c r="AQ216" s="674"/>
      <c r="AR216" s="674"/>
      <c r="AS216" s="674"/>
      <c r="AT216" s="674"/>
      <c r="AU216" s="674"/>
      <c r="AV216" s="674"/>
      <c r="AX216" s="582" t="s">
        <v>244</v>
      </c>
      <c r="AY216" s="500">
        <f ca="1">DA216</f>
        <v>186.92137501010436</v>
      </c>
      <c r="AZ216" s="508" t="str">
        <f ca="1">HYPERLINK(DN216,DC216)</f>
        <v xml:space="preserve"> 60</v>
      </c>
      <c r="BA216" s="500">
        <f ca="1">DB216</f>
        <v>25889.387120513074</v>
      </c>
      <c r="BB216" s="508" t="str">
        <f ca="1">HYPERLINK(DO216,DD216)</f>
        <v xml:space="preserve"> 70</v>
      </c>
      <c r="BC216" s="475" t="str">
        <f ca="1">CY216&amp;" | "&amp;CZ216</f>
        <v xml:space="preserve">Windpark-Fl.
Offshore [2] | Für die Erschließung des Offshore-Potenzials erforderliche Onshore-Äquivalenz-Fläche </v>
      </c>
      <c r="BI216" s="475" t="s">
        <v>126</v>
      </c>
      <c r="BJ216" s="492" t="str">
        <f>E216</f>
        <v>Offshore Deutschland: Leistung am Netz</v>
      </c>
      <c r="BK216" s="486">
        <f ca="1">K216</f>
        <v>2566</v>
      </c>
      <c r="BL216" s="486">
        <f ca="1">M216</f>
        <v>54000</v>
      </c>
      <c r="BM216" s="472">
        <f>D216</f>
        <v>216</v>
      </c>
      <c r="BN216" s="658"/>
      <c r="BO216" s="475" t="s">
        <v>251</v>
      </c>
      <c r="BP216" s="521" t="s">
        <v>332</v>
      </c>
      <c r="CU216" s="476"/>
      <c r="CV216" s="658"/>
      <c r="CW216" s="518">
        <v>138</v>
      </c>
      <c r="CY216" s="472" t="str">
        <f t="shared" ref="CY216:DO216" ca="1" si="96">INDIRECT($CX$1&amp;CY$1&amp;$CW216)</f>
        <v>Windpark-Fl.
Offshore [2]</v>
      </c>
      <c r="CZ216" s="472" t="str">
        <f t="shared" ca="1" si="96"/>
        <v xml:space="preserve">Für die Erschließung des Offshore-Potenzials erforderliche Onshore-Äquivalenz-Fläche </v>
      </c>
      <c r="DA216" s="472">
        <f t="shared" ca="1" si="96"/>
        <v>186.92137501010436</v>
      </c>
      <c r="DB216" s="472">
        <f t="shared" ca="1" si="96"/>
        <v>25889.387120513074</v>
      </c>
      <c r="DC216" s="472" t="str">
        <f t="shared" ca="1" si="96"/>
        <v xml:space="preserve"> 60</v>
      </c>
      <c r="DD216" s="472" t="str">
        <f t="shared" ca="1" si="96"/>
        <v xml:space="preserve"> 70</v>
      </c>
      <c r="DE216" s="472" t="str">
        <f t="shared" ca="1" si="96"/>
        <v>Wi61</v>
      </c>
      <c r="DF216" s="472" t="str">
        <f t="shared" ca="1" si="96"/>
        <v>Wi70</v>
      </c>
      <c r="DG216" s="472" t="str">
        <f t="shared" ca="1" si="96"/>
        <v>Wi</v>
      </c>
      <c r="DH216" s="472" t="str">
        <f t="shared" ca="1" si="96"/>
        <v>61</v>
      </c>
      <c r="DI216" s="472" t="str">
        <f t="shared" ca="1" si="96"/>
        <v>[Wi.xls]TEXT!Z61S5</v>
      </c>
      <c r="DJ216" s="472" t="str">
        <f t="shared" ca="1" si="96"/>
        <v>Wi</v>
      </c>
      <c r="DK216" s="472" t="str">
        <f t="shared" ca="1" si="96"/>
        <v>70</v>
      </c>
      <c r="DL216" s="472" t="str">
        <f t="shared" ca="1" si="96"/>
        <v>[Wi.xls]TEXT!Z70S5</v>
      </c>
      <c r="DM216" s="472">
        <f t="shared" ca="1" si="96"/>
        <v>138</v>
      </c>
      <c r="DN216" s="472" t="str">
        <f t="shared" ca="1" si="96"/>
        <v>[Region.xls]PARAMETER!Z60S6</v>
      </c>
      <c r="DO216" s="472" t="str">
        <f t="shared" ca="1" si="96"/>
        <v>[Region.xls]PARAMETER!Z70S6</v>
      </c>
      <c r="DP216" s="472"/>
      <c r="DS216" s="656"/>
      <c r="DV216" s="472"/>
      <c r="DW216" s="472"/>
      <c r="DX216" s="472"/>
      <c r="DY216" s="472"/>
      <c r="DZ216" s="472"/>
      <c r="EA216" s="472"/>
      <c r="EB216" s="472"/>
      <c r="EC216" s="472"/>
      <c r="ED216" s="472"/>
      <c r="EE216" s="472"/>
      <c r="EF216" s="472"/>
      <c r="EG216" s="472"/>
      <c r="EH216" s="472"/>
      <c r="EI216" s="472"/>
      <c r="EJ216" s="472"/>
      <c r="EK216" s="472"/>
      <c r="EV216" s="819">
        <f t="shared" si="94"/>
        <v>216</v>
      </c>
      <c r="EW216" s="819"/>
    </row>
    <row r="217" spans="1:153" s="472" customFormat="1" ht="52">
      <c r="A217" s="654" t="str">
        <f t="shared" ca="1" si="92"/>
        <v>D.1.217</v>
      </c>
      <c r="B217" s="654" t="str">
        <f t="shared" ca="1" si="93"/>
        <v>1.217</v>
      </c>
      <c r="C217" s="654" t="str">
        <f t="shared" si="77"/>
        <v>[217]</v>
      </c>
      <c r="D217" s="654">
        <f>ROW()</f>
        <v>217</v>
      </c>
      <c r="E217" s="1141" t="str">
        <f ca="1">CU217</f>
        <v>- STATUS-Ansatz: Zur der im Jahresmittel 2015 effektiv in vollem Betrieb befindlichen Leistung sind explizit keine belastbaren Angaben verfügbar. Ersatzweise wird der Statuswert 3.541 MW  vom 31.12.2015 um die Hälfte des Zubaus im Jahr 2015 von insgesamt 1.950 MW [9.87 Abb. 1] reduziert. Die effektiv wirksame Jahresmittelleistung 2015 wird so auf 2.566 MW  geschätzt.</v>
      </c>
      <c r="F217" s="1141"/>
      <c r="G217" s="1141"/>
      <c r="H217" s="1141"/>
      <c r="I217" s="1141"/>
      <c r="J217" s="1141"/>
      <c r="K217" s="1141"/>
      <c r="L217" s="1141"/>
      <c r="M217" s="1141"/>
      <c r="N217" s="1142"/>
      <c r="O217" s="869">
        <v>217</v>
      </c>
      <c r="P217" s="573" t="str">
        <f ca="1">HYPERLINK(EK217,EJ217)</f>
        <v>9.87</v>
      </c>
      <c r="Q217" s="574" t="str">
        <f>Y217</f>
        <v>Abb. 1</v>
      </c>
      <c r="R217" s="852"/>
      <c r="S217" s="784"/>
      <c r="T217" s="864"/>
      <c r="U217" s="1023" t="str">
        <f ca="1">"Zur der im Jahresmittel 2015 effektiv in vollem Betrieb befindlichen Leistung sind explizit keine belastbaren Angaben verfügbar. Ersatzweise wird der Statuswert "&amp;TEXT(AE217,"0.000")&amp;AF217&amp;" vom 31.12.2015 um die Hälfte des Zubaus im Jahr 2015 von insgesamt "&amp;TEXT(AH217,"0.000")&amp;AI217&amp;" ["&amp;'9.Quellen'!B87&amp;" Abb. 1] reduziert. Die effektiv wirksame Jahresmittelleistung 2015 wird so auf "&amp;TEXT(AJ217,"0.000")&amp;AK217&amp;" geschätzt."</f>
        <v>Zur der im Jahresmittel 2015 effektiv in vollem Betrieb befindlichen Leistung sind explizit keine belastbaren Angaben verfügbar. Ersatzweise wird der Statuswert 3.541 MW  vom 31.12.2015 um die Hälfte des Zubaus im Jahr 2015 von insgesamt 1.950 MW [9.87 Abb. 1] reduziert. Die effektiv wirksame Jahresmittelleistung 2015 wird so auf 2.566 MW  geschätzt.</v>
      </c>
      <c r="V217" s="905" t="s">
        <v>126</v>
      </c>
      <c r="W217" s="1024">
        <f>AJ217</f>
        <v>2566</v>
      </c>
      <c r="X217" s="672">
        <f>'9.Quellen'!C87</f>
        <v>87</v>
      </c>
      <c r="Y217" s="672" t="s">
        <v>996</v>
      </c>
      <c r="Z217" s="1025"/>
      <c r="AA217" s="658"/>
      <c r="AB217" s="801"/>
      <c r="AC217" s="801"/>
      <c r="AD217" s="1083">
        <v>42369</v>
      </c>
      <c r="AE217" s="801">
        <v>3541</v>
      </c>
      <c r="AF217" s="801" t="s">
        <v>378</v>
      </c>
      <c r="AG217" s="801" t="s">
        <v>997</v>
      </c>
      <c r="AH217" s="801">
        <v>1950</v>
      </c>
      <c r="AI217" s="801" t="s">
        <v>324</v>
      </c>
      <c r="AJ217" s="801">
        <f>AE217-AH217/2</f>
        <v>2566</v>
      </c>
      <c r="AK217" s="801" t="s">
        <v>378</v>
      </c>
      <c r="AL217" s="826">
        <v>520</v>
      </c>
      <c r="AM217" s="826" t="s">
        <v>327</v>
      </c>
      <c r="AN217" s="826">
        <v>240</v>
      </c>
      <c r="AO217" s="826" t="s">
        <v>328</v>
      </c>
      <c r="AP217" s="826">
        <f>AL217-AN217/2</f>
        <v>400</v>
      </c>
      <c r="AQ217" s="826" t="s">
        <v>329</v>
      </c>
      <c r="AR217" s="801">
        <v>905</v>
      </c>
      <c r="AS217" s="801" t="s">
        <v>325</v>
      </c>
      <c r="AT217" s="801">
        <f>AD223</f>
        <v>4255</v>
      </c>
      <c r="AU217" s="801" t="s">
        <v>326</v>
      </c>
      <c r="AV217" s="801">
        <f>AR217*1000/AT217</f>
        <v>212.69095182138659</v>
      </c>
      <c r="AW217" s="673"/>
      <c r="BF217" s="473"/>
      <c r="BI217" s="472" t="s">
        <v>126</v>
      </c>
      <c r="BJ217" s="490"/>
      <c r="BN217" s="656"/>
      <c r="BO217" s="472" t="s">
        <v>259</v>
      </c>
      <c r="CU217" s="480" t="str">
        <f ca="1">CG$1&amp;IF(U217="",BF217,U217)</f>
        <v>- STATUS-Ansatz: Zur der im Jahresmittel 2015 effektiv in vollem Betrieb befindlichen Leistung sind explizit keine belastbaren Angaben verfügbar. Ersatzweise wird der Statuswert 3.541 MW  vom 31.12.2015 um die Hälfte des Zubaus im Jahr 2015 von insgesamt 1.950 MW [9.87 Abb. 1] reduziert. Die effektiv wirksame Jahresmittelleistung 2015 wird so auf 2.566 MW  geschätzt.</v>
      </c>
      <c r="CV217" s="656"/>
      <c r="CW217" s="480"/>
      <c r="DS217" s="656"/>
      <c r="DT217" s="518">
        <f>I_Basisdaten!A64</f>
        <v>64</v>
      </c>
      <c r="EJ217" s="472" t="str">
        <f ca="1">IF(X217=0,"",EJ$1&amp;X217)</f>
        <v>9.87</v>
      </c>
      <c r="EK217" s="472" t="str">
        <f ca="1">EK$1&amp;X217</f>
        <v>[D_Python.xlsx]9.Quellen!C87</v>
      </c>
      <c r="EV217" s="819">
        <f t="shared" ca="1" si="94"/>
        <v>217</v>
      </c>
      <c r="EW217" s="819"/>
    </row>
    <row r="218" spans="1:153" s="478" customFormat="1" ht="4">
      <c r="A218" s="677" t="str">
        <f t="shared" ca="1" si="92"/>
        <v>D.1.218</v>
      </c>
      <c r="B218" s="677" t="str">
        <f t="shared" ca="1" si="93"/>
        <v>1.218</v>
      </c>
      <c r="C218" s="677" t="str">
        <f t="shared" si="77"/>
        <v>[218]</v>
      </c>
      <c r="D218" s="677">
        <f>ROW()</f>
        <v>218</v>
      </c>
      <c r="E218" s="528"/>
      <c r="F218" s="528"/>
      <c r="G218" s="528"/>
      <c r="H218" s="528"/>
      <c r="I218" s="527"/>
      <c r="J218" s="527"/>
      <c r="K218" s="527"/>
      <c r="L218" s="527"/>
      <c r="M218" s="527"/>
      <c r="N218" s="528"/>
      <c r="O218" s="871">
        <v>218</v>
      </c>
      <c r="P218" s="566"/>
      <c r="Q218" s="567"/>
      <c r="R218" s="888"/>
      <c r="S218" s="802"/>
      <c r="T218" s="882"/>
      <c r="U218" s="661"/>
      <c r="V218" s="661"/>
      <c r="W218" s="661"/>
      <c r="X218" s="661"/>
      <c r="Y218" s="661"/>
      <c r="Z218" s="661"/>
      <c r="AA218" s="661"/>
      <c r="AB218" s="675"/>
      <c r="AC218" s="675"/>
      <c r="AD218" s="675"/>
      <c r="AE218" s="675"/>
      <c r="AF218" s="675"/>
      <c r="AG218" s="675"/>
      <c r="AH218" s="675"/>
      <c r="AI218" s="675"/>
      <c r="AJ218" s="675"/>
      <c r="AK218" s="675"/>
      <c r="AL218" s="675"/>
      <c r="AM218" s="675"/>
      <c r="AN218" s="675"/>
      <c r="AO218" s="675"/>
      <c r="AP218" s="675"/>
      <c r="AQ218" s="675"/>
      <c r="AR218" s="675"/>
      <c r="AS218" s="675"/>
      <c r="AT218" s="675"/>
      <c r="AU218" s="675"/>
      <c r="AV218" s="675"/>
      <c r="BI218" s="478" t="s">
        <v>126</v>
      </c>
      <c r="BJ218" s="489"/>
      <c r="BN218" s="661"/>
      <c r="CU218" s="479"/>
      <c r="CV218" s="661"/>
      <c r="CW218" s="479"/>
      <c r="DS218" s="661"/>
      <c r="EV218" s="818" t="str">
        <f t="shared" si="94"/>
        <v/>
      </c>
      <c r="EW218" s="818"/>
    </row>
    <row r="219" spans="1:153" s="472" customFormat="1" ht="52">
      <c r="A219" s="654" t="str">
        <f t="shared" ca="1" si="92"/>
        <v>D.1.219</v>
      </c>
      <c r="B219" s="654" t="str">
        <f t="shared" ca="1" si="93"/>
        <v>1.219</v>
      </c>
      <c r="C219" s="654" t="str">
        <f t="shared" si="77"/>
        <v>[219]</v>
      </c>
      <c r="D219" s="654">
        <f>ROW()</f>
        <v>219</v>
      </c>
      <c r="E219" s="1125" t="str">
        <f t="shared" ref="E219" ca="1" si="97">CU219</f>
        <v xml:space="preserve">- ZIEL-Ansatz: Für einen ambitionierten Ausbau der deutschen Offshore-Windenergie bis zur Potenzialgrenze gemäß [220] auf 54.000 MW spricht gemäß IWES [9.117], S. 8 aus Energiewirtschaftlicher Sicht die Minimierung des Speicherbedarfs zum Fluktuationsausgleich und damit verbunden der Speicherverluste. Zum anderen wird dadurch der Bedarf an Onshore-Flächen verringert. </v>
      </c>
      <c r="F219" s="1125"/>
      <c r="G219" s="1125"/>
      <c r="H219" s="1125"/>
      <c r="I219" s="1125"/>
      <c r="J219" s="1125"/>
      <c r="K219" s="1125"/>
      <c r="L219" s="1125"/>
      <c r="M219" s="1125"/>
      <c r="N219" s="1132"/>
      <c r="O219" s="869">
        <v>219</v>
      </c>
      <c r="P219" s="573" t="str">
        <f ca="1">HYPERLINK(EK219,EJ219)</f>
        <v>9.117</v>
      </c>
      <c r="Q219" s="574" t="str">
        <f>Y219</f>
        <v>S. 8</v>
      </c>
      <c r="R219" s="852"/>
      <c r="S219" s="784"/>
      <c r="T219" s="864"/>
      <c r="U219" s="1023" t="str">
        <f ca="1">"Für einen ambitionierten Ausbau der deutschen Offshore-Windenergie bis zur Potenzialgrenze gemäß "&amp;C220&amp;" auf "&amp;TEXT('1.'!W219,"0.000")&amp;" MW spricht gemäß "&amp;'9.Quellen'!E117&amp;" ["&amp;'1.'!P219&amp;"], "&amp;'1.'!Q219&amp;" aus Energiewirtschaftlicher Sicht die Minimierung des Speicherbedarfs zum Fluktuationsausgleich und damit verbunden der Speicherverluste. "&amp;"Zum anderen wird dadurch der Bedarf an Onshore-Flächen verringert. "</f>
        <v xml:space="preserve">Für einen ambitionierten Ausbau der deutschen Offshore-Windenergie bis zur Potenzialgrenze gemäß [220] auf 54.000 MW spricht gemäß IWES [9.117], S. 8 aus Energiewirtschaftlicher Sicht die Minimierung des Speicherbedarfs zum Fluktuationsausgleich und damit verbunden der Speicherverluste. Zum anderen wird dadurch der Bedarf an Onshore-Flächen verringert. </v>
      </c>
      <c r="V219" s="905" t="s">
        <v>126</v>
      </c>
      <c r="W219" s="1024">
        <f>AD219</f>
        <v>54000</v>
      </c>
      <c r="X219" s="672">
        <f>'9.Quellen'!C117</f>
        <v>117</v>
      </c>
      <c r="Y219" s="672" t="s">
        <v>342</v>
      </c>
      <c r="Z219" s="1025"/>
      <c r="AA219" s="905"/>
      <c r="AB219" s="801"/>
      <c r="AC219" s="801"/>
      <c r="AD219" s="801">
        <v>54000</v>
      </c>
      <c r="AE219" s="801"/>
      <c r="AF219" s="801"/>
      <c r="AG219" s="801"/>
      <c r="AH219" s="801"/>
      <c r="AI219" s="801"/>
      <c r="AJ219" s="801"/>
      <c r="AK219" s="801"/>
      <c r="AL219" s="801"/>
      <c r="AM219" s="801"/>
      <c r="AN219" s="801"/>
      <c r="AO219" s="801"/>
      <c r="AP219" s="801"/>
      <c r="AQ219" s="801"/>
      <c r="AR219" s="801"/>
      <c r="AS219" s="801"/>
      <c r="AT219" s="801"/>
      <c r="AU219" s="801"/>
      <c r="AV219" s="801"/>
      <c r="BF219" s="473"/>
      <c r="BI219" s="472" t="s">
        <v>126</v>
      </c>
      <c r="BJ219" s="490"/>
      <c r="BN219" s="656"/>
      <c r="BO219" s="472" t="s">
        <v>259</v>
      </c>
      <c r="CU219" s="480" t="str">
        <f ca="1">CH$1&amp;IF(U219="",BF219,U219)</f>
        <v xml:space="preserve">- ZIEL-Ansatz: Für einen ambitionierten Ausbau der deutschen Offshore-Windenergie bis zur Potenzialgrenze gemäß [220] auf 54.000 MW spricht gemäß IWES [9.117], S. 8 aus Energiewirtschaftlicher Sicht die Minimierung des Speicherbedarfs zum Fluktuationsausgleich und damit verbunden der Speicherverluste. Zum anderen wird dadurch der Bedarf an Onshore-Flächen verringert. </v>
      </c>
      <c r="CV219" s="656"/>
      <c r="CW219" s="480"/>
      <c r="DS219" s="656"/>
      <c r="DT219" s="518">
        <v>53</v>
      </c>
      <c r="EJ219" s="472" t="str">
        <f ca="1">IF(X219=0,"",EJ$1&amp;X219)</f>
        <v>9.117</v>
      </c>
      <c r="EK219" s="472" t="str">
        <f ca="1">EK$1&amp;X219</f>
        <v>[D_Python.xlsx]9.Quellen!C117</v>
      </c>
      <c r="EV219" s="819">
        <f t="shared" ca="1" si="94"/>
        <v>219</v>
      </c>
      <c r="EW219" s="819"/>
    </row>
    <row r="220" spans="1:153" s="472" customFormat="1" ht="39">
      <c r="A220" s="654" t="str">
        <f t="shared" ca="1" si="92"/>
        <v>D.1.220</v>
      </c>
      <c r="B220" s="654" t="str">
        <f t="shared" ca="1" si="93"/>
        <v>1.220</v>
      </c>
      <c r="C220" s="654" t="str">
        <f t="shared" ref="C220:C286" si="98">CE$1&amp;D220&amp;CF$1</f>
        <v>[220]</v>
      </c>
      <c r="D220" s="654">
        <f>ROW()</f>
        <v>220</v>
      </c>
      <c r="E220" s="1125" t="str">
        <f ca="1">CU220</f>
        <v>"Die Potenzialgrenze der Offshore-Windenergie beträgt (...) 54.000 MW installierte Leistung. Dieser Wert ergibt sich aus der maximal installierbaren Leistung in Nord- und Ostsee unter Berücksichtigung des Raumbedarfs gemäß dem Raumordnungsplan des Bundesamts für Schifffahrt und Hydrographie (BSH)." (IWES [9.117], S. 13)</v>
      </c>
      <c r="F220" s="1125"/>
      <c r="G220" s="1125"/>
      <c r="H220" s="1125"/>
      <c r="I220" s="1125"/>
      <c r="J220" s="1125"/>
      <c r="K220" s="1125"/>
      <c r="L220" s="1125"/>
      <c r="M220" s="1125"/>
      <c r="N220" s="1132"/>
      <c r="O220" s="869">
        <v>220</v>
      </c>
      <c r="P220" s="573" t="str">
        <f ca="1">HYPERLINK(EK220,EJ220)</f>
        <v>9.117</v>
      </c>
      <c r="Q220" s="574" t="str">
        <f>Y220</f>
        <v>S. 13</v>
      </c>
      <c r="R220" s="852"/>
      <c r="S220" s="784"/>
      <c r="T220" s="864"/>
      <c r="U220" s="1033" t="str">
        <f ca="1">"""Die Potenzialgrenze der Offshore-Windenergie beträgt (...) "&amp;TEXT('1.'!W220,"0.000")&amp;" MW installierte Leistung. Dieser Wert ergibt sich aus der maximal installierbaren Leistung in Nord- und Ostsee unter Berücksichtigung des Raumbedarfs gemäß dem Raumordnungsplan des Bundesamts für Schifffahrt und Hydrographie (BSH)."" ("&amp;'9.Quellen'!E117&amp;" ["&amp;'1.'!P220&amp;"], "&amp;'1.'!Q220&amp;")"</f>
        <v>"Die Potenzialgrenze der Offshore-Windenergie beträgt (...) 54.000 MW installierte Leistung. Dieser Wert ergibt sich aus der maximal installierbaren Leistung in Nord- und Ostsee unter Berücksichtigung des Raumbedarfs gemäß dem Raumordnungsplan des Bundesamts für Schifffahrt und Hydrographie (BSH)." (IWES [9.117], S. 13)</v>
      </c>
      <c r="V220" s="905" t="s">
        <v>126</v>
      </c>
      <c r="W220" s="1024">
        <v>54000</v>
      </c>
      <c r="X220" s="672">
        <f>'9.Quellen'!C117</f>
        <v>117</v>
      </c>
      <c r="Y220" s="672" t="s">
        <v>336</v>
      </c>
      <c r="Z220" s="1025"/>
      <c r="AA220" s="905"/>
      <c r="AB220" s="801"/>
      <c r="AC220" s="801"/>
      <c r="AD220" s="801"/>
      <c r="AE220" s="801"/>
      <c r="AF220" s="801"/>
      <c r="AG220" s="801"/>
      <c r="AH220" s="801"/>
      <c r="AI220" s="801"/>
      <c r="AJ220" s="801"/>
      <c r="AK220" s="687"/>
      <c r="AL220" s="801"/>
      <c r="AM220" s="801"/>
      <c r="AN220" s="801"/>
      <c r="AO220" s="801"/>
      <c r="AP220" s="801"/>
      <c r="AQ220" s="801"/>
      <c r="AR220" s="801"/>
      <c r="AS220" s="801"/>
      <c r="AT220" s="801"/>
      <c r="AU220" s="801"/>
      <c r="AV220" s="801"/>
      <c r="BF220" s="473"/>
      <c r="BI220" s="472" t="s">
        <v>126</v>
      </c>
      <c r="BJ220" s="490"/>
      <c r="BN220" s="656"/>
      <c r="BO220" s="472" t="s">
        <v>252</v>
      </c>
      <c r="CU220" s="480" t="str">
        <f ca="1">IF(U220="",BF220,U220)</f>
        <v>"Die Potenzialgrenze der Offshore-Windenergie beträgt (...) 54.000 MW installierte Leistung. Dieser Wert ergibt sich aus der maximal installierbaren Leistung in Nord- und Ostsee unter Berücksichtigung des Raumbedarfs gemäß dem Raumordnungsplan des Bundesamts für Schifffahrt und Hydrographie (BSH)." (IWES [9.117], S. 13)</v>
      </c>
      <c r="CV220" s="656"/>
      <c r="CW220" s="480"/>
      <c r="DS220" s="656"/>
      <c r="DT220" s="518"/>
      <c r="EJ220" s="472" t="str">
        <f ca="1">IF(X220=0,"",EJ$1&amp;X220)</f>
        <v>9.117</v>
      </c>
      <c r="EK220" s="472" t="str">
        <f ca="1">EK$1&amp;X220</f>
        <v>[D_Python.xlsx]9.Quellen!C117</v>
      </c>
      <c r="EV220" s="819">
        <f t="shared" ca="1" si="94"/>
        <v>220</v>
      </c>
      <c r="EW220" s="819"/>
    </row>
    <row r="221" spans="1:153" s="478" customFormat="1" ht="4">
      <c r="A221" s="677" t="str">
        <f t="shared" ca="1" si="92"/>
        <v>D.1.221</v>
      </c>
      <c r="B221" s="677" t="str">
        <f t="shared" ca="1" si="93"/>
        <v>1.221</v>
      </c>
      <c r="C221" s="677" t="str">
        <f t="shared" si="98"/>
        <v>[221]</v>
      </c>
      <c r="D221" s="677">
        <f>ROW()</f>
        <v>221</v>
      </c>
      <c r="E221" s="548"/>
      <c r="F221" s="548"/>
      <c r="G221" s="548"/>
      <c r="H221" s="548"/>
      <c r="I221" s="549"/>
      <c r="J221" s="549"/>
      <c r="K221" s="549"/>
      <c r="L221" s="549"/>
      <c r="M221" s="549"/>
      <c r="N221" s="548"/>
      <c r="O221" s="871">
        <v>221</v>
      </c>
      <c r="P221" s="575"/>
      <c r="Q221" s="576"/>
      <c r="R221" s="882"/>
      <c r="S221" s="802"/>
      <c r="T221" s="882"/>
      <c r="U221" s="661"/>
      <c r="V221" s="661"/>
      <c r="W221" s="661"/>
      <c r="X221" s="661"/>
      <c r="Y221" s="661"/>
      <c r="Z221" s="661"/>
      <c r="AA221" s="661"/>
      <c r="AB221" s="675"/>
      <c r="AC221" s="675"/>
      <c r="AD221" s="675"/>
      <c r="AE221" s="675"/>
      <c r="AF221" s="675"/>
      <c r="AG221" s="675"/>
      <c r="AH221" s="675"/>
      <c r="AI221" s="675"/>
      <c r="AJ221" s="675"/>
      <c r="AK221" s="675"/>
      <c r="AL221" s="675"/>
      <c r="AM221" s="675"/>
      <c r="AN221" s="675"/>
      <c r="AO221" s="675"/>
      <c r="AP221" s="675"/>
      <c r="AQ221" s="675"/>
      <c r="AR221" s="675"/>
      <c r="AS221" s="675"/>
      <c r="AT221" s="675"/>
      <c r="AU221" s="675"/>
      <c r="AV221" s="675"/>
      <c r="AZ221" s="505"/>
      <c r="BB221" s="505"/>
      <c r="BI221" s="478" t="s">
        <v>126</v>
      </c>
      <c r="BJ221" s="489"/>
      <c r="BN221" s="661"/>
      <c r="CU221" s="479"/>
      <c r="CV221" s="661"/>
      <c r="CW221" s="479"/>
      <c r="DS221" s="661"/>
      <c r="EV221" s="818" t="str">
        <f t="shared" si="94"/>
        <v/>
      </c>
      <c r="EW221" s="818"/>
    </row>
    <row r="222" spans="1:153" s="475" customFormat="1" ht="13.5" customHeight="1">
      <c r="A222" s="654" t="str">
        <f t="shared" ca="1" si="92"/>
        <v>D.1.222</v>
      </c>
      <c r="B222" s="654" t="str">
        <f t="shared" ca="1" si="93"/>
        <v>1.222</v>
      </c>
      <c r="C222" s="654" t="str">
        <f t="shared" si="98"/>
        <v>[222]</v>
      </c>
      <c r="D222" s="654">
        <f>ROW()</f>
        <v>222</v>
      </c>
      <c r="E222" s="1129" t="str">
        <f>BP222</f>
        <v>Offshore Deutschl.: Vollbetriebsstunden jährlich</v>
      </c>
      <c r="F222" s="1129"/>
      <c r="G222" s="1129"/>
      <c r="H222" s="1129"/>
      <c r="I222" s="1129"/>
      <c r="J222" s="471" t="s">
        <v>320</v>
      </c>
      <c r="K222" s="546">
        <f ca="1">INDIRECT($W$1&amp;U222)</f>
        <v>4255</v>
      </c>
      <c r="L222" s="485" t="str">
        <f ca="1">HYPERLINK($CK$1&amp;U222,$CE$1&amp;U222&amp;$CF$1)</f>
        <v>[223]</v>
      </c>
      <c r="M222" s="547">
        <f ca="1">INDIRECT($W$1&amp;W222)</f>
        <v>4500</v>
      </c>
      <c r="N222" s="533" t="str">
        <f ca="1">HYPERLINK($CK$1&amp;W222,$CE$1&amp;W222&amp;$CF$1)</f>
        <v>[225]</v>
      </c>
      <c r="O222" s="869">
        <v>222</v>
      </c>
      <c r="P222" s="570"/>
      <c r="Q222" s="583"/>
      <c r="R222" s="852"/>
      <c r="S222" s="784"/>
      <c r="T222" s="864"/>
      <c r="U222" s="672">
        <f>D223</f>
        <v>223</v>
      </c>
      <c r="V222" s="905" t="s">
        <v>126</v>
      </c>
      <c r="W222" s="672">
        <f>D225</f>
        <v>225</v>
      </c>
      <c r="X222" s="658"/>
      <c r="Y222" s="658"/>
      <c r="Z222" s="658"/>
      <c r="AA222" s="658"/>
      <c r="AB222" s="801"/>
      <c r="AC222" s="801"/>
      <c r="AD222" s="674"/>
      <c r="AE222" s="674"/>
      <c r="AF222" s="674"/>
      <c r="AG222" s="674"/>
      <c r="AH222" s="674"/>
      <c r="AI222" s="674"/>
      <c r="AJ222" s="674"/>
      <c r="AK222" s="674"/>
      <c r="AL222" s="674"/>
      <c r="AM222" s="674"/>
      <c r="AN222" s="674"/>
      <c r="AO222" s="674"/>
      <c r="AP222" s="674"/>
      <c r="AQ222" s="674"/>
      <c r="AR222" s="674"/>
      <c r="AS222" s="674"/>
      <c r="AT222" s="674"/>
      <c r="AU222" s="674"/>
      <c r="AV222" s="674"/>
      <c r="AX222" s="582" t="s">
        <v>244</v>
      </c>
      <c r="AY222" s="500" t="e">
        <f ca="1">DA222</f>
        <v>#REF!</v>
      </c>
      <c r="AZ222" s="508" t="e">
        <f ca="1">HYPERLINK(DN222,DC222)</f>
        <v>#REF!</v>
      </c>
      <c r="BA222" s="500" t="e">
        <f ca="1">DB222</f>
        <v>#REF!</v>
      </c>
      <c r="BB222" s="508" t="e">
        <f ca="1">HYPERLINK(DO222,DD222)</f>
        <v>#REF!</v>
      </c>
      <c r="BC222" s="475" t="e">
        <f ca="1">CY222&amp;" | "&amp;CZ222</f>
        <v>#REF!</v>
      </c>
      <c r="BI222" s="475" t="s">
        <v>126</v>
      </c>
      <c r="BJ222" s="492" t="str">
        <f>E222</f>
        <v>Offshore Deutschl.: Vollbetriebsstunden jährlich</v>
      </c>
      <c r="BK222" s="486">
        <f ca="1">K222</f>
        <v>4255</v>
      </c>
      <c r="BL222" s="486">
        <f ca="1">M222</f>
        <v>4500</v>
      </c>
      <c r="BM222" s="472">
        <f>D222</f>
        <v>222</v>
      </c>
      <c r="BN222" s="658"/>
      <c r="BO222" s="475" t="s">
        <v>251</v>
      </c>
      <c r="BP222" s="521" t="s">
        <v>523</v>
      </c>
      <c r="CU222" s="476"/>
      <c r="CV222" s="658"/>
      <c r="CW222" s="518"/>
      <c r="CY222" s="472" t="e">
        <f t="shared" ref="CY222:DO222" ca="1" si="99">INDIRECT($CX$1&amp;CY$1&amp;$CW222)</f>
        <v>#REF!</v>
      </c>
      <c r="CZ222" s="472" t="e">
        <f t="shared" ca="1" si="99"/>
        <v>#REF!</v>
      </c>
      <c r="DA222" s="472" t="e">
        <f t="shared" ca="1" si="99"/>
        <v>#REF!</v>
      </c>
      <c r="DB222" s="472" t="e">
        <f t="shared" ca="1" si="99"/>
        <v>#REF!</v>
      </c>
      <c r="DC222" s="472" t="e">
        <f t="shared" ca="1" si="99"/>
        <v>#REF!</v>
      </c>
      <c r="DD222" s="472" t="e">
        <f t="shared" ca="1" si="99"/>
        <v>#REF!</v>
      </c>
      <c r="DE222" s="472" t="e">
        <f t="shared" ca="1" si="99"/>
        <v>#REF!</v>
      </c>
      <c r="DF222" s="472" t="e">
        <f t="shared" ca="1" si="99"/>
        <v>#REF!</v>
      </c>
      <c r="DG222" s="472" t="e">
        <f t="shared" ca="1" si="99"/>
        <v>#REF!</v>
      </c>
      <c r="DH222" s="472" t="e">
        <f t="shared" ca="1" si="99"/>
        <v>#REF!</v>
      </c>
      <c r="DI222" s="472" t="e">
        <f t="shared" ca="1" si="99"/>
        <v>#REF!</v>
      </c>
      <c r="DJ222" s="472" t="e">
        <f t="shared" ca="1" si="99"/>
        <v>#REF!</v>
      </c>
      <c r="DK222" s="472" t="e">
        <f t="shared" ca="1" si="99"/>
        <v>#REF!</v>
      </c>
      <c r="DL222" s="472" t="e">
        <f t="shared" ca="1" si="99"/>
        <v>#REF!</v>
      </c>
      <c r="DM222" s="472" t="e">
        <f t="shared" ca="1" si="99"/>
        <v>#REF!</v>
      </c>
      <c r="DN222" s="472" t="e">
        <f t="shared" ca="1" si="99"/>
        <v>#REF!</v>
      </c>
      <c r="DO222" s="472" t="e">
        <f t="shared" ca="1" si="99"/>
        <v>#REF!</v>
      </c>
      <c r="DP222" s="472"/>
      <c r="DS222" s="656"/>
      <c r="DV222" s="472"/>
      <c r="DW222" s="472"/>
      <c r="DX222" s="472"/>
      <c r="DY222" s="472"/>
      <c r="DZ222" s="472"/>
      <c r="EA222" s="472"/>
      <c r="EB222" s="472"/>
      <c r="EC222" s="472"/>
      <c r="ED222" s="472"/>
      <c r="EE222" s="472"/>
      <c r="EF222" s="472"/>
      <c r="EG222" s="472"/>
      <c r="EH222" s="472"/>
      <c r="EI222" s="472"/>
      <c r="EJ222" s="472"/>
      <c r="EK222" s="472"/>
      <c r="EV222" s="819">
        <f t="shared" si="94"/>
        <v>222</v>
      </c>
      <c r="EW222" s="819"/>
    </row>
    <row r="223" spans="1:153" s="472" customFormat="1" ht="65">
      <c r="A223" s="654" t="str">
        <f t="shared" ca="1" si="92"/>
        <v>D.1.223</v>
      </c>
      <c r="B223" s="654" t="str">
        <f t="shared" ca="1" si="93"/>
        <v>1.223</v>
      </c>
      <c r="C223" s="654" t="str">
        <f t="shared" si="98"/>
        <v>[223]</v>
      </c>
      <c r="D223" s="654">
        <f>ROW()</f>
        <v>223</v>
      </c>
      <c r="E223" s="1141" t="str">
        <f ca="1">CU223</f>
        <v>- STATUS-Ansatz: Die durchschnittlichen Vollbetriebsstundenzahl der deutschen Offshore-Windenergieanlagen im Jahr 2015 kann wegen der hohen Ausbaudynamik in diesem Jahr nicht seriös geschätzt werden.   Ersatzweise wird gemäß einer Prognose für das Jahr 2014 im Auftrag der Übertragungsnetzbetreiber [9.199], S. 106 (Trendszenario), eine Vollbetriebsstundenzahl von 4.255 h/a angenommen. Dieser Wert kann aufgrund der Betriebserfahrungen im Alpha-Ventus-Windpark (vgl. [9.39]) als plausibel angesehen werden.</v>
      </c>
      <c r="F223" s="1141"/>
      <c r="G223" s="1141"/>
      <c r="H223" s="1141"/>
      <c r="I223" s="1141"/>
      <c r="J223" s="1141"/>
      <c r="K223" s="1141"/>
      <c r="L223" s="1141"/>
      <c r="M223" s="1141"/>
      <c r="N223" s="1142"/>
      <c r="O223" s="869">
        <v>223</v>
      </c>
      <c r="P223" s="573" t="str">
        <f ca="1">HYPERLINK(EK223,EJ223)</f>
        <v>9.199</v>
      </c>
      <c r="Q223" s="828" t="str">
        <f>Y223</f>
        <v>S. 106 (Trendszenario)</v>
      </c>
      <c r="R223" s="852"/>
      <c r="S223" s="784"/>
      <c r="T223" s="864"/>
      <c r="U223" s="1023" t="str">
        <f ca="1">"Die durchschnittlichen Vollbetriebsstundenzahl der deutschen Offshore-Windenergieanlagen im Jahr 2015 kann wegen der hohen Ausbaudynamik in diesem Jahr nicht seriös geschätzt werden.  "&amp;" Ersatzweise wird gemäß einer Prognose für das Jahr 2014 im Auftrag der Übertragungsnetzbetreiber ["&amp;P223&amp;"], "&amp;Q223&amp;", eine Vollbetriebsstundenzahl von "&amp;TEXT(AD223,"0.000")&amp;AE223&amp;" angenommen. Dieser Wert kann aufgrund der Betriebserfahrungen im Alpha-Ventus-Windpark (vgl. ["&amp;'9.Quellen'!B39&amp;"]) als plausibel angesehen werden."</f>
        <v>Die durchschnittlichen Vollbetriebsstundenzahl der deutschen Offshore-Windenergieanlagen im Jahr 2015 kann wegen der hohen Ausbaudynamik in diesem Jahr nicht seriös geschätzt werden.   Ersatzweise wird gemäß einer Prognose für das Jahr 2014 im Auftrag der Übertragungsnetzbetreiber [9.199], S. 106 (Trendszenario), eine Vollbetriebsstundenzahl von 4.255 h/a angenommen. Dieser Wert kann aufgrund der Betriebserfahrungen im Alpha-Ventus-Windpark (vgl. [9.39]) als plausibel angesehen werden.</v>
      </c>
      <c r="V223" s="905" t="s">
        <v>126</v>
      </c>
      <c r="W223" s="1024">
        <f>AD223</f>
        <v>4255</v>
      </c>
      <c r="X223" s="672">
        <f>'9.Quellen'!C199</f>
        <v>199</v>
      </c>
      <c r="Y223" s="672" t="s">
        <v>900</v>
      </c>
      <c r="Z223" s="1025"/>
      <c r="AA223" s="658"/>
      <c r="AB223" s="801"/>
      <c r="AC223" s="801"/>
      <c r="AD223" s="801">
        <v>4255</v>
      </c>
      <c r="AE223" s="801" t="s">
        <v>326</v>
      </c>
      <c r="AF223" s="801"/>
      <c r="AG223" s="801"/>
      <c r="AH223" s="801"/>
      <c r="AI223" s="801"/>
      <c r="AJ223" s="801"/>
      <c r="AK223" s="826"/>
      <c r="AL223" s="826"/>
      <c r="AM223" s="827"/>
      <c r="AN223" s="826"/>
      <c r="AO223" s="826"/>
      <c r="AP223" s="801"/>
      <c r="AQ223" s="801"/>
      <c r="AR223" s="801"/>
      <c r="AS223" s="801"/>
      <c r="AT223" s="801"/>
      <c r="AU223" s="801"/>
      <c r="AV223" s="801"/>
      <c r="BF223" s="473"/>
      <c r="BI223" s="472" t="s">
        <v>126</v>
      </c>
      <c r="BJ223" s="490"/>
      <c r="BN223" s="656"/>
      <c r="BO223" s="472" t="s">
        <v>259</v>
      </c>
      <c r="CU223" s="480" t="str">
        <f ca="1">CG$1&amp;IF(U223="",BF223,U223)</f>
        <v>- STATUS-Ansatz: Die durchschnittlichen Vollbetriebsstundenzahl der deutschen Offshore-Windenergieanlagen im Jahr 2015 kann wegen der hohen Ausbaudynamik in diesem Jahr nicht seriös geschätzt werden.   Ersatzweise wird gemäß einer Prognose für das Jahr 2014 im Auftrag der Übertragungsnetzbetreiber [9.199], S. 106 (Trendszenario), eine Vollbetriebsstundenzahl von 4.255 h/a angenommen. Dieser Wert kann aufgrund der Betriebserfahrungen im Alpha-Ventus-Windpark (vgl. [9.39]) als plausibel angesehen werden.</v>
      </c>
      <c r="CV223" s="656"/>
      <c r="CW223" s="480"/>
      <c r="DS223" s="656"/>
      <c r="DT223" s="518">
        <f>I_Basisdaten!A68</f>
        <v>68</v>
      </c>
      <c r="EJ223" s="472" t="str">
        <f ca="1">IF(X223=0,"",EJ$1&amp;X223)</f>
        <v>9.199</v>
      </c>
      <c r="EK223" s="472" t="str">
        <f ca="1">EK$1&amp;X223</f>
        <v>[D_Python.xlsx]9.Quellen!C199</v>
      </c>
      <c r="EV223" s="819">
        <f t="shared" ca="1" si="94"/>
        <v>223</v>
      </c>
      <c r="EW223" s="819"/>
    </row>
    <row r="224" spans="1:153" s="478" customFormat="1" ht="4">
      <c r="A224" s="677" t="str">
        <f t="shared" ca="1" si="92"/>
        <v>D.1.224</v>
      </c>
      <c r="B224" s="677" t="str">
        <f t="shared" ca="1" si="93"/>
        <v>1.224</v>
      </c>
      <c r="C224" s="677" t="str">
        <f t="shared" si="98"/>
        <v>[224]</v>
      </c>
      <c r="D224" s="677">
        <f>ROW()</f>
        <v>224</v>
      </c>
      <c r="E224" s="528"/>
      <c r="F224" s="528"/>
      <c r="G224" s="528"/>
      <c r="H224" s="528"/>
      <c r="I224" s="527"/>
      <c r="J224" s="527"/>
      <c r="K224" s="527"/>
      <c r="L224" s="527"/>
      <c r="M224" s="527"/>
      <c r="N224" s="528"/>
      <c r="O224" s="871">
        <v>224</v>
      </c>
      <c r="P224" s="566"/>
      <c r="Q224" s="567"/>
      <c r="R224" s="888"/>
      <c r="S224" s="802"/>
      <c r="T224" s="882"/>
      <c r="U224" s="661"/>
      <c r="V224" s="661"/>
      <c r="W224" s="661"/>
      <c r="X224" s="661"/>
      <c r="Y224" s="661"/>
      <c r="Z224" s="661"/>
      <c r="AA224" s="661"/>
      <c r="AB224" s="675"/>
      <c r="AC224" s="675"/>
      <c r="AD224" s="675"/>
      <c r="AE224" s="675"/>
      <c r="AF224" s="675"/>
      <c r="AG224" s="675"/>
      <c r="AH224" s="675"/>
      <c r="AI224" s="675"/>
      <c r="AJ224" s="675"/>
      <c r="AK224" s="675"/>
      <c r="AL224" s="675"/>
      <c r="AM224" s="675"/>
      <c r="AN224" s="675"/>
      <c r="AO224" s="675"/>
      <c r="AP224" s="675"/>
      <c r="AQ224" s="675"/>
      <c r="AR224" s="675"/>
      <c r="AS224" s="675"/>
      <c r="AT224" s="675"/>
      <c r="AU224" s="675"/>
      <c r="AV224" s="675"/>
      <c r="BI224" s="478" t="s">
        <v>126</v>
      </c>
      <c r="BJ224" s="489"/>
      <c r="BN224" s="661"/>
      <c r="CU224" s="479"/>
      <c r="CV224" s="661"/>
      <c r="CW224" s="479"/>
      <c r="DS224" s="661"/>
      <c r="EV224" s="818" t="str">
        <f t="shared" si="94"/>
        <v/>
      </c>
      <c r="EW224" s="818"/>
    </row>
    <row r="225" spans="1:153" s="472" customFormat="1" ht="39">
      <c r="A225" s="654" t="str">
        <f t="shared" ca="1" si="92"/>
        <v>D.1.225</v>
      </c>
      <c r="B225" s="654" t="str">
        <f t="shared" ca="1" si="93"/>
        <v>1.225</v>
      </c>
      <c r="C225" s="654" t="str">
        <f t="shared" si="98"/>
        <v>[225]</v>
      </c>
      <c r="D225" s="654">
        <f>ROW()</f>
        <v>225</v>
      </c>
      <c r="E225" s="1125" t="str">
        <f t="shared" ref="E225" si="100">CU225</f>
        <v>- ZIEL-Ansatz: Wegen der energiewirtschaftlichen Vorteile einer geringeren Fluktuation werden hier in Anlehnung an [226] Offshore-Windenergieanlagen mit geringer Leistungsdichte angesetzt, die sich durch eine hohe Vollbetriebsstundenzahl von 4.500 h/a auszeichnen.</v>
      </c>
      <c r="F225" s="1125"/>
      <c r="G225" s="1125"/>
      <c r="H225" s="1125"/>
      <c r="I225" s="1125"/>
      <c r="J225" s="1125"/>
      <c r="K225" s="1125"/>
      <c r="L225" s="1125"/>
      <c r="M225" s="1125"/>
      <c r="N225" s="1132"/>
      <c r="O225" s="869">
        <v>225</v>
      </c>
      <c r="P225" s="573" t="str">
        <f ca="1">HYPERLINK(EK225,EJ225)</f>
        <v/>
      </c>
      <c r="Q225" s="574" t="str">
        <f>Y225</f>
        <v xml:space="preserve"> </v>
      </c>
      <c r="R225" s="852"/>
      <c r="S225" s="784"/>
      <c r="T225" s="864"/>
      <c r="U225" s="1023" t="str">
        <f>"Wegen der energiewirtschaftlichen Vorteile einer geringeren Fluktuation werden hier in Anlehnung an "&amp;C226&amp;" Offshore-Windenergieanlagen mit geringer Leistungsdichte angesetzt, die sich durch eine hohe Vollbetriebsstundenzahl von "&amp;TEXT(W225,"0.000")&amp;" h/a auszeichnen."</f>
        <v>Wegen der energiewirtschaftlichen Vorteile einer geringeren Fluktuation werden hier in Anlehnung an [226] Offshore-Windenergieanlagen mit geringer Leistungsdichte angesetzt, die sich durch eine hohe Vollbetriebsstundenzahl von 4.500 h/a auszeichnen.</v>
      </c>
      <c r="V225" s="905" t="s">
        <v>126</v>
      </c>
      <c r="W225" s="1024">
        <v>4500</v>
      </c>
      <c r="X225" s="672"/>
      <c r="Y225" s="672" t="s">
        <v>126</v>
      </c>
      <c r="Z225" s="1025"/>
      <c r="AA225" s="905"/>
      <c r="AB225" s="801"/>
      <c r="AC225" s="801"/>
      <c r="AD225" s="801"/>
      <c r="AE225" s="801"/>
      <c r="AF225" s="687"/>
      <c r="AG225" s="801"/>
      <c r="AH225" s="801"/>
      <c r="AI225" s="801"/>
      <c r="AJ225" s="801"/>
      <c r="AK225" s="801"/>
      <c r="AL225" s="801"/>
      <c r="AM225" s="801"/>
      <c r="AN225" s="801"/>
      <c r="AO225" s="801"/>
      <c r="AP225" s="801"/>
      <c r="AQ225" s="801"/>
      <c r="AR225" s="801"/>
      <c r="AS225" s="801"/>
      <c r="AT225" s="801"/>
      <c r="AU225" s="801"/>
      <c r="AV225" s="801"/>
      <c r="BF225" s="473"/>
      <c r="BI225" s="472" t="s">
        <v>126</v>
      </c>
      <c r="BJ225" s="490"/>
      <c r="BN225" s="656"/>
      <c r="BO225" s="472" t="s">
        <v>259</v>
      </c>
      <c r="CU225" s="480" t="str">
        <f>CH$1&amp;IF(U225="",BF225,U225)</f>
        <v>- ZIEL-Ansatz: Wegen der energiewirtschaftlichen Vorteile einer geringeren Fluktuation werden hier in Anlehnung an [226] Offshore-Windenergieanlagen mit geringer Leistungsdichte angesetzt, die sich durch eine hohe Vollbetriebsstundenzahl von 4.500 h/a auszeichnen.</v>
      </c>
      <c r="CV225" s="656"/>
      <c r="CW225" s="480"/>
      <c r="DS225" s="656"/>
      <c r="DT225" s="518">
        <v>53</v>
      </c>
      <c r="EJ225" s="472" t="str">
        <f>IF(X225=0,"",EJ$1&amp;X225)</f>
        <v/>
      </c>
      <c r="EK225" s="472" t="str">
        <f ca="1">EK$1&amp;X225</f>
        <v>[D_Python.xlsx]9.Quellen!C</v>
      </c>
      <c r="EV225" s="819">
        <f t="shared" si="94"/>
        <v>225</v>
      </c>
      <c r="EW225" s="819"/>
    </row>
    <row r="226" spans="1:153" s="472" customFormat="1" ht="123" customHeight="1">
      <c r="A226" s="654" t="str">
        <f t="shared" ca="1" si="92"/>
        <v>D.1.226</v>
      </c>
      <c r="B226" s="654" t="str">
        <f t="shared" ca="1" si="93"/>
        <v>1.226</v>
      </c>
      <c r="C226" s="654" t="str">
        <f t="shared" si="98"/>
        <v>[226]</v>
      </c>
      <c r="D226" s="654">
        <f>ROW()</f>
        <v>226</v>
      </c>
      <c r="E226" s="1125" t="str">
        <f ca="1">CU226</f>
        <v>"Die Potenzialgrenze der (deutschen) Offshore-Windenergie beträgt 258 TWh/a. Um diesen Strombeitrag zu erzeugen, braucht es ca. 54 GW installierte Leistung. Dieser Wert ergibt sich aus der maximal installierbaren Leistung in Nord- und Ostsee unter Berücksichtigung des Raumbedarfs gemäß dem Raumordnungsplan des Bundesamts für Schifffahrt und Hydrographie (BSH)." ( [9.117], S. 13)
Daraus resuliert eine gegenüber dem Durchschnitt einschlägiger Studien [227] relativ hohe Vollbetriebsstundenzahl von 4.778 h/a. Offensichtlich sind für die Szenarien Anlagen mit einer geringen Leistungsdichte (Generatorleistung/Rotorfläche) gewählt worden, obwohl sie wegen geringerer Energieerträge einen höheren Flächenbedarf aufweisen  (die Winspitzen über Nennlast werden nicht verwertet). Der entscheidende Vorteil liegt jeoch in einer geringeren Fluktuation verbunden mit geringeren Anforderungen an Speicherbedarf, Speicherverluste und Netze.</v>
      </c>
      <c r="F226" s="1125"/>
      <c r="G226" s="1125"/>
      <c r="H226" s="1125"/>
      <c r="I226" s="1125"/>
      <c r="J226" s="1125"/>
      <c r="K226" s="1125"/>
      <c r="L226" s="1125"/>
      <c r="M226" s="1125"/>
      <c r="N226" s="1132"/>
      <c r="O226" s="869">
        <v>226</v>
      </c>
      <c r="P226" s="573" t="str">
        <f ca="1">HYPERLINK(EK226,EJ226)</f>
        <v>9.117</v>
      </c>
      <c r="Q226" s="574" t="str">
        <f>Y226</f>
        <v>S. 13</v>
      </c>
      <c r="R226" s="852"/>
      <c r="S226" s="784"/>
      <c r="T226" s="864"/>
      <c r="U226" s="1033" t="str">
        <f ca="1">"""Die Potenzialgrenze der (deutschen) Offshore-Windenergie beträgt "&amp;AF226&amp;AG226&amp;". Um diesen Strombeitrag zu erzeugen, braucht es ca. "&amp;AD226&amp;AE226&amp;" installierte Leistung. Dieser Wert ergibt sich aus der maximal installierbaren Leistung in Nord- und Ostsee unter Berücksichtigung des Raumbedarfs gemäß dem Raumordnungsplan des Bundesamts für Schifffahrt und Hydrographie (BSH)."" ("&amp;'9.Quellen'!E116&amp;" ["&amp;'1.'!P226&amp;"], "&amp;'1.'!Q226&amp;")
Daraus resuliert eine gegenüber dem Durchschnitt einschlägiger Studien "&amp;C227&amp;" relativ hohe Vollbetriebsstundenzahl von "&amp;TEXT(W226,"0.000")&amp;AI226&amp;". Offensichtlich sind für die Szenarien Anlagen mit einer geringen Leistungsdichte (Generatorleistung/Rotorfläche) gewählt worden, "&amp;"obwohl sie wegen geringerer Energieerträge einen höheren Flächenbedarf aufweisen  (die Winspitzen über Nennlast werden nicht verwertet). "&amp;"Der entscheidende Vorteil liegt jeoch in einer geringeren Fluktuation verbunden mit geringeren Anforderungen an Speicherbedarf, Speicherverluste und Netze."</f>
        <v>"Die Potenzialgrenze der (deutschen) Offshore-Windenergie beträgt 258 TWh/a. Um diesen Strombeitrag zu erzeugen, braucht es ca. 54 GW installierte Leistung. Dieser Wert ergibt sich aus der maximal installierbaren Leistung in Nord- und Ostsee unter Berücksichtigung des Raumbedarfs gemäß dem Raumordnungsplan des Bundesamts für Schifffahrt und Hydrographie (BSH)." ( [9.117], S. 13)
Daraus resuliert eine gegenüber dem Durchschnitt einschlägiger Studien [227] relativ hohe Vollbetriebsstundenzahl von 4.778 h/a. Offensichtlich sind für die Szenarien Anlagen mit einer geringen Leistungsdichte (Generatorleistung/Rotorfläche) gewählt worden, obwohl sie wegen geringerer Energieerträge einen höheren Flächenbedarf aufweisen  (die Winspitzen über Nennlast werden nicht verwertet). Der entscheidende Vorteil liegt jeoch in einer geringeren Fluktuation verbunden mit geringeren Anforderungen an Speicherbedarf, Speicherverluste und Netze.</v>
      </c>
      <c r="V226" s="905" t="s">
        <v>126</v>
      </c>
      <c r="W226" s="1024">
        <f>AH226</f>
        <v>4777.7777777777774</v>
      </c>
      <c r="X226" s="672">
        <f>'9.Quellen'!C117</f>
        <v>117</v>
      </c>
      <c r="Y226" s="672" t="s">
        <v>336</v>
      </c>
      <c r="Z226" s="1025"/>
      <c r="AA226" s="905"/>
      <c r="AB226" s="801"/>
      <c r="AC226" s="801"/>
      <c r="AD226" s="801">
        <v>54</v>
      </c>
      <c r="AE226" s="801" t="s">
        <v>341</v>
      </c>
      <c r="AF226" s="801">
        <v>258</v>
      </c>
      <c r="AG226" s="801" t="s">
        <v>354</v>
      </c>
      <c r="AH226" s="801">
        <f>AF226*1000/AD226</f>
        <v>4777.7777777777774</v>
      </c>
      <c r="AI226" s="801" t="s">
        <v>326</v>
      </c>
      <c r="AJ226" s="801"/>
      <c r="AK226" s="687"/>
      <c r="AL226" s="801"/>
      <c r="AM226" s="801"/>
      <c r="AN226" s="801"/>
      <c r="AO226" s="801"/>
      <c r="AP226" s="801"/>
      <c r="AQ226" s="801"/>
      <c r="AR226" s="801"/>
      <c r="AS226" s="801"/>
      <c r="AT226" s="801"/>
      <c r="AU226" s="801"/>
      <c r="AV226" s="801"/>
      <c r="BF226" s="473"/>
      <c r="BI226" s="472" t="s">
        <v>126</v>
      </c>
      <c r="BJ226" s="490"/>
      <c r="BN226" s="656"/>
      <c r="BO226" s="472" t="s">
        <v>252</v>
      </c>
      <c r="CU226" s="480" t="str">
        <f ca="1">IF(U226="",BF226,U226)</f>
        <v>"Die Potenzialgrenze der (deutschen) Offshore-Windenergie beträgt 258 TWh/a. Um diesen Strombeitrag zu erzeugen, braucht es ca. 54 GW installierte Leistung. Dieser Wert ergibt sich aus der maximal installierbaren Leistung in Nord- und Ostsee unter Berücksichtigung des Raumbedarfs gemäß dem Raumordnungsplan des Bundesamts für Schifffahrt und Hydrographie (BSH)." ( [9.117], S. 13)
Daraus resuliert eine gegenüber dem Durchschnitt einschlägiger Studien [227] relativ hohe Vollbetriebsstundenzahl von 4.778 h/a. Offensichtlich sind für die Szenarien Anlagen mit einer geringen Leistungsdichte (Generatorleistung/Rotorfläche) gewählt worden, obwohl sie wegen geringerer Energieerträge einen höheren Flächenbedarf aufweisen  (die Winspitzen über Nennlast werden nicht verwertet). Der entscheidende Vorteil liegt jeoch in einer geringeren Fluktuation verbunden mit geringeren Anforderungen an Speicherbedarf, Speicherverluste und Netze.</v>
      </c>
      <c r="CV226" s="656"/>
      <c r="CW226" s="480"/>
      <c r="DS226" s="656"/>
      <c r="DT226" s="518"/>
      <c r="EJ226" s="472" t="str">
        <f ca="1">IF(X226=0,"",EJ$1&amp;X226)</f>
        <v>9.117</v>
      </c>
      <c r="EK226" s="472" t="str">
        <f ca="1">EK$1&amp;X226</f>
        <v>[D_Python.xlsx]9.Quellen!C117</v>
      </c>
      <c r="EV226" s="819">
        <f t="shared" ca="1" si="94"/>
        <v>226</v>
      </c>
      <c r="EW226" s="819"/>
    </row>
    <row r="227" spans="1:153" s="472" customFormat="1" ht="52">
      <c r="A227" s="654" t="str">
        <f t="shared" ca="1" si="92"/>
        <v>D.1.227</v>
      </c>
      <c r="B227" s="654" t="str">
        <f t="shared" ca="1" si="93"/>
        <v>1.227</v>
      </c>
      <c r="C227" s="654" t="str">
        <f t="shared" si="98"/>
        <v>[227]</v>
      </c>
      <c r="D227" s="654">
        <f>ROW()</f>
        <v>227</v>
      </c>
      <c r="E227" s="1125" t="str">
        <f>CU227</f>
        <v>Nach einem Studienvergleich der AEE zur Entwicklung der Volllaststunden im Kraftwerksbereich wird die deutsche Offshore-Windenergie für die Jahre 2040/2050 auf durchschnittlich etwa 3800 h/a eingeschätzt. Von insgesamt 13 Studienergebnissen liegen 7 nahe bei diesem Wert, 5 deutlich darunter (Minimum 3.500) und ein einziger (4.250) darüber.</v>
      </c>
      <c r="F227" s="1125"/>
      <c r="G227" s="1125"/>
      <c r="H227" s="1125"/>
      <c r="I227" s="1125"/>
      <c r="J227" s="1125"/>
      <c r="K227" s="1125"/>
      <c r="L227" s="1125"/>
      <c r="M227" s="1125"/>
      <c r="N227" s="1132"/>
      <c r="O227" s="869">
        <v>227</v>
      </c>
      <c r="P227" s="573" t="str">
        <f ca="1">HYPERLINK(EK227,EJ227)</f>
        <v>9.25</v>
      </c>
      <c r="Q227" s="574" t="str">
        <f>Y227</f>
        <v>S. 3</v>
      </c>
      <c r="R227" s="852"/>
      <c r="S227" s="784"/>
      <c r="T227" s="864"/>
      <c r="U227" s="1033" t="str">
        <f>"Nach einem Studienvergleich der AEE zur Entwicklung der Volllaststunden im Kraftwerksbereich wird die deutsche Offshore-Windenergie für die Jahre 2040/2050 auf durchschnittlich etwa "&amp;W227&amp;" h/a eingeschätzt. Von insgesamt 13 Studienergebnissen liegen 7 nahe bei diesem Wert, 5 deutlich darunter (Minimum 3.500) und ein einziger (4.250) darüber."</f>
        <v>Nach einem Studienvergleich der AEE zur Entwicklung der Volllaststunden im Kraftwerksbereich wird die deutsche Offshore-Windenergie für die Jahre 2040/2050 auf durchschnittlich etwa 3800 h/a eingeschätzt. Von insgesamt 13 Studienergebnissen liegen 7 nahe bei diesem Wert, 5 deutlich darunter (Minimum 3.500) und ein einziger (4.250) darüber.</v>
      </c>
      <c r="V227" s="905" t="s">
        <v>126</v>
      </c>
      <c r="W227" s="1024">
        <v>3800</v>
      </c>
      <c r="X227" s="672">
        <f>'9.Quellen'!C25</f>
        <v>25</v>
      </c>
      <c r="Y227" s="672" t="s">
        <v>337</v>
      </c>
      <c r="Z227" s="1025"/>
      <c r="AA227" s="905"/>
      <c r="AB227" s="801"/>
      <c r="AC227" s="801"/>
      <c r="AD227" s="801"/>
      <c r="AE227" s="801"/>
      <c r="AF227" s="801"/>
      <c r="AG227" s="801"/>
      <c r="AH227" s="801"/>
      <c r="AI227" s="801"/>
      <c r="AJ227" s="801"/>
      <c r="AK227" s="687"/>
      <c r="AL227" s="801"/>
      <c r="AM227" s="801"/>
      <c r="AN227" s="801"/>
      <c r="AO227" s="801"/>
      <c r="AP227" s="801"/>
      <c r="AQ227" s="801"/>
      <c r="AR227" s="801"/>
      <c r="AS227" s="801"/>
      <c r="AT227" s="801"/>
      <c r="AU227" s="801"/>
      <c r="AV227" s="801"/>
      <c r="BF227" s="473"/>
      <c r="BI227" s="472" t="s">
        <v>126</v>
      </c>
      <c r="BJ227" s="490"/>
      <c r="BN227" s="656"/>
      <c r="BO227" s="472" t="s">
        <v>252</v>
      </c>
      <c r="CU227" s="480" t="str">
        <f>IF(U227="",BF227,U227)</f>
        <v>Nach einem Studienvergleich der AEE zur Entwicklung der Volllaststunden im Kraftwerksbereich wird die deutsche Offshore-Windenergie für die Jahre 2040/2050 auf durchschnittlich etwa 3800 h/a eingeschätzt. Von insgesamt 13 Studienergebnissen liegen 7 nahe bei diesem Wert, 5 deutlich darunter (Minimum 3.500) und ein einziger (4.250) darüber.</v>
      </c>
      <c r="CV227" s="656"/>
      <c r="CW227" s="480"/>
      <c r="DS227" s="656"/>
      <c r="DT227" s="518"/>
      <c r="EJ227" s="472" t="str">
        <f ca="1">IF(X227=0,"",EJ$1&amp;X227)</f>
        <v>9.25</v>
      </c>
      <c r="EK227" s="472" t="str">
        <f ca="1">EK$1&amp;X227</f>
        <v>[D_Python.xlsx]9.Quellen!C25</v>
      </c>
      <c r="EV227" s="819">
        <f t="shared" si="94"/>
        <v>227</v>
      </c>
      <c r="EW227" s="819"/>
    </row>
    <row r="228" spans="1:153" s="528" customFormat="1" ht="4">
      <c r="A228" s="540" t="str">
        <f t="shared" ca="1" si="92"/>
        <v>D.1.228</v>
      </c>
      <c r="B228" s="540" t="str">
        <f t="shared" ca="1" si="93"/>
        <v>1.228</v>
      </c>
      <c r="C228" s="540" t="str">
        <f t="shared" si="98"/>
        <v>[228]</v>
      </c>
      <c r="D228" s="540">
        <f>ROW()</f>
        <v>228</v>
      </c>
      <c r="I228" s="527"/>
      <c r="J228" s="527"/>
      <c r="K228" s="527"/>
      <c r="L228" s="527"/>
      <c r="M228" s="527"/>
      <c r="O228" s="870">
        <v>228</v>
      </c>
      <c r="P228" s="566"/>
      <c r="Q228" s="567"/>
      <c r="R228" s="889"/>
      <c r="S228" s="802"/>
      <c r="T228" s="883"/>
      <c r="U228" s="661"/>
      <c r="V228" s="661"/>
      <c r="W228" s="661"/>
      <c r="X228" s="661"/>
      <c r="Y228" s="661"/>
      <c r="Z228" s="661"/>
      <c r="AA228" s="661"/>
      <c r="AB228" s="675"/>
      <c r="AC228" s="675"/>
      <c r="AD228" s="675"/>
      <c r="AE228" s="675"/>
      <c r="AF228" s="675"/>
      <c r="AG228" s="675"/>
      <c r="AH228" s="675"/>
      <c r="AI228" s="675"/>
      <c r="AJ228" s="675"/>
      <c r="AK228" s="675"/>
      <c r="AL228" s="675"/>
      <c r="AM228" s="675"/>
      <c r="AN228" s="675"/>
      <c r="AO228" s="675"/>
      <c r="AP228" s="675"/>
      <c r="AQ228" s="675"/>
      <c r="AR228" s="675"/>
      <c r="AS228" s="675"/>
      <c r="AT228" s="675"/>
      <c r="AU228" s="675"/>
      <c r="AV228" s="675"/>
      <c r="AZ228" s="541"/>
      <c r="BB228" s="541"/>
      <c r="BI228" s="528" t="s">
        <v>126</v>
      </c>
      <c r="BJ228" s="542"/>
      <c r="BN228" s="680"/>
      <c r="CU228" s="543"/>
      <c r="CV228" s="680"/>
      <c r="CW228" s="543"/>
      <c r="DS228" s="680"/>
      <c r="EV228" s="820" t="str">
        <f t="shared" si="94"/>
        <v/>
      </c>
      <c r="EW228" s="820"/>
    </row>
    <row r="229" spans="1:153" s="472" customFormat="1" ht="13">
      <c r="A229" s="654" t="str">
        <f t="shared" ca="1" si="92"/>
        <v>D.1.229</v>
      </c>
      <c r="B229" s="654" t="str">
        <f t="shared" ca="1" si="93"/>
        <v>1.229</v>
      </c>
      <c r="C229" s="654" t="str">
        <f t="shared" si="98"/>
        <v>[229]</v>
      </c>
      <c r="D229" s="654">
        <f>ROW()</f>
        <v>229</v>
      </c>
      <c r="E229" s="481" t="str">
        <f>BP229</f>
        <v>Wasserkraft (ohne Pumpspeicher)</v>
      </c>
      <c r="F229" s="482"/>
      <c r="G229" s="482"/>
      <c r="H229" s="482"/>
      <c r="I229" s="483"/>
      <c r="J229" s="484"/>
      <c r="K229" s="484"/>
      <c r="L229" s="484"/>
      <c r="M229" s="484"/>
      <c r="N229" s="532"/>
      <c r="O229" s="869">
        <v>229</v>
      </c>
      <c r="P229" s="568"/>
      <c r="Q229" s="569"/>
      <c r="R229" s="852"/>
      <c r="S229" s="804"/>
      <c r="T229" s="864"/>
      <c r="U229" s="905"/>
      <c r="V229" s="905"/>
      <c r="W229" s="905"/>
      <c r="X229" s="905"/>
      <c r="Y229" s="905"/>
      <c r="Z229" s="905"/>
      <c r="AA229" s="905"/>
      <c r="AB229" s="801"/>
      <c r="AC229" s="801"/>
      <c r="AD229" s="801"/>
      <c r="AE229" s="801"/>
      <c r="AF229" s="801"/>
      <c r="AG229" s="801"/>
      <c r="AH229" s="801"/>
      <c r="AI229" s="801"/>
      <c r="AJ229" s="801"/>
      <c r="AK229" s="801"/>
      <c r="AL229" s="801"/>
      <c r="AM229" s="801"/>
      <c r="AN229" s="801"/>
      <c r="AO229" s="801"/>
      <c r="AP229" s="801"/>
      <c r="AQ229" s="801"/>
      <c r="AR229" s="801"/>
      <c r="AS229" s="801"/>
      <c r="AT229" s="801"/>
      <c r="AU229" s="801"/>
      <c r="AV229" s="801"/>
      <c r="AZ229" s="504"/>
      <c r="BB229" s="506"/>
      <c r="BI229" s="472" t="s">
        <v>126</v>
      </c>
      <c r="BJ229" s="490"/>
      <c r="BN229" s="656"/>
      <c r="BO229" s="472" t="s">
        <v>250</v>
      </c>
      <c r="BP229" s="518" t="s">
        <v>281</v>
      </c>
      <c r="CU229" s="480"/>
      <c r="CV229" s="656"/>
      <c r="CW229" s="480"/>
      <c r="DS229" s="656"/>
      <c r="EV229" s="819">
        <f t="shared" si="94"/>
        <v>229</v>
      </c>
      <c r="EW229" s="819"/>
    </row>
    <row r="230" spans="1:153" s="478" customFormat="1" ht="4">
      <c r="A230" s="677" t="str">
        <f t="shared" ca="1" si="92"/>
        <v>D.1.230</v>
      </c>
      <c r="B230" s="677" t="str">
        <f t="shared" ca="1" si="93"/>
        <v>1.230</v>
      </c>
      <c r="C230" s="677" t="str">
        <f t="shared" si="98"/>
        <v>[230]</v>
      </c>
      <c r="D230" s="677">
        <f>ROW()</f>
        <v>230</v>
      </c>
      <c r="E230" s="528"/>
      <c r="F230" s="528"/>
      <c r="G230" s="528"/>
      <c r="H230" s="528"/>
      <c r="I230" s="527"/>
      <c r="J230" s="527"/>
      <c r="K230" s="527"/>
      <c r="L230" s="527"/>
      <c r="M230" s="527"/>
      <c r="N230" s="528"/>
      <c r="O230" s="871">
        <v>230</v>
      </c>
      <c r="P230" s="566"/>
      <c r="Q230" s="567"/>
      <c r="R230" s="888"/>
      <c r="S230" s="802"/>
      <c r="T230" s="882"/>
      <c r="U230" s="661"/>
      <c r="V230" s="661"/>
      <c r="W230" s="661"/>
      <c r="X230" s="661"/>
      <c r="Y230" s="661"/>
      <c r="Z230" s="661"/>
      <c r="AA230" s="661"/>
      <c r="AB230" s="675"/>
      <c r="AC230" s="675"/>
      <c r="AD230" s="675"/>
      <c r="AE230" s="675"/>
      <c r="AF230" s="675"/>
      <c r="AG230" s="675"/>
      <c r="AH230" s="675"/>
      <c r="AI230" s="675"/>
      <c r="AJ230" s="675"/>
      <c r="AK230" s="675"/>
      <c r="AL230" s="675"/>
      <c r="AM230" s="675"/>
      <c r="AN230" s="675"/>
      <c r="AO230" s="675"/>
      <c r="AP230" s="675"/>
      <c r="AQ230" s="675"/>
      <c r="AR230" s="675"/>
      <c r="AS230" s="675"/>
      <c r="AT230" s="675"/>
      <c r="AU230" s="675"/>
      <c r="AV230" s="675"/>
      <c r="AZ230" s="505"/>
      <c r="BB230" s="505"/>
      <c r="BI230" s="478" t="s">
        <v>126</v>
      </c>
      <c r="BJ230" s="489"/>
      <c r="BN230" s="661"/>
      <c r="CU230" s="479"/>
      <c r="CV230" s="661"/>
      <c r="CW230" s="479"/>
      <c r="DS230" s="661"/>
      <c r="EV230" s="818" t="str">
        <f t="shared" si="94"/>
        <v/>
      </c>
      <c r="EW230" s="818"/>
    </row>
    <row r="231" spans="1:153" s="475" customFormat="1" ht="13.5" customHeight="1">
      <c r="A231" s="654" t="str">
        <f t="shared" ca="1" si="92"/>
        <v>D.1.231</v>
      </c>
      <c r="B231" s="654" t="str">
        <f t="shared" ca="1" si="93"/>
        <v>1.231</v>
      </c>
      <c r="C231" s="654" t="str">
        <f t="shared" si="98"/>
        <v>[231]</v>
      </c>
      <c r="D231" s="654">
        <f>ROW()</f>
        <v>231</v>
      </c>
      <c r="E231" s="1129" t="str">
        <f>BP231</f>
        <v>Nutzanteil am technische Potenzial</v>
      </c>
      <c r="F231" s="1129"/>
      <c r="G231" s="1129"/>
      <c r="H231" s="1129"/>
      <c r="I231" s="1129"/>
      <c r="J231" s="471" t="s">
        <v>38</v>
      </c>
      <c r="K231" s="557">
        <f ca="1">INDIRECT($W$1&amp;U231)</f>
        <v>81.894264652274302</v>
      </c>
      <c r="L231" s="485" t="str">
        <f ca="1">HYPERLINK($CK$1&amp;U231,$CE$1&amp;U231&amp;$CF$1)</f>
        <v>[232]</v>
      </c>
      <c r="M231" s="558">
        <f ca="1">INDIRECT($W$1&amp;W231)</f>
        <v>81.894264652274302</v>
      </c>
      <c r="N231" s="533" t="str">
        <f ca="1">HYPERLINK($CK$1&amp;W231,$CE$1&amp;W231&amp;$CF$1)</f>
        <v>[234]</v>
      </c>
      <c r="O231" s="869">
        <v>231</v>
      </c>
      <c r="P231" s="570"/>
      <c r="Q231" s="583"/>
      <c r="R231" s="852"/>
      <c r="S231" s="784"/>
      <c r="T231" s="864"/>
      <c r="U231" s="672">
        <f>D232</f>
        <v>232</v>
      </c>
      <c r="V231" s="905" t="s">
        <v>126</v>
      </c>
      <c r="W231" s="672">
        <f>D234</f>
        <v>234</v>
      </c>
      <c r="X231" s="658"/>
      <c r="Y231" s="658"/>
      <c r="Z231" s="658"/>
      <c r="AA231" s="658"/>
      <c r="AB231" s="801"/>
      <c r="AC231" s="801"/>
      <c r="AD231" s="674"/>
      <c r="AE231" s="674"/>
      <c r="AF231" s="674"/>
      <c r="AG231" s="674"/>
      <c r="AH231" s="674"/>
      <c r="AI231" s="674"/>
      <c r="AJ231" s="674"/>
      <c r="AK231" s="674"/>
      <c r="AL231" s="674"/>
      <c r="AM231" s="674"/>
      <c r="AN231" s="674"/>
      <c r="AO231" s="674"/>
      <c r="AP231" s="674"/>
      <c r="AQ231" s="674"/>
      <c r="AR231" s="674"/>
      <c r="AS231" s="674"/>
      <c r="AT231" s="674"/>
      <c r="AU231" s="674"/>
      <c r="AV231" s="674"/>
      <c r="AX231" s="475" t="s">
        <v>244</v>
      </c>
      <c r="AY231" s="500">
        <f ca="1">DA231</f>
        <v>60.857142857142854</v>
      </c>
      <c r="AZ231" s="508" t="str">
        <f ca="1">HYPERLINK(DN231,DC231)</f>
        <v xml:space="preserve"> 199</v>
      </c>
      <c r="BA231" s="500">
        <f ca="1">DB231</f>
        <v>60.857142857142854</v>
      </c>
      <c r="BB231" s="508" t="str">
        <f ca="1">HYPERLINK(DO231,DD231)</f>
        <v xml:space="preserve"> 200</v>
      </c>
      <c r="BC231" s="475" t="str">
        <f ca="1">CY231&amp;" | "&amp;CZ231</f>
        <v>Wasser-
Kraftwerk | 1. Nutz-Anteil Wasserkraft = Nutzungsgrad des technischen Potenzials</v>
      </c>
      <c r="BI231" s="475" t="s">
        <v>126</v>
      </c>
      <c r="BJ231" s="492" t="str">
        <f>E231</f>
        <v>Nutzanteil am technische Potenzial</v>
      </c>
      <c r="BK231" s="486">
        <f ca="1">K231</f>
        <v>81.894264652274302</v>
      </c>
      <c r="BL231" s="486">
        <f ca="1">M231</f>
        <v>81.894264652274302</v>
      </c>
      <c r="BM231" s="472">
        <f>D231</f>
        <v>231</v>
      </c>
      <c r="BN231" s="658"/>
      <c r="BO231" s="475" t="s">
        <v>251</v>
      </c>
      <c r="BP231" s="521" t="s">
        <v>283</v>
      </c>
      <c r="CU231" s="476"/>
      <c r="CV231" s="658"/>
      <c r="CW231" s="518">
        <v>50</v>
      </c>
      <c r="CY231" s="472" t="str">
        <f t="shared" ref="CY231:DO231" ca="1" si="101">INDIRECT($CX$1&amp;CY$1&amp;$CW231)</f>
        <v>Wasser-
Kraftwerk</v>
      </c>
      <c r="CZ231" s="472" t="str">
        <f t="shared" ca="1" si="101"/>
        <v>1. Nutz-Anteil Wasserkraft = Nutzungsgrad des technischen Potenzials</v>
      </c>
      <c r="DA231" s="472">
        <f t="shared" ca="1" si="101"/>
        <v>60.857142857142854</v>
      </c>
      <c r="DB231" s="472">
        <f t="shared" ca="1" si="101"/>
        <v>60.857142857142854</v>
      </c>
      <c r="DC231" s="472" t="str">
        <f t="shared" ca="1" si="101"/>
        <v xml:space="preserve"> 199</v>
      </c>
      <c r="DD231" s="472" t="str">
        <f t="shared" ca="1" si="101"/>
        <v xml:space="preserve"> 200</v>
      </c>
      <c r="DE231" s="472" t="str">
        <f t="shared" ca="1" si="101"/>
        <v xml:space="preserve">Wa19 </v>
      </c>
      <c r="DF231" s="472" t="str">
        <f t="shared" ca="1" si="101"/>
        <v xml:space="preserve">Wa20 </v>
      </c>
      <c r="DG231" s="472" t="str">
        <f t="shared" ca="1" si="101"/>
        <v>Wa</v>
      </c>
      <c r="DH231" s="472" t="str">
        <f t="shared" ca="1" si="101"/>
        <v xml:space="preserve">19 </v>
      </c>
      <c r="DI231" s="472" t="str">
        <f t="shared" ca="1" si="101"/>
        <v>[Wa.xls]TEXT!Z19 S5</v>
      </c>
      <c r="DJ231" s="472" t="str">
        <f t="shared" ca="1" si="101"/>
        <v>Wa</v>
      </c>
      <c r="DK231" s="472" t="str">
        <f t="shared" ca="1" si="101"/>
        <v xml:space="preserve">20 </v>
      </c>
      <c r="DL231" s="472" t="str">
        <f t="shared" ca="1" si="101"/>
        <v>[Wa.xls]TEXT!Z20 S5</v>
      </c>
      <c r="DM231" s="472">
        <f t="shared" ca="1" si="101"/>
        <v>50</v>
      </c>
      <c r="DN231" s="472" t="str">
        <f t="shared" ca="1" si="101"/>
        <v>[Region.xls]PARAMETER!Z199S6</v>
      </c>
      <c r="DO231" s="472" t="str">
        <f t="shared" ca="1" si="101"/>
        <v>[Region.xls]PARAMETER!Z200S6</v>
      </c>
      <c r="DP231" s="472"/>
      <c r="DS231" s="656"/>
      <c r="DV231" s="472"/>
      <c r="DW231" s="472"/>
      <c r="DX231" s="472"/>
      <c r="DY231" s="472"/>
      <c r="DZ231" s="472"/>
      <c r="EA231" s="472"/>
      <c r="EB231" s="472"/>
      <c r="EC231" s="472"/>
      <c r="ED231" s="472"/>
      <c r="EE231" s="472"/>
      <c r="EF231" s="472"/>
      <c r="EG231" s="472"/>
      <c r="EH231" s="472"/>
      <c r="EI231" s="472"/>
      <c r="EJ231" s="472"/>
      <c r="EK231" s="472"/>
      <c r="EV231" s="819">
        <f t="shared" si="94"/>
        <v>231</v>
      </c>
      <c r="EW231" s="819"/>
    </row>
    <row r="232" spans="1:153" s="472" customFormat="1" ht="39">
      <c r="A232" s="654" t="str">
        <f t="shared" ca="1" si="92"/>
        <v>D.1.232</v>
      </c>
      <c r="B232" s="654" t="str">
        <f t="shared" ca="1" si="93"/>
        <v>1.232</v>
      </c>
      <c r="C232" s="654" t="str">
        <f t="shared" si="98"/>
        <v>[232]</v>
      </c>
      <c r="D232" s="654">
        <f>ROW()</f>
        <v>232</v>
      </c>
      <c r="E232" s="1130" t="str">
        <f ca="1">CU232</f>
        <v xml:space="preserve">- STATUS-Ansatz: Die Stromerzeugung aus Wasserkraft in Deutschland lag gemäß AEE [9.19], Zeile 12, im Jahresdurchschnitt 2008 bis 2015 bei 20219 GWh/a (20953, 17671, 22091, 22998, 19587). In Bezug zu 24689 GWh/a technischem Arbeitsvermögen [238] ist das technische Potenzial damit zu 81,9 % genutzt. </v>
      </c>
      <c r="F232" s="1130"/>
      <c r="G232" s="1130"/>
      <c r="H232" s="1130"/>
      <c r="I232" s="1130"/>
      <c r="J232" s="1130"/>
      <c r="K232" s="1130"/>
      <c r="L232" s="1130"/>
      <c r="M232" s="1130"/>
      <c r="N232" s="1131"/>
      <c r="O232" s="869">
        <v>232</v>
      </c>
      <c r="P232" s="573" t="str">
        <f ca="1">HYPERLINK(EK232,EJ232)</f>
        <v>9.19</v>
      </c>
      <c r="Q232" s="574" t="str">
        <f>Y232</f>
        <v>Zeile 12</v>
      </c>
      <c r="R232" s="852"/>
      <c r="S232" s="784"/>
      <c r="T232" s="864"/>
      <c r="U232" s="1023" t="str">
        <f ca="1">"Die Stromerzeugung aus Wasserkraft in Deutschland lag gemäß "&amp;'9.Quellen'!E19&amp;" ["&amp;P232&amp;"], "&amp;Q232&amp;", im Jahresdurchschnitt 2008 bis 2015 bei "&amp;TEXT(AH232,"0")&amp;" GWh/a ("&amp;AL232&amp;", "&amp;AM232&amp;", "&amp;AN232&amp;", "&amp;AO232&amp;", "&amp;AP232&amp;"). In Bezug zu "&amp;AF232&amp;AG232&amp;" technischem Arbeitsvermögen "&amp;C238&amp;" ist das technische Potenzial damit zu "&amp;TEXT(AR232,"0,0")&amp;" % genutzt. "</f>
        <v xml:space="preserve">Die Stromerzeugung aus Wasserkraft in Deutschland lag gemäß AEE [9.19], Zeile 12, im Jahresdurchschnitt 2008 bis 2015 bei 20219 GWh/a (20953, 17671, 22091, 22998, 19587). In Bezug zu 24689 GWh/a technischem Arbeitsvermögen [238] ist das technische Potenzial damit zu 81,9 % genutzt. </v>
      </c>
      <c r="V232" s="905" t="s">
        <v>126</v>
      </c>
      <c r="W232" s="1034">
        <f>AR232</f>
        <v>81.894264652274302</v>
      </c>
      <c r="X232" s="672">
        <f>'9.Quellen'!C19</f>
        <v>19</v>
      </c>
      <c r="Y232" s="672" t="s">
        <v>1001</v>
      </c>
      <c r="Z232" s="1025"/>
      <c r="AA232" s="658"/>
      <c r="AB232" s="801"/>
      <c r="AC232" s="801"/>
      <c r="AD232" s="801"/>
      <c r="AE232" s="801"/>
      <c r="AF232" s="801">
        <f>AD238</f>
        <v>24689</v>
      </c>
      <c r="AG232" s="801" t="s">
        <v>288</v>
      </c>
      <c r="AH232" s="801">
        <f>SUM(AJ232:AQ232)/COUNTA(AJ232:AQ232)</f>
        <v>20218.875</v>
      </c>
      <c r="AI232" s="860" t="s">
        <v>1002</v>
      </c>
      <c r="AJ232" s="801">
        <v>20443</v>
      </c>
      <c r="AK232" s="801">
        <v>19031</v>
      </c>
      <c r="AL232" s="801">
        <v>20953</v>
      </c>
      <c r="AM232" s="801">
        <v>17671</v>
      </c>
      <c r="AN232" s="801">
        <v>22091</v>
      </c>
      <c r="AO232" s="801">
        <v>22998</v>
      </c>
      <c r="AP232" s="801">
        <v>19587</v>
      </c>
      <c r="AQ232" s="801">
        <v>18977</v>
      </c>
      <c r="AR232" s="801">
        <f>AH232/AF232%</f>
        <v>81.894264652274302</v>
      </c>
      <c r="AS232" s="801"/>
      <c r="AT232" s="801"/>
      <c r="AU232" s="801"/>
      <c r="AV232" s="801" t="s">
        <v>38</v>
      </c>
      <c r="BF232" s="473"/>
      <c r="BI232" s="472" t="s">
        <v>126</v>
      </c>
      <c r="BJ232" s="490"/>
      <c r="BN232" s="656"/>
      <c r="BO232" s="472" t="s">
        <v>259</v>
      </c>
      <c r="CU232" s="480" t="str">
        <f ca="1">CG$1&amp;IF(U232="",BF232,U232)</f>
        <v xml:space="preserve">- STATUS-Ansatz: Die Stromerzeugung aus Wasserkraft in Deutschland lag gemäß AEE [9.19], Zeile 12, im Jahresdurchschnitt 2008 bis 2015 bei 20219 GWh/a (20953, 17671, 22091, 22998, 19587). In Bezug zu 24689 GWh/a technischem Arbeitsvermögen [238] ist das technische Potenzial damit zu 81,9 % genutzt. </v>
      </c>
      <c r="CV232" s="656"/>
      <c r="CW232" s="480"/>
      <c r="DS232" s="656"/>
      <c r="DT232" s="518">
        <f>I_Basisdaten!A111</f>
        <v>111</v>
      </c>
      <c r="EJ232" s="472" t="str">
        <f ca="1">IF(X232=0,"",EJ$1&amp;X232)</f>
        <v>9.19</v>
      </c>
      <c r="EK232" s="472" t="str">
        <f ca="1">EK$1&amp;X232</f>
        <v>[D_Python.xlsx]9.Quellen!C19</v>
      </c>
      <c r="EV232" s="819">
        <f t="shared" ca="1" si="94"/>
        <v>232</v>
      </c>
      <c r="EW232" s="819"/>
    </row>
    <row r="233" spans="1:153" s="478" customFormat="1" ht="4">
      <c r="A233" s="677" t="str">
        <f t="shared" ca="1" si="92"/>
        <v>D.1.233</v>
      </c>
      <c r="B233" s="677" t="str">
        <f t="shared" ca="1" si="93"/>
        <v>1.233</v>
      </c>
      <c r="C233" s="677" t="str">
        <f t="shared" si="98"/>
        <v>[233]</v>
      </c>
      <c r="D233" s="677">
        <f>ROW()</f>
        <v>233</v>
      </c>
      <c r="E233" s="528"/>
      <c r="F233" s="528"/>
      <c r="G233" s="528"/>
      <c r="H233" s="528"/>
      <c r="I233" s="527"/>
      <c r="J233" s="527"/>
      <c r="K233" s="527"/>
      <c r="L233" s="527"/>
      <c r="M233" s="527"/>
      <c r="N233" s="528"/>
      <c r="O233" s="871">
        <v>233</v>
      </c>
      <c r="P233" s="566"/>
      <c r="Q233" s="567"/>
      <c r="R233" s="888"/>
      <c r="S233" s="802"/>
      <c r="T233" s="882"/>
      <c r="U233" s="661"/>
      <c r="V233" s="661"/>
      <c r="W233" s="661"/>
      <c r="X233" s="661"/>
      <c r="Y233" s="661"/>
      <c r="Z233" s="661"/>
      <c r="AA233" s="661"/>
      <c r="AB233" s="675"/>
      <c r="AC233" s="675"/>
      <c r="AD233" s="675"/>
      <c r="AE233" s="675"/>
      <c r="AF233" s="675"/>
      <c r="AG233" s="675"/>
      <c r="AH233" s="675"/>
      <c r="AI233" s="675"/>
      <c r="AJ233" s="675"/>
      <c r="AK233" s="675"/>
      <c r="AL233" s="675"/>
      <c r="AM233" s="675"/>
      <c r="AN233" s="675"/>
      <c r="AO233" s="675"/>
      <c r="AP233" s="675"/>
      <c r="AQ233" s="675"/>
      <c r="AR233" s="675"/>
      <c r="AS233" s="675"/>
      <c r="AT233" s="675"/>
      <c r="AU233" s="675"/>
      <c r="AV233" s="675"/>
      <c r="BI233" s="478" t="s">
        <v>126</v>
      </c>
      <c r="BJ233" s="489"/>
      <c r="BN233" s="661"/>
      <c r="CU233" s="479"/>
      <c r="CV233" s="661"/>
      <c r="CW233" s="479"/>
      <c r="DS233" s="661"/>
      <c r="EV233" s="818" t="str">
        <f t="shared" si="94"/>
        <v/>
      </c>
      <c r="EW233" s="818"/>
    </row>
    <row r="234" spans="1:153" s="472" customFormat="1" ht="52">
      <c r="A234" s="654" t="str">
        <f t="shared" ca="1" si="92"/>
        <v>D.1.234</v>
      </c>
      <c r="B234" s="654" t="str">
        <f t="shared" ca="1" si="93"/>
        <v>1.234</v>
      </c>
      <c r="C234" s="654" t="str">
        <f t="shared" si="98"/>
        <v>[234]</v>
      </c>
      <c r="D234" s="654">
        <f>ROW()</f>
        <v>234</v>
      </c>
      <c r="E234" s="1125" t="str">
        <f t="shared" ref="E234" si="102">CU234</f>
        <v>- ZIEL-Ansatz: Von einer Veränderung des heutigen Nutzungsumfangs der Wasserkraft in Deutschland [232] wird abgesehen. Eine Erhöhung erscheint kritisch wegen der besonderen ökologischen Sensibilität der Wasserläufe und nicht notwendig angesichts des geringen Beitrages zur Energieversorgung. Aber auch eine Reduzierung des bisher erfolgreichen Nutzungsumfangs erscheint wenig sinnvoll.</v>
      </c>
      <c r="F234" s="1125"/>
      <c r="G234" s="1125"/>
      <c r="H234" s="1125"/>
      <c r="I234" s="1125"/>
      <c r="J234" s="1125"/>
      <c r="K234" s="1125"/>
      <c r="L234" s="1125"/>
      <c r="M234" s="1125"/>
      <c r="N234" s="1132"/>
      <c r="O234" s="869">
        <v>234</v>
      </c>
      <c r="P234" s="573" t="str">
        <f ca="1">HYPERLINK(EK234,EJ234)</f>
        <v/>
      </c>
      <c r="Q234" s="574" t="str">
        <f>Y234</f>
        <v xml:space="preserve"> </v>
      </c>
      <c r="R234" s="852"/>
      <c r="S234" s="784"/>
      <c r="T234" s="864"/>
      <c r="U234" s="1023" t="str">
        <f>"Von einer Veränderung des heutigen Nutzungsumfangs der Wasserkraft in Deutschland "&amp;C232&amp;" wird abgesehen. Eine Erhöhung erscheint kritisch wegen der besonderen ökologischen Sensibilität der Wasserläufe und nicht notwendig angesichts des geringen Beitrages zur Energieversorgung. "&amp;"Aber auch eine Reduzierung des bisher erfolgreichen Nutzungsumfangs erscheint wenig sinnvoll."</f>
        <v>Von einer Veränderung des heutigen Nutzungsumfangs der Wasserkraft in Deutschland [232] wird abgesehen. Eine Erhöhung erscheint kritisch wegen der besonderen ökologischen Sensibilität der Wasserläufe und nicht notwendig angesichts des geringen Beitrages zur Energieversorgung. Aber auch eine Reduzierung des bisher erfolgreichen Nutzungsumfangs erscheint wenig sinnvoll.</v>
      </c>
      <c r="V234" s="905" t="s">
        <v>126</v>
      </c>
      <c r="W234" s="1034">
        <f>W232</f>
        <v>81.894264652274302</v>
      </c>
      <c r="X234" s="672"/>
      <c r="Y234" s="672" t="s">
        <v>126</v>
      </c>
      <c r="Z234" s="1025"/>
      <c r="AA234" s="905"/>
      <c r="AB234" s="801"/>
      <c r="AC234" s="801"/>
      <c r="AD234" s="801"/>
      <c r="AE234" s="801"/>
      <c r="AF234" s="801"/>
      <c r="AG234" s="801"/>
      <c r="AH234" s="801"/>
      <c r="AI234" s="801"/>
      <c r="AJ234" s="801"/>
      <c r="AK234" s="801"/>
      <c r="AL234" s="801"/>
      <c r="AM234" s="801"/>
      <c r="AN234" s="801"/>
      <c r="AO234" s="801"/>
      <c r="AP234" s="801"/>
      <c r="AQ234" s="801"/>
      <c r="AR234" s="801"/>
      <c r="AS234" s="801"/>
      <c r="AT234" s="801"/>
      <c r="AU234" s="801"/>
      <c r="AV234" s="801"/>
      <c r="BF234" s="473"/>
      <c r="BI234" s="472" t="s">
        <v>126</v>
      </c>
      <c r="BJ234" s="490"/>
      <c r="BN234" s="656"/>
      <c r="BO234" s="472" t="s">
        <v>259</v>
      </c>
      <c r="CU234" s="480" t="str">
        <f>CH$1&amp;IF(U234="",BF234,U234)</f>
        <v>- ZIEL-Ansatz: Von einer Veränderung des heutigen Nutzungsumfangs der Wasserkraft in Deutschland [232] wird abgesehen. Eine Erhöhung erscheint kritisch wegen der besonderen ökologischen Sensibilität der Wasserläufe und nicht notwendig angesichts des geringen Beitrages zur Energieversorgung. Aber auch eine Reduzierung des bisher erfolgreichen Nutzungsumfangs erscheint wenig sinnvoll.</v>
      </c>
      <c r="CV234" s="656"/>
      <c r="CW234" s="480"/>
      <c r="DS234" s="656"/>
      <c r="DT234" s="518">
        <v>53</v>
      </c>
      <c r="EJ234" s="472" t="str">
        <f>IF(X234=0,"",EJ$1&amp;X234)</f>
        <v/>
      </c>
      <c r="EK234" s="472" t="str">
        <f ca="1">EK$1&amp;X234</f>
        <v>[D_Python.xlsx]9.Quellen!C</v>
      </c>
      <c r="EV234" s="819">
        <f t="shared" si="94"/>
        <v>234</v>
      </c>
      <c r="EW234" s="819"/>
    </row>
    <row r="235" spans="1:153" s="478" customFormat="1" ht="4">
      <c r="A235" s="677" t="str">
        <f t="shared" ca="1" si="92"/>
        <v>D.1.235</v>
      </c>
      <c r="B235" s="677" t="str">
        <f t="shared" ca="1" si="93"/>
        <v>1.235</v>
      </c>
      <c r="C235" s="677" t="str">
        <f t="shared" si="98"/>
        <v>[235]</v>
      </c>
      <c r="D235" s="677">
        <f>ROW()</f>
        <v>235</v>
      </c>
      <c r="E235" s="548"/>
      <c r="F235" s="548"/>
      <c r="G235" s="548"/>
      <c r="H235" s="548"/>
      <c r="I235" s="549"/>
      <c r="J235" s="549"/>
      <c r="K235" s="549"/>
      <c r="L235" s="549"/>
      <c r="M235" s="549"/>
      <c r="N235" s="548"/>
      <c r="O235" s="871">
        <v>235</v>
      </c>
      <c r="P235" s="575"/>
      <c r="Q235" s="576"/>
      <c r="R235" s="888"/>
      <c r="S235" s="802"/>
      <c r="T235" s="882"/>
      <c r="U235" s="661"/>
      <c r="V235" s="661"/>
      <c r="W235" s="661"/>
      <c r="X235" s="661"/>
      <c r="Y235" s="661"/>
      <c r="Z235" s="661"/>
      <c r="AA235" s="661"/>
      <c r="AB235" s="675"/>
      <c r="AC235" s="675"/>
      <c r="AD235" s="675"/>
      <c r="AE235" s="675"/>
      <c r="AF235" s="675"/>
      <c r="AG235" s="675"/>
      <c r="AH235" s="675"/>
      <c r="AI235" s="675"/>
      <c r="AJ235" s="675"/>
      <c r="AK235" s="675"/>
      <c r="AL235" s="675"/>
      <c r="AM235" s="675"/>
      <c r="AN235" s="675"/>
      <c r="AO235" s="675"/>
      <c r="AP235" s="675"/>
      <c r="AQ235" s="675"/>
      <c r="AR235" s="675"/>
      <c r="AS235" s="675"/>
      <c r="AT235" s="675"/>
      <c r="AU235" s="675"/>
      <c r="AV235" s="675"/>
      <c r="AZ235" s="505"/>
      <c r="BB235" s="505"/>
      <c r="BI235" s="478" t="s">
        <v>126</v>
      </c>
      <c r="BJ235" s="489"/>
      <c r="BN235" s="661"/>
      <c r="CU235" s="479"/>
      <c r="CV235" s="661"/>
      <c r="CW235" s="479"/>
      <c r="DS235" s="661"/>
      <c r="EV235" s="818" t="str">
        <f t="shared" si="94"/>
        <v/>
      </c>
      <c r="EW235" s="818"/>
    </row>
    <row r="236" spans="1:153" s="475" customFormat="1" ht="13.5" customHeight="1">
      <c r="A236" s="654" t="str">
        <f t="shared" ca="1" si="92"/>
        <v>D.1.236</v>
      </c>
      <c r="B236" s="654" t="str">
        <f t="shared" ca="1" si="93"/>
        <v>1.236</v>
      </c>
      <c r="C236" s="654" t="str">
        <f t="shared" si="98"/>
        <v>[236]</v>
      </c>
      <c r="D236" s="654">
        <f>ROW()</f>
        <v>236</v>
      </c>
      <c r="E236" s="1129" t="str">
        <f>BP236</f>
        <v>Strom - Energieertrag</v>
      </c>
      <c r="F236" s="1129"/>
      <c r="G236" s="1129"/>
      <c r="H236" s="1129"/>
      <c r="I236" s="1129"/>
      <c r="J236" s="559" t="s">
        <v>280</v>
      </c>
      <c r="K236" s="560">
        <f ca="1">INDIRECT($W$1&amp;U236)</f>
        <v>0.69044760743222422</v>
      </c>
      <c r="L236" s="485" t="str">
        <f ca="1">HYPERLINK($CK$1&amp;U236,$CE$1&amp;U236&amp;$CF$1)</f>
        <v>[237]</v>
      </c>
      <c r="M236" s="561">
        <f ca="1">INDIRECT($W$1&amp;W236)</f>
        <v>0.69044760743222422</v>
      </c>
      <c r="N236" s="533" t="str">
        <f ca="1">HYPERLINK($CK$1&amp;W236,$CE$1&amp;W236&amp;$CF$1)</f>
        <v>[241]</v>
      </c>
      <c r="O236" s="869">
        <v>236</v>
      </c>
      <c r="P236" s="570"/>
      <c r="Q236" s="583"/>
      <c r="R236" s="852"/>
      <c r="S236" s="784"/>
      <c r="T236" s="864"/>
      <c r="U236" s="672">
        <f>D237</f>
        <v>237</v>
      </c>
      <c r="V236" s="905" t="s">
        <v>126</v>
      </c>
      <c r="W236" s="672">
        <f>D241</f>
        <v>241</v>
      </c>
      <c r="X236" s="658"/>
      <c r="Y236" s="658"/>
      <c r="Z236" s="658"/>
      <c r="AA236" s="658"/>
      <c r="AB236" s="801"/>
      <c r="AC236" s="801"/>
      <c r="AD236" s="674"/>
      <c r="AE236" s="674"/>
      <c r="AF236" s="674"/>
      <c r="AG236" s="674"/>
      <c r="AH236" s="674"/>
      <c r="AI236" s="674"/>
      <c r="AJ236" s="674"/>
      <c r="AK236" s="674"/>
      <c r="AL236" s="674"/>
      <c r="AM236" s="674"/>
      <c r="AN236" s="674"/>
      <c r="AO236" s="674"/>
      <c r="AP236" s="674"/>
      <c r="AQ236" s="674"/>
      <c r="AR236" s="674"/>
      <c r="AS236" s="674"/>
      <c r="AT236" s="674"/>
      <c r="AU236" s="674"/>
      <c r="AV236" s="674"/>
      <c r="AX236" s="475" t="s">
        <v>244</v>
      </c>
      <c r="AY236" s="500">
        <f ca="1">DA236</f>
        <v>7.3465977905631905E-2</v>
      </c>
      <c r="AZ236" s="508" t="str">
        <f ca="1">HYPERLINK(DN236,DC236)</f>
        <v xml:space="preserve"> 204</v>
      </c>
      <c r="BA236" s="500">
        <f ca="1">DB236</f>
        <v>7.3465977905631905E-2</v>
      </c>
      <c r="BB236" s="508" t="str">
        <f ca="1">HYPERLINK(DO236,DD236)</f>
        <v xml:space="preserve"> 205</v>
      </c>
      <c r="BC236" s="475" t="str">
        <f ca="1">CY236&amp;" | "&amp;CZ236</f>
        <v xml:space="preserve">Strom | 2. Energieertrag Wasserkraft </v>
      </c>
      <c r="BI236" s="475" t="s">
        <v>126</v>
      </c>
      <c r="BJ236" s="492" t="str">
        <f>E236</f>
        <v>Strom - Energieertrag</v>
      </c>
      <c r="BK236" s="486">
        <f ca="1">K236</f>
        <v>0.69044760743222422</v>
      </c>
      <c r="BL236" s="486">
        <f ca="1">M236</f>
        <v>0.69044760743222422</v>
      </c>
      <c r="BM236" s="472">
        <f>D236</f>
        <v>236</v>
      </c>
      <c r="BN236" s="658"/>
      <c r="BO236" s="475" t="s">
        <v>251</v>
      </c>
      <c r="BP236" s="521" t="s">
        <v>282</v>
      </c>
      <c r="CU236" s="476"/>
      <c r="CV236" s="658"/>
      <c r="CW236" s="518">
        <v>51</v>
      </c>
      <c r="CY236" s="472" t="str">
        <f t="shared" ref="CY236:DO236" ca="1" si="103">INDIRECT($CX$1&amp;CY$1&amp;$CW236)</f>
        <v>Strom</v>
      </c>
      <c r="CZ236" s="472" t="str">
        <f t="shared" ca="1" si="103"/>
        <v xml:space="preserve">2. Energieertrag Wasserkraft </v>
      </c>
      <c r="DA236" s="472">
        <f t="shared" ca="1" si="103"/>
        <v>7.3465977905631905E-2</v>
      </c>
      <c r="DB236" s="472">
        <f t="shared" ca="1" si="103"/>
        <v>7.3465977905631905E-2</v>
      </c>
      <c r="DC236" s="472" t="str">
        <f t="shared" ca="1" si="103"/>
        <v xml:space="preserve"> 204</v>
      </c>
      <c r="DD236" s="472" t="str">
        <f t="shared" ca="1" si="103"/>
        <v xml:space="preserve"> 205</v>
      </c>
      <c r="DE236" s="472" t="str">
        <f t="shared" ca="1" si="103"/>
        <v xml:space="preserve">Wa5 </v>
      </c>
      <c r="DF236" s="472" t="str">
        <f t="shared" ca="1" si="103"/>
        <v xml:space="preserve">Wa5 </v>
      </c>
      <c r="DG236" s="472" t="str">
        <f t="shared" ca="1" si="103"/>
        <v>Wa</v>
      </c>
      <c r="DH236" s="472" t="str">
        <f t="shared" ca="1" si="103"/>
        <v xml:space="preserve">5 </v>
      </c>
      <c r="DI236" s="472" t="str">
        <f t="shared" ca="1" si="103"/>
        <v>[Wa.xls]TEXT!Z5 S5</v>
      </c>
      <c r="DJ236" s="472" t="str">
        <f t="shared" ca="1" si="103"/>
        <v>Wa</v>
      </c>
      <c r="DK236" s="472" t="str">
        <f t="shared" ca="1" si="103"/>
        <v xml:space="preserve">5 </v>
      </c>
      <c r="DL236" s="472" t="str">
        <f t="shared" ca="1" si="103"/>
        <v>[Wa.xls]TEXT!Z5 S5</v>
      </c>
      <c r="DM236" s="472">
        <f t="shared" ca="1" si="103"/>
        <v>51</v>
      </c>
      <c r="DN236" s="472" t="str">
        <f t="shared" ca="1" si="103"/>
        <v>[Region.xls]PARAMETER!Z204S6</v>
      </c>
      <c r="DO236" s="472" t="str">
        <f t="shared" ca="1" si="103"/>
        <v>[Region.xls]PARAMETER!Z205S6</v>
      </c>
      <c r="DP236" s="472"/>
      <c r="DS236" s="656"/>
      <c r="DV236" s="472"/>
      <c r="DW236" s="472"/>
      <c r="DX236" s="472"/>
      <c r="DY236" s="472"/>
      <c r="DZ236" s="472"/>
      <c r="EA236" s="472"/>
      <c r="EB236" s="472"/>
      <c r="EC236" s="472"/>
      <c r="ED236" s="472"/>
      <c r="EE236" s="472"/>
      <c r="EF236" s="472"/>
      <c r="EG236" s="472"/>
      <c r="EH236" s="472"/>
      <c r="EI236" s="472"/>
      <c r="EJ236" s="472"/>
      <c r="EK236" s="472"/>
      <c r="EV236" s="819">
        <f t="shared" si="94"/>
        <v>236</v>
      </c>
      <c r="EW236" s="819"/>
    </row>
    <row r="237" spans="1:153" s="472" customFormat="1" ht="26">
      <c r="A237" s="654" t="str">
        <f t="shared" ca="1" si="92"/>
        <v>D.1.237</v>
      </c>
      <c r="B237" s="654" t="str">
        <f t="shared" ca="1" si="93"/>
        <v>1.237</v>
      </c>
      <c r="C237" s="654" t="str">
        <f t="shared" si="98"/>
        <v>[237]</v>
      </c>
      <c r="D237" s="654">
        <f>ROW()</f>
        <v>237</v>
      </c>
      <c r="E237" s="1130" t="str">
        <f>CU237</f>
        <v>- STATUS-Ansatz: Ein Energieertrag aus Wasserkraft in Niedersachsen von 0,690 MWh/ha/a resultiert aus dem technischen Potenzial von 24689 GWh/a [238] bezogen auf die Bodenfläche des Landes von 35.757.963 ha [65].</v>
      </c>
      <c r="F237" s="1130"/>
      <c r="G237" s="1130"/>
      <c r="H237" s="1130"/>
      <c r="I237" s="1130"/>
      <c r="J237" s="1130"/>
      <c r="K237" s="1130"/>
      <c r="L237" s="1130"/>
      <c r="M237" s="1130"/>
      <c r="N237" s="1131"/>
      <c r="O237" s="869">
        <v>237</v>
      </c>
      <c r="P237" s="573" t="str">
        <f ca="1">HYPERLINK(EK237,EJ237)</f>
        <v/>
      </c>
      <c r="Q237" s="574" t="str">
        <f>Y237</f>
        <v xml:space="preserve"> </v>
      </c>
      <c r="R237" s="852"/>
      <c r="S237" s="784"/>
      <c r="T237" s="864"/>
      <c r="U237" s="1023" t="str">
        <f>"Ein Energieertrag aus Wasserkraft in Niedersachsen von "&amp;TEXT(AJ237,"0,000")&amp;AK237&amp;" resultiert aus dem technischen Potenzial von "&amp;AF237&amp;AG237&amp;C238&amp;" bezogen auf die Bodenfläche des Landes von "&amp;TEXT(AH237,"0.000")&amp;AI237&amp;C65&amp;"."</f>
        <v>Ein Energieertrag aus Wasserkraft in Niedersachsen von 0,690 MWh/ha/a resultiert aus dem technischen Potenzial von 24689 GWh/a [238] bezogen auf die Bodenfläche des Landes von 35.757.963 ha [65].</v>
      </c>
      <c r="V237" s="905" t="s">
        <v>126</v>
      </c>
      <c r="W237" s="1084">
        <f>AJ237</f>
        <v>0.69044760743222422</v>
      </c>
      <c r="X237" s="672"/>
      <c r="Y237" s="672" t="s">
        <v>126</v>
      </c>
      <c r="Z237" s="1025"/>
      <c r="AA237" s="658"/>
      <c r="AB237" s="801"/>
      <c r="AC237" s="801"/>
      <c r="AD237" s="801">
        <f ca="1">AY236</f>
        <v>7.3465977905631905E-2</v>
      </c>
      <c r="AE237" s="801" t="s">
        <v>374</v>
      </c>
      <c r="AF237" s="801">
        <f>AD238</f>
        <v>24689</v>
      </c>
      <c r="AG237" s="801" t="s">
        <v>385</v>
      </c>
      <c r="AH237" s="687">
        <f>W65</f>
        <v>35757963</v>
      </c>
      <c r="AI237" s="687" t="s">
        <v>382</v>
      </c>
      <c r="AJ237" s="801">
        <f>AF237*1000/AH237</f>
        <v>0.69044760743222422</v>
      </c>
      <c r="AK237" s="801" t="s">
        <v>386</v>
      </c>
      <c r="AL237" s="801"/>
      <c r="AM237" s="801"/>
      <c r="AN237" s="801"/>
      <c r="AO237" s="801"/>
      <c r="AP237" s="801"/>
      <c r="AQ237" s="801"/>
      <c r="AR237" s="801"/>
      <c r="AS237" s="801"/>
      <c r="AT237" s="801"/>
      <c r="AU237" s="801"/>
      <c r="AV237" s="801"/>
      <c r="BF237" s="473"/>
      <c r="BI237" s="472" t="s">
        <v>126</v>
      </c>
      <c r="BJ237" s="490"/>
      <c r="BN237" s="656"/>
      <c r="BO237" s="472" t="s">
        <v>259</v>
      </c>
      <c r="CU237" s="480" t="str">
        <f>CG$1&amp;IF(U237="",BF237,U237)</f>
        <v>- STATUS-Ansatz: Ein Energieertrag aus Wasserkraft in Niedersachsen von 0,690 MWh/ha/a resultiert aus dem technischen Potenzial von 24689 GWh/a [238] bezogen auf die Bodenfläche des Landes von 35.757.963 ha [65].</v>
      </c>
      <c r="CV237" s="656"/>
      <c r="CW237" s="480"/>
      <c r="DS237" s="656"/>
      <c r="DT237" s="518">
        <f>I_Basisdaten!A115</f>
        <v>115</v>
      </c>
      <c r="EJ237" s="472" t="str">
        <f>IF(X237=0,"",EJ$1&amp;X237)</f>
        <v/>
      </c>
      <c r="EK237" s="472" t="str">
        <f ca="1">EK$1&amp;X237</f>
        <v>[D_Python.xlsx]9.Quellen!C</v>
      </c>
      <c r="EV237" s="819">
        <f t="shared" si="94"/>
        <v>237</v>
      </c>
      <c r="EW237" s="819"/>
    </row>
    <row r="238" spans="1:153" s="472" customFormat="1" ht="52">
      <c r="A238" s="654" t="str">
        <f t="shared" ca="1" si="92"/>
        <v>D.1.238</v>
      </c>
      <c r="B238" s="654" t="str">
        <f t="shared" ca="1" si="93"/>
        <v>1.238</v>
      </c>
      <c r="C238" s="654" t="str">
        <f t="shared" si="98"/>
        <v>[238]</v>
      </c>
      <c r="D238" s="654">
        <f>ROW()</f>
        <v>238</v>
      </c>
      <c r="E238" s="1130" t="str">
        <f ca="1">CU238</f>
        <v>24.689 GWh/a beträgt das technische Potenzial (in der Quelle mit 'technischem Arbeitsvermögen' bezeichnet) der Wasserkraft in Deutschland gemäß einer externen Expertiese an den Wissenschaftlichen Beirat für globale Umweltveränderungen [9.129] S. 11. Das Regelarbeitsvermögen, also die tatsächliche Stromerzeugung im langjährigen Durchschnitt, wurde dort mit 17.029 GWh/a beziffert.</v>
      </c>
      <c r="F238" s="1130"/>
      <c r="G238" s="1130"/>
      <c r="H238" s="1130"/>
      <c r="I238" s="1130"/>
      <c r="J238" s="1130"/>
      <c r="K238" s="1130"/>
      <c r="L238" s="1130"/>
      <c r="M238" s="1130"/>
      <c r="N238" s="1131"/>
      <c r="O238" s="869">
        <v>238</v>
      </c>
      <c r="P238" s="573" t="str">
        <f ca="1">HYPERLINK(EK238,EJ238)</f>
        <v>9.129</v>
      </c>
      <c r="Q238" s="574" t="str">
        <f>Y238</f>
        <v>S. 11</v>
      </c>
      <c r="R238" s="852"/>
      <c r="S238" s="784"/>
      <c r="T238" s="864"/>
      <c r="U238" s="1033" t="str">
        <f ca="1">TEXT(AD238,"0.000")&amp;AE238&amp;" beträgt das technische Potenzial (in der Quelle mit 'technischem Arbeitsvermögen' bezeichnet) der Wasserkraft in Deutschland gemäß einer externen Expertiese an den Wissenschaftlichen Beirat für globale Umweltveränderungen ["&amp;P238&amp;"] "&amp;Q238&amp;". Das Regelarbeitsvermögen, also die tatsächliche Stromerzeugung im langjährigen Durchschnitt, wurde dort mit "&amp;TEXT(AF238,"0.000")&amp;AG238&amp;" beziffert."</f>
        <v>24.689 GWh/a beträgt das technische Potenzial (in der Quelle mit 'technischem Arbeitsvermögen' bezeichnet) der Wasserkraft in Deutschland gemäß einer externen Expertiese an den Wissenschaftlichen Beirat für globale Umweltveränderungen [9.129] S. 11. Das Regelarbeitsvermögen, also die tatsächliche Stromerzeugung im langjährigen Durchschnitt, wurde dort mit 17.029 GWh/a beziffert.</v>
      </c>
      <c r="V238" s="905" t="s">
        <v>126</v>
      </c>
      <c r="W238" s="1024">
        <f>AD238</f>
        <v>24689</v>
      </c>
      <c r="X238" s="672">
        <f>'9.Quellen'!C129</f>
        <v>129</v>
      </c>
      <c r="Y238" s="672" t="s">
        <v>437</v>
      </c>
      <c r="Z238" s="1025"/>
      <c r="AA238" s="905"/>
      <c r="AB238" s="801"/>
      <c r="AC238" s="801"/>
      <c r="AD238" s="801">
        <v>24689</v>
      </c>
      <c r="AE238" s="801" t="s">
        <v>288</v>
      </c>
      <c r="AF238" s="801">
        <v>17029</v>
      </c>
      <c r="AG238" s="801" t="s">
        <v>288</v>
      </c>
      <c r="AH238" s="801"/>
      <c r="AI238" s="801"/>
      <c r="AJ238" s="801"/>
      <c r="AK238" s="801"/>
      <c r="AL238" s="801"/>
      <c r="AM238" s="801"/>
      <c r="AN238" s="801"/>
      <c r="AO238" s="801"/>
      <c r="AP238" s="801"/>
      <c r="AQ238" s="801"/>
      <c r="AR238" s="801"/>
      <c r="AS238" s="801"/>
      <c r="AT238" s="801"/>
      <c r="AU238" s="801"/>
      <c r="AV238" s="801"/>
      <c r="BF238" s="473"/>
      <c r="BI238" s="472" t="s">
        <v>126</v>
      </c>
      <c r="BJ238" s="490"/>
      <c r="BN238" s="656"/>
      <c r="BO238" s="472" t="s">
        <v>252</v>
      </c>
      <c r="CU238" s="480" t="str">
        <f ca="1">IF(U238="",BF238,U238)</f>
        <v>24.689 GWh/a beträgt das technische Potenzial (in der Quelle mit 'technischem Arbeitsvermögen' bezeichnet) der Wasserkraft in Deutschland gemäß einer externen Expertiese an den Wissenschaftlichen Beirat für globale Umweltveränderungen [9.129] S. 11. Das Regelarbeitsvermögen, also die tatsächliche Stromerzeugung im langjährigen Durchschnitt, wurde dort mit 17.029 GWh/a beziffert.</v>
      </c>
      <c r="CV238" s="656"/>
      <c r="CW238" s="480"/>
      <c r="DS238" s="656"/>
      <c r="DT238" s="518"/>
      <c r="EJ238" s="472" t="str">
        <f ca="1">IF(X238=0,"",EJ$1&amp;X238)</f>
        <v>9.129</v>
      </c>
      <c r="EK238" s="472" t="str">
        <f ca="1">EK$1&amp;X238</f>
        <v>[D_Python.xlsx]9.Quellen!C129</v>
      </c>
      <c r="EV238" s="819">
        <f t="shared" ca="1" si="94"/>
        <v>238</v>
      </c>
      <c r="EW238" s="819"/>
    </row>
    <row r="239" spans="1:153" s="472" customFormat="1" ht="26">
      <c r="A239" s="654" t="str">
        <f t="shared" ca="1" si="92"/>
        <v>D.1.239</v>
      </c>
      <c r="B239" s="654" t="str">
        <f t="shared" ca="1" si="93"/>
        <v>1.239</v>
      </c>
      <c r="C239" s="654" t="str">
        <f t="shared" si="98"/>
        <v>[239]</v>
      </c>
      <c r="D239" s="654">
        <f>ROW()</f>
        <v>239</v>
      </c>
      <c r="E239" s="1130" t="str">
        <f ca="1">CU239</f>
        <v xml:space="preserve">Eine andere, von AEE angeführte Quelle [9.19] Zeile 41 nennt mit 24.940 GWh/a einen nahezu identischen Wert als theoretisches Potenzial. </v>
      </c>
      <c r="F239" s="1130"/>
      <c r="G239" s="1130"/>
      <c r="H239" s="1130"/>
      <c r="I239" s="1130"/>
      <c r="J239" s="1130"/>
      <c r="K239" s="1130"/>
      <c r="L239" s="1130"/>
      <c r="M239" s="1130"/>
      <c r="N239" s="1131"/>
      <c r="O239" s="869">
        <v>239</v>
      </c>
      <c r="P239" s="573" t="str">
        <f ca="1">HYPERLINK(EK239,EJ239)</f>
        <v>9.19</v>
      </c>
      <c r="Q239" s="574" t="str">
        <f>Y239</f>
        <v>Zeile 41</v>
      </c>
      <c r="R239" s="852"/>
      <c r="S239" s="784"/>
      <c r="T239" s="864"/>
      <c r="U239" s="1033" t="str">
        <f ca="1">"Eine andere, von "&amp;'9.Quellen'!E19&amp;" angeführte Quelle ["&amp;P239&amp;"] "&amp;Q239&amp;" nennt mit "&amp;TEXT(AD239,"0.000")&amp;AE239&amp;" einen nahezu identischen Wert als theoretisches Potenzial. "</f>
        <v xml:space="preserve">Eine andere, von AEE angeführte Quelle [9.19] Zeile 41 nennt mit 24.940 GWh/a einen nahezu identischen Wert als theoretisches Potenzial. </v>
      </c>
      <c r="V239" s="905" t="s">
        <v>126</v>
      </c>
      <c r="W239" s="1024"/>
      <c r="X239" s="672">
        <f>'9.Quellen'!C19</f>
        <v>19</v>
      </c>
      <c r="Y239" s="672" t="s">
        <v>1004</v>
      </c>
      <c r="Z239" s="1025"/>
      <c r="AA239" s="905"/>
      <c r="AB239" s="801"/>
      <c r="AC239" s="801"/>
      <c r="AD239" s="801">
        <v>24940</v>
      </c>
      <c r="AE239" s="801" t="s">
        <v>288</v>
      </c>
      <c r="AF239" s="801"/>
      <c r="AG239" s="801"/>
      <c r="AH239" s="801"/>
      <c r="AI239" s="801"/>
      <c r="AJ239" s="801"/>
      <c r="AK239" s="801"/>
      <c r="AL239" s="801"/>
      <c r="AM239" s="801"/>
      <c r="AN239" s="801"/>
      <c r="AO239" s="801"/>
      <c r="AP239" s="801"/>
      <c r="AQ239" s="801"/>
      <c r="AR239" s="801"/>
      <c r="AS239" s="801"/>
      <c r="AT239" s="801"/>
      <c r="AU239" s="801"/>
      <c r="AV239" s="801"/>
      <c r="BF239" s="473"/>
      <c r="BI239" s="472" t="s">
        <v>126</v>
      </c>
      <c r="BJ239" s="490"/>
      <c r="BN239" s="656"/>
      <c r="BO239" s="472" t="s">
        <v>252</v>
      </c>
      <c r="CU239" s="480" t="str">
        <f ca="1">IF(U239="",BF239,U239)</f>
        <v xml:space="preserve">Eine andere, von AEE angeführte Quelle [9.19] Zeile 41 nennt mit 24.940 GWh/a einen nahezu identischen Wert als theoretisches Potenzial. </v>
      </c>
      <c r="CV239" s="656"/>
      <c r="CW239" s="480"/>
      <c r="DS239" s="656"/>
      <c r="DT239" s="518"/>
      <c r="EJ239" s="472" t="str">
        <f ca="1">IF(X239=0,"",EJ$1&amp;X239)</f>
        <v>9.19</v>
      </c>
      <c r="EK239" s="472" t="str">
        <f ca="1">EK$1&amp;X239</f>
        <v>[D_Python.xlsx]9.Quellen!C19</v>
      </c>
      <c r="EV239" s="819">
        <f t="shared" ca="1" si="94"/>
        <v>239</v>
      </c>
      <c r="EW239" s="819"/>
    </row>
    <row r="240" spans="1:153" s="478" customFormat="1" ht="4">
      <c r="A240" s="677" t="str">
        <f t="shared" ca="1" si="92"/>
        <v>D.1.240</v>
      </c>
      <c r="B240" s="677" t="str">
        <f t="shared" ca="1" si="93"/>
        <v>1.240</v>
      </c>
      <c r="C240" s="677" t="str">
        <f t="shared" si="98"/>
        <v>[240]</v>
      </c>
      <c r="D240" s="677">
        <f>ROW()</f>
        <v>240</v>
      </c>
      <c r="E240" s="528"/>
      <c r="F240" s="528"/>
      <c r="G240" s="528"/>
      <c r="H240" s="528"/>
      <c r="I240" s="527"/>
      <c r="J240" s="527"/>
      <c r="K240" s="527"/>
      <c r="L240" s="527"/>
      <c r="M240" s="527"/>
      <c r="N240" s="528"/>
      <c r="O240" s="871">
        <v>240</v>
      </c>
      <c r="P240" s="566"/>
      <c r="Q240" s="567"/>
      <c r="R240" s="888"/>
      <c r="S240" s="802"/>
      <c r="T240" s="882"/>
      <c r="U240" s="661"/>
      <c r="V240" s="661"/>
      <c r="W240" s="661"/>
      <c r="X240" s="661"/>
      <c r="Y240" s="661"/>
      <c r="Z240" s="661"/>
      <c r="AA240" s="661"/>
      <c r="AB240" s="675"/>
      <c r="AC240" s="675"/>
      <c r="AD240" s="675"/>
      <c r="AE240" s="675"/>
      <c r="AF240" s="675"/>
      <c r="AG240" s="675"/>
      <c r="AH240" s="675"/>
      <c r="AI240" s="675"/>
      <c r="AJ240" s="675"/>
      <c r="AK240" s="675"/>
      <c r="AL240" s="675"/>
      <c r="AM240" s="675"/>
      <c r="AN240" s="675"/>
      <c r="AO240" s="675"/>
      <c r="AP240" s="675"/>
      <c r="AQ240" s="675"/>
      <c r="AR240" s="675"/>
      <c r="AS240" s="675"/>
      <c r="AT240" s="675"/>
      <c r="AU240" s="675"/>
      <c r="AV240" s="675"/>
      <c r="BI240" s="478" t="s">
        <v>126</v>
      </c>
      <c r="BJ240" s="489"/>
      <c r="BN240" s="661"/>
      <c r="CU240" s="479"/>
      <c r="CV240" s="661"/>
      <c r="CW240" s="479"/>
      <c r="DS240" s="661"/>
      <c r="EV240" s="818" t="str">
        <f t="shared" si="94"/>
        <v/>
      </c>
      <c r="EW240" s="818"/>
    </row>
    <row r="241" spans="1:153" s="472" customFormat="1" ht="26">
      <c r="A241" s="654" t="str">
        <f t="shared" ca="1" si="92"/>
        <v>D.1.241</v>
      </c>
      <c r="B241" s="654" t="str">
        <f t="shared" ca="1" si="93"/>
        <v>1.241</v>
      </c>
      <c r="C241" s="654" t="str">
        <f t="shared" si="98"/>
        <v>[241]</v>
      </c>
      <c r="D241" s="654">
        <f>ROW()</f>
        <v>241</v>
      </c>
      <c r="E241" s="1125" t="str">
        <f t="shared" ref="E241" si="104">CU241</f>
        <v>- ZIEL-Ansatz: Der Status-Ansatz wird übernommen, eventuelle Einflüsse auf das technische Potenzial [238], beispielsweise durch die Klimaveränderung, sind aus heutiger Sicht nicht hinreichend einschätzbar.</v>
      </c>
      <c r="F241" s="1125"/>
      <c r="G241" s="1125"/>
      <c r="H241" s="1125"/>
      <c r="I241" s="1125"/>
      <c r="J241" s="1125"/>
      <c r="K241" s="1125"/>
      <c r="L241" s="1125"/>
      <c r="M241" s="1125"/>
      <c r="N241" s="1132"/>
      <c r="O241" s="869">
        <v>241</v>
      </c>
      <c r="P241" s="573" t="str">
        <f ca="1">HYPERLINK(EK241,EJ241)</f>
        <v/>
      </c>
      <c r="Q241" s="574" t="str">
        <f>Y241</f>
        <v xml:space="preserve"> </v>
      </c>
      <c r="R241" s="852"/>
      <c r="S241" s="784"/>
      <c r="T241" s="864"/>
      <c r="U241" s="1023" t="str">
        <f>"Der Status-Ansatz wird übernommen, eventuelle Einflüsse auf das technische Potenzial "&amp;C238&amp;", beispielsweise durch die Klimaveränderung, sind aus heutiger Sicht nicht hinreichend einschätzbar."</f>
        <v>Der Status-Ansatz wird übernommen, eventuelle Einflüsse auf das technische Potenzial [238], beispielsweise durch die Klimaveränderung, sind aus heutiger Sicht nicht hinreichend einschätzbar.</v>
      </c>
      <c r="V241" s="905" t="s">
        <v>126</v>
      </c>
      <c r="W241" s="1084">
        <f>W237</f>
        <v>0.69044760743222422</v>
      </c>
      <c r="X241" s="672"/>
      <c r="Y241" s="672" t="s">
        <v>126</v>
      </c>
      <c r="Z241" s="1025"/>
      <c r="AA241" s="905"/>
      <c r="AB241" s="801"/>
      <c r="AC241" s="801"/>
      <c r="AD241" s="591"/>
      <c r="AE241" s="801"/>
      <c r="AF241" s="801"/>
      <c r="AG241" s="801"/>
      <c r="AH241" s="801"/>
      <c r="AI241" s="801"/>
      <c r="AJ241" s="801"/>
      <c r="AK241" s="801"/>
      <c r="AL241" s="801"/>
      <c r="AM241" s="801"/>
      <c r="AN241" s="801"/>
      <c r="AO241" s="801"/>
      <c r="AP241" s="801"/>
      <c r="AQ241" s="801"/>
      <c r="AR241" s="801"/>
      <c r="AS241" s="801"/>
      <c r="AT241" s="801"/>
      <c r="AU241" s="801"/>
      <c r="AV241" s="801"/>
      <c r="BF241" s="473"/>
      <c r="BI241" s="472" t="s">
        <v>126</v>
      </c>
      <c r="BJ241" s="490"/>
      <c r="BN241" s="656"/>
      <c r="BO241" s="472" t="s">
        <v>259</v>
      </c>
      <c r="CU241" s="480" t="str">
        <f>CH$1&amp;IF(U241="",BF241,U241)</f>
        <v>- ZIEL-Ansatz: Der Status-Ansatz wird übernommen, eventuelle Einflüsse auf das technische Potenzial [238], beispielsweise durch die Klimaveränderung, sind aus heutiger Sicht nicht hinreichend einschätzbar.</v>
      </c>
      <c r="CV241" s="656"/>
      <c r="CW241" s="480"/>
      <c r="DS241" s="656"/>
      <c r="DT241" s="518">
        <v>53</v>
      </c>
      <c r="EJ241" s="472" t="str">
        <f>IF(X241=0,"",EJ$1&amp;X241)</f>
        <v/>
      </c>
      <c r="EK241" s="472" t="str">
        <f ca="1">EK$1&amp;X241</f>
        <v>[D_Python.xlsx]9.Quellen!C</v>
      </c>
      <c r="EV241" s="819">
        <f t="shared" si="94"/>
        <v>241</v>
      </c>
      <c r="EW241" s="819"/>
    </row>
    <row r="242" spans="1:153" s="478" customFormat="1" ht="4">
      <c r="A242" s="677" t="str">
        <f t="shared" ca="1" si="92"/>
        <v>D.1.242</v>
      </c>
      <c r="B242" s="677" t="str">
        <f t="shared" ca="1" si="93"/>
        <v>1.242</v>
      </c>
      <c r="C242" s="677" t="str">
        <f t="shared" si="98"/>
        <v>[242]</v>
      </c>
      <c r="D242" s="677">
        <f>ROW()</f>
        <v>242</v>
      </c>
      <c r="E242" s="528"/>
      <c r="F242" s="528"/>
      <c r="G242" s="528"/>
      <c r="H242" s="528"/>
      <c r="I242" s="527"/>
      <c r="J242" s="527"/>
      <c r="K242" s="527"/>
      <c r="L242" s="527"/>
      <c r="M242" s="527"/>
      <c r="N242" s="528"/>
      <c r="O242" s="871">
        <v>242</v>
      </c>
      <c r="P242" s="566"/>
      <c r="Q242" s="567"/>
      <c r="R242" s="888"/>
      <c r="S242" s="802"/>
      <c r="T242" s="882"/>
      <c r="U242" s="661"/>
      <c r="V242" s="661"/>
      <c r="W242" s="661"/>
      <c r="X242" s="661"/>
      <c r="Y242" s="661"/>
      <c r="Z242" s="661"/>
      <c r="AA242" s="661"/>
      <c r="AB242" s="675"/>
      <c r="AC242" s="675"/>
      <c r="AD242" s="675"/>
      <c r="AE242" s="675"/>
      <c r="AF242" s="675"/>
      <c r="AG242" s="675"/>
      <c r="AH242" s="675"/>
      <c r="AI242" s="675"/>
      <c r="AJ242" s="675"/>
      <c r="AK242" s="675"/>
      <c r="AL242" s="675"/>
      <c r="AM242" s="675"/>
      <c r="AN242" s="675"/>
      <c r="AO242" s="675"/>
      <c r="AP242" s="675"/>
      <c r="AQ242" s="675"/>
      <c r="AR242" s="675"/>
      <c r="AS242" s="675"/>
      <c r="AT242" s="675"/>
      <c r="AU242" s="675"/>
      <c r="AV242" s="675"/>
      <c r="AZ242" s="505"/>
      <c r="BB242" s="505"/>
      <c r="BI242" s="478" t="s">
        <v>126</v>
      </c>
      <c r="BJ242" s="489"/>
      <c r="BN242" s="661"/>
      <c r="CU242" s="479"/>
      <c r="CV242" s="661"/>
      <c r="CW242" s="479"/>
      <c r="DS242" s="661"/>
      <c r="EV242" s="818" t="str">
        <f t="shared" si="94"/>
        <v/>
      </c>
      <c r="EW242" s="818"/>
    </row>
    <row r="243" spans="1:153" s="472" customFormat="1" ht="13">
      <c r="A243" s="654" t="str">
        <f t="shared" ca="1" si="92"/>
        <v>D.1.243</v>
      </c>
      <c r="B243" s="654" t="str">
        <f t="shared" ca="1" si="93"/>
        <v>1.243</v>
      </c>
      <c r="C243" s="654" t="str">
        <f t="shared" si="98"/>
        <v>[243]</v>
      </c>
      <c r="D243" s="654">
        <f>ROW()</f>
        <v>243</v>
      </c>
      <c r="E243" s="481" t="str">
        <f>BP243</f>
        <v>Energieholz (Forst)</v>
      </c>
      <c r="F243" s="482"/>
      <c r="G243" s="482"/>
      <c r="H243" s="482"/>
      <c r="I243" s="483"/>
      <c r="J243" s="484"/>
      <c r="K243" s="484"/>
      <c r="L243" s="484"/>
      <c r="M243" s="484"/>
      <c r="N243" s="532"/>
      <c r="O243" s="869">
        <v>243</v>
      </c>
      <c r="P243" s="568"/>
      <c r="Q243" s="569"/>
      <c r="R243" s="852"/>
      <c r="S243" s="804"/>
      <c r="T243" s="864"/>
      <c r="U243" s="905"/>
      <c r="V243" s="905"/>
      <c r="W243" s="905"/>
      <c r="X243" s="905"/>
      <c r="Y243" s="905"/>
      <c r="Z243" s="905"/>
      <c r="AA243" s="905"/>
      <c r="AB243" s="801"/>
      <c r="AC243" s="801"/>
      <c r="AD243" s="801"/>
      <c r="AE243" s="801"/>
      <c r="AF243" s="801"/>
      <c r="AG243" s="801"/>
      <c r="AH243" s="801"/>
      <c r="AI243" s="801"/>
      <c r="AJ243" s="801"/>
      <c r="AK243" s="801"/>
      <c r="AL243" s="801"/>
      <c r="AM243" s="801"/>
      <c r="AN243" s="801"/>
      <c r="AO243" s="801"/>
      <c r="AP243" s="801"/>
      <c r="AQ243" s="801"/>
      <c r="AR243" s="801"/>
      <c r="AS243" s="801"/>
      <c r="AT243" s="801"/>
      <c r="AU243" s="801"/>
      <c r="AV243" s="801"/>
      <c r="AZ243" s="504"/>
      <c r="BB243" s="506"/>
      <c r="BI243" s="472" t="s">
        <v>126</v>
      </c>
      <c r="BJ243" s="490"/>
      <c r="BN243" s="656"/>
      <c r="BO243" s="472" t="s">
        <v>250</v>
      </c>
      <c r="BP243" s="518" t="s">
        <v>284</v>
      </c>
      <c r="CU243" s="480"/>
      <c r="CV243" s="656"/>
      <c r="CW243" s="480"/>
      <c r="DS243" s="656"/>
      <c r="EV243" s="819">
        <f t="shared" si="94"/>
        <v>243</v>
      </c>
      <c r="EW243" s="819"/>
    </row>
    <row r="244" spans="1:153" s="478" customFormat="1" ht="4">
      <c r="A244" s="677" t="str">
        <f t="shared" ca="1" si="92"/>
        <v>D.1.244</v>
      </c>
      <c r="B244" s="677" t="str">
        <f t="shared" ca="1" si="93"/>
        <v>1.244</v>
      </c>
      <c r="C244" s="677" t="str">
        <f t="shared" si="98"/>
        <v>[244]</v>
      </c>
      <c r="D244" s="677">
        <f>ROW()</f>
        <v>244</v>
      </c>
      <c r="E244" s="528"/>
      <c r="F244" s="528"/>
      <c r="G244" s="528"/>
      <c r="H244" s="528"/>
      <c r="I244" s="527"/>
      <c r="J244" s="527"/>
      <c r="K244" s="527"/>
      <c r="L244" s="527"/>
      <c r="M244" s="527"/>
      <c r="N244" s="528"/>
      <c r="O244" s="871">
        <v>244</v>
      </c>
      <c r="P244" s="566"/>
      <c r="Q244" s="567"/>
      <c r="R244" s="888"/>
      <c r="S244" s="802"/>
      <c r="T244" s="882"/>
      <c r="U244" s="661"/>
      <c r="V244" s="661"/>
      <c r="W244" s="661"/>
      <c r="X244" s="661"/>
      <c r="Y244" s="661"/>
      <c r="Z244" s="661"/>
      <c r="AA244" s="661"/>
      <c r="AB244" s="675"/>
      <c r="AC244" s="675"/>
      <c r="AD244" s="675"/>
      <c r="AE244" s="675"/>
      <c r="AF244" s="675"/>
      <c r="AG244" s="675"/>
      <c r="AH244" s="675"/>
      <c r="AI244" s="675"/>
      <c r="AJ244" s="675"/>
      <c r="AK244" s="675"/>
      <c r="AL244" s="675"/>
      <c r="AM244" s="675"/>
      <c r="AN244" s="675"/>
      <c r="AO244" s="675"/>
      <c r="AP244" s="675"/>
      <c r="AQ244" s="675"/>
      <c r="AR244" s="675"/>
      <c r="AS244" s="675"/>
      <c r="AT244" s="675"/>
      <c r="AU244" s="675"/>
      <c r="AV244" s="675"/>
      <c r="AZ244" s="505"/>
      <c r="BB244" s="505"/>
      <c r="BI244" s="478" t="s">
        <v>126</v>
      </c>
      <c r="BJ244" s="489"/>
      <c r="BN244" s="661"/>
      <c r="CU244" s="479"/>
      <c r="CV244" s="661"/>
      <c r="CW244" s="479"/>
      <c r="DS244" s="661"/>
      <c r="EV244" s="818" t="str">
        <f t="shared" si="94"/>
        <v/>
      </c>
      <c r="EW244" s="818"/>
    </row>
    <row r="245" spans="1:153" s="475" customFormat="1" ht="13.5" customHeight="1">
      <c r="A245" s="654" t="str">
        <f t="shared" ca="1" si="92"/>
        <v>D.1.245</v>
      </c>
      <c r="B245" s="654" t="str">
        <f t="shared" ca="1" si="93"/>
        <v>1.245</v>
      </c>
      <c r="C245" s="654" t="str">
        <f t="shared" si="98"/>
        <v>[245]</v>
      </c>
      <c r="D245" s="654">
        <f>ROW()</f>
        <v>245</v>
      </c>
      <c r="E245" s="1129" t="str">
        <f>BP245</f>
        <v>Energetisch genutzter Anteil am Zuwachs</v>
      </c>
      <c r="F245" s="1129"/>
      <c r="G245" s="1129"/>
      <c r="H245" s="1129"/>
      <c r="I245" s="1129"/>
      <c r="J245" s="471" t="s">
        <v>38</v>
      </c>
      <c r="K245" s="557">
        <f ca="1">INDIRECT($W$1&amp;U245)</f>
        <v>45.529216383860053</v>
      </c>
      <c r="L245" s="485" t="str">
        <f ca="1">HYPERLINK($CK$1&amp;U245,$CE$1&amp;U245&amp;$CF$1)</f>
        <v>[246]</v>
      </c>
      <c r="M245" s="558">
        <f ca="1">INDIRECT($W$1&amp;W245)</f>
        <v>44.441067207024659</v>
      </c>
      <c r="N245" s="533" t="str">
        <f ca="1">HYPERLINK($CK$1&amp;W245,$CE$1&amp;W245&amp;$CF$1)</f>
        <v>[252]</v>
      </c>
      <c r="O245" s="869">
        <v>245</v>
      </c>
      <c r="P245" s="570"/>
      <c r="Q245" s="583"/>
      <c r="R245" s="852"/>
      <c r="S245" s="784"/>
      <c r="T245" s="864"/>
      <c r="U245" s="672">
        <f>D246</f>
        <v>246</v>
      </c>
      <c r="V245" s="905" t="s">
        <v>126</v>
      </c>
      <c r="W245" s="672">
        <f>D252</f>
        <v>252</v>
      </c>
      <c r="X245" s="658"/>
      <c r="Y245" s="658"/>
      <c r="Z245" s="658"/>
      <c r="AA245" s="658"/>
      <c r="AB245" s="801"/>
      <c r="AC245" s="801"/>
      <c r="AD245" s="674"/>
      <c r="AE245" s="674"/>
      <c r="AF245" s="674"/>
      <c r="AG245" s="674"/>
      <c r="AH245" s="674"/>
      <c r="AI245" s="674"/>
      <c r="AJ245" s="674"/>
      <c r="AK245" s="674"/>
      <c r="AL245" s="674"/>
      <c r="AM245" s="674"/>
      <c r="AN245" s="674"/>
      <c r="AO245" s="674"/>
      <c r="AP245" s="674"/>
      <c r="AQ245" s="674"/>
      <c r="AR245" s="674"/>
      <c r="AS245" s="674"/>
      <c r="AT245" s="674"/>
      <c r="AU245" s="674"/>
      <c r="AV245" s="674"/>
      <c r="BI245" s="475" t="s">
        <v>126</v>
      </c>
      <c r="BJ245" s="492" t="str">
        <f>E245</f>
        <v>Energetisch genutzter Anteil am Zuwachs</v>
      </c>
      <c r="BK245" s="486">
        <f ca="1">K245</f>
        <v>45.529216383860053</v>
      </c>
      <c r="BL245" s="486">
        <f ca="1">M245</f>
        <v>44.441067207024659</v>
      </c>
      <c r="BM245" s="472">
        <f>D245</f>
        <v>245</v>
      </c>
      <c r="BN245" s="658"/>
      <c r="BO245" s="475" t="s">
        <v>251</v>
      </c>
      <c r="BP245" s="521" t="s">
        <v>389</v>
      </c>
      <c r="CU245" s="476"/>
      <c r="CV245" s="658"/>
      <c r="CW245" s="518">
        <v>54</v>
      </c>
      <c r="CY245" s="472" t="str">
        <f t="shared" ref="CY245:DO245" ca="1" si="105">INDIRECT($CX$1&amp;CY$1&amp;$CW245)</f>
        <v>Brennstoffgew.
 für Heizung</v>
      </c>
      <c r="CZ245" s="472">
        <f t="shared" ca="1" si="105"/>
        <v>0</v>
      </c>
      <c r="DA245" s="472">
        <f t="shared" ca="1" si="105"/>
        <v>35.041575718754729</v>
      </c>
      <c r="DB245" s="472">
        <f t="shared" ca="1" si="105"/>
        <v>0</v>
      </c>
      <c r="DC245" s="472" t="str">
        <f t="shared" ca="1" si="105"/>
        <v xml:space="preserve"> 225</v>
      </c>
      <c r="DD245" s="472" t="str">
        <f t="shared" ca="1" si="105"/>
        <v xml:space="preserve"> 226</v>
      </c>
      <c r="DE245" s="472" t="str">
        <f t="shared" ca="1" si="105"/>
        <v>Ho98</v>
      </c>
      <c r="DF245" s="472" t="str">
        <f t="shared" ca="1" si="105"/>
        <v>Ho36</v>
      </c>
      <c r="DG245" s="472" t="str">
        <f t="shared" ca="1" si="105"/>
        <v>Ho</v>
      </c>
      <c r="DH245" s="472" t="str">
        <f t="shared" ca="1" si="105"/>
        <v>98</v>
      </c>
      <c r="DI245" s="472" t="str">
        <f t="shared" ca="1" si="105"/>
        <v>[Ho.xls]TEXT!Z98S5</v>
      </c>
      <c r="DJ245" s="472" t="str">
        <f t="shared" ca="1" si="105"/>
        <v>Ho</v>
      </c>
      <c r="DK245" s="472" t="str">
        <f t="shared" ca="1" si="105"/>
        <v>36</v>
      </c>
      <c r="DL245" s="472" t="str">
        <f t="shared" ca="1" si="105"/>
        <v>[Ho.xls]TEXT!Z36S5</v>
      </c>
      <c r="DM245" s="472">
        <f t="shared" ca="1" si="105"/>
        <v>54</v>
      </c>
      <c r="DN245" s="472" t="str">
        <f t="shared" ca="1" si="105"/>
        <v>[Region.xls]PARAMETER!Z225S6</v>
      </c>
      <c r="DO245" s="472" t="str">
        <f t="shared" ca="1" si="105"/>
        <v>[Region.xls]PARAMETER!Z226S6</v>
      </c>
      <c r="DP245" s="472"/>
      <c r="DS245" s="656"/>
      <c r="DV245" s="472"/>
      <c r="DW245" s="472"/>
      <c r="DX245" s="472"/>
      <c r="DY245" s="472"/>
      <c r="DZ245" s="472"/>
      <c r="EA245" s="472"/>
      <c r="EB245" s="472"/>
      <c r="EC245" s="472"/>
      <c r="ED245" s="472"/>
      <c r="EE245" s="472"/>
      <c r="EF245" s="472"/>
      <c r="EG245" s="472"/>
      <c r="EH245" s="472"/>
      <c r="EI245" s="472"/>
      <c r="EJ245" s="472"/>
      <c r="EK245" s="472"/>
      <c r="EV245" s="819">
        <f t="shared" si="94"/>
        <v>245</v>
      </c>
      <c r="EW245" s="819"/>
    </row>
    <row r="246" spans="1:153" s="472" customFormat="1" ht="26">
      <c r="A246" s="654" t="str">
        <f t="shared" ca="1" si="92"/>
        <v>D.1.246</v>
      </c>
      <c r="B246" s="654" t="str">
        <f t="shared" ca="1" si="93"/>
        <v>1.246</v>
      </c>
      <c r="C246" s="654" t="str">
        <f t="shared" si="98"/>
        <v>[246]</v>
      </c>
      <c r="D246" s="654">
        <f>ROW()</f>
        <v>246</v>
      </c>
      <c r="E246" s="1130" t="str">
        <f t="shared" ref="E246:E249" ca="1" si="106">CU246</f>
        <v>- STATUS-Ansatz: 45,5 % resultieren aus dem Verhältnis von energetischer Holznutzung [247] und dem Energiepotenzial des jährlichen Holzzuwachses in den Forsten [250].</v>
      </c>
      <c r="F246" s="1130"/>
      <c r="G246" s="1130"/>
      <c r="H246" s="1130"/>
      <c r="I246" s="1130"/>
      <c r="J246" s="1130"/>
      <c r="K246" s="1130"/>
      <c r="L246" s="1130"/>
      <c r="M246" s="1130"/>
      <c r="N246" s="1131"/>
      <c r="O246" s="869">
        <v>246</v>
      </c>
      <c r="P246" s="573" t="str">
        <f t="shared" ref="P246:P253" ca="1" si="107">HYPERLINK(EK246,EJ246)</f>
        <v/>
      </c>
      <c r="Q246" s="574" t="str">
        <f t="shared" ref="Q246:Q253" si="108">Y246</f>
        <v xml:space="preserve"> </v>
      </c>
      <c r="R246" s="852"/>
      <c r="S246" s="784"/>
      <c r="T246" s="864"/>
      <c r="U246" s="1023" t="str">
        <f ca="1">TEXT(AJ246,"0,0")&amp;" % resultieren aus dem Verhältnis von energetischer Holznutzung "&amp;C247&amp;" und dem Energiepotenzial des jährlichen Holzzuwachses in den Forsten "&amp;C250&amp;"."</f>
        <v>45,5 % resultieren aus dem Verhältnis von energetischer Holznutzung [247] und dem Energiepotenzial des jährlichen Holzzuwachses in den Forsten [250].</v>
      </c>
      <c r="V246" s="905" t="s">
        <v>126</v>
      </c>
      <c r="W246" s="1034">
        <f ca="1">AJ246</f>
        <v>45.529216383860053</v>
      </c>
      <c r="X246" s="672"/>
      <c r="Y246" s="672" t="s">
        <v>126</v>
      </c>
      <c r="Z246" s="1025"/>
      <c r="AA246" s="658"/>
      <c r="AB246" s="801"/>
      <c r="AC246" s="801"/>
      <c r="AD246" s="801">
        <f ca="1">AY246</f>
        <v>72.770488623410287</v>
      </c>
      <c r="AE246" s="801" t="s">
        <v>387</v>
      </c>
      <c r="AF246" s="801">
        <f ca="1">AJ247</f>
        <v>130558.57142857142</v>
      </c>
      <c r="AG246" s="801" t="s">
        <v>288</v>
      </c>
      <c r="AH246" s="801">
        <f ca="1">AH250</f>
        <v>286757.78279999999</v>
      </c>
      <c r="AI246" s="801" t="s">
        <v>288</v>
      </c>
      <c r="AJ246" s="801">
        <f ca="1">AF246/AH246%</f>
        <v>45.529216383860053</v>
      </c>
      <c r="AK246" s="801" t="s">
        <v>38</v>
      </c>
      <c r="AL246" s="801"/>
      <c r="AM246" s="801"/>
      <c r="AN246" s="801"/>
      <c r="AO246" s="801"/>
      <c r="AP246" s="801"/>
      <c r="AQ246" s="801"/>
      <c r="AR246" s="801"/>
      <c r="AS246" s="801"/>
      <c r="AT246" s="801"/>
      <c r="AU246" s="801"/>
      <c r="AV246" s="801"/>
      <c r="AY246" s="592">
        <f ca="1">AY281+AY286+AY291</f>
        <v>72.770488623410287</v>
      </c>
      <c r="BA246" s="592">
        <f ca="1">BA281+BA286+BA291</f>
        <v>35</v>
      </c>
      <c r="BF246" s="473"/>
      <c r="BI246" s="472" t="s">
        <v>126</v>
      </c>
      <c r="BJ246" s="490"/>
      <c r="BN246" s="656"/>
      <c r="BO246" s="472" t="s">
        <v>259</v>
      </c>
      <c r="CU246" s="480" t="str">
        <f ca="1">CG$1&amp;IF(U246="",BF246,U246)</f>
        <v>- STATUS-Ansatz: 45,5 % resultieren aus dem Verhältnis von energetischer Holznutzung [247] und dem Energiepotenzial des jährlichen Holzzuwachses in den Forsten [250].</v>
      </c>
      <c r="CV246" s="656"/>
      <c r="CW246" s="480"/>
      <c r="DS246" s="656"/>
      <c r="DT246" s="518">
        <f>I_Basisdaten!A117</f>
        <v>117</v>
      </c>
      <c r="EJ246" s="472" t="str">
        <f t="shared" ref="EJ246:EJ253" si="109">IF(X246=0,"",EJ$1&amp;X246)</f>
        <v/>
      </c>
      <c r="EK246" s="472" t="str">
        <f t="shared" ref="EK246:EK253" ca="1" si="110">EK$1&amp;X246</f>
        <v>[D_Python.xlsx]9.Quellen!C</v>
      </c>
      <c r="EV246" s="819">
        <f t="shared" ca="1" si="94"/>
        <v>246</v>
      </c>
      <c r="EW246" s="819"/>
    </row>
    <row r="247" spans="1:153" s="472" customFormat="1" ht="26">
      <c r="A247" s="654" t="str">
        <f t="shared" ca="1" si="92"/>
        <v>D.1.247</v>
      </c>
      <c r="B247" s="654" t="str">
        <f t="shared" ca="1" si="93"/>
        <v>1.247</v>
      </c>
      <c r="C247" s="654" t="str">
        <f t="shared" si="98"/>
        <v>[247]</v>
      </c>
      <c r="D247" s="654">
        <f>ROW()</f>
        <v>247</v>
      </c>
      <c r="E247" s="1130" t="str">
        <f t="shared" ca="1" si="106"/>
        <v xml:space="preserve">Auf 130.559GWh/a wird die energetische Holznutzung in Deutschland insgesamt geschätzt (Summe der Postitionen [248]). </v>
      </c>
      <c r="F247" s="1130"/>
      <c r="G247" s="1130"/>
      <c r="H247" s="1130"/>
      <c r="I247" s="1130"/>
      <c r="J247" s="1130"/>
      <c r="K247" s="1130"/>
      <c r="L247" s="1130"/>
      <c r="M247" s="1130"/>
      <c r="N247" s="1131"/>
      <c r="O247" s="869">
        <v>247</v>
      </c>
      <c r="P247" s="573" t="str">
        <f t="shared" ca="1" si="107"/>
        <v>9.65</v>
      </c>
      <c r="Q247" s="574" t="str">
        <f t="shared" si="108"/>
        <v>S. 9</v>
      </c>
      <c r="R247" s="864"/>
      <c r="S247" s="784"/>
      <c r="T247" s="864"/>
      <c r="U247" s="1033" t="str">
        <f ca="1">"Auf "&amp;TEXT(W247,"0.000")&amp;"GWh/a wird die energetische Holznutzung in Deutschland insgesamt geschätzt (Summe der Postitionen "&amp;C248&amp;"). "</f>
        <v xml:space="preserve">Auf 130.559GWh/a wird die energetische Holznutzung in Deutschland insgesamt geschätzt (Summe der Postitionen [248]). </v>
      </c>
      <c r="V247" s="905" t="s">
        <v>126</v>
      </c>
      <c r="W247" s="1024">
        <f ca="1">AJ247</f>
        <v>130558.57142857142</v>
      </c>
      <c r="X247" s="672">
        <f>'9.Quellen'!C65</f>
        <v>65</v>
      </c>
      <c r="Y247" s="672" t="s">
        <v>413</v>
      </c>
      <c r="Z247" s="1025"/>
      <c r="AA247" s="905"/>
      <c r="AB247" s="801"/>
      <c r="AC247" s="801"/>
      <c r="AD247" s="801">
        <f ca="1">AH248</f>
        <v>44928.571428571428</v>
      </c>
      <c r="AE247" s="801" t="s">
        <v>384</v>
      </c>
      <c r="AF247" s="687">
        <v>65530</v>
      </c>
      <c r="AG247" s="801" t="s">
        <v>384</v>
      </c>
      <c r="AH247" s="801">
        <f>AL248</f>
        <v>20100</v>
      </c>
      <c r="AI247" s="801" t="str">
        <f>AM248</f>
        <v xml:space="preserve"> GWh</v>
      </c>
      <c r="AJ247" s="846">
        <f ca="1">AH247+AF247+AD247</f>
        <v>130558.57142857142</v>
      </c>
      <c r="AK247" s="801" t="s">
        <v>325</v>
      </c>
      <c r="AL247" s="847">
        <f ca="1">K103</f>
        <v>92.975722130699339</v>
      </c>
      <c r="AM247" s="848" t="s">
        <v>38</v>
      </c>
      <c r="AN247" s="849">
        <f ca="1">AD247*AL247%</f>
        <v>41772.663728721345</v>
      </c>
      <c r="AO247" s="848" t="s">
        <v>325</v>
      </c>
      <c r="AP247" s="849">
        <f ca="1">AF247*AL247%</f>
        <v>60926.990712247272</v>
      </c>
      <c r="AQ247" s="848" t="s">
        <v>21</v>
      </c>
      <c r="AR247" s="849">
        <f ca="1">AH247*AL247%</f>
        <v>18688.120148270566</v>
      </c>
      <c r="AS247" s="848" t="s">
        <v>325</v>
      </c>
      <c r="AT247" s="801"/>
      <c r="AU247" s="801"/>
      <c r="AV247" s="801"/>
      <c r="BF247" s="473"/>
      <c r="BI247" s="472" t="s">
        <v>126</v>
      </c>
      <c r="BJ247" s="490"/>
      <c r="BN247" s="656"/>
      <c r="BO247" s="472" t="s">
        <v>252</v>
      </c>
      <c r="CU247" s="480" t="str">
        <f t="shared" ref="CU247:CU250" ca="1" si="111">IF(U247="",BF247,U247)</f>
        <v xml:space="preserve">Auf 130.559GWh/a wird die energetische Holznutzung in Deutschland insgesamt geschätzt (Summe der Postitionen [248]). </v>
      </c>
      <c r="CV247" s="656"/>
      <c r="CW247" s="480"/>
      <c r="DS247" s="656"/>
      <c r="DT247" s="518"/>
      <c r="EJ247" s="472" t="str">
        <f t="shared" ca="1" si="109"/>
        <v>9.65</v>
      </c>
      <c r="EK247" s="472" t="str">
        <f t="shared" ca="1" si="110"/>
        <v>[D_Python.xlsx]9.Quellen!C65</v>
      </c>
      <c r="EV247" s="819">
        <f t="shared" ca="1" si="94"/>
        <v>247</v>
      </c>
      <c r="EW247" s="819"/>
    </row>
    <row r="248" spans="1:153" s="472" customFormat="1" ht="65">
      <c r="A248" s="654" t="str">
        <f t="shared" ca="1" si="92"/>
        <v>D.1.248</v>
      </c>
      <c r="B248" s="654" t="str">
        <f t="shared" ca="1" si="93"/>
        <v>1.248</v>
      </c>
      <c r="C248" s="654" t="str">
        <f t="shared" si="98"/>
        <v>[248]</v>
      </c>
      <c r="D248" s="654">
        <f>ROW()</f>
        <v>248</v>
      </c>
      <c r="E248" s="1130" t="str">
        <f t="shared" ca="1" si="106"/>
        <v xml:space="preserve">Die energetische Holznutzung in Deutschland 2013 resultiert aus der Endenergiebereitstellung und bei der Bruttostromerzeugung unter Berücksichtigung des Jahresnutzungsgrades der Kraftwerke [249]: 44.929 GWh Strom (28,0 % Nutzungsgrad gemäß [350]); 65.530 GWh  Wärme (Haushalte); 20.100 GWh  Wärme (Industrie);  vereinfachend wird bei Wärme (HW/HKW) ausschließlich von Heizkraftwerken ausgegangen, deren Holzbedarf bereits über die Stromerzeugung in die Kalkulation eingeht. </v>
      </c>
      <c r="F248" s="1130"/>
      <c r="G248" s="1130"/>
      <c r="H248" s="1130"/>
      <c r="I248" s="1130"/>
      <c r="J248" s="1130"/>
      <c r="K248" s="1130"/>
      <c r="L248" s="1130"/>
      <c r="M248" s="1130"/>
      <c r="N248" s="1131"/>
      <c r="O248" s="869">
        <v>248</v>
      </c>
      <c r="P248" s="573" t="str">
        <f t="shared" ca="1" si="107"/>
        <v>9.65</v>
      </c>
      <c r="Q248" s="574" t="str">
        <f t="shared" si="108"/>
        <v>S. 9, 13</v>
      </c>
      <c r="R248" s="864"/>
      <c r="S248" s="784"/>
      <c r="T248" s="864"/>
      <c r="U248" s="1033" t="str">
        <f ca="1">"Die energetische Holznutzung in Deutschland 2013 resultiert aus der Endenergiebereitstellung und bei der Bruttostromerzeugung unter Berücksichtigung des Jahresnutzungsgrades der Kraftwerke "&amp;C249&amp;": "&amp;TEXT(AH248,"0.000")&amp;AI248&amp;" Strom ("&amp;TEXT(AF248,"0,0")&amp;" % Nutzungsgrad gemäß "&amp;C350&amp;"); "&amp;TEXT(AJ248,"0.000")&amp;AK248&amp;" Wärme (Haushalte); "&amp;TEXT(AL248,"0.000")&amp;AM248&amp;"  Wärme (Industrie);  vereinfachend wird bei Wärme (HW/HKW) ausschließlich von Heizkraftwerken ausgegangen, deren Holzbedarf bereits über die Stromerzeugung in die Kalkulation eingeht. "</f>
        <v xml:space="preserve">Die energetische Holznutzung in Deutschland 2013 resultiert aus der Endenergiebereitstellung und bei der Bruttostromerzeugung unter Berücksichtigung des Jahresnutzungsgrades der Kraftwerke [249]: 44.929 GWh Strom (28,0 % Nutzungsgrad gemäß [350]); 65.530 GWh  Wärme (Haushalte); 20.100 GWh  Wärme (Industrie);  vereinfachend wird bei Wärme (HW/HKW) ausschließlich von Heizkraftwerken ausgegangen, deren Holzbedarf bereits über die Stromerzeugung in die Kalkulation eingeht. </v>
      </c>
      <c r="V248" s="905" t="s">
        <v>126</v>
      </c>
      <c r="W248" s="1024"/>
      <c r="X248" s="672">
        <f>'9.Quellen'!C65</f>
        <v>65</v>
      </c>
      <c r="Y248" s="672" t="s">
        <v>414</v>
      </c>
      <c r="Z248" s="1025"/>
      <c r="AA248" s="905"/>
      <c r="AB248" s="801"/>
      <c r="AC248" s="801"/>
      <c r="AD248" s="801">
        <v>12580</v>
      </c>
      <c r="AE248" s="801" t="s">
        <v>384</v>
      </c>
      <c r="AF248" s="562">
        <f ca="1">K337</f>
        <v>28</v>
      </c>
      <c r="AG248" s="801" t="s">
        <v>38</v>
      </c>
      <c r="AH248" s="801">
        <f ca="1">AD248/AF248%</f>
        <v>44928.571428571428</v>
      </c>
      <c r="AI248" s="801" t="s">
        <v>325</v>
      </c>
      <c r="AJ248" s="687">
        <v>65530</v>
      </c>
      <c r="AK248" s="801" t="s">
        <v>384</v>
      </c>
      <c r="AL248" s="801">
        <v>20100</v>
      </c>
      <c r="AM248" s="801" t="s">
        <v>325</v>
      </c>
      <c r="AN248" s="801"/>
      <c r="AO248" s="801"/>
      <c r="AP248" s="801"/>
      <c r="AQ248" s="801"/>
      <c r="AR248" s="801"/>
      <c r="AS248" s="801"/>
      <c r="AT248" s="801"/>
      <c r="AU248" s="801"/>
      <c r="AV248" s="801"/>
      <c r="BF248" s="473"/>
      <c r="BI248" s="472" t="s">
        <v>126</v>
      </c>
      <c r="BJ248" s="490"/>
      <c r="BN248" s="656"/>
      <c r="BO248" s="472" t="s">
        <v>252</v>
      </c>
      <c r="CU248" s="480" t="str">
        <f t="shared" ca="1" si="111"/>
        <v xml:space="preserve">Die energetische Holznutzung in Deutschland 2013 resultiert aus der Endenergiebereitstellung und bei der Bruttostromerzeugung unter Berücksichtigung des Jahresnutzungsgrades der Kraftwerke [249]: 44.929 GWh Strom (28,0 % Nutzungsgrad gemäß [350]); 65.530 GWh  Wärme (Haushalte); 20.100 GWh  Wärme (Industrie);  vereinfachend wird bei Wärme (HW/HKW) ausschließlich von Heizkraftwerken ausgegangen, deren Holzbedarf bereits über die Stromerzeugung in die Kalkulation eingeht. </v>
      </c>
      <c r="CV248" s="656"/>
      <c r="CW248" s="480"/>
      <c r="DS248" s="656"/>
      <c r="DT248" s="518"/>
      <c r="EJ248" s="472" t="str">
        <f t="shared" ca="1" si="109"/>
        <v>9.65</v>
      </c>
      <c r="EK248" s="472" t="str">
        <f t="shared" ca="1" si="110"/>
        <v>[D_Python.xlsx]9.Quellen!C65</v>
      </c>
      <c r="EV248" s="819">
        <f t="shared" ca="1" si="94"/>
        <v>248</v>
      </c>
      <c r="EW248" s="819"/>
    </row>
    <row r="249" spans="1:153" s="472" customFormat="1" ht="51.75" customHeight="1">
      <c r="A249" s="654" t="str">
        <f t="shared" ca="1" si="92"/>
        <v>D.1.249</v>
      </c>
      <c r="B249" s="654" t="str">
        <f t="shared" ca="1" si="93"/>
        <v>1.249</v>
      </c>
      <c r="C249" s="654" t="str">
        <f t="shared" si="98"/>
        <v>[249]</v>
      </c>
      <c r="D249" s="654">
        <f>ROW()</f>
        <v>249</v>
      </c>
      <c r="E249" s="1130" t="str">
        <f t="shared" ca="1" si="106"/>
        <v xml:space="preserve">Energiebereitstellung bzw. Bruttostromerzeugung aus Holz in Deutschland 2013 gemäß [9.66], S. 9, 13, aufgrund der Werte für biogene Festbrennstoffe, eine Abgrenzung von Holz zu anderen Feststoffen wie z. B. Abfallverbrennung war aus Mangel geeigneter Daten nicht möglich: 12.580 GWh  Strom; 65.530 GWh  Wärme (Haushalte); 20.100 GWh  Wärme (Industrie);  7.510 GWh  Wärme (Heizwerke/Heizkraftwerke). </v>
      </c>
      <c r="F249" s="1130"/>
      <c r="G249" s="1130"/>
      <c r="H249" s="1130"/>
      <c r="I249" s="1130"/>
      <c r="J249" s="1130"/>
      <c r="K249" s="1130"/>
      <c r="L249" s="1130"/>
      <c r="M249" s="1130"/>
      <c r="N249" s="1131"/>
      <c r="O249" s="869">
        <v>249</v>
      </c>
      <c r="P249" s="573" t="str">
        <f t="shared" ca="1" si="107"/>
        <v>9.66</v>
      </c>
      <c r="Q249" s="574" t="str">
        <f t="shared" si="108"/>
        <v>S. 9, 13</v>
      </c>
      <c r="R249" s="864"/>
      <c r="S249" s="784"/>
      <c r="T249" s="864"/>
      <c r="U249" s="1033" t="str">
        <f ca="1">"Energiebereitstellung bzw. Bruttostromerzeugung aus Holz in Deutschland 2013 gemäß ["&amp;P249&amp;"], "&amp;Y249&amp;", aufgrund der Werte für biogene Festbrennstoffe, eine Abgrenzung von Holz zu anderen Feststoffen wie z. B. Abfallverbrennung war aus Mangel geeigneter Daten nicht möglich: "&amp;TEXT(AD249,"0.000")&amp;AE249&amp;" Strom; "&amp;TEXT(AF249,"0.000")&amp;AG249&amp;" Wärme (Haushalte); "&amp;TEXT(AH249,"0.000")&amp;AI249&amp;"  Wärme (Industrie);  "&amp;TEXT(AJ249,"0.000")&amp;AK249&amp;"  Wärme (Heizwerke/Heizkraftwerke). "</f>
        <v xml:space="preserve">Energiebereitstellung bzw. Bruttostromerzeugung aus Holz in Deutschland 2013 gemäß [9.66], S. 9, 13, aufgrund der Werte für biogene Festbrennstoffe, eine Abgrenzung von Holz zu anderen Feststoffen wie z. B. Abfallverbrennung war aus Mangel geeigneter Daten nicht möglich: 12.580 GWh  Strom; 65.530 GWh  Wärme (Haushalte); 20.100 GWh  Wärme (Industrie);  7.510 GWh  Wärme (Heizwerke/Heizkraftwerke). </v>
      </c>
      <c r="V249" s="905" t="s">
        <v>126</v>
      </c>
      <c r="W249" s="1024"/>
      <c r="X249" s="672">
        <f>'9.Quellen'!C66</f>
        <v>66</v>
      </c>
      <c r="Y249" s="672" t="s">
        <v>414</v>
      </c>
      <c r="Z249" s="1025"/>
      <c r="AA249" s="905"/>
      <c r="AB249" s="801"/>
      <c r="AC249" s="801"/>
      <c r="AD249" s="599">
        <v>12580</v>
      </c>
      <c r="AE249" s="801" t="s">
        <v>384</v>
      </c>
      <c r="AF249" s="687">
        <v>65530</v>
      </c>
      <c r="AG249" s="801" t="s">
        <v>384</v>
      </c>
      <c r="AH249" s="801">
        <v>20100</v>
      </c>
      <c r="AI249" s="801" t="s">
        <v>325</v>
      </c>
      <c r="AJ249" s="599">
        <v>7510</v>
      </c>
      <c r="AK249" s="801" t="s">
        <v>325</v>
      </c>
      <c r="AL249" s="801"/>
      <c r="AM249" s="801"/>
      <c r="AN249" s="801"/>
      <c r="AO249" s="801"/>
      <c r="AP249" s="801"/>
      <c r="AQ249" s="801"/>
      <c r="AR249" s="801"/>
      <c r="AS249" s="801"/>
      <c r="AT249" s="801"/>
      <c r="AU249" s="801"/>
      <c r="AV249" s="801"/>
      <c r="BF249" s="473"/>
      <c r="BI249" s="472" t="s">
        <v>126</v>
      </c>
      <c r="BJ249" s="490"/>
      <c r="BN249" s="656"/>
      <c r="BO249" s="472" t="s">
        <v>252</v>
      </c>
      <c r="CU249" s="480" t="str">
        <f t="shared" ca="1" si="111"/>
        <v xml:space="preserve">Energiebereitstellung bzw. Bruttostromerzeugung aus Holz in Deutschland 2013 gemäß [9.66], S. 9, 13, aufgrund der Werte für biogene Festbrennstoffe, eine Abgrenzung von Holz zu anderen Feststoffen wie z. B. Abfallverbrennung war aus Mangel geeigneter Daten nicht möglich: 12.580 GWh  Strom; 65.530 GWh  Wärme (Haushalte); 20.100 GWh  Wärme (Industrie);  7.510 GWh  Wärme (Heizwerke/Heizkraftwerke). </v>
      </c>
      <c r="CV249" s="656"/>
      <c r="CW249" s="480"/>
      <c r="DS249" s="656"/>
      <c r="DT249" s="518"/>
      <c r="EJ249" s="472" t="str">
        <f t="shared" ca="1" si="109"/>
        <v>9.66</v>
      </c>
      <c r="EK249" s="472" t="str">
        <f t="shared" ca="1" si="110"/>
        <v>[D_Python.xlsx]9.Quellen!C66</v>
      </c>
      <c r="EV249" s="819">
        <f t="shared" ca="1" si="94"/>
        <v>249</v>
      </c>
      <c r="EW249" s="819"/>
    </row>
    <row r="250" spans="1:153" s="472" customFormat="1" ht="39">
      <c r="A250" s="654" t="str">
        <f t="shared" ca="1" si="92"/>
        <v>D.1.250</v>
      </c>
      <c r="B250" s="654" t="str">
        <f t="shared" ca="1" si="93"/>
        <v>1.250</v>
      </c>
      <c r="C250" s="654" t="str">
        <f t="shared" si="98"/>
        <v>[250]</v>
      </c>
      <c r="D250" s="654">
        <f>ROW()</f>
        <v>250</v>
      </c>
      <c r="E250" s="1130" t="str">
        <f ca="1">CU250</f>
        <v xml:space="preserve">286.758 GWh/a (bezogen auf Vorratsfestmeter Vfm) beträgt das Energiepotenzial des jährlichen Holzzuwachses in den Forsten Deutschlands, resultierend aus einer Forstfläche von 10.581.468 ha [109] und einem Energieertrag von 27,1 Mio. Fm/a[258]. </v>
      </c>
      <c r="F250" s="1130"/>
      <c r="G250" s="1130"/>
      <c r="H250" s="1130"/>
      <c r="I250" s="1130"/>
      <c r="J250" s="1130"/>
      <c r="K250" s="1130"/>
      <c r="L250" s="1130"/>
      <c r="M250" s="1130"/>
      <c r="N250" s="1131"/>
      <c r="O250" s="869">
        <v>250</v>
      </c>
      <c r="P250" s="573" t="str">
        <f t="shared" ca="1" si="107"/>
        <v/>
      </c>
      <c r="Q250" s="574" t="str">
        <f t="shared" si="108"/>
        <v xml:space="preserve"> </v>
      </c>
      <c r="R250" s="864"/>
      <c r="S250" s="784"/>
      <c r="T250" s="864"/>
      <c r="U250" s="1033" t="str">
        <f ca="1">TEXT(AH250,"0.000")&amp;AI250&amp;" (bezogen auf Vorratsfestmeter Vfm) beträgt das Energiepotenzial des jährlichen Holzzuwachses in den Forsten Deutschlands, resultierend aus einer Forstfläche von "&amp;TEXT(AF250,"0.000")&amp;" ha "&amp;C109&amp;" und einem Energieertrag von "&amp;TEXT(AD250,"0,0")&amp;AE250&amp;C258&amp;". "</f>
        <v xml:space="preserve">286.758 GWh/a (bezogen auf Vorratsfestmeter Vfm) beträgt das Energiepotenzial des jährlichen Holzzuwachses in den Forsten Deutschlands, resultierend aus einer Forstfläche von 10.581.468 ha [109] und einem Energieertrag von 27,1 Mio. Fm/a[258]. </v>
      </c>
      <c r="V250" s="905" t="s">
        <v>126</v>
      </c>
      <c r="W250" s="1024">
        <f ca="1">AH250</f>
        <v>286757.78279999999</v>
      </c>
      <c r="X250" s="672"/>
      <c r="Y250" s="672" t="s">
        <v>126</v>
      </c>
      <c r="Z250" s="1025"/>
      <c r="AA250" s="905"/>
      <c r="AB250" s="801"/>
      <c r="AC250" s="801"/>
      <c r="AD250" s="562">
        <f>W258</f>
        <v>27.1</v>
      </c>
      <c r="AE250" s="801" t="str">
        <f>AQ258</f>
        <v xml:space="preserve"> Mio. Fm/a</v>
      </c>
      <c r="AF250" s="687">
        <f ca="1">K109</f>
        <v>10581468</v>
      </c>
      <c r="AG250" s="801" t="s">
        <v>382</v>
      </c>
      <c r="AH250" s="801">
        <f ca="1">AD250*AF250/1000</f>
        <v>286757.78279999999</v>
      </c>
      <c r="AI250" s="801" t="s">
        <v>288</v>
      </c>
      <c r="AJ250" s="801"/>
      <c r="AK250" s="801"/>
      <c r="AL250" s="801"/>
      <c r="AM250" s="801"/>
      <c r="AN250" s="801"/>
      <c r="AO250" s="801"/>
      <c r="AP250" s="801"/>
      <c r="AQ250" s="801"/>
      <c r="AR250" s="801"/>
      <c r="AS250" s="801"/>
      <c r="AT250" s="801"/>
      <c r="AU250" s="801"/>
      <c r="AV250" s="801"/>
      <c r="BF250" s="473"/>
      <c r="BI250" s="472" t="s">
        <v>126</v>
      </c>
      <c r="BJ250" s="490"/>
      <c r="BN250" s="656"/>
      <c r="BO250" s="472" t="s">
        <v>252</v>
      </c>
      <c r="CU250" s="480" t="str">
        <f t="shared" ca="1" si="111"/>
        <v xml:space="preserve">286.758 GWh/a (bezogen auf Vorratsfestmeter Vfm) beträgt das Energiepotenzial des jährlichen Holzzuwachses in den Forsten Deutschlands, resultierend aus einer Forstfläche von 10.581.468 ha [109] und einem Energieertrag von 27,1 Mio. Fm/a[258]. </v>
      </c>
      <c r="CV250" s="656"/>
      <c r="CW250" s="480"/>
      <c r="DS250" s="656"/>
      <c r="DT250" s="518"/>
      <c r="EJ250" s="472" t="str">
        <f t="shared" si="109"/>
        <v/>
      </c>
      <c r="EK250" s="472" t="str">
        <f t="shared" ca="1" si="110"/>
        <v>[D_Python.xlsx]9.Quellen!C</v>
      </c>
      <c r="EV250" s="819">
        <f t="shared" ca="1" si="94"/>
        <v>250</v>
      </c>
      <c r="EW250" s="819"/>
    </row>
    <row r="251" spans="1:153" s="661" customFormat="1" ht="4">
      <c r="A251" s="677" t="str">
        <f t="shared" ref="A251" ca="1" si="112">BT$1&amp;D251</f>
        <v>D.1.251</v>
      </c>
      <c r="B251" s="677" t="str">
        <f t="shared" ref="B251" ca="1" si="113">BW$1&amp;D251</f>
        <v>1.251</v>
      </c>
      <c r="C251" s="677" t="str">
        <f t="shared" ref="C251" si="114">CE$1&amp;D251&amp;CF$1</f>
        <v>[251]</v>
      </c>
      <c r="D251" s="677">
        <f>ROW()</f>
        <v>251</v>
      </c>
      <c r="E251" s="680"/>
      <c r="F251" s="680"/>
      <c r="G251" s="680"/>
      <c r="H251" s="680"/>
      <c r="I251" s="679"/>
      <c r="J251" s="679"/>
      <c r="K251" s="679"/>
      <c r="L251" s="679"/>
      <c r="M251" s="679"/>
      <c r="N251" s="680"/>
      <c r="O251" s="871">
        <v>251</v>
      </c>
      <c r="P251" s="688"/>
      <c r="Q251" s="689"/>
      <c r="R251" s="888"/>
      <c r="S251" s="802"/>
      <c r="T251" s="882"/>
      <c r="AB251" s="675"/>
      <c r="AC251" s="675"/>
      <c r="AD251" s="675"/>
      <c r="AE251" s="675"/>
      <c r="AF251" s="675"/>
      <c r="AG251" s="675"/>
      <c r="AH251" s="675"/>
      <c r="AI251" s="675"/>
      <c r="AJ251" s="675"/>
      <c r="AK251" s="675"/>
      <c r="AL251" s="675"/>
      <c r="AM251" s="675"/>
      <c r="AN251" s="675"/>
      <c r="AO251" s="675"/>
      <c r="AP251" s="675"/>
      <c r="AQ251" s="675"/>
      <c r="AR251" s="675"/>
      <c r="AS251" s="675"/>
      <c r="AT251" s="675"/>
      <c r="AU251" s="675"/>
      <c r="AV251" s="675"/>
      <c r="BI251" s="661" t="s">
        <v>126</v>
      </c>
      <c r="BJ251" s="665"/>
      <c r="CU251" s="662"/>
      <c r="CW251" s="662"/>
      <c r="EV251" s="818" t="str">
        <f t="shared" ref="EV251" si="115">IF(U251&amp;BP251="","",D251)</f>
        <v/>
      </c>
      <c r="EW251" s="818"/>
    </row>
    <row r="252" spans="1:153" s="472" customFormat="1" ht="39">
      <c r="A252" s="654" t="str">
        <f t="shared" ca="1" si="92"/>
        <v>D.1.252</v>
      </c>
      <c r="B252" s="654" t="str">
        <f t="shared" ca="1" si="93"/>
        <v>1.252</v>
      </c>
      <c r="C252" s="654" t="str">
        <f t="shared" si="98"/>
        <v>[252]</v>
      </c>
      <c r="D252" s="654">
        <f>ROW()</f>
        <v>252</v>
      </c>
      <c r="E252" s="1139" t="str">
        <f t="shared" ref="E252" si="116">CU252</f>
        <v xml:space="preserve">- ZIEL-Ansatz: Das Potenzial an Energieholz direkt aus dem Wald mit einem Anteil von 23,3% am jährlichen Zuwachs [253] und aus anderen Quellen mit einem Anteil von 21,1% [255] ergibt einen insgesamt nutzbaren Anteil von 44,4% des jährlichen Zuwachses. </v>
      </c>
      <c r="F252" s="1139"/>
      <c r="G252" s="1139"/>
      <c r="H252" s="1139"/>
      <c r="I252" s="1139"/>
      <c r="J252" s="1139"/>
      <c r="K252" s="1139"/>
      <c r="L252" s="1139"/>
      <c r="M252" s="1139"/>
      <c r="N252" s="1140"/>
      <c r="O252" s="869">
        <v>252</v>
      </c>
      <c r="P252" s="573" t="str">
        <f t="shared" ca="1" si="107"/>
        <v/>
      </c>
      <c r="Q252" s="822" t="str">
        <f t="shared" si="108"/>
        <v xml:space="preserve"> </v>
      </c>
      <c r="R252" s="852"/>
      <c r="S252" s="784"/>
      <c r="T252" s="864"/>
      <c r="U252" s="1023" t="str">
        <f>"Das Potenzial an Energieholz direkt aus dem Wald mit einem Anteil von "&amp;TEXT(AF252,"0,0")&amp;AG252&amp;" am jährlichen Zuwachs "&amp;C253&amp;" und aus anderen Quellen mit einem Anteil von "&amp;TEXT(AH252,"0,0")&amp;AI252&amp;" "&amp;C255&amp;" ergibt einen insgesamt nutzbaren Anteil von "&amp;TEXT(AJ252,"0,0")&amp;AK252&amp;" des jährlichen Zuwachses. "</f>
        <v xml:space="preserve">Das Potenzial an Energieholz direkt aus dem Wald mit einem Anteil von 23,3% am jährlichen Zuwachs [253] und aus anderen Quellen mit einem Anteil von 21,1% [255] ergibt einen insgesamt nutzbaren Anteil von 44,4% des jährlichen Zuwachses. </v>
      </c>
      <c r="V252" s="905" t="s">
        <v>126</v>
      </c>
      <c r="W252" s="1034">
        <f>AJ252</f>
        <v>44.441067207024659</v>
      </c>
      <c r="X252" s="672"/>
      <c r="Y252" s="672" t="s">
        <v>126</v>
      </c>
      <c r="Z252" s="1025"/>
      <c r="AA252" s="905"/>
      <c r="AB252" s="801"/>
      <c r="AC252" s="1020"/>
      <c r="AD252" s="779">
        <v>27.5</v>
      </c>
      <c r="AE252" s="779" t="s">
        <v>387</v>
      </c>
      <c r="AF252" s="801">
        <f>AJ253</f>
        <v>23.333333333333336</v>
      </c>
      <c r="AG252" s="801" t="str">
        <f>AK253</f>
        <v>%</v>
      </c>
      <c r="AH252" s="801">
        <f>AP255</f>
        <v>21.107733873691323</v>
      </c>
      <c r="AI252" s="801" t="str">
        <f>AQ255</f>
        <v>%</v>
      </c>
      <c r="AJ252" s="801">
        <f>AF252+AH252</f>
        <v>44.441067207024659</v>
      </c>
      <c r="AK252" s="801" t="s">
        <v>38</v>
      </c>
      <c r="AL252" s="801"/>
      <c r="AM252" s="801"/>
      <c r="AN252" s="801"/>
      <c r="AO252" s="801"/>
      <c r="AP252" s="801"/>
      <c r="AQ252" s="801"/>
      <c r="AR252" s="801"/>
      <c r="AS252" s="801"/>
      <c r="AT252" s="801"/>
      <c r="AU252" s="801"/>
      <c r="AV252" s="801"/>
      <c r="BF252" s="473"/>
      <c r="BI252" s="472" t="s">
        <v>126</v>
      </c>
      <c r="BJ252" s="490"/>
      <c r="BN252" s="656"/>
      <c r="BO252" s="472" t="s">
        <v>259</v>
      </c>
      <c r="CU252" s="480" t="str">
        <f>CH$1&amp;IF(U252="",BF252,U252)</f>
        <v xml:space="preserve">- ZIEL-Ansatz: Das Potenzial an Energieholz direkt aus dem Wald mit einem Anteil von 23,3% am jährlichen Zuwachs [253] und aus anderen Quellen mit einem Anteil von 21,1% [255] ergibt einen insgesamt nutzbaren Anteil von 44,4% des jährlichen Zuwachses. </v>
      </c>
      <c r="CV252" s="656"/>
      <c r="CW252" s="480"/>
      <c r="DS252" s="656"/>
      <c r="DT252" s="518">
        <v>53</v>
      </c>
      <c r="EJ252" s="472" t="str">
        <f t="shared" si="109"/>
        <v/>
      </c>
      <c r="EK252" s="472" t="str">
        <f t="shared" ca="1" si="110"/>
        <v>[D_Python.xlsx]9.Quellen!C</v>
      </c>
      <c r="EV252" s="819">
        <f t="shared" si="94"/>
        <v>252</v>
      </c>
      <c r="EW252" s="819"/>
    </row>
    <row r="253" spans="1:153" s="798" customFormat="1" ht="26">
      <c r="A253" s="654" t="str">
        <f t="shared" ca="1" si="92"/>
        <v>D.1.253</v>
      </c>
      <c r="B253" s="654" t="str">
        <f t="shared" ca="1" si="93"/>
        <v>1.253</v>
      </c>
      <c r="C253" s="654" t="str">
        <f t="shared" si="98"/>
        <v>[253]</v>
      </c>
      <c r="D253" s="654">
        <f>ROW()</f>
        <v>253</v>
      </c>
      <c r="E253" s="1139" t="str">
        <f>CU253</f>
        <v>Unter der Annahme, dass 50% des insgesamt im Wald geernteten Holzes gemäß [254] direkt energetisch genutzt werden, sind das 23,3% vom Zuwachs.</v>
      </c>
      <c r="F253" s="1139"/>
      <c r="G253" s="1139"/>
      <c r="H253" s="1139"/>
      <c r="I253" s="1139"/>
      <c r="J253" s="1139"/>
      <c r="K253" s="1139"/>
      <c r="L253" s="1139"/>
      <c r="M253" s="1139"/>
      <c r="N253" s="1140"/>
      <c r="O253" s="873">
        <v>253</v>
      </c>
      <c r="P253" s="691" t="str">
        <f t="shared" ca="1" si="107"/>
        <v/>
      </c>
      <c r="Q253" s="692" t="str">
        <f t="shared" si="108"/>
        <v xml:space="preserve"> </v>
      </c>
      <c r="R253" s="852"/>
      <c r="S253" s="784"/>
      <c r="T253" s="864"/>
      <c r="U253" s="1023" t="str">
        <f>"Unter der Annahme, dass "&amp;AH253&amp;AI253&amp;" des insgesamt im Wald geernteten Holzes gemäß "&amp;C254&amp;" direkt energetisch genutzt werden, sind das "&amp;TEXT(AJ253,"0,0")&amp;AK253&amp;" vom Zuwachs."</f>
        <v>Unter der Annahme, dass 50% des insgesamt im Wald geernteten Holzes gemäß [254] direkt energetisch genutzt werden, sind das 23,3% vom Zuwachs.</v>
      </c>
      <c r="V253" s="905" t="s">
        <v>126</v>
      </c>
      <c r="W253" s="1034"/>
      <c r="X253" s="672"/>
      <c r="Y253" s="672" t="s">
        <v>126</v>
      </c>
      <c r="Z253" s="1025"/>
      <c r="AA253" s="905"/>
      <c r="AB253" s="801"/>
      <c r="AC253" s="801"/>
      <c r="AD253" s="779">
        <v>50</v>
      </c>
      <c r="AE253" s="779" t="s">
        <v>387</v>
      </c>
      <c r="AF253" s="801">
        <f>AL254</f>
        <v>46.666666666666671</v>
      </c>
      <c r="AG253" s="801" t="str">
        <f>AM254</f>
        <v>%</v>
      </c>
      <c r="AH253" s="801">
        <v>50</v>
      </c>
      <c r="AI253" s="801" t="s">
        <v>38</v>
      </c>
      <c r="AJ253" s="801">
        <f>AF253*AH253%</f>
        <v>23.333333333333336</v>
      </c>
      <c r="AK253" s="801" t="s">
        <v>38</v>
      </c>
      <c r="AL253" s="801"/>
      <c r="AM253" s="801"/>
      <c r="AN253" s="801"/>
      <c r="AO253" s="801"/>
      <c r="AP253" s="801"/>
      <c r="AQ253" s="801"/>
      <c r="AR253" s="801"/>
      <c r="AS253" s="801"/>
      <c r="AT253" s="801"/>
      <c r="AU253" s="801"/>
      <c r="AV253" s="801"/>
      <c r="BF253" s="657"/>
      <c r="BI253" s="798" t="s">
        <v>126</v>
      </c>
      <c r="BJ253" s="666"/>
      <c r="BO253" s="798" t="s">
        <v>252</v>
      </c>
      <c r="CU253" s="663" t="str">
        <f>IF(U253="",BF253,U253)</f>
        <v>Unter der Annahme, dass 50% des insgesamt im Wald geernteten Holzes gemäß [254] direkt energetisch genutzt werden, sind das 23,3% vom Zuwachs.</v>
      </c>
      <c r="CW253" s="663"/>
      <c r="DT253" s="671"/>
      <c r="EJ253" s="798" t="str">
        <f t="shared" si="109"/>
        <v/>
      </c>
      <c r="EK253" s="798" t="str">
        <f t="shared" ca="1" si="110"/>
        <v>[D_Python.xlsx]9.Quellen!C</v>
      </c>
      <c r="EV253" s="819">
        <f t="shared" si="94"/>
        <v>253</v>
      </c>
      <c r="EW253" s="819"/>
    </row>
    <row r="254" spans="1:153" s="798" customFormat="1" ht="52">
      <c r="A254" s="654" t="str">
        <f t="shared" ref="A254" ca="1" si="117">BT$1&amp;D254</f>
        <v>D.1.254</v>
      </c>
      <c r="B254" s="654" t="str">
        <f t="shared" ref="B254" ca="1" si="118">BW$1&amp;D254</f>
        <v>1.254</v>
      </c>
      <c r="C254" s="654" t="str">
        <f t="shared" ref="C254" si="119">CE$1&amp;D254&amp;CF$1</f>
        <v>[254]</v>
      </c>
      <c r="D254" s="654">
        <f>ROW()</f>
        <v>254</v>
      </c>
      <c r="E254" s="1125" t="str">
        <f ca="1">CU254</f>
        <v>Bei einem schonenden, naturschtzorientierten Waldbau gemäß Clusterstudie der Forstlichen Versuchstanstalt für Niedersachsen, wie er in diesem Szenario für Deutschland angenommen wird, ist zumindest ein Erhalt des jährlichen Holz-Volumenzuwachses (Vorratsfestmeter)  zu erwarten, dies setzt aber die Begrenzung der Holznutzung (Erntefestmeter) auf 4,9 Efm/ha/a voraus [9.202], S. 67 ff., entsprechend 46,7% vom Zuwachs.</v>
      </c>
      <c r="F254" s="1125"/>
      <c r="G254" s="1125"/>
      <c r="H254" s="1125"/>
      <c r="I254" s="1125"/>
      <c r="J254" s="1125"/>
      <c r="K254" s="1125"/>
      <c r="L254" s="1125"/>
      <c r="M254" s="1125"/>
      <c r="N254" s="1132"/>
      <c r="O254" s="873">
        <v>254</v>
      </c>
      <c r="P254" s="691" t="str">
        <f t="shared" ref="P254" ca="1" si="120">HYPERLINK(EK254,EJ254)</f>
        <v>9.202</v>
      </c>
      <c r="Q254" s="692" t="str">
        <f t="shared" ref="Q254" si="121">Y254</f>
        <v>S. 67 ff.</v>
      </c>
      <c r="R254" s="852"/>
      <c r="S254" s="784"/>
      <c r="T254" s="864"/>
      <c r="U254" s="1023" t="str">
        <f ca="1">"Bei einem schonenden, naturschtzorientierten Waldbau gemäß Clusterstudie der Forstlichen Versuchstanstalt für Niedersachsen, wie er in diesem Szenario für Deutschland angenommen wird, "&amp;"ist zumindest ein Erhalt des jährlichen Holz-Volumenzuwachses (Vorratsfestmeter) "&amp;" zu erwarten, dies setzt aber die Begrenzung der Holznutzung (Erntefestmeter) auf "&amp;AJ254&amp;AK254&amp;" voraus ["&amp;P254&amp;"], "&amp;Q254&amp;", entsprechend "&amp;TEXT(AL254,"0,0")&amp;AM254&amp;" vom Zuwachs."</f>
        <v>Bei einem schonenden, naturschtzorientierten Waldbau gemäß Clusterstudie der Forstlichen Versuchstanstalt für Niedersachsen, wie er in diesem Szenario für Deutschland angenommen wird, ist zumindest ein Erhalt des jährlichen Holz-Volumenzuwachses (Vorratsfestmeter)  zu erwarten, dies setzt aber die Begrenzung der Holznutzung (Erntefestmeter) auf 4,9 Efm/ha/a voraus [9.202], S. 67 ff., entsprechend 46,7% vom Zuwachs.</v>
      </c>
      <c r="V254" s="905" t="s">
        <v>126</v>
      </c>
      <c r="W254" s="1034"/>
      <c r="X254" s="672">
        <f>'9.Quellen'!C202</f>
        <v>202</v>
      </c>
      <c r="Y254" s="672" t="s">
        <v>963</v>
      </c>
      <c r="Z254" s="1025"/>
      <c r="AA254" s="905"/>
      <c r="AB254" s="801"/>
      <c r="AC254" s="801"/>
      <c r="AD254" s="779"/>
      <c r="AE254" s="779"/>
      <c r="AF254" s="801">
        <f>AD261</f>
        <v>10.5</v>
      </c>
      <c r="AG254" s="801" t="str">
        <f>AE261</f>
        <v xml:space="preserve"> Vfm/ha/a  </v>
      </c>
      <c r="AH254" s="801">
        <f>AH261</f>
        <v>1.1585179372013579</v>
      </c>
      <c r="AI254" s="801" t="str">
        <f>AI261</f>
        <v xml:space="preserve">  Vfm/ha/a  </v>
      </c>
      <c r="AJ254" s="801">
        <v>4.9000000000000004</v>
      </c>
      <c r="AK254" s="801" t="s">
        <v>886</v>
      </c>
      <c r="AL254" s="801">
        <f>AJ254/AF254%</f>
        <v>46.666666666666671</v>
      </c>
      <c r="AM254" s="801" t="s">
        <v>38</v>
      </c>
      <c r="AN254" s="801"/>
      <c r="AO254" s="801"/>
      <c r="AP254" s="801"/>
      <c r="AQ254" s="801"/>
      <c r="AR254" s="801"/>
      <c r="AS254" s="801"/>
      <c r="AT254" s="801"/>
      <c r="AU254" s="801"/>
      <c r="AV254" s="801"/>
      <c r="BF254" s="657"/>
      <c r="BI254" s="798" t="s">
        <v>126</v>
      </c>
      <c r="BJ254" s="666"/>
      <c r="BO254" s="798" t="s">
        <v>252</v>
      </c>
      <c r="CU254" s="663" t="str">
        <f ca="1">IF(U254="",BF254,U254)</f>
        <v>Bei einem schonenden, naturschtzorientierten Waldbau gemäß Clusterstudie der Forstlichen Versuchstanstalt für Niedersachsen, wie er in diesem Szenario für Deutschland angenommen wird, ist zumindest ein Erhalt des jährlichen Holz-Volumenzuwachses (Vorratsfestmeter)  zu erwarten, dies setzt aber die Begrenzung der Holznutzung (Erntefestmeter) auf 4,9 Efm/ha/a voraus [9.202], S. 67 ff., entsprechend 46,7% vom Zuwachs.</v>
      </c>
      <c r="CW254" s="663"/>
      <c r="DT254" s="671"/>
      <c r="EJ254" s="798" t="str">
        <f t="shared" ref="EJ254" ca="1" si="122">IF(X254=0,"",EJ$1&amp;X254)</f>
        <v>9.202</v>
      </c>
      <c r="EK254" s="798" t="str">
        <f t="shared" ref="EK254" ca="1" si="123">EK$1&amp;X254</f>
        <v>[D_Python.xlsx]9.Quellen!C202</v>
      </c>
      <c r="EV254" s="819">
        <f t="shared" ref="EV254" ca="1" si="124">IF(U254&amp;BP254="","",D254)</f>
        <v>254</v>
      </c>
      <c r="EW254" s="819"/>
    </row>
    <row r="255" spans="1:153" s="472" customFormat="1" ht="85.5" customHeight="1">
      <c r="A255" s="654" t="str">
        <f ca="1">BT$1&amp;D255</f>
        <v>D.1.255</v>
      </c>
      <c r="B255" s="654" t="str">
        <f ca="1">BW$1&amp;D255</f>
        <v>1.255</v>
      </c>
      <c r="C255" s="654" t="str">
        <f>CE$1&amp;D255&amp;CF$1</f>
        <v>[255]</v>
      </c>
      <c r="D255" s="654">
        <f>ROW()</f>
        <v>255</v>
      </c>
      <c r="E255" s="1139" t="str">
        <f ca="1">CU255</f>
        <v>Auf Hinweis aus dem Nds. Landwirtschaftsministerium [9.182] wird das langfristig jährlich verfügbare Potenzial an Energieholz aus anderen Quellen wie folgt angesetzt: Landschaftspflegeholz 1,5 Mio. Fm/a, Altholz&amp;Abfallholz&amp;Industrieholz 1 Mio. Fm/a, insgesamt 2,5 Mio. Fm/a. Dies entspricht bei einem Zuwachs von 10,5 Vfm/ha/a [261] einer zusätzlichen virtuellen Waldfläche von 0,238  Mio. ha. Relativ zur bewirtschafteten Waldfläche Niedersachsens [9.105, Anhang D, D.1.113] von 1,128 Mio. ha [113] entspricht das 21,1%. Es wird davon ausgegangen, dass dieser Wert ohne gravierdende Fehler auch für Deutschland verwendbar ist.</v>
      </c>
      <c r="F255" s="1139"/>
      <c r="G255" s="1139"/>
      <c r="H255" s="1139"/>
      <c r="I255" s="1139"/>
      <c r="J255" s="1139"/>
      <c r="K255" s="1139"/>
      <c r="L255" s="1139"/>
      <c r="M255" s="1139"/>
      <c r="N255" s="1140"/>
      <c r="O255" s="873">
        <v>255</v>
      </c>
      <c r="P255" s="573" t="str">
        <f ca="1">HYPERLINK(EK255,EJ255)</f>
        <v>9.182</v>
      </c>
      <c r="Q255" s="574" t="str">
        <f>Y255</f>
        <v xml:space="preserve"> </v>
      </c>
      <c r="R255" s="852"/>
      <c r="S255" s="784"/>
      <c r="T255" s="864"/>
      <c r="U255" s="1033" t="str">
        <f ca="1">"Auf Hinweis aus dem Nds. Landwirtschaftsministerium ["&amp;P255&amp;"] wird das langfristig jährlich verfügbare Potenzial an Energieholz aus anderen Quellen wie folgt angesetzt: Landschaftspflegeholz "&amp;AD255&amp;AE255&amp;", Altholz&amp;Abfallholz&amp;Industrieholz "&amp;AF255&amp;AG255&amp;", insgesamt "&amp;AH255&amp;AI255&amp;". Dies entspricht bei einem Zuwachs von "&amp;AJ255&amp;AK255&amp;C261&amp;" einer zusätzlichen virtuellen Waldfläche von "&amp;TEXT(AL255,"0,000")&amp;AM255&amp;". Relativ zur bewirtschafteten Waldfläche Niedersachsens [9."&amp;'9.Quellen'!C105&amp;", Anhang D, D.1.113] von "&amp;TEXT(AN255,"0,000")&amp;AO255&amp;C113&amp;" entspricht das "&amp;TEXT(AP255,"0,0")&amp;AQ255&amp;". Es wird davon ausgegangen, dass dieser Wert ohne gravierdende Fehler auch für Deutschland verwendbar ist."</f>
        <v>Auf Hinweis aus dem Nds. Landwirtschaftsministerium [9.182] wird das langfristig jährlich verfügbare Potenzial an Energieholz aus anderen Quellen wie folgt angesetzt: Landschaftspflegeholz 1,5 Mio. Fm/a, Altholz&amp;Abfallholz&amp;Industrieholz 1 Mio. Fm/a, insgesamt 2,5 Mio. Fm/a. Dies entspricht bei einem Zuwachs von 10,5 Vfm/ha/a [261] einer zusätzlichen virtuellen Waldfläche von 0,238  Mio. ha. Relativ zur bewirtschafteten Waldfläche Niedersachsens [9.105, Anhang D, D.1.113] von 1,128 Mio. ha [113] entspricht das 21,1%. Es wird davon ausgegangen, dass dieser Wert ohne gravierdende Fehler auch für Deutschland verwendbar ist.</v>
      </c>
      <c r="V255" s="905" t="s">
        <v>126</v>
      </c>
      <c r="W255" s="1024"/>
      <c r="X255" s="672">
        <f>'9.Quellen'!C182</f>
        <v>182</v>
      </c>
      <c r="Y255" s="672" t="s">
        <v>126</v>
      </c>
      <c r="Z255" s="1025"/>
      <c r="AA255" s="905"/>
      <c r="AB255" s="801"/>
      <c r="AC255" s="801"/>
      <c r="AD255" s="801">
        <v>1.5</v>
      </c>
      <c r="AE255" s="801" t="s">
        <v>876</v>
      </c>
      <c r="AF255" s="801">
        <v>1</v>
      </c>
      <c r="AG255" s="801" t="s">
        <v>876</v>
      </c>
      <c r="AH255" s="801">
        <f>AD255+AF255</f>
        <v>2.5</v>
      </c>
      <c r="AI255" s="801" t="s">
        <v>876</v>
      </c>
      <c r="AJ255" s="801">
        <f>AD261</f>
        <v>10.5</v>
      </c>
      <c r="AK255" s="687" t="s">
        <v>882</v>
      </c>
      <c r="AL255" s="801">
        <f>AH255/AJ255</f>
        <v>0.23809523809523808</v>
      </c>
      <c r="AM255" s="801" t="s">
        <v>888</v>
      </c>
      <c r="AN255" s="801">
        <v>1.1279999999999999</v>
      </c>
      <c r="AO255" s="801" t="s">
        <v>743</v>
      </c>
      <c r="AP255" s="801">
        <f>AL255/AN255%</f>
        <v>21.107733873691323</v>
      </c>
      <c r="AQ255" s="801" t="s">
        <v>38</v>
      </c>
      <c r="AR255" s="801"/>
      <c r="AS255" s="801"/>
      <c r="AT255" s="801"/>
      <c r="AU255" s="801"/>
      <c r="AV255" s="801"/>
      <c r="BF255" s="473"/>
      <c r="BI255" s="472" t="s">
        <v>126</v>
      </c>
      <c r="BJ255" s="490"/>
      <c r="BN255" s="656"/>
      <c r="BO255" s="472" t="s">
        <v>252</v>
      </c>
      <c r="CU255" s="480" t="str">
        <f ca="1">IF(U255="",BF255,U255)</f>
        <v>Auf Hinweis aus dem Nds. Landwirtschaftsministerium [9.182] wird das langfristig jährlich verfügbare Potenzial an Energieholz aus anderen Quellen wie folgt angesetzt: Landschaftspflegeholz 1,5 Mio. Fm/a, Altholz&amp;Abfallholz&amp;Industrieholz 1 Mio. Fm/a, insgesamt 2,5 Mio. Fm/a. Dies entspricht bei einem Zuwachs von 10,5 Vfm/ha/a [261] einer zusätzlichen virtuellen Waldfläche von 0,238  Mio. ha. Relativ zur bewirtschafteten Waldfläche Niedersachsens [9.105, Anhang D, D.1.113] von 1,128 Mio. ha [113] entspricht das 21,1%. Es wird davon ausgegangen, dass dieser Wert ohne gravierdende Fehler auch für Deutschland verwendbar ist.</v>
      </c>
      <c r="CV255" s="656"/>
      <c r="CW255" s="480"/>
      <c r="DS255" s="656"/>
      <c r="DT255" s="518"/>
      <c r="EJ255" s="472" t="str">
        <f ca="1">IF(X255=0,"",EJ$1&amp;X255)</f>
        <v>9.182</v>
      </c>
      <c r="EK255" s="472" t="str">
        <f ca="1">EK$1&amp;X255</f>
        <v>[D_Python.xlsx]9.Quellen!C182</v>
      </c>
      <c r="EV255" s="819">
        <f ca="1">IF(U255&amp;BP255="","",D255)</f>
        <v>255</v>
      </c>
      <c r="EW255" s="819"/>
    </row>
    <row r="256" spans="1:153" s="478" customFormat="1" ht="4">
      <c r="A256" s="677" t="str">
        <f t="shared" ca="1" si="92"/>
        <v>D.1.256</v>
      </c>
      <c r="B256" s="677" t="str">
        <f t="shared" ca="1" si="93"/>
        <v>1.256</v>
      </c>
      <c r="C256" s="677" t="str">
        <f t="shared" si="98"/>
        <v>[256]</v>
      </c>
      <c r="D256" s="677">
        <f>ROW()</f>
        <v>256</v>
      </c>
      <c r="E256" s="548"/>
      <c r="F256" s="548"/>
      <c r="G256" s="548"/>
      <c r="H256" s="548"/>
      <c r="I256" s="549"/>
      <c r="J256" s="549"/>
      <c r="K256" s="549"/>
      <c r="L256" s="549"/>
      <c r="M256" s="549"/>
      <c r="N256" s="548"/>
      <c r="O256" s="871">
        <v>256</v>
      </c>
      <c r="P256" s="575"/>
      <c r="Q256" s="576"/>
      <c r="R256" s="888"/>
      <c r="S256" s="802"/>
      <c r="T256" s="882"/>
      <c r="U256" s="661"/>
      <c r="V256" s="661"/>
      <c r="W256" s="661"/>
      <c r="X256" s="661"/>
      <c r="Y256" s="661"/>
      <c r="Z256" s="661"/>
      <c r="AA256" s="661"/>
      <c r="AB256" s="675"/>
      <c r="AC256" s="675"/>
      <c r="AD256" s="675"/>
      <c r="AE256" s="675"/>
      <c r="AF256" s="675"/>
      <c r="AG256" s="675"/>
      <c r="AH256" s="675"/>
      <c r="AI256" s="675"/>
      <c r="AJ256" s="675"/>
      <c r="AK256" s="675"/>
      <c r="AL256" s="675"/>
      <c r="AM256" s="675"/>
      <c r="AN256" s="675"/>
      <c r="AO256" s="675"/>
      <c r="AP256" s="675"/>
      <c r="AQ256" s="675"/>
      <c r="AR256" s="675"/>
      <c r="AS256" s="675"/>
      <c r="AT256" s="675"/>
      <c r="AU256" s="675"/>
      <c r="AV256" s="675"/>
      <c r="AZ256" s="505"/>
      <c r="BB256" s="505"/>
      <c r="BI256" s="478" t="s">
        <v>126</v>
      </c>
      <c r="BJ256" s="489"/>
      <c r="BN256" s="661"/>
      <c r="CU256" s="479"/>
      <c r="CV256" s="661"/>
      <c r="CW256" s="479"/>
      <c r="DS256" s="661"/>
      <c r="EV256" s="818" t="str">
        <f t="shared" si="94"/>
        <v/>
      </c>
      <c r="EW256" s="818"/>
    </row>
    <row r="257" spans="1:153" s="475" customFormat="1" ht="13.5" customHeight="1">
      <c r="A257" s="654" t="str">
        <f t="shared" ca="1" si="92"/>
        <v>D.1.257</v>
      </c>
      <c r="B257" s="654" t="str">
        <f t="shared" ca="1" si="93"/>
        <v>1.257</v>
      </c>
      <c r="C257" s="654" t="str">
        <f t="shared" si="98"/>
        <v>[257]</v>
      </c>
      <c r="D257" s="654">
        <f>ROW()</f>
        <v>257</v>
      </c>
      <c r="E257" s="1129" t="str">
        <f>BP257</f>
        <v xml:space="preserve">Energieholz (Forst) - Energieertrag </v>
      </c>
      <c r="F257" s="1129"/>
      <c r="G257" s="1129"/>
      <c r="H257" s="1129"/>
      <c r="I257" s="1129"/>
      <c r="J257" s="559" t="s">
        <v>280</v>
      </c>
      <c r="K257" s="557">
        <f ca="1">INDIRECT($W$1&amp;U257)</f>
        <v>27.1</v>
      </c>
      <c r="L257" s="485" t="str">
        <f ca="1">HYPERLINK($CK$1&amp;U257,$CE$1&amp;U257&amp;$CF$1)</f>
        <v>[258]</v>
      </c>
      <c r="M257" s="558">
        <f ca="1">INDIRECT($W$1&amp;W257)</f>
        <v>27.1</v>
      </c>
      <c r="N257" s="533" t="str">
        <f ca="1">HYPERLINK($CK$1&amp;W257,$CE$1&amp;W257&amp;$CF$1)</f>
        <v>[261]</v>
      </c>
      <c r="O257" s="869">
        <v>257</v>
      </c>
      <c r="P257" s="570"/>
      <c r="Q257" s="583"/>
      <c r="R257" s="852"/>
      <c r="S257" s="784"/>
      <c r="T257" s="864"/>
      <c r="U257" s="672">
        <f>D258</f>
        <v>258</v>
      </c>
      <c r="V257" s="905" t="s">
        <v>126</v>
      </c>
      <c r="W257" s="672">
        <f>D261</f>
        <v>261</v>
      </c>
      <c r="X257" s="658"/>
      <c r="Y257" s="658"/>
      <c r="Z257" s="658"/>
      <c r="AA257" s="658"/>
      <c r="AB257" s="801"/>
      <c r="AC257" s="801"/>
      <c r="AD257" s="674"/>
      <c r="AE257" s="674"/>
      <c r="AF257" s="674"/>
      <c r="AG257" s="674"/>
      <c r="AH257" s="674"/>
      <c r="AI257" s="674"/>
      <c r="AJ257" s="674"/>
      <c r="AK257" s="674"/>
      <c r="AL257" s="674"/>
      <c r="AM257" s="674"/>
      <c r="AN257" s="674"/>
      <c r="AO257" s="674"/>
      <c r="AP257" s="674"/>
      <c r="AQ257" s="674"/>
      <c r="AR257" s="674"/>
      <c r="AS257" s="674"/>
      <c r="AT257" s="674"/>
      <c r="AU257" s="674"/>
      <c r="AV257" s="674"/>
      <c r="AX257" s="475" t="s">
        <v>244</v>
      </c>
      <c r="AY257" s="500">
        <f ca="1">DA257</f>
        <v>20.168253587558315</v>
      </c>
      <c r="AZ257" s="508" t="str">
        <f ca="1">HYPERLINK(DN257,DC257)</f>
        <v xml:space="preserve"> 231</v>
      </c>
      <c r="BA257" s="500">
        <f ca="1">DB257</f>
        <v>20.168253587558315</v>
      </c>
      <c r="BB257" s="508" t="str">
        <f ca="1">HYPERLINK(DO257,DD257)</f>
        <v xml:space="preserve"> 232</v>
      </c>
      <c r="BC257" s="475" t="str">
        <f ca="1">CY257&amp;" | "&amp;CZ257</f>
        <v>Wärme | Energieertrag Holz Heizungs-Wärme</v>
      </c>
      <c r="BI257" s="475" t="s">
        <v>126</v>
      </c>
      <c r="BJ257" s="492" t="str">
        <f>E257</f>
        <v xml:space="preserve">Energieholz (Forst) - Energieertrag </v>
      </c>
      <c r="BK257" s="486">
        <f ca="1">K257</f>
        <v>27.1</v>
      </c>
      <c r="BL257" s="486">
        <f ca="1">M257</f>
        <v>27.1</v>
      </c>
      <c r="BM257" s="472">
        <f>D257</f>
        <v>257</v>
      </c>
      <c r="BN257" s="658"/>
      <c r="BO257" s="475" t="s">
        <v>251</v>
      </c>
      <c r="BP257" s="521" t="s">
        <v>390</v>
      </c>
      <c r="CU257" s="476"/>
      <c r="CV257" s="658"/>
      <c r="CW257" s="518">
        <v>55</v>
      </c>
      <c r="CY257" s="472" t="str">
        <f t="shared" ref="CY257:DO257" ca="1" si="125">INDIRECT($CX$1&amp;CY$1&amp;$CW257)</f>
        <v>Wärme</v>
      </c>
      <c r="CZ257" s="472" t="str">
        <f t="shared" ca="1" si="125"/>
        <v>Energieertrag Holz Heizungs-Wärme</v>
      </c>
      <c r="DA257" s="472">
        <f t="shared" ca="1" si="125"/>
        <v>20.168253587558315</v>
      </c>
      <c r="DB257" s="472">
        <f t="shared" ca="1" si="125"/>
        <v>20.168253587558315</v>
      </c>
      <c r="DC257" s="472" t="str">
        <f t="shared" ca="1" si="125"/>
        <v xml:space="preserve"> 231</v>
      </c>
      <c r="DD257" s="472" t="str">
        <f t="shared" ca="1" si="125"/>
        <v xml:space="preserve"> 232</v>
      </c>
      <c r="DE257" s="472" t="str">
        <f t="shared" ca="1" si="125"/>
        <v>Ho54</v>
      </c>
      <c r="DF257" s="472" t="str">
        <f t="shared" ca="1" si="125"/>
        <v>Ho55</v>
      </c>
      <c r="DG257" s="472" t="str">
        <f t="shared" ca="1" si="125"/>
        <v>Ho</v>
      </c>
      <c r="DH257" s="472" t="str">
        <f t="shared" ca="1" si="125"/>
        <v>54</v>
      </c>
      <c r="DI257" s="472" t="str">
        <f t="shared" ca="1" si="125"/>
        <v>[Ho.xls]TEXT!Z54S5</v>
      </c>
      <c r="DJ257" s="472" t="str">
        <f t="shared" ca="1" si="125"/>
        <v>Ho</v>
      </c>
      <c r="DK257" s="472" t="str">
        <f t="shared" ca="1" si="125"/>
        <v>55</v>
      </c>
      <c r="DL257" s="472" t="str">
        <f t="shared" ca="1" si="125"/>
        <v>[Ho.xls]TEXT!Z55S5</v>
      </c>
      <c r="DM257" s="472">
        <f t="shared" ca="1" si="125"/>
        <v>55</v>
      </c>
      <c r="DN257" s="472" t="str">
        <f t="shared" ca="1" si="125"/>
        <v>[Region.xls]PARAMETER!Z231S6</v>
      </c>
      <c r="DO257" s="472" t="str">
        <f t="shared" ca="1" si="125"/>
        <v>[Region.xls]PARAMETER!Z232S6</v>
      </c>
      <c r="DP257" s="472"/>
      <c r="DS257" s="656"/>
      <c r="DV257" s="472"/>
      <c r="DW257" s="472"/>
      <c r="DX257" s="472"/>
      <c r="DY257" s="472"/>
      <c r="DZ257" s="472"/>
      <c r="EA257" s="472"/>
      <c r="EB257" s="472"/>
      <c r="EC257" s="472"/>
      <c r="ED257" s="472"/>
      <c r="EE257" s="472"/>
      <c r="EF257" s="472"/>
      <c r="EG257" s="472"/>
      <c r="EH257" s="472"/>
      <c r="EI257" s="472"/>
      <c r="EJ257" s="472"/>
      <c r="EK257" s="472"/>
      <c r="EV257" s="819">
        <f t="shared" si="94"/>
        <v>257</v>
      </c>
      <c r="EW257" s="819"/>
    </row>
    <row r="258" spans="1:153" s="472" customFormat="1" ht="52">
      <c r="A258" s="654" t="str">
        <f t="shared" ca="1" si="92"/>
        <v>D.1.258</v>
      </c>
      <c r="B258" s="654" t="str">
        <f t="shared" ca="1" si="93"/>
        <v>1.258</v>
      </c>
      <c r="C258" s="654" t="str">
        <f t="shared" si="98"/>
        <v>[258]</v>
      </c>
      <c r="D258" s="654">
        <f>ROW()</f>
        <v>258</v>
      </c>
      <c r="E258" s="1141" t="str">
        <f ca="1">CU258</f>
        <v>- STATUS-Ansatz: Einen Heizwert von 27,1 MWh/ha/a weist der jährliche Holzzuwachs in den Forsten Deutschlands durchschnittlich auf. Der Wert resultiert aus einem Volumenzuwachs der Holzvorräte von 11,23 Fm/ha/a in den Wäldern Deutschlands im Jahr 2012 gemäß [9.150], Tab. 5.01, und einem durchschnittlichen Energieinhalt von 2,41 MWh/Fm [259].</v>
      </c>
      <c r="F258" s="1141"/>
      <c r="G258" s="1141"/>
      <c r="H258" s="1141"/>
      <c r="I258" s="1141"/>
      <c r="J258" s="1141"/>
      <c r="K258" s="1141"/>
      <c r="L258" s="1141"/>
      <c r="M258" s="1141"/>
      <c r="N258" s="1142"/>
      <c r="O258" s="869">
        <v>258</v>
      </c>
      <c r="P258" s="573" t="str">
        <f ca="1">HYPERLINK(EK258,EJ258)</f>
        <v>9.150</v>
      </c>
      <c r="Q258" s="574" t="str">
        <f>Y258</f>
        <v>Tab. 5.01</v>
      </c>
      <c r="R258" s="852"/>
      <c r="S258" s="784"/>
      <c r="T258" s="864"/>
      <c r="U258" s="1023" t="str">
        <f ca="1">"Einen Heizwert von "&amp;TEXT(W258,"0,0")&amp;" MWh/ha/a weist der jährliche Holzzuwachs in den Forsten Deutschlands durchschnittlich auf. Der Wert resultiert aus einem Volumenzuwachs der Holzvorräte von "&amp;AD258&amp;AE258&amp;" in den Wäldern Deutschlands im Jahr 2012 gemäß ["&amp;P258&amp;"], "&amp;Y258&amp;", und einem durchschnittlichen Energieinhalt von "&amp;TEXT(AG258,"0,00")&amp;AH258&amp;C259&amp;"."</f>
        <v>Einen Heizwert von 27,1 MWh/ha/a weist der jährliche Holzzuwachs in den Forsten Deutschlands durchschnittlich auf. Der Wert resultiert aus einem Volumenzuwachs der Holzvorräte von 11,23 Fm/ha/a in den Wäldern Deutschlands im Jahr 2012 gemäß [9.150], Tab. 5.01, und einem durchschnittlichen Energieinhalt von 2,41 MWh/Fm [259].</v>
      </c>
      <c r="V258" s="905" t="s">
        <v>126</v>
      </c>
      <c r="W258" s="1034">
        <f>ROUND(AI258,1)</f>
        <v>27.1</v>
      </c>
      <c r="X258" s="672">
        <f>'9.Quellen'!C150</f>
        <v>150</v>
      </c>
      <c r="Y258" s="672" t="s">
        <v>960</v>
      </c>
      <c r="Z258" s="1025"/>
      <c r="AA258" s="658"/>
      <c r="AB258" s="801"/>
      <c r="AC258" s="801"/>
      <c r="AD258" s="837">
        <v>11.23</v>
      </c>
      <c r="AE258" s="801" t="s">
        <v>961</v>
      </c>
      <c r="AF258" s="843" t="s">
        <v>957</v>
      </c>
      <c r="AG258" s="845">
        <f>AH259</f>
        <v>2.4114285714285715</v>
      </c>
      <c r="AH258" s="845" t="s">
        <v>880</v>
      </c>
      <c r="AI258" s="801">
        <f>AD258*AH259</f>
        <v>27.08034285714286</v>
      </c>
      <c r="AJ258" s="801" t="s">
        <v>386</v>
      </c>
      <c r="AK258" s="801"/>
      <c r="AL258" s="801"/>
      <c r="AM258" s="801"/>
      <c r="AN258" s="779">
        <f ca="1">AY257</f>
        <v>20.168253587558315</v>
      </c>
      <c r="AO258" s="779" t="s">
        <v>387</v>
      </c>
      <c r="AP258" s="844">
        <v>12.3</v>
      </c>
      <c r="AQ258" s="844" t="s">
        <v>876</v>
      </c>
      <c r="AR258" s="844">
        <f>AP258*AG258</f>
        <v>29.66057142857143</v>
      </c>
      <c r="AS258" s="844" t="s">
        <v>878</v>
      </c>
      <c r="AT258" s="844">
        <f>W97/1000000</f>
        <v>10.617013</v>
      </c>
      <c r="AU258" s="844" t="s">
        <v>743</v>
      </c>
      <c r="AV258" s="844">
        <f>AR258/AT258</f>
        <v>2.7936832542798458</v>
      </c>
      <c r="BF258" s="473"/>
      <c r="BI258" s="472" t="s">
        <v>126</v>
      </c>
      <c r="BJ258" s="490"/>
      <c r="BN258" s="656"/>
      <c r="BO258" s="472" t="s">
        <v>259</v>
      </c>
      <c r="CU258" s="480" t="str">
        <f ca="1">CG$1&amp;IF(U258="",BF258,U258)</f>
        <v>- STATUS-Ansatz: Einen Heizwert von 27,1 MWh/ha/a weist der jährliche Holzzuwachs in den Forsten Deutschlands durchschnittlich auf. Der Wert resultiert aus einem Volumenzuwachs der Holzvorräte von 11,23 Fm/ha/a in den Wäldern Deutschlands im Jahr 2012 gemäß [9.150], Tab. 5.01, und einem durchschnittlichen Energieinhalt von 2,41 MWh/Fm [259].</v>
      </c>
      <c r="CV258" s="656"/>
      <c r="CW258" s="480"/>
      <c r="DS258" s="656"/>
      <c r="DT258" s="518">
        <f>I_Basisdaten!A125</f>
        <v>125</v>
      </c>
      <c r="EJ258" s="472" t="str">
        <f ca="1">IF(X258=0,"",EJ$1&amp;X258)</f>
        <v>9.150</v>
      </c>
      <c r="EK258" s="472" t="str">
        <f ca="1">EK$1&amp;X258</f>
        <v>[D_Python.xlsx]9.Quellen!C150</v>
      </c>
      <c r="EV258" s="819">
        <f t="shared" ca="1" si="94"/>
        <v>258</v>
      </c>
      <c r="EW258" s="819"/>
    </row>
    <row r="259" spans="1:153" s="798" customFormat="1" ht="52">
      <c r="A259" s="654" t="str">
        <f t="shared" ref="A259" ca="1" si="126">BT$1&amp;D259</f>
        <v>D.1.259</v>
      </c>
      <c r="B259" s="654" t="str">
        <f t="shared" ref="B259" ca="1" si="127">BW$1&amp;D259</f>
        <v>1.259</v>
      </c>
      <c r="C259" s="654" t="str">
        <f t="shared" ref="C259" si="128">CE$1&amp;D259&amp;CF$1</f>
        <v>[259]</v>
      </c>
      <c r="D259" s="654">
        <f>ROW()</f>
        <v>259</v>
      </c>
      <c r="E259" s="1141" t="str">
        <f t="shared" ref="E259" ca="1" si="129">CU259</f>
        <v>Ein durchschnittlicher spezifischer Energieinhalt von 2,41 MWh/Fm resultiert aus dem Ansatz in der  Niedersächsischen Feuerstättenzählung 2013 [9.7], S. 18: Einem Holzvolumen von 3,5 Mio. Efm wird dort eine Energieinhalt von 8,44 Mio.  MWh zugeordnet. Unter der Annahme, dass die deutschen Verhältnisse nicht gravierend abweichen, wird der Wert für Deutschland zugrunde gelegt.</v>
      </c>
      <c r="F259" s="1141"/>
      <c r="G259" s="1141"/>
      <c r="H259" s="1141"/>
      <c r="I259" s="1141"/>
      <c r="J259" s="1141"/>
      <c r="K259" s="1141"/>
      <c r="L259" s="1141"/>
      <c r="M259" s="1141"/>
      <c r="N259" s="1142"/>
      <c r="O259" s="873">
        <v>259</v>
      </c>
      <c r="P259" s="691" t="str">
        <f t="shared" ref="P259" ca="1" si="130">HYPERLINK(EK259,EJ259)</f>
        <v>9.7</v>
      </c>
      <c r="Q259" s="692" t="str">
        <f t="shared" ref="Q259" si="131">Y259</f>
        <v>S. 18</v>
      </c>
      <c r="R259" s="864"/>
      <c r="S259" s="784"/>
      <c r="T259" s="864"/>
      <c r="U259" s="1033" t="str">
        <f ca="1">"Ein durchschnittlicher spezifischer Energieinhalt von "&amp;TEXT(AH259,"0,00")&amp;AI259&amp;" resultiert aus dem Ansatz in der  Niedersächsischen Feuerstättenzählung 2013 ["&amp;P259&amp;"], "&amp;Q259&amp;": Einem Holzvolumen von "&amp;AD259&amp;AE259&amp;" wird dort eine Energieinhalt von "&amp;AF259&amp;AG259&amp;" zugeordnet. Unter der Annahme, dass die deutschen Verhältnisse nicht gravierend abweichen, wird der Wert für Deutschland zugrunde gelegt."</f>
        <v>Ein durchschnittlicher spezifischer Energieinhalt von 2,41 MWh/Fm resultiert aus dem Ansatz in der  Niedersächsischen Feuerstättenzählung 2013 [9.7], S. 18: Einem Holzvolumen von 3,5 Mio. Efm wird dort eine Energieinhalt von 8,44 Mio.  MWh zugeordnet. Unter der Annahme, dass die deutschen Verhältnisse nicht gravierend abweichen, wird der Wert für Deutschland zugrunde gelegt.</v>
      </c>
      <c r="V259" s="905" t="s">
        <v>126</v>
      </c>
      <c r="W259" s="1024"/>
      <c r="X259" s="672">
        <f>'9.Quellen'!C7</f>
        <v>7</v>
      </c>
      <c r="Y259" s="672" t="s">
        <v>875</v>
      </c>
      <c r="Z259" s="1025"/>
      <c r="AA259" s="905"/>
      <c r="AB259" s="801"/>
      <c r="AC259" s="801"/>
      <c r="AD259" s="801">
        <v>3.5</v>
      </c>
      <c r="AE259" s="801" t="s">
        <v>879</v>
      </c>
      <c r="AF259" s="801">
        <v>8.44</v>
      </c>
      <c r="AG259" s="801" t="s">
        <v>881</v>
      </c>
      <c r="AH259" s="801">
        <f>AF259/AD259</f>
        <v>2.4114285714285715</v>
      </c>
      <c r="AI259" s="801" t="s">
        <v>877</v>
      </c>
      <c r="AJ259" s="801"/>
      <c r="AK259" s="801"/>
      <c r="AL259" s="801"/>
      <c r="AM259" s="801"/>
      <c r="AN259" s="801"/>
      <c r="AO259" s="801"/>
      <c r="AP259" s="801"/>
      <c r="AQ259" s="801"/>
      <c r="AR259" s="801"/>
      <c r="AS259" s="801"/>
      <c r="AT259" s="801"/>
      <c r="AU259" s="801"/>
      <c r="AV259" s="801"/>
      <c r="BF259" s="657"/>
      <c r="BI259" s="798" t="s">
        <v>126</v>
      </c>
      <c r="BJ259" s="666"/>
      <c r="BO259" s="798" t="s">
        <v>252</v>
      </c>
      <c r="CU259" s="663" t="str">
        <f t="shared" ref="CU259" ca="1" si="132">IF(U259="",BF259,U259)</f>
        <v>Ein durchschnittlicher spezifischer Energieinhalt von 2,41 MWh/Fm resultiert aus dem Ansatz in der  Niedersächsischen Feuerstättenzählung 2013 [9.7], S. 18: Einem Holzvolumen von 3,5 Mio. Efm wird dort eine Energieinhalt von 8,44 Mio.  MWh zugeordnet. Unter der Annahme, dass die deutschen Verhältnisse nicht gravierend abweichen, wird der Wert für Deutschland zugrunde gelegt.</v>
      </c>
      <c r="CW259" s="663"/>
      <c r="DT259" s="671"/>
      <c r="EJ259" s="798" t="str">
        <f t="shared" ref="EJ259" ca="1" si="133">IF(X259=0,"",EJ$1&amp;X259)</f>
        <v>9.7</v>
      </c>
      <c r="EK259" s="798" t="str">
        <f t="shared" ref="EK259" ca="1" si="134">EK$1&amp;X259</f>
        <v>[D_Python.xlsx]9.Quellen!C7</v>
      </c>
      <c r="EV259" s="819">
        <f t="shared" ref="EV259" ca="1" si="135">IF(U259&amp;BP259="","",D259)</f>
        <v>259</v>
      </c>
      <c r="EW259" s="819"/>
    </row>
    <row r="260" spans="1:153" s="478" customFormat="1" ht="4">
      <c r="A260" s="677" t="str">
        <f t="shared" ca="1" si="92"/>
        <v>D.1.260</v>
      </c>
      <c r="B260" s="677" t="str">
        <f t="shared" ca="1" si="93"/>
        <v>1.260</v>
      </c>
      <c r="C260" s="677" t="str">
        <f t="shared" si="98"/>
        <v>[260]</v>
      </c>
      <c r="D260" s="677">
        <f>ROW()</f>
        <v>260</v>
      </c>
      <c r="E260" s="528"/>
      <c r="F260" s="528"/>
      <c r="G260" s="528"/>
      <c r="H260" s="528"/>
      <c r="I260" s="527"/>
      <c r="J260" s="527"/>
      <c r="K260" s="527"/>
      <c r="L260" s="527"/>
      <c r="M260" s="527"/>
      <c r="N260" s="528"/>
      <c r="O260" s="871">
        <v>260</v>
      </c>
      <c r="P260" s="566"/>
      <c r="Q260" s="567"/>
      <c r="R260" s="888"/>
      <c r="S260" s="802"/>
      <c r="T260" s="882"/>
      <c r="U260" s="661"/>
      <c r="V260" s="661"/>
      <c r="W260" s="661"/>
      <c r="X260" s="661"/>
      <c r="Y260" s="661"/>
      <c r="Z260" s="661"/>
      <c r="AA260" s="661"/>
      <c r="AB260" s="675"/>
      <c r="AC260" s="675"/>
      <c r="AD260" s="675"/>
      <c r="AE260" s="675"/>
      <c r="AF260" s="675"/>
      <c r="AG260" s="675"/>
      <c r="AH260" s="675"/>
      <c r="AI260" s="675"/>
      <c r="AJ260" s="675"/>
      <c r="AK260" s="675"/>
      <c r="AL260" s="675"/>
      <c r="AM260" s="675"/>
      <c r="AN260" s="675"/>
      <c r="AO260" s="675"/>
      <c r="AP260" s="675"/>
      <c r="AQ260" s="675"/>
      <c r="AR260" s="675"/>
      <c r="AS260" s="675"/>
      <c r="AT260" s="675"/>
      <c r="AU260" s="675"/>
      <c r="AV260" s="675"/>
      <c r="BI260" s="478" t="s">
        <v>126</v>
      </c>
      <c r="BJ260" s="489"/>
      <c r="BN260" s="661"/>
      <c r="CU260" s="479"/>
      <c r="CV260" s="661"/>
      <c r="CW260" s="479"/>
      <c r="DS260" s="661"/>
      <c r="EV260" s="818" t="str">
        <f t="shared" si="94"/>
        <v/>
      </c>
      <c r="EW260" s="818"/>
    </row>
    <row r="261" spans="1:153" s="472" customFormat="1" ht="52">
      <c r="A261" s="654" t="str">
        <f t="shared" ca="1" si="92"/>
        <v>D.1.261</v>
      </c>
      <c r="B261" s="654" t="str">
        <f t="shared" ca="1" si="93"/>
        <v>1.261</v>
      </c>
      <c r="C261" s="654" t="str">
        <f t="shared" si="98"/>
        <v>[261]</v>
      </c>
      <c r="D261" s="654">
        <f>ROW()</f>
        <v>261</v>
      </c>
      <c r="E261" s="1139" t="str">
        <f ca="1">CU261</f>
        <v xml:space="preserve">- ZIEL-Ansatz: Bei einem schonenden, naturschtzorientierten Waldbau, wie er in einer Clusterstudie der Forstlichen Versuchstanstalt für Niedersachsen beschrieben wird [9.202] S. 67 ff, ist zumindest ein langfristiger Erhalt des jährlichen Holz-Volumenzuwachses zu erwarten. Bei gleichbleibenden Holzarten-Anteilen resultiert ein Energiertrag von mindestens 27,1 MWh/ha/a . </v>
      </c>
      <c r="F261" s="1139"/>
      <c r="G261" s="1139"/>
      <c r="H261" s="1139"/>
      <c r="I261" s="1139"/>
      <c r="J261" s="1139"/>
      <c r="K261" s="1139"/>
      <c r="L261" s="1139"/>
      <c r="M261" s="1139"/>
      <c r="N261" s="1140"/>
      <c r="O261" s="869">
        <v>261</v>
      </c>
      <c r="P261" s="573" t="str">
        <f ca="1">HYPERLINK(EK261,EJ261)</f>
        <v>9.202</v>
      </c>
      <c r="Q261" s="574" t="str">
        <f>Y261</f>
        <v>S. 67 ff</v>
      </c>
      <c r="R261" s="852"/>
      <c r="S261" s="784"/>
      <c r="T261" s="864"/>
      <c r="U261" s="1023" t="str">
        <f ca="1">"Bei einem schonenden, naturschtzorientierten Waldbau, wie er in einer Clusterstudie der Forstlichen Versuchstanstalt für Niedersachsen beschrieben wird ["&amp;P261&amp;"] "&amp;Q261&amp;", ist zumindest ein langfristiger Erhalt des jährlichen Holz-Volumenzuwachses zu erwarten. Bei gleichbleibenden Holzarten-Anteilen resultiert ein Energiertrag von mindestens "&amp;TEXT(W261,"0,0")&amp;AK261&amp;". "</f>
        <v xml:space="preserve">Bei einem schonenden, naturschtzorientierten Waldbau, wie er in einer Clusterstudie der Forstlichen Versuchstanstalt für Niedersachsen beschrieben wird [9.202] S. 67 ff, ist zumindest ein langfristiger Erhalt des jährlichen Holz-Volumenzuwachses zu erwarten. Bei gleichbleibenden Holzarten-Anteilen resultiert ein Energiertrag von mindestens 27,1 MWh/ha/a . </v>
      </c>
      <c r="V261" s="905" t="s">
        <v>126</v>
      </c>
      <c r="W261" s="1034">
        <f>W258</f>
        <v>27.1</v>
      </c>
      <c r="X261" s="672">
        <f>'9.Quellen'!C202</f>
        <v>202</v>
      </c>
      <c r="Y261" s="672" t="s">
        <v>962</v>
      </c>
      <c r="Z261" s="1025"/>
      <c r="AA261" s="905"/>
      <c r="AB261" s="801"/>
      <c r="AC261" s="801"/>
      <c r="AD261" s="801">
        <v>10.5</v>
      </c>
      <c r="AE261" s="801" t="s">
        <v>884</v>
      </c>
      <c r="AF261" s="562">
        <f>W258</f>
        <v>27.1</v>
      </c>
      <c r="AG261" s="801" t="s">
        <v>883</v>
      </c>
      <c r="AH261" s="801">
        <f>AJ262</f>
        <v>1.1585179372013579</v>
      </c>
      <c r="AI261" s="801" t="str">
        <f>AK262</f>
        <v xml:space="preserve">  Vfm/ha/a  </v>
      </c>
      <c r="AJ261" s="801"/>
      <c r="AK261" s="801" t="s">
        <v>410</v>
      </c>
      <c r="AL261" s="801"/>
      <c r="AM261" s="801"/>
      <c r="AN261" s="779">
        <f ca="1">BA257</f>
        <v>20.168253587558315</v>
      </c>
      <c r="AO261" s="779" t="s">
        <v>387</v>
      </c>
      <c r="AP261" s="801"/>
      <c r="AQ261" s="801"/>
      <c r="AR261" s="801"/>
      <c r="AS261" s="801"/>
      <c r="AT261" s="801"/>
      <c r="AU261" s="801"/>
      <c r="AV261" s="801"/>
      <c r="BF261" s="473"/>
      <c r="BI261" s="472" t="s">
        <v>126</v>
      </c>
      <c r="BJ261" s="490"/>
      <c r="BN261" s="656"/>
      <c r="BO261" s="472" t="s">
        <v>259</v>
      </c>
      <c r="CU261" s="480" t="str">
        <f ca="1">CH$1&amp;IF(U261="",BF261,U261)</f>
        <v xml:space="preserve">- ZIEL-Ansatz: Bei einem schonenden, naturschtzorientierten Waldbau, wie er in einer Clusterstudie der Forstlichen Versuchstanstalt für Niedersachsen beschrieben wird [9.202] S. 67 ff, ist zumindest ein langfristiger Erhalt des jährlichen Holz-Volumenzuwachses zu erwarten. Bei gleichbleibenden Holzarten-Anteilen resultiert ein Energiertrag von mindestens 27,1 MWh/ha/a . </v>
      </c>
      <c r="CV261" s="656"/>
      <c r="CW261" s="480"/>
      <c r="DS261" s="656"/>
      <c r="DT261" s="518">
        <v>53</v>
      </c>
      <c r="EJ261" s="472" t="str">
        <f ca="1">IF(X261=0,"",EJ$1&amp;X261)</f>
        <v>9.202</v>
      </c>
      <c r="EK261" s="472" t="str">
        <f ca="1">EK$1&amp;X261</f>
        <v>[D_Python.xlsx]9.Quellen!C202</v>
      </c>
      <c r="EV261" s="819">
        <f t="shared" ca="1" si="94"/>
        <v>261</v>
      </c>
      <c r="EW261" s="819"/>
    </row>
    <row r="262" spans="1:153" s="798" customFormat="1" ht="26" hidden="1">
      <c r="A262" s="654" t="str">
        <f t="shared" ca="1" si="92"/>
        <v>D.1.262</v>
      </c>
      <c r="B262" s="654" t="str">
        <f t="shared" ca="1" si="93"/>
        <v>1.262</v>
      </c>
      <c r="C262" s="654" t="str">
        <f t="shared" si="98"/>
        <v>[262]</v>
      </c>
      <c r="D262" s="654">
        <f>ROW()</f>
        <v>262</v>
      </c>
      <c r="E262" s="1143" t="str">
        <f ca="1">CU262</f>
        <v>Der derzeitige spezifische Holz-Volumenzuwachs in Niedersächsischen Wäldern von 1,2  Vfm/ha/a   resultiert aus einem Gesamtzuwachs von 12,3 Mio. Fm/a im Jahr 2013 [], 0, und einer Waldfläche von 10,617 Mio. ha [97].</v>
      </c>
      <c r="F262" s="1143"/>
      <c r="G262" s="1143"/>
      <c r="H262" s="1143"/>
      <c r="I262" s="1143"/>
      <c r="J262" s="1143"/>
      <c r="K262" s="1143"/>
      <c r="L262" s="1143"/>
      <c r="M262" s="1143"/>
      <c r="N262" s="1143"/>
      <c r="O262" s="873">
        <v>262</v>
      </c>
      <c r="P262" s="691" t="str">
        <f ca="1">HYPERLINK(EK262,EJ262)</f>
        <v/>
      </c>
      <c r="Q262" s="692">
        <f>Y262</f>
        <v>0</v>
      </c>
      <c r="R262" s="852"/>
      <c r="S262" s="784"/>
      <c r="T262" s="864"/>
      <c r="U262" s="1033" t="str">
        <f ca="1">"Der derzeitige spezifische Holz-Volumenzuwachs in Niedersächsischen Wäldern von "&amp;TEXT(AJ262,"0,0")&amp;AK262&amp;" resultiert aus einem Gesamtzuwachs von "&amp;AF262&amp;AG262&amp;" im Jahr 2013 ["&amp;P262&amp;"], "&amp;Q262&amp;", und einer Waldfläche von "&amp;TEXT(AH262,"0,000")&amp;AI262&amp;C97&amp;"."</f>
        <v>Der derzeitige spezifische Holz-Volumenzuwachs in Niedersächsischen Wäldern von 1,2  Vfm/ha/a   resultiert aus einem Gesamtzuwachs von 12,3 Mio. Fm/a im Jahr 2013 [], 0, und einer Waldfläche von 10,617 Mio. ha [97].</v>
      </c>
      <c r="V262" s="905" t="s">
        <v>126</v>
      </c>
      <c r="W262" s="1034"/>
      <c r="X262" s="672"/>
      <c r="Y262" s="525"/>
      <c r="Z262" s="1025"/>
      <c r="AA262" s="905"/>
      <c r="AB262" s="801"/>
      <c r="AC262" s="801"/>
      <c r="AD262" s="801"/>
      <c r="AE262" s="801"/>
      <c r="AF262" s="801">
        <f>AP258</f>
        <v>12.3</v>
      </c>
      <c r="AG262" s="801" t="str">
        <f>AQ258</f>
        <v xml:space="preserve"> Mio. Fm/a</v>
      </c>
      <c r="AH262" s="801">
        <f>W97/1000000</f>
        <v>10.617013</v>
      </c>
      <c r="AI262" s="801" t="str">
        <f>AU258</f>
        <v xml:space="preserve"> Mio. ha </v>
      </c>
      <c r="AJ262" s="801">
        <f>AF262/AH262</f>
        <v>1.1585179372013579</v>
      </c>
      <c r="AK262" s="801" t="s">
        <v>885</v>
      </c>
      <c r="AL262" s="801"/>
      <c r="AM262" s="801"/>
      <c r="AN262" s="801"/>
      <c r="AO262" s="801"/>
      <c r="AP262" s="801"/>
      <c r="AQ262" s="801"/>
      <c r="AR262" s="801"/>
      <c r="AS262" s="801"/>
      <c r="AT262" s="801"/>
      <c r="AU262" s="801"/>
      <c r="AV262" s="801"/>
      <c r="BF262" s="657"/>
      <c r="BI262" s="798" t="s">
        <v>126</v>
      </c>
      <c r="BJ262" s="666"/>
      <c r="BO262" s="798" t="s">
        <v>252</v>
      </c>
      <c r="CU262" s="663" t="str">
        <f ca="1">IF(U262="",BF262,U262)</f>
        <v>Der derzeitige spezifische Holz-Volumenzuwachs in Niedersächsischen Wäldern von 1,2  Vfm/ha/a   resultiert aus einem Gesamtzuwachs von 12,3 Mio. Fm/a im Jahr 2013 [], 0, und einer Waldfläche von 10,617 Mio. ha [97].</v>
      </c>
      <c r="CW262" s="663"/>
      <c r="DT262" s="671"/>
      <c r="EJ262" s="798" t="str">
        <f>IF(X262=0,"",EJ$1&amp;X262)</f>
        <v/>
      </c>
      <c r="EK262" s="798" t="str">
        <f ca="1">EK$1&amp;X262</f>
        <v>[D_Python.xlsx]9.Quellen!C</v>
      </c>
      <c r="EV262" s="819">
        <f t="shared" ca="1" si="94"/>
        <v>262</v>
      </c>
      <c r="EW262" s="819"/>
    </row>
    <row r="263" spans="1:153" s="478" customFormat="1" ht="4">
      <c r="A263" s="677" t="str">
        <f t="shared" ca="1" si="92"/>
        <v>D.1.263</v>
      </c>
      <c r="B263" s="677" t="str">
        <f t="shared" ca="1" si="93"/>
        <v>1.263</v>
      </c>
      <c r="C263" s="677" t="str">
        <f t="shared" si="98"/>
        <v>[263]</v>
      </c>
      <c r="D263" s="677">
        <f>ROW()</f>
        <v>263</v>
      </c>
      <c r="E263" s="528"/>
      <c r="F263" s="528"/>
      <c r="G263" s="528"/>
      <c r="H263" s="528"/>
      <c r="I263" s="527"/>
      <c r="J263" s="527"/>
      <c r="K263" s="527"/>
      <c r="L263" s="527"/>
      <c r="M263" s="527"/>
      <c r="N263" s="528"/>
      <c r="O263" s="871">
        <v>263</v>
      </c>
      <c r="P263" s="566"/>
      <c r="Q263" s="567"/>
      <c r="R263" s="888"/>
      <c r="S263" s="802"/>
      <c r="T263" s="882"/>
      <c r="U263" s="661"/>
      <c r="V263" s="661"/>
      <c r="W263" s="661"/>
      <c r="X263" s="661"/>
      <c r="Y263" s="661"/>
      <c r="Z263" s="661"/>
      <c r="AA263" s="661"/>
      <c r="AB263" s="675"/>
      <c r="AC263" s="675"/>
      <c r="AD263" s="675"/>
      <c r="AE263" s="675"/>
      <c r="AF263" s="675"/>
      <c r="AG263" s="675"/>
      <c r="AH263" s="675"/>
      <c r="AI263" s="675"/>
      <c r="AJ263" s="675"/>
      <c r="AK263" s="675"/>
      <c r="AL263" s="675"/>
      <c r="AM263" s="675"/>
      <c r="AN263" s="675"/>
      <c r="AO263" s="675"/>
      <c r="AP263" s="675"/>
      <c r="AQ263" s="675"/>
      <c r="AR263" s="675"/>
      <c r="AS263" s="675"/>
      <c r="AT263" s="675"/>
      <c r="AU263" s="675"/>
      <c r="AV263" s="675"/>
      <c r="AZ263" s="505"/>
      <c r="BB263" s="505"/>
      <c r="BI263" s="478" t="s">
        <v>126</v>
      </c>
      <c r="BJ263" s="489"/>
      <c r="BN263" s="661"/>
      <c r="CU263" s="479"/>
      <c r="CV263" s="661"/>
      <c r="CW263" s="479"/>
      <c r="DS263" s="661"/>
      <c r="EV263" s="818" t="str">
        <f t="shared" si="94"/>
        <v/>
      </c>
      <c r="EW263" s="818"/>
    </row>
    <row r="264" spans="1:153" s="472" customFormat="1" ht="13">
      <c r="A264" s="654" t="str">
        <f t="shared" ca="1" si="92"/>
        <v>D.1.264</v>
      </c>
      <c r="B264" s="654" t="str">
        <f t="shared" ca="1" si="93"/>
        <v>1.264</v>
      </c>
      <c r="C264" s="654" t="str">
        <f t="shared" si="98"/>
        <v>[264]</v>
      </c>
      <c r="D264" s="654">
        <f>ROW()</f>
        <v>264</v>
      </c>
      <c r="E264" s="481" t="str">
        <f>BP264</f>
        <v>Energieholz (Acker, inkl. Miscanthus)</v>
      </c>
      <c r="F264" s="482"/>
      <c r="G264" s="482"/>
      <c r="H264" s="482"/>
      <c r="I264" s="483"/>
      <c r="J264" s="484"/>
      <c r="K264" s="484"/>
      <c r="L264" s="484"/>
      <c r="M264" s="484"/>
      <c r="N264" s="532"/>
      <c r="O264" s="869">
        <v>264</v>
      </c>
      <c r="P264" s="568"/>
      <c r="Q264" s="569"/>
      <c r="R264" s="852"/>
      <c r="S264" s="804"/>
      <c r="T264" s="864"/>
      <c r="U264" s="905"/>
      <c r="V264" s="905"/>
      <c r="W264" s="905"/>
      <c r="X264" s="905"/>
      <c r="Y264" s="905"/>
      <c r="Z264" s="905"/>
      <c r="AA264" s="905"/>
      <c r="AB264" s="801"/>
      <c r="AC264" s="801"/>
      <c r="AD264" s="801"/>
      <c r="AE264" s="801"/>
      <c r="AF264" s="801"/>
      <c r="AG264" s="801"/>
      <c r="AH264" s="801"/>
      <c r="AI264" s="801"/>
      <c r="AJ264" s="801"/>
      <c r="AK264" s="801"/>
      <c r="AL264" s="801"/>
      <c r="AM264" s="801"/>
      <c r="AN264" s="801"/>
      <c r="AO264" s="801"/>
      <c r="AP264" s="801"/>
      <c r="AQ264" s="801"/>
      <c r="AR264" s="801"/>
      <c r="AS264" s="801"/>
      <c r="AT264" s="801"/>
      <c r="AU264" s="801"/>
      <c r="AV264" s="801"/>
      <c r="AZ264" s="504"/>
      <c r="BB264" s="506"/>
      <c r="BI264" s="472" t="s">
        <v>126</v>
      </c>
      <c r="BJ264" s="490"/>
      <c r="BN264" s="656"/>
      <c r="BO264" s="472" t="s">
        <v>250</v>
      </c>
      <c r="BP264" s="518" t="s">
        <v>416</v>
      </c>
      <c r="CU264" s="480"/>
      <c r="CV264" s="656"/>
      <c r="CW264" s="480"/>
      <c r="DS264" s="656"/>
      <c r="EV264" s="819">
        <f t="shared" si="94"/>
        <v>264</v>
      </c>
      <c r="EW264" s="819"/>
    </row>
    <row r="265" spans="1:153" s="478" customFormat="1" ht="4">
      <c r="A265" s="677" t="str">
        <f t="shared" ca="1" si="92"/>
        <v>D.1.265</v>
      </c>
      <c r="B265" s="677" t="str">
        <f t="shared" ca="1" si="93"/>
        <v>1.265</v>
      </c>
      <c r="C265" s="677" t="str">
        <f t="shared" si="98"/>
        <v>[265]</v>
      </c>
      <c r="D265" s="677">
        <f>ROW()</f>
        <v>265</v>
      </c>
      <c r="E265" s="528"/>
      <c r="F265" s="528"/>
      <c r="G265" s="528"/>
      <c r="H265" s="528"/>
      <c r="I265" s="527"/>
      <c r="J265" s="527"/>
      <c r="K265" s="527"/>
      <c r="L265" s="527"/>
      <c r="M265" s="527"/>
      <c r="N265" s="528"/>
      <c r="O265" s="871">
        <v>265</v>
      </c>
      <c r="P265" s="566"/>
      <c r="Q265" s="567"/>
      <c r="R265" s="888"/>
      <c r="S265" s="802"/>
      <c r="T265" s="882"/>
      <c r="U265" s="661"/>
      <c r="V265" s="661"/>
      <c r="W265" s="661"/>
      <c r="X265" s="661"/>
      <c r="Y265" s="661"/>
      <c r="Z265" s="661"/>
      <c r="AA265" s="661"/>
      <c r="AB265" s="675"/>
      <c r="AC265" s="675"/>
      <c r="AD265" s="675"/>
      <c r="AE265" s="675"/>
      <c r="AF265" s="675"/>
      <c r="AG265" s="675"/>
      <c r="AH265" s="675"/>
      <c r="AI265" s="675"/>
      <c r="AJ265" s="675"/>
      <c r="AK265" s="675"/>
      <c r="AL265" s="675"/>
      <c r="AM265" s="675"/>
      <c r="AN265" s="675"/>
      <c r="AO265" s="675"/>
      <c r="AP265" s="675"/>
      <c r="AQ265" s="675"/>
      <c r="AR265" s="675"/>
      <c r="AS265" s="675"/>
      <c r="AT265" s="675"/>
      <c r="AU265" s="675"/>
      <c r="AV265" s="675"/>
      <c r="AZ265" s="505"/>
      <c r="BB265" s="505"/>
      <c r="BI265" s="478" t="s">
        <v>126</v>
      </c>
      <c r="BJ265" s="489"/>
      <c r="BN265" s="661"/>
      <c r="CU265" s="479"/>
      <c r="CV265" s="661"/>
      <c r="CW265" s="479"/>
      <c r="DS265" s="661"/>
      <c r="EV265" s="818" t="str">
        <f t="shared" si="94"/>
        <v/>
      </c>
      <c r="EW265" s="818"/>
    </row>
    <row r="266" spans="1:153" s="475" customFormat="1" ht="13.5" customHeight="1">
      <c r="A266" s="654" t="str">
        <f t="shared" ca="1" si="92"/>
        <v>D.1.266</v>
      </c>
      <c r="B266" s="654" t="str">
        <f t="shared" ca="1" si="93"/>
        <v>1.266</v>
      </c>
      <c r="C266" s="654" t="str">
        <f t="shared" si="98"/>
        <v>[266]</v>
      </c>
      <c r="D266" s="654">
        <f>ROW()</f>
        <v>266</v>
      </c>
      <c r="E266" s="1129" t="str">
        <f>BP266</f>
        <v>Energieholz (Acker) - Anbaufläche</v>
      </c>
      <c r="F266" s="1129"/>
      <c r="G266" s="1129"/>
      <c r="H266" s="1129"/>
      <c r="I266" s="1129"/>
      <c r="J266" s="471" t="s">
        <v>360</v>
      </c>
      <c r="K266" s="544">
        <f ca="1">INDIRECT($W$1&amp;U266)</f>
        <v>6500</v>
      </c>
      <c r="L266" s="597" t="str">
        <f ca="1">HYPERLINK($CK$1&amp;U266,$CE$1&amp;U266&amp;$CF$1)</f>
        <v>[267]</v>
      </c>
      <c r="M266" s="598">
        <f ca="1">INDIRECT($W$1&amp;W266)</f>
        <v>6500</v>
      </c>
      <c r="N266" s="533" t="str">
        <f ca="1">HYPERLINK($CK$1&amp;W266,$CE$1&amp;W266&amp;$CF$1)</f>
        <v>[270]</v>
      </c>
      <c r="O266" s="869">
        <v>266</v>
      </c>
      <c r="P266" s="570"/>
      <c r="Q266" s="583"/>
      <c r="R266" s="852"/>
      <c r="S266" s="784"/>
      <c r="T266" s="864"/>
      <c r="U266" s="672">
        <f>D267</f>
        <v>267</v>
      </c>
      <c r="V266" s="905" t="s">
        <v>126</v>
      </c>
      <c r="W266" s="672">
        <f>D270</f>
        <v>270</v>
      </c>
      <c r="X266" s="658"/>
      <c r="Y266" s="658"/>
      <c r="Z266" s="658"/>
      <c r="AA266" s="658"/>
      <c r="AB266" s="801"/>
      <c r="AC266" s="801"/>
      <c r="AD266" s="674"/>
      <c r="AE266" s="674"/>
      <c r="AF266" s="674"/>
      <c r="AG266" s="674"/>
      <c r="AH266" s="674"/>
      <c r="AI266" s="674"/>
      <c r="AJ266" s="674"/>
      <c r="AK266" s="674"/>
      <c r="AL266" s="674"/>
      <c r="AM266" s="674"/>
      <c r="AN266" s="674"/>
      <c r="AO266" s="674"/>
      <c r="AP266" s="674"/>
      <c r="AQ266" s="674"/>
      <c r="AR266" s="674"/>
      <c r="AS266" s="674"/>
      <c r="AT266" s="674"/>
      <c r="AU266" s="674"/>
      <c r="AV266" s="674"/>
      <c r="BI266" s="475" t="s">
        <v>126</v>
      </c>
      <c r="BJ266" s="492" t="str">
        <f>E266</f>
        <v>Energieholz (Acker) - Anbaufläche</v>
      </c>
      <c r="BK266" s="486">
        <f ca="1">K266</f>
        <v>6500</v>
      </c>
      <c r="BL266" s="486">
        <f ca="1">M266</f>
        <v>6500</v>
      </c>
      <c r="BM266" s="472">
        <f>D266</f>
        <v>266</v>
      </c>
      <c r="BN266" s="658"/>
      <c r="BO266" s="475" t="s">
        <v>251</v>
      </c>
      <c r="BP266" s="521" t="s">
        <v>417</v>
      </c>
      <c r="CU266" s="476"/>
      <c r="CV266" s="658"/>
      <c r="CW266" s="518">
        <v>54</v>
      </c>
      <c r="CY266" s="472" t="str">
        <f t="shared" ref="CY266:DO266" ca="1" si="136">INDIRECT($CX$1&amp;CY$1&amp;$CW266)</f>
        <v>Brennstoffgew.
 für Heizung</v>
      </c>
      <c r="CZ266" s="472">
        <f t="shared" ca="1" si="136"/>
        <v>0</v>
      </c>
      <c r="DA266" s="472">
        <f t="shared" ca="1" si="136"/>
        <v>35.041575718754729</v>
      </c>
      <c r="DB266" s="472">
        <f t="shared" ca="1" si="136"/>
        <v>0</v>
      </c>
      <c r="DC266" s="472" t="str">
        <f t="shared" ca="1" si="136"/>
        <v xml:space="preserve"> 225</v>
      </c>
      <c r="DD266" s="472" t="str">
        <f t="shared" ca="1" si="136"/>
        <v xml:space="preserve"> 226</v>
      </c>
      <c r="DE266" s="472" t="str">
        <f t="shared" ca="1" si="136"/>
        <v>Ho98</v>
      </c>
      <c r="DF266" s="472" t="str">
        <f t="shared" ca="1" si="136"/>
        <v>Ho36</v>
      </c>
      <c r="DG266" s="472" t="str">
        <f t="shared" ca="1" si="136"/>
        <v>Ho</v>
      </c>
      <c r="DH266" s="472" t="str">
        <f t="shared" ca="1" si="136"/>
        <v>98</v>
      </c>
      <c r="DI266" s="472" t="str">
        <f t="shared" ca="1" si="136"/>
        <v>[Ho.xls]TEXT!Z98S5</v>
      </c>
      <c r="DJ266" s="472" t="str">
        <f t="shared" ca="1" si="136"/>
        <v>Ho</v>
      </c>
      <c r="DK266" s="472" t="str">
        <f t="shared" ca="1" si="136"/>
        <v>36</v>
      </c>
      <c r="DL266" s="472" t="str">
        <f t="shared" ca="1" si="136"/>
        <v>[Ho.xls]TEXT!Z36S5</v>
      </c>
      <c r="DM266" s="472">
        <f t="shared" ca="1" si="136"/>
        <v>54</v>
      </c>
      <c r="DN266" s="472" t="str">
        <f t="shared" ca="1" si="136"/>
        <v>[Region.xls]PARAMETER!Z225S6</v>
      </c>
      <c r="DO266" s="472" t="str">
        <f t="shared" ca="1" si="136"/>
        <v>[Region.xls]PARAMETER!Z226S6</v>
      </c>
      <c r="DP266" s="472"/>
      <c r="DS266" s="656"/>
      <c r="DV266" s="472"/>
      <c r="DW266" s="472"/>
      <c r="DX266" s="472"/>
      <c r="DY266" s="472"/>
      <c r="DZ266" s="472"/>
      <c r="EA266" s="472"/>
      <c r="EB266" s="472"/>
      <c r="EC266" s="472"/>
      <c r="ED266" s="472"/>
      <c r="EE266" s="472"/>
      <c r="EF266" s="472"/>
      <c r="EG266" s="472"/>
      <c r="EH266" s="472"/>
      <c r="EI266" s="472"/>
      <c r="EJ266" s="472"/>
      <c r="EK266" s="472"/>
      <c r="EV266" s="819">
        <f t="shared" si="94"/>
        <v>266</v>
      </c>
      <c r="EW266" s="819"/>
    </row>
    <row r="267" spans="1:153" s="472" customFormat="1" ht="39">
      <c r="A267" s="654" t="str">
        <f t="shared" ca="1" si="92"/>
        <v>D.1.267</v>
      </c>
      <c r="B267" s="654" t="str">
        <f t="shared" ca="1" si="93"/>
        <v>1.267</v>
      </c>
      <c r="C267" s="654" t="str">
        <f t="shared" si="98"/>
        <v>[267]</v>
      </c>
      <c r="D267" s="654">
        <f>ROW()</f>
        <v>267</v>
      </c>
      <c r="E267" s="1130" t="str">
        <f ca="1">CU267</f>
        <v>- STATUS-Ansatz:  Gemäß einer Studie des Von Thünen-Instituts [9.144], S. 4, waren in Deutschland im Jahr 2012 auf  ha Ackerfläche mit Kurzumtriebsplantagen inkl. Miscanthus belegt. Hier wird konservativ davon ausgegangen, dass es seither keine nennenswerte Veränderung gab.</v>
      </c>
      <c r="F267" s="1130"/>
      <c r="G267" s="1130"/>
      <c r="H267" s="1130"/>
      <c r="I267" s="1130"/>
      <c r="J267" s="1130"/>
      <c r="K267" s="1130"/>
      <c r="L267" s="1130"/>
      <c r="M267" s="1130"/>
      <c r="N267" s="1131"/>
      <c r="O267" s="869">
        <v>267</v>
      </c>
      <c r="P267" s="573" t="str">
        <f ca="1">HYPERLINK(EK267,EJ267)</f>
        <v>9.144</v>
      </c>
      <c r="Q267" s="574" t="str">
        <f>Y267</f>
        <v>S. 4</v>
      </c>
      <c r="R267" s="852"/>
      <c r="S267" s="784"/>
      <c r="T267" s="864"/>
      <c r="U267" s="1033" t="str">
        <f ca="1">" Gemäß einer Studie des Von Thünen-Instituts ["&amp;P267&amp;"], "&amp;Q267&amp;", waren in Deutschland im Jahr 2012 auf "&amp;AD266&amp;" ha Ackerfläche mit Kurzumtriebsplantagen inkl. Miscanthus belegt. Hier wird konservativ davon ausgegangen, dass es seither keine nennenswerte Veränderung gab."</f>
        <v xml:space="preserve"> Gemäß einer Studie des Von Thünen-Instituts [9.144], S. 4, waren in Deutschland im Jahr 2012 auf  ha Ackerfläche mit Kurzumtriebsplantagen inkl. Miscanthus belegt. Hier wird konservativ davon ausgegangen, dass es seither keine nennenswerte Veränderung gab.</v>
      </c>
      <c r="V267" s="905" t="s">
        <v>126</v>
      </c>
      <c r="W267" s="1024">
        <f>W268</f>
        <v>6500</v>
      </c>
      <c r="X267" s="672">
        <f>'9.Quellen'!C144</f>
        <v>144</v>
      </c>
      <c r="Y267" s="672" t="s">
        <v>430</v>
      </c>
      <c r="Z267" s="1025"/>
      <c r="AA267" s="658"/>
      <c r="AB267" s="801"/>
      <c r="AC267" s="801"/>
      <c r="AD267" s="801">
        <v>6500</v>
      </c>
      <c r="AE267" s="801" t="s">
        <v>289</v>
      </c>
      <c r="AF267" s="801"/>
      <c r="AG267" s="801"/>
      <c r="AH267" s="801"/>
      <c r="AI267" s="801"/>
      <c r="AJ267" s="801"/>
      <c r="AK267" s="801"/>
      <c r="AL267" s="801"/>
      <c r="AM267" s="801"/>
      <c r="AN267" s="801"/>
      <c r="AO267" s="801"/>
      <c r="AP267" s="801"/>
      <c r="AQ267" s="801"/>
      <c r="AR267" s="801"/>
      <c r="AS267" s="801"/>
      <c r="AT267" s="801"/>
      <c r="AU267" s="801"/>
      <c r="AV267" s="801"/>
      <c r="BF267" s="473"/>
      <c r="BI267" s="472" t="s">
        <v>126</v>
      </c>
      <c r="BJ267" s="490"/>
      <c r="BN267" s="656"/>
      <c r="BO267" s="472" t="s">
        <v>259</v>
      </c>
      <c r="CU267" s="480" t="str">
        <f ca="1">CG$1&amp;IF(U267="",BF267,U267)</f>
        <v>- STATUS-Ansatz:  Gemäß einer Studie des Von Thünen-Instituts [9.144], S. 4, waren in Deutschland im Jahr 2012 auf  ha Ackerfläche mit Kurzumtriebsplantagen inkl. Miscanthus belegt. Hier wird konservativ davon ausgegangen, dass es seither keine nennenswerte Veränderung gab.</v>
      </c>
      <c r="CV267" s="656"/>
      <c r="CW267" s="480"/>
      <c r="DS267" s="656"/>
      <c r="DT267" s="518">
        <f>I_Basisdaten!A127</f>
        <v>127</v>
      </c>
      <c r="EJ267" s="472" t="str">
        <f ca="1">IF(X267=0,"",EJ$1&amp;X267)</f>
        <v>9.144</v>
      </c>
      <c r="EK267" s="472" t="str">
        <f ca="1">EK$1&amp;X267</f>
        <v>[D_Python.xlsx]9.Quellen!C144</v>
      </c>
      <c r="EV267" s="819">
        <f t="shared" ca="1" si="94"/>
        <v>267</v>
      </c>
      <c r="EW267" s="819"/>
    </row>
    <row r="268" spans="1:153" s="472" customFormat="1" ht="39" hidden="1">
      <c r="A268" s="654" t="str">
        <f t="shared" ca="1" si="92"/>
        <v>D.1.268</v>
      </c>
      <c r="B268" s="654" t="str">
        <f t="shared" ca="1" si="93"/>
        <v>1.268</v>
      </c>
      <c r="C268" s="654" t="str">
        <f t="shared" si="98"/>
        <v>[268]</v>
      </c>
      <c r="D268" s="654">
        <f>ROW()</f>
        <v>268</v>
      </c>
      <c r="E268" s="1130" t="str">
        <f ca="1">CU268</f>
        <v xml:space="preserve"> Gemäß einer Studie des Von Thünen-Instituts [9.144], S. 4, waren in Deutschland im Jahr 2012 auf 6500 ha Ackerfläche mit Kurzumtriebsplantagen inkl. Miscanthus belegt. Hier wird konservativ davon ausgegangen, dass es seither keine nennenswerte Veränderung gab.</v>
      </c>
      <c r="F268" s="1130"/>
      <c r="G268" s="1130"/>
      <c r="H268" s="1130"/>
      <c r="I268" s="1130"/>
      <c r="J268" s="1130"/>
      <c r="K268" s="1130"/>
      <c r="L268" s="1130"/>
      <c r="M268" s="1130"/>
      <c r="N268" s="1131"/>
      <c r="O268" s="869">
        <v>268</v>
      </c>
      <c r="P268" s="573" t="str">
        <f ca="1">HYPERLINK(EK268,EJ268)</f>
        <v>9.144</v>
      </c>
      <c r="Q268" s="574" t="str">
        <f>Y268</f>
        <v>S. 4</v>
      </c>
      <c r="R268" s="864"/>
      <c r="S268" s="784"/>
      <c r="T268" s="864"/>
      <c r="U268" s="1033" t="str">
        <f ca="1">" Gemäß einer Studie des Von Thünen-Instituts ["&amp;P268&amp;"], "&amp;Q268&amp;", waren in Deutschland im Jahr 2012 auf "&amp;AD267&amp;" ha Ackerfläche mit Kurzumtriebsplantagen inkl. Miscanthus belegt. Hier wird konservativ davon ausgegangen, dass es seither keine nennenswerte Veränderung gab."</f>
        <v xml:space="preserve"> Gemäß einer Studie des Von Thünen-Instituts [9.144], S. 4, waren in Deutschland im Jahr 2012 auf 6500 ha Ackerfläche mit Kurzumtriebsplantagen inkl. Miscanthus belegt. Hier wird konservativ davon ausgegangen, dass es seither keine nennenswerte Veränderung gab.</v>
      </c>
      <c r="V268" s="905" t="s">
        <v>126</v>
      </c>
      <c r="W268" s="1024">
        <f>AD267</f>
        <v>6500</v>
      </c>
      <c r="X268" s="672">
        <f>'9.Quellen'!C144</f>
        <v>144</v>
      </c>
      <c r="Y268" s="672" t="s">
        <v>430</v>
      </c>
      <c r="Z268" s="1025"/>
      <c r="AA268" s="905"/>
      <c r="AB268" s="801"/>
      <c r="AC268" s="801"/>
      <c r="AD268" s="801"/>
      <c r="AE268" s="801"/>
      <c r="AF268" s="801"/>
      <c r="AG268" s="801"/>
      <c r="AH268" s="848">
        <v>700</v>
      </c>
      <c r="AI268" s="848" t="s">
        <v>382</v>
      </c>
      <c r="AJ268" s="848">
        <v>6000</v>
      </c>
      <c r="AK268" s="848" t="s">
        <v>382</v>
      </c>
      <c r="AL268" s="848"/>
      <c r="AM268" s="848"/>
      <c r="AN268" s="848">
        <f>(AD267-AJ268)/AJ268%</f>
        <v>8.3333333333333339</v>
      </c>
      <c r="AO268" s="848">
        <f>AQ268/AH268%</f>
        <v>108.57142857142857</v>
      </c>
      <c r="AP268" s="848">
        <f>AH268/AJ268*AD267</f>
        <v>758.33333333333337</v>
      </c>
      <c r="AQ268" s="848">
        <v>760</v>
      </c>
      <c r="AR268" s="848" t="s">
        <v>382</v>
      </c>
      <c r="AS268" s="850">
        <f ca="1">K80</f>
        <v>11764144.6</v>
      </c>
      <c r="AT268" s="848">
        <f ca="1">AQ268/AS268%</f>
        <v>6.4603082148446218E-3</v>
      </c>
      <c r="AU268" s="801"/>
      <c r="AV268" s="801"/>
      <c r="BF268" s="473"/>
      <c r="BI268" s="472" t="s">
        <v>126</v>
      </c>
      <c r="BJ268" s="490"/>
      <c r="BN268" s="656"/>
      <c r="BO268" s="472" t="s">
        <v>252</v>
      </c>
      <c r="CU268" s="480" t="str">
        <f ca="1">IF(U268="",BF268,U268)</f>
        <v xml:space="preserve"> Gemäß einer Studie des Von Thünen-Instituts [9.144], S. 4, waren in Deutschland im Jahr 2012 auf 6500 ha Ackerfläche mit Kurzumtriebsplantagen inkl. Miscanthus belegt. Hier wird konservativ davon ausgegangen, dass es seither keine nennenswerte Veränderung gab.</v>
      </c>
      <c r="CV268" s="656"/>
      <c r="CW268" s="480"/>
      <c r="DS268" s="656"/>
      <c r="DT268" s="518"/>
      <c r="EJ268" s="472" t="str">
        <f ca="1">IF(X268=0,"",EJ$1&amp;X268)</f>
        <v>9.144</v>
      </c>
      <c r="EK268" s="472" t="str">
        <f ca="1">EK$1&amp;X268</f>
        <v>[D_Python.xlsx]9.Quellen!C144</v>
      </c>
      <c r="EV268" s="819">
        <f t="shared" ca="1" si="94"/>
        <v>268</v>
      </c>
      <c r="EW268" s="819"/>
    </row>
    <row r="269" spans="1:153" s="478" customFormat="1" ht="4">
      <c r="A269" s="677" t="str">
        <f t="shared" ca="1" si="92"/>
        <v>D.1.269</v>
      </c>
      <c r="B269" s="677" t="str">
        <f t="shared" ca="1" si="93"/>
        <v>1.269</v>
      </c>
      <c r="C269" s="677" t="str">
        <f t="shared" si="98"/>
        <v>[269]</v>
      </c>
      <c r="D269" s="677">
        <f>ROW()</f>
        <v>269</v>
      </c>
      <c r="E269" s="528"/>
      <c r="F269" s="528"/>
      <c r="G269" s="528"/>
      <c r="H269" s="528"/>
      <c r="I269" s="527"/>
      <c r="J269" s="527"/>
      <c r="K269" s="527"/>
      <c r="L269" s="527"/>
      <c r="M269" s="527"/>
      <c r="N269" s="528"/>
      <c r="O269" s="871">
        <v>269</v>
      </c>
      <c r="P269" s="566"/>
      <c r="Q269" s="567"/>
      <c r="R269" s="888"/>
      <c r="S269" s="802"/>
      <c r="T269" s="882"/>
      <c r="U269" s="661"/>
      <c r="V269" s="661"/>
      <c r="W269" s="661"/>
      <c r="X269" s="661"/>
      <c r="Y269" s="661"/>
      <c r="Z269" s="661"/>
      <c r="AA269" s="661"/>
      <c r="AB269" s="675"/>
      <c r="AC269" s="675"/>
      <c r="AD269" s="675"/>
      <c r="AE269" s="675"/>
      <c r="AF269" s="675"/>
      <c r="AG269" s="675"/>
      <c r="AH269" s="675"/>
      <c r="AI269" s="675"/>
      <c r="AJ269" s="675"/>
      <c r="AK269" s="675"/>
      <c r="AL269" s="675"/>
      <c r="AM269" s="675"/>
      <c r="AN269" s="675"/>
      <c r="AO269" s="675"/>
      <c r="AP269" s="675"/>
      <c r="AQ269" s="675"/>
      <c r="AR269" s="675"/>
      <c r="AS269" s="675"/>
      <c r="AT269" s="675"/>
      <c r="AU269" s="675"/>
      <c r="AV269" s="675"/>
      <c r="BI269" s="478" t="s">
        <v>126</v>
      </c>
      <c r="BJ269" s="489"/>
      <c r="BN269" s="661"/>
      <c r="CU269" s="479"/>
      <c r="CV269" s="661"/>
      <c r="CW269" s="479"/>
      <c r="DS269" s="661"/>
      <c r="EV269" s="818" t="str">
        <f t="shared" si="94"/>
        <v/>
      </c>
      <c r="EW269" s="818"/>
    </row>
    <row r="270" spans="1:153" s="472" customFormat="1" ht="39">
      <c r="A270" s="654" t="str">
        <f t="shared" ref="A270:A334" ca="1" si="137">BT$1&amp;D270</f>
        <v>D.1.270</v>
      </c>
      <c r="B270" s="654" t="str">
        <f t="shared" ref="B270:B334" ca="1" si="138">BW$1&amp;D270</f>
        <v>1.270</v>
      </c>
      <c r="C270" s="654" t="str">
        <f t="shared" si="98"/>
        <v>[270]</v>
      </c>
      <c r="D270" s="654">
        <f>ROW()</f>
        <v>270</v>
      </c>
      <c r="E270" s="1125" t="str">
        <f t="shared" ref="E270" si="139">CU270</f>
        <v>- ZIEL-Ansatz: Kein weiterer Ausbau, Beibehaltung des Status. Begründung: Die Erträge liegen bei Verwendung trockener Brennstoffe [277] zwar in der gleichen Größenordnung wie Biogas [373], allerdings ist dies besser zur Substitution im besonders kritischen Kraftstoff-Bereich geeignet und wird daher bevorzugt.</v>
      </c>
      <c r="F270" s="1125"/>
      <c r="G270" s="1125"/>
      <c r="H270" s="1125"/>
      <c r="I270" s="1125"/>
      <c r="J270" s="1125"/>
      <c r="K270" s="1125"/>
      <c r="L270" s="1125"/>
      <c r="M270" s="1125"/>
      <c r="N270" s="1132"/>
      <c r="O270" s="869">
        <v>270</v>
      </c>
      <c r="P270" s="573" t="str">
        <f ca="1">HYPERLINK(EK270,EJ270)</f>
        <v/>
      </c>
      <c r="Q270" s="574" t="str">
        <f>Y270</f>
        <v xml:space="preserve"> </v>
      </c>
      <c r="R270" s="852"/>
      <c r="S270" s="784"/>
      <c r="T270" s="864"/>
      <c r="U270" s="1023" t="str">
        <f>"Kein weiterer Ausbau, Beibehaltung des Status. Begründung: Die Erträge liegen bei Verwendung trockener Brennstoffe "&amp;C277&amp;" zwar in der gleichen Größenordnung wie Biogas "&amp;C373&amp;", allerdings ist dies besser zur Substitution im besonders kritischen Kraftstoff-Bereich geeignet und wird daher bevorzugt."</f>
        <v>Kein weiterer Ausbau, Beibehaltung des Status. Begründung: Die Erträge liegen bei Verwendung trockener Brennstoffe [277] zwar in der gleichen Größenordnung wie Biogas [373], allerdings ist dies besser zur Substitution im besonders kritischen Kraftstoff-Bereich geeignet und wird daher bevorzugt.</v>
      </c>
      <c r="V270" s="905" t="s">
        <v>126</v>
      </c>
      <c r="W270" s="1024">
        <f>W268</f>
        <v>6500</v>
      </c>
      <c r="X270" s="672"/>
      <c r="Y270" s="672" t="s">
        <v>126</v>
      </c>
      <c r="Z270" s="1025"/>
      <c r="AA270" s="905"/>
      <c r="AB270" s="801"/>
      <c r="AC270" s="801"/>
      <c r="AD270" s="801"/>
      <c r="AE270" s="801"/>
      <c r="AF270" s="801"/>
      <c r="AG270" s="801"/>
      <c r="AH270" s="801"/>
      <c r="AI270" s="801"/>
      <c r="AJ270" s="801"/>
      <c r="AK270" s="801"/>
      <c r="AL270" s="801"/>
      <c r="AM270" s="801"/>
      <c r="AN270" s="801"/>
      <c r="AO270" s="801"/>
      <c r="AP270" s="801"/>
      <c r="AQ270" s="801"/>
      <c r="AR270" s="801"/>
      <c r="AS270" s="801"/>
      <c r="AT270" s="801"/>
      <c r="AU270" s="801"/>
      <c r="AV270" s="801"/>
      <c r="BF270" s="473"/>
      <c r="BI270" s="472" t="s">
        <v>126</v>
      </c>
      <c r="BJ270" s="490"/>
      <c r="BN270" s="656"/>
      <c r="BO270" s="472" t="s">
        <v>259</v>
      </c>
      <c r="CU270" s="480" t="str">
        <f>CH$1&amp;IF(U270="",BF270,U270)</f>
        <v>- ZIEL-Ansatz: Kein weiterer Ausbau, Beibehaltung des Status. Begründung: Die Erträge liegen bei Verwendung trockener Brennstoffe [277] zwar in der gleichen Größenordnung wie Biogas [373], allerdings ist dies besser zur Substitution im besonders kritischen Kraftstoff-Bereich geeignet und wird daher bevorzugt.</v>
      </c>
      <c r="CV270" s="656"/>
      <c r="CW270" s="480"/>
      <c r="DS270" s="656"/>
      <c r="DT270" s="518">
        <v>53</v>
      </c>
      <c r="EJ270" s="472" t="str">
        <f>IF(X270=0,"",EJ$1&amp;X270)</f>
        <v/>
      </c>
      <c r="EK270" s="472" t="str">
        <f ca="1">EK$1&amp;X270</f>
        <v>[D_Python.xlsx]9.Quellen!C</v>
      </c>
      <c r="EV270" s="819">
        <f t="shared" ref="EV270:EV334" si="140">IF(U270&amp;BP270="","",D270)</f>
        <v>270</v>
      </c>
      <c r="EW270" s="819"/>
    </row>
    <row r="271" spans="1:153" s="478" customFormat="1" ht="4">
      <c r="A271" s="677" t="str">
        <f t="shared" ca="1" si="137"/>
        <v>D.1.271</v>
      </c>
      <c r="B271" s="677" t="str">
        <f t="shared" ca="1" si="138"/>
        <v>1.271</v>
      </c>
      <c r="C271" s="677" t="str">
        <f t="shared" si="98"/>
        <v>[271]</v>
      </c>
      <c r="D271" s="677">
        <f>ROW()</f>
        <v>271</v>
      </c>
      <c r="E271" s="548"/>
      <c r="F271" s="548"/>
      <c r="G271" s="548"/>
      <c r="H271" s="548"/>
      <c r="I271" s="549"/>
      <c r="J271" s="549"/>
      <c r="K271" s="549"/>
      <c r="L271" s="549"/>
      <c r="M271" s="549"/>
      <c r="N271" s="548"/>
      <c r="O271" s="871">
        <v>271</v>
      </c>
      <c r="P271" s="575"/>
      <c r="Q271" s="576"/>
      <c r="R271" s="888"/>
      <c r="S271" s="802"/>
      <c r="T271" s="882"/>
      <c r="U271" s="661"/>
      <c r="V271" s="661"/>
      <c r="W271" s="661"/>
      <c r="X271" s="661"/>
      <c r="Y271" s="661"/>
      <c r="Z271" s="661"/>
      <c r="AA271" s="661"/>
      <c r="AB271" s="675"/>
      <c r="AC271" s="675"/>
      <c r="AD271" s="675"/>
      <c r="AE271" s="675"/>
      <c r="AF271" s="675"/>
      <c r="AG271" s="675"/>
      <c r="AH271" s="675"/>
      <c r="AI271" s="675"/>
      <c r="AJ271" s="675"/>
      <c r="AK271" s="675"/>
      <c r="AL271" s="675"/>
      <c r="AM271" s="675"/>
      <c r="AN271" s="675"/>
      <c r="AO271" s="675"/>
      <c r="AP271" s="675"/>
      <c r="AQ271" s="675"/>
      <c r="AR271" s="675"/>
      <c r="AS271" s="675"/>
      <c r="AT271" s="675"/>
      <c r="AU271" s="675"/>
      <c r="AV271" s="675"/>
      <c r="AZ271" s="505"/>
      <c r="BB271" s="505"/>
      <c r="BI271" s="478" t="s">
        <v>126</v>
      </c>
      <c r="BJ271" s="489"/>
      <c r="BN271" s="661"/>
      <c r="CU271" s="479"/>
      <c r="CV271" s="661"/>
      <c r="CW271" s="479"/>
      <c r="DS271" s="661"/>
      <c r="EV271" s="818" t="str">
        <f t="shared" si="140"/>
        <v/>
      </c>
      <c r="EW271" s="818"/>
    </row>
    <row r="272" spans="1:153" s="475" customFormat="1" ht="13.5" customHeight="1">
      <c r="A272" s="654" t="str">
        <f t="shared" ca="1" si="137"/>
        <v>D.1.272</v>
      </c>
      <c r="B272" s="654" t="str">
        <f t="shared" ca="1" si="138"/>
        <v>1.272</v>
      </c>
      <c r="C272" s="654" t="str">
        <f t="shared" si="98"/>
        <v>[272]</v>
      </c>
      <c r="D272" s="654">
        <f>ROW()</f>
        <v>272</v>
      </c>
      <c r="E272" s="1129" t="str">
        <f>BP272</f>
        <v>Energieholz (Acker) - Energieertrag</v>
      </c>
      <c r="F272" s="1129"/>
      <c r="G272" s="1129"/>
      <c r="H272" s="1129"/>
      <c r="I272" s="1129"/>
      <c r="J272" s="471" t="s">
        <v>38</v>
      </c>
      <c r="K272" s="557">
        <f ca="1">INDIRECT($W$1&amp;U272)</f>
        <v>29.877260981912144</v>
      </c>
      <c r="L272" s="485" t="str">
        <f ca="1">HYPERLINK($CK$1&amp;U272,$CE$1&amp;U272&amp;$CF$1)</f>
        <v>[273]</v>
      </c>
      <c r="M272" s="558">
        <f ca="1">INDIRECT($W$1&amp;W272)</f>
        <v>51.388888888888886</v>
      </c>
      <c r="N272" s="533" t="str">
        <f ca="1">HYPERLINK($CK$1&amp;W272,$CE$1&amp;W272&amp;$CF$1)</f>
        <v>[277]</v>
      </c>
      <c r="O272" s="869">
        <v>272</v>
      </c>
      <c r="P272" s="570"/>
      <c r="Q272" s="583"/>
      <c r="R272" s="852"/>
      <c r="S272" s="784"/>
      <c r="T272" s="864"/>
      <c r="U272" s="672">
        <f>D273</f>
        <v>273</v>
      </c>
      <c r="V272" s="905" t="s">
        <v>126</v>
      </c>
      <c r="W272" s="672">
        <f>D277</f>
        <v>277</v>
      </c>
      <c r="X272" s="658"/>
      <c r="Y272" s="658"/>
      <c r="Z272" s="658"/>
      <c r="AA272" s="658"/>
      <c r="AB272" s="801"/>
      <c r="AC272" s="801"/>
      <c r="AD272" s="674"/>
      <c r="AE272" s="674"/>
      <c r="AF272" s="674"/>
      <c r="AG272" s="674"/>
      <c r="AH272" s="674"/>
      <c r="AI272" s="674"/>
      <c r="AJ272" s="674"/>
      <c r="AK272" s="674"/>
      <c r="AL272" s="674"/>
      <c r="AM272" s="674"/>
      <c r="AN272" s="674"/>
      <c r="AO272" s="674"/>
      <c r="AP272" s="674"/>
      <c r="AQ272" s="674"/>
      <c r="AR272" s="674"/>
      <c r="AS272" s="674"/>
      <c r="AT272" s="674"/>
      <c r="AU272" s="674"/>
      <c r="AV272" s="674"/>
      <c r="BI272" s="475" t="s">
        <v>126</v>
      </c>
      <c r="BJ272" s="492" t="str">
        <f>E272</f>
        <v>Energieholz (Acker) - Energieertrag</v>
      </c>
      <c r="BK272" s="486">
        <f ca="1">K272</f>
        <v>29.877260981912144</v>
      </c>
      <c r="BL272" s="486">
        <f ca="1">M272</f>
        <v>51.388888888888886</v>
      </c>
      <c r="BM272" s="472">
        <f>D272</f>
        <v>272</v>
      </c>
      <c r="BN272" s="658"/>
      <c r="BO272" s="475" t="s">
        <v>251</v>
      </c>
      <c r="BP272" s="521" t="s">
        <v>391</v>
      </c>
      <c r="CU272" s="476"/>
      <c r="CV272" s="658"/>
      <c r="CW272" s="518">
        <v>54</v>
      </c>
      <c r="CY272" s="472" t="str">
        <f t="shared" ref="CY272:DO272" ca="1" si="141">INDIRECT($CX$1&amp;CY$1&amp;$CW272)</f>
        <v>Brennstoffgew.
 für Heizung</v>
      </c>
      <c r="CZ272" s="472">
        <f t="shared" ca="1" si="141"/>
        <v>0</v>
      </c>
      <c r="DA272" s="472">
        <f t="shared" ca="1" si="141"/>
        <v>35.041575718754729</v>
      </c>
      <c r="DB272" s="472">
        <f t="shared" ca="1" si="141"/>
        <v>0</v>
      </c>
      <c r="DC272" s="472" t="str">
        <f t="shared" ca="1" si="141"/>
        <v xml:space="preserve"> 225</v>
      </c>
      <c r="DD272" s="472" t="str">
        <f t="shared" ca="1" si="141"/>
        <v xml:space="preserve"> 226</v>
      </c>
      <c r="DE272" s="472" t="str">
        <f t="shared" ca="1" si="141"/>
        <v>Ho98</v>
      </c>
      <c r="DF272" s="472" t="str">
        <f t="shared" ca="1" si="141"/>
        <v>Ho36</v>
      </c>
      <c r="DG272" s="472" t="str">
        <f t="shared" ca="1" si="141"/>
        <v>Ho</v>
      </c>
      <c r="DH272" s="472" t="str">
        <f t="shared" ca="1" si="141"/>
        <v>98</v>
      </c>
      <c r="DI272" s="472" t="str">
        <f t="shared" ca="1" si="141"/>
        <v>[Ho.xls]TEXT!Z98S5</v>
      </c>
      <c r="DJ272" s="472" t="str">
        <f t="shared" ca="1" si="141"/>
        <v>Ho</v>
      </c>
      <c r="DK272" s="472" t="str">
        <f t="shared" ca="1" si="141"/>
        <v>36</v>
      </c>
      <c r="DL272" s="472" t="str">
        <f t="shared" ca="1" si="141"/>
        <v>[Ho.xls]TEXT!Z36S5</v>
      </c>
      <c r="DM272" s="472">
        <f t="shared" ca="1" si="141"/>
        <v>54</v>
      </c>
      <c r="DN272" s="472" t="str">
        <f t="shared" ca="1" si="141"/>
        <v>[Region.xls]PARAMETER!Z225S6</v>
      </c>
      <c r="DO272" s="472" t="str">
        <f t="shared" ca="1" si="141"/>
        <v>[Region.xls]PARAMETER!Z226S6</v>
      </c>
      <c r="DP272" s="472"/>
      <c r="DS272" s="656"/>
      <c r="DV272" s="472"/>
      <c r="DW272" s="472"/>
      <c r="DX272" s="472"/>
      <c r="DY272" s="472"/>
      <c r="DZ272" s="472"/>
      <c r="EA272" s="472"/>
      <c r="EB272" s="472"/>
      <c r="EC272" s="472"/>
      <c r="ED272" s="472"/>
      <c r="EE272" s="472"/>
      <c r="EF272" s="472"/>
      <c r="EG272" s="472"/>
      <c r="EH272" s="472"/>
      <c r="EI272" s="472"/>
      <c r="EJ272" s="472"/>
      <c r="EK272" s="472"/>
      <c r="EV272" s="819">
        <f t="shared" si="140"/>
        <v>272</v>
      </c>
      <c r="EW272" s="819"/>
    </row>
    <row r="273" spans="1:153" s="472" customFormat="1" ht="26">
      <c r="A273" s="654" t="str">
        <f t="shared" ca="1" si="137"/>
        <v>D.1.273</v>
      </c>
      <c r="B273" s="654" t="str">
        <f t="shared" ca="1" si="138"/>
        <v>1.273</v>
      </c>
      <c r="C273" s="654" t="str">
        <f t="shared" si="98"/>
        <v>[273]</v>
      </c>
      <c r="D273" s="654">
        <f>ROW()</f>
        <v>273</v>
      </c>
      <c r="E273" s="1130" t="str">
        <f>CU273</f>
        <v>- STATUS-Ansatz: 29,9 MWh/ha/a [274], wobei dieser Wert für Kurzumtriebsplantagen gleichermaßen auch auf Miscanthus gelten kann [275].</v>
      </c>
      <c r="F273" s="1130"/>
      <c r="G273" s="1130"/>
      <c r="H273" s="1130"/>
      <c r="I273" s="1130"/>
      <c r="J273" s="1130"/>
      <c r="K273" s="1130"/>
      <c r="L273" s="1130"/>
      <c r="M273" s="1130"/>
      <c r="N273" s="1131"/>
      <c r="O273" s="869">
        <v>273</v>
      </c>
      <c r="P273" s="573" t="str">
        <f ca="1">HYPERLINK(EK273,EJ273)</f>
        <v/>
      </c>
      <c r="Q273" s="574">
        <f>Y273</f>
        <v>0</v>
      </c>
      <c r="R273" s="852"/>
      <c r="S273" s="784"/>
      <c r="T273" s="864"/>
      <c r="U273" s="1023" t="str">
        <f>TEXT(W273,"0,0")&amp;" MWh/ha/a "&amp;C274&amp;", wobei dieser Wert für Kurzumtriebsplantagen gleichermaßen auch auf Miscanthus gelten kann "&amp;C275&amp;"."</f>
        <v>29,9 MWh/ha/a [274], wobei dieser Wert für Kurzumtriebsplantagen gleichermaßen auch auf Miscanthus gelten kann [275].</v>
      </c>
      <c r="V273" s="905" t="s">
        <v>126</v>
      </c>
      <c r="W273" s="1034">
        <f>W274</f>
        <v>29.877260981912144</v>
      </c>
      <c r="X273" s="672"/>
      <c r="Y273" s="672"/>
      <c r="Z273" s="1025"/>
      <c r="AA273" s="658"/>
      <c r="AB273" s="801"/>
      <c r="AC273" s="801"/>
      <c r="AD273" s="801"/>
      <c r="AE273" s="801"/>
      <c r="AF273" s="801"/>
      <c r="AG273" s="801"/>
      <c r="AH273" s="801"/>
      <c r="AI273" s="801"/>
      <c r="AJ273" s="801"/>
      <c r="AK273" s="801"/>
      <c r="AL273" s="801"/>
      <c r="AM273" s="801"/>
      <c r="AN273" s="801"/>
      <c r="AO273" s="801"/>
      <c r="AP273" s="801"/>
      <c r="AQ273" s="801"/>
      <c r="AR273" s="801"/>
      <c r="AS273" s="801"/>
      <c r="AT273" s="801"/>
      <c r="AU273" s="801"/>
      <c r="AV273" s="801"/>
      <c r="BF273" s="473"/>
      <c r="BI273" s="472" t="s">
        <v>126</v>
      </c>
      <c r="BJ273" s="490"/>
      <c r="BN273" s="656"/>
      <c r="BO273" s="472" t="s">
        <v>259</v>
      </c>
      <c r="CU273" s="480" t="str">
        <f>CG$1&amp;IF(U273="",BF273,U273)</f>
        <v>- STATUS-Ansatz: 29,9 MWh/ha/a [274], wobei dieser Wert für Kurzumtriebsplantagen gleichermaßen auch auf Miscanthus gelten kann [275].</v>
      </c>
      <c r="CV273" s="656"/>
      <c r="CW273" s="480"/>
      <c r="DS273" s="656"/>
      <c r="DT273" s="518">
        <f>I_Basisdaten!A131</f>
        <v>131</v>
      </c>
      <c r="EJ273" s="472" t="str">
        <f>IF(X273=0,"",EJ$1&amp;X273)</f>
        <v/>
      </c>
      <c r="EK273" s="472" t="str">
        <f ca="1">EK$1&amp;X273</f>
        <v>[D_Python.xlsx]9.Quellen!C</v>
      </c>
      <c r="EV273" s="819">
        <f t="shared" si="140"/>
        <v>273</v>
      </c>
      <c r="EW273" s="819"/>
    </row>
    <row r="274" spans="1:153" s="472" customFormat="1" ht="52">
      <c r="A274" s="654" t="str">
        <f t="shared" ca="1" si="137"/>
        <v>D.1.274</v>
      </c>
      <c r="B274" s="654" t="str">
        <f t="shared" ca="1" si="138"/>
        <v>1.274</v>
      </c>
      <c r="C274" s="654" t="str">
        <f t="shared" si="98"/>
        <v>[274]</v>
      </c>
      <c r="D274" s="654">
        <f>ROW()</f>
        <v>274</v>
      </c>
      <c r="E274" s="1130" t="str">
        <f ca="1">CU274</f>
        <v xml:space="preserve">Typische Erträge von Kurzumtriebsplantagen (z. B. Pappel, Weiden)gemäß FNR [9.99], S. 16: 12 t/ha/a Masseertrag, 185 GJ/ha/a Energieertrag entsprechend 51,4 MWh/ha/a (bei einem Wassergehalt=15%). Hinweis, dass die Verfeuerung meist mit einem Wassergehalt von 35%-55% erfolgt, gemäß Diagramm (S. 15) resultiert daraus ein auf 58,1 % reduzierter Heizwert und ein Energieertrag von 29,9 MWh/ha/a. </v>
      </c>
      <c r="F274" s="1130"/>
      <c r="G274" s="1130"/>
      <c r="H274" s="1130"/>
      <c r="I274" s="1130"/>
      <c r="J274" s="1130"/>
      <c r="K274" s="1130"/>
      <c r="L274" s="1130"/>
      <c r="M274" s="1130"/>
      <c r="N274" s="1131"/>
      <c r="O274" s="869">
        <v>274</v>
      </c>
      <c r="P274" s="573" t="str">
        <f ca="1">HYPERLINK(EK274,EJ274)</f>
        <v>9.99</v>
      </c>
      <c r="Q274" s="574" t="str">
        <f>Y274</f>
        <v>S. 16</v>
      </c>
      <c r="R274" s="864"/>
      <c r="S274" s="784"/>
      <c r="T274" s="864"/>
      <c r="U274" s="1033" t="str">
        <f ca="1">"Typische Erträge von Kurzumtriebsplantagen (z. B. Pappel, Weiden)gemäß "&amp;'9.Quellen'!E99&amp;" ["&amp;'1.'!P274&amp;"], "&amp;'1.'!Q274&amp;": "&amp;'1.'!AD274&amp;'1.'!AE274&amp;" Masseertrag, "&amp;'1.'!AF274&amp;'1.'!AG274&amp;" Energieertrag entsprechend "&amp;TEXT('1.'!AH274,"0,0")&amp;'1.'!AI274&amp;" (bei einem Wassergehalt=15%). Hinweis, dass die Verfeuerung meist mit einem Wassergehalt von 35%-55% erfolgt, gemäß Diagramm (S. 15) resultiert daraus ein auf "&amp;TEXT(AL274,"0,0")&amp;" % reduzierter Heizwert und ein Energieertrag von "&amp;TEXT(AM274,"0,0")&amp;AN274&amp;". "</f>
        <v xml:space="preserve">Typische Erträge von Kurzumtriebsplantagen (z. B. Pappel, Weiden)gemäß FNR [9.99], S. 16: 12 t/ha/a Masseertrag, 185 GJ/ha/a Energieertrag entsprechend 51,4 MWh/ha/a (bei einem Wassergehalt=15%). Hinweis, dass die Verfeuerung meist mit einem Wassergehalt von 35%-55% erfolgt, gemäß Diagramm (S. 15) resultiert daraus ein auf 58,1 % reduzierter Heizwert und ein Energieertrag von 29,9 MWh/ha/a. </v>
      </c>
      <c r="V274" s="905" t="s">
        <v>126</v>
      </c>
      <c r="W274" s="1034">
        <f>AM274</f>
        <v>29.877260981912144</v>
      </c>
      <c r="X274" s="672">
        <f>'9.Quellen'!C99</f>
        <v>99</v>
      </c>
      <c r="Y274" s="672" t="s">
        <v>418</v>
      </c>
      <c r="Z274" s="1025"/>
      <c r="AA274" s="905"/>
      <c r="AB274" s="801"/>
      <c r="AC274" s="801"/>
      <c r="AD274" s="801">
        <v>12</v>
      </c>
      <c r="AE274" s="801" t="s">
        <v>422</v>
      </c>
      <c r="AF274" s="801">
        <v>185</v>
      </c>
      <c r="AG274" s="801" t="s">
        <v>423</v>
      </c>
      <c r="AH274" s="801">
        <f>AF274/3.6</f>
        <v>51.388888888888886</v>
      </c>
      <c r="AI274" s="801" t="s">
        <v>386</v>
      </c>
      <c r="AJ274" s="801">
        <v>4.3</v>
      </c>
      <c r="AK274" s="801">
        <v>2.5</v>
      </c>
      <c r="AL274" s="801">
        <f>AK274/AJ274%</f>
        <v>58.139534883720934</v>
      </c>
      <c r="AM274" s="801">
        <f>AH274*AL274%</f>
        <v>29.877260981912144</v>
      </c>
      <c r="AN274" s="801" t="s">
        <v>386</v>
      </c>
      <c r="AO274" s="801"/>
      <c r="AP274" s="801"/>
      <c r="AQ274" s="801"/>
      <c r="AR274" s="801"/>
      <c r="AS274" s="801"/>
      <c r="AT274" s="801"/>
      <c r="AU274" s="801"/>
      <c r="AV274" s="801"/>
      <c r="BF274" s="473"/>
      <c r="BI274" s="472" t="s">
        <v>126</v>
      </c>
      <c r="BJ274" s="490"/>
      <c r="BN274" s="656"/>
      <c r="BO274" s="472" t="s">
        <v>252</v>
      </c>
      <c r="CU274" s="480" t="str">
        <f ca="1">IF(U274="",BF274,U274)</f>
        <v xml:space="preserve">Typische Erträge von Kurzumtriebsplantagen (z. B. Pappel, Weiden)gemäß FNR [9.99], S. 16: 12 t/ha/a Masseertrag, 185 GJ/ha/a Energieertrag entsprechend 51,4 MWh/ha/a (bei einem Wassergehalt=15%). Hinweis, dass die Verfeuerung meist mit einem Wassergehalt von 35%-55% erfolgt, gemäß Diagramm (S. 15) resultiert daraus ein auf 58,1 % reduzierter Heizwert und ein Energieertrag von 29,9 MWh/ha/a. </v>
      </c>
      <c r="CV274" s="656"/>
      <c r="CW274" s="480"/>
      <c r="DS274" s="656"/>
      <c r="DT274" s="518"/>
      <c r="EJ274" s="472" t="str">
        <f ca="1">IF(X274=0,"",EJ$1&amp;X274)</f>
        <v>9.99</v>
      </c>
      <c r="EK274" s="472" t="str">
        <f ca="1">EK$1&amp;X274</f>
        <v>[D_Python.xlsx]9.Quellen!C99</v>
      </c>
      <c r="EV274" s="819">
        <f t="shared" ca="1" si="140"/>
        <v>274</v>
      </c>
      <c r="EW274" s="819"/>
    </row>
    <row r="275" spans="1:153" s="472" customFormat="1" ht="48" customHeight="1">
      <c r="A275" s="654" t="str">
        <f t="shared" ca="1" si="137"/>
        <v>D.1.275</v>
      </c>
      <c r="B275" s="654" t="str">
        <f t="shared" ca="1" si="138"/>
        <v>1.275</v>
      </c>
      <c r="C275" s="654" t="str">
        <f t="shared" si="98"/>
        <v>[275]</v>
      </c>
      <c r="D275" s="654">
        <f>ROW()</f>
        <v>275</v>
      </c>
      <c r="E275" s="1130" t="str">
        <f ca="1">CU275</f>
        <v xml:space="preserve">Typische Erträge aus Miscanthus-Anbau (Chinaschilf) gemäß  [9.99], S. 16 liegen mit 219 GJ/ha/a zwar etwas höher, als bei Kurzumtriebsplantagen, gelten aber erst ab dem 3. Anbaujahr. Der Durchschnitt über die gesamte Standzeit liegt niedriger und dürfte so in etwa dem Energieertrag von Kurzumtriebsplantagen entsprechen. </v>
      </c>
      <c r="F275" s="1130"/>
      <c r="G275" s="1130"/>
      <c r="H275" s="1130"/>
      <c r="I275" s="1130"/>
      <c r="J275" s="1130"/>
      <c r="K275" s="1130"/>
      <c r="L275" s="1130"/>
      <c r="M275" s="1130"/>
      <c r="N275" s="1130"/>
      <c r="O275" s="869">
        <v>275</v>
      </c>
      <c r="P275" s="573" t="str">
        <f ca="1">HYPERLINK(EK275,EJ275)</f>
        <v>9.99</v>
      </c>
      <c r="Q275" s="574" t="str">
        <f>Y275</f>
        <v>S. 16</v>
      </c>
      <c r="R275" s="864"/>
      <c r="S275" s="784"/>
      <c r="T275" s="864"/>
      <c r="U275" s="1033" t="str">
        <f ca="1">"Typische Erträge aus Miscanthus-Anbau (Chinaschilf) gemäß "&amp;'9.Quellen'!E100&amp;" ["&amp;'1.'!P275&amp;"], "&amp;'1.'!Q275&amp;" liegen mit "&amp;'1.'!AD275&amp;'1.'!AE275&amp;" zwar etwas höher, als bei Kurzumtriebsplantagen, gelten aber erst ab dem 3. Anbaujahr. Der Durchschnitt über die gesamte Standzeit liegt niedriger und dürfte so in etwa dem Energieertrag von Kurzumtriebsplantagen entsprechen. "</f>
        <v xml:space="preserve">Typische Erträge aus Miscanthus-Anbau (Chinaschilf) gemäß  [9.99], S. 16 liegen mit 219 GJ/ha/a zwar etwas höher, als bei Kurzumtriebsplantagen, gelten aber erst ab dem 3. Anbaujahr. Der Durchschnitt über die gesamte Standzeit liegt niedriger und dürfte so in etwa dem Energieertrag von Kurzumtriebsplantagen entsprechen. </v>
      </c>
      <c r="V275" s="905" t="s">
        <v>126</v>
      </c>
      <c r="W275" s="1024"/>
      <c r="X275" s="672">
        <f>'9.Quellen'!C99</f>
        <v>99</v>
      </c>
      <c r="Y275" s="672" t="s">
        <v>418</v>
      </c>
      <c r="Z275" s="1025"/>
      <c r="AA275" s="905"/>
      <c r="AB275" s="801"/>
      <c r="AC275" s="801"/>
      <c r="AD275" s="801">
        <v>219</v>
      </c>
      <c r="AE275" s="801" t="s">
        <v>423</v>
      </c>
      <c r="AF275" s="801"/>
      <c r="AG275" s="801"/>
      <c r="AH275" s="801"/>
      <c r="AI275" s="801"/>
      <c r="AJ275" s="801"/>
      <c r="AK275" s="801"/>
      <c r="AL275" s="801"/>
      <c r="AM275" s="801"/>
      <c r="AN275" s="801"/>
      <c r="AO275" s="801"/>
      <c r="AP275" s="801"/>
      <c r="AQ275" s="801"/>
      <c r="AR275" s="801"/>
      <c r="AS275" s="801"/>
      <c r="AT275" s="801"/>
      <c r="AU275" s="801"/>
      <c r="AV275" s="801"/>
      <c r="BF275" s="473"/>
      <c r="BI275" s="472" t="s">
        <v>126</v>
      </c>
      <c r="BJ275" s="490"/>
      <c r="BN275" s="656"/>
      <c r="BO275" s="472" t="s">
        <v>252</v>
      </c>
      <c r="CU275" s="480" t="str">
        <f ca="1">IF(U275="",BF275,U275)</f>
        <v xml:space="preserve">Typische Erträge aus Miscanthus-Anbau (Chinaschilf) gemäß  [9.99], S. 16 liegen mit 219 GJ/ha/a zwar etwas höher, als bei Kurzumtriebsplantagen, gelten aber erst ab dem 3. Anbaujahr. Der Durchschnitt über die gesamte Standzeit liegt niedriger und dürfte so in etwa dem Energieertrag von Kurzumtriebsplantagen entsprechen. </v>
      </c>
      <c r="CV275" s="656"/>
      <c r="CW275" s="480"/>
      <c r="DS275" s="656"/>
      <c r="DT275" s="518"/>
      <c r="EJ275" s="472" t="str">
        <f ca="1">IF(X275=0,"",EJ$1&amp;X275)</f>
        <v>9.99</v>
      </c>
      <c r="EK275" s="472" t="str">
        <f ca="1">EK$1&amp;X275</f>
        <v>[D_Python.xlsx]9.Quellen!C99</v>
      </c>
      <c r="EV275" s="819">
        <f t="shared" ca="1" si="140"/>
        <v>275</v>
      </c>
      <c r="EW275" s="819"/>
    </row>
    <row r="276" spans="1:153" s="478" customFormat="1" ht="4">
      <c r="A276" s="677" t="str">
        <f t="shared" ca="1" si="137"/>
        <v>D.1.276</v>
      </c>
      <c r="B276" s="677" t="str">
        <f t="shared" ca="1" si="138"/>
        <v>1.276</v>
      </c>
      <c r="C276" s="677" t="str">
        <f t="shared" si="98"/>
        <v>[276]</v>
      </c>
      <c r="D276" s="677">
        <f>ROW()</f>
        <v>276</v>
      </c>
      <c r="E276" s="528"/>
      <c r="F276" s="528"/>
      <c r="G276" s="528"/>
      <c r="H276" s="528"/>
      <c r="I276" s="527"/>
      <c r="J276" s="527"/>
      <c r="K276" s="527"/>
      <c r="L276" s="527"/>
      <c r="M276" s="527"/>
      <c r="N276" s="528"/>
      <c r="O276" s="871">
        <v>276</v>
      </c>
      <c r="P276" s="566"/>
      <c r="Q276" s="567"/>
      <c r="R276" s="888"/>
      <c r="S276" s="802"/>
      <c r="T276" s="882"/>
      <c r="U276" s="661"/>
      <c r="V276" s="661"/>
      <c r="W276" s="661"/>
      <c r="X276" s="661"/>
      <c r="Y276" s="661"/>
      <c r="Z276" s="661"/>
      <c r="AA276" s="661"/>
      <c r="AB276" s="675"/>
      <c r="AC276" s="675"/>
      <c r="AD276" s="675"/>
      <c r="AE276" s="675"/>
      <c r="AF276" s="675"/>
      <c r="AG276" s="675"/>
      <c r="AH276" s="675"/>
      <c r="AI276" s="675"/>
      <c r="AJ276" s="675"/>
      <c r="AK276" s="675"/>
      <c r="AL276" s="675"/>
      <c r="AM276" s="675"/>
      <c r="AN276" s="675"/>
      <c r="AO276" s="675"/>
      <c r="AP276" s="675"/>
      <c r="AQ276" s="675"/>
      <c r="AR276" s="675"/>
      <c r="AS276" s="675"/>
      <c r="AT276" s="675"/>
      <c r="AU276" s="675"/>
      <c r="AV276" s="675"/>
      <c r="BI276" s="478" t="s">
        <v>126</v>
      </c>
      <c r="BJ276" s="489"/>
      <c r="BN276" s="661"/>
      <c r="CU276" s="479"/>
      <c r="CV276" s="661"/>
      <c r="CW276" s="479"/>
      <c r="DS276" s="661"/>
      <c r="EV276" s="818" t="str">
        <f t="shared" si="140"/>
        <v/>
      </c>
      <c r="EW276" s="818"/>
    </row>
    <row r="277" spans="1:153" s="472" customFormat="1" ht="52">
      <c r="A277" s="654" t="str">
        <f t="shared" ca="1" si="137"/>
        <v>D.1.277</v>
      </c>
      <c r="B277" s="654" t="str">
        <f t="shared" ca="1" si="138"/>
        <v>1.277</v>
      </c>
      <c r="C277" s="654" t="str">
        <f t="shared" si="98"/>
        <v>[277]</v>
      </c>
      <c r="D277" s="654">
        <f>ROW()</f>
        <v>277</v>
      </c>
      <c r="E277" s="1125" t="str">
        <f t="shared" ref="E277" si="142">CU277</f>
        <v>- ZIEL-Ansatz: 51,4 MWh/ha/a [274], wobei im Gegensatz zum Status von der Verwendung luftgetrockneter Brennstoffe mit einem Wassergehalt von 15% ausgegangen wird, um die Verschwendung eines Teils der enthaltenen Energie zu vermeiden. Eventuelle Einflüsse auf die Wachstumsbedingungen, beispielsweise durch die Klimaveränderung, sind aus heutiger Sicht nicht hinreichend einschätzbar.</v>
      </c>
      <c r="F277" s="1125"/>
      <c r="G277" s="1125"/>
      <c r="H277" s="1125"/>
      <c r="I277" s="1125"/>
      <c r="J277" s="1125"/>
      <c r="K277" s="1125"/>
      <c r="L277" s="1125"/>
      <c r="M277" s="1125"/>
      <c r="N277" s="1132"/>
      <c r="O277" s="869">
        <v>277</v>
      </c>
      <c r="P277" s="573" t="str">
        <f ca="1">HYPERLINK(EK277,EJ277)</f>
        <v/>
      </c>
      <c r="Q277" s="574" t="str">
        <f>Y277</f>
        <v xml:space="preserve"> </v>
      </c>
      <c r="R277" s="852"/>
      <c r="S277" s="784"/>
      <c r="T277" s="864"/>
      <c r="U277" s="1023" t="str">
        <f>TEXT(AD277,"0,0")&amp;AE277&amp;C274&amp;", wobei im Gegensatz zum Status von der Verwendung luftgetrockneter Brennstoffe mit einem Wassergehalt von 15% ausgegangen wird, um die Verschwendung eines Teils der enthaltenen Energie zu vermeiden. "&amp;"Eventuelle Einflüsse auf die Wachstumsbedingungen, beispielsweise durch die Klimaveränderung, sind aus heutiger Sicht nicht hinreichend einschätzbar."</f>
        <v>51,4 MWh/ha/a [274], wobei im Gegensatz zum Status von der Verwendung luftgetrockneter Brennstoffe mit einem Wassergehalt von 15% ausgegangen wird, um die Verschwendung eines Teils der enthaltenen Energie zu vermeiden. Eventuelle Einflüsse auf die Wachstumsbedingungen, beispielsweise durch die Klimaveränderung, sind aus heutiger Sicht nicht hinreichend einschätzbar.</v>
      </c>
      <c r="V277" s="905" t="s">
        <v>126</v>
      </c>
      <c r="W277" s="1034">
        <f>AD277</f>
        <v>51.388888888888886</v>
      </c>
      <c r="X277" s="672"/>
      <c r="Y277" s="672" t="s">
        <v>126</v>
      </c>
      <c r="Z277" s="1025"/>
      <c r="AA277" s="905"/>
      <c r="AB277" s="801"/>
      <c r="AC277" s="801"/>
      <c r="AD277" s="801">
        <f>AH274</f>
        <v>51.388888888888886</v>
      </c>
      <c r="AE277" s="801" t="s">
        <v>410</v>
      </c>
      <c r="AF277" s="801"/>
      <c r="AG277" s="801"/>
      <c r="AH277" s="801"/>
      <c r="AI277" s="801"/>
      <c r="AJ277" s="801"/>
      <c r="AK277" s="801"/>
      <c r="AL277" s="801"/>
      <c r="AM277" s="801"/>
      <c r="AN277" s="801"/>
      <c r="AO277" s="801"/>
      <c r="AP277" s="801"/>
      <c r="AQ277" s="801"/>
      <c r="AR277" s="801"/>
      <c r="AS277" s="801"/>
      <c r="AT277" s="801"/>
      <c r="AU277" s="801"/>
      <c r="AV277" s="801"/>
      <c r="BF277" s="473"/>
      <c r="BI277" s="472" t="s">
        <v>126</v>
      </c>
      <c r="BJ277" s="490"/>
      <c r="BN277" s="656"/>
      <c r="BO277" s="472" t="s">
        <v>259</v>
      </c>
      <c r="CU277" s="480" t="str">
        <f>CH$1&amp;IF(U277="",BF277,U277)</f>
        <v>- ZIEL-Ansatz: 51,4 MWh/ha/a [274], wobei im Gegensatz zum Status von der Verwendung luftgetrockneter Brennstoffe mit einem Wassergehalt von 15% ausgegangen wird, um die Verschwendung eines Teils der enthaltenen Energie zu vermeiden. Eventuelle Einflüsse auf die Wachstumsbedingungen, beispielsweise durch die Klimaveränderung, sind aus heutiger Sicht nicht hinreichend einschätzbar.</v>
      </c>
      <c r="CV277" s="656"/>
      <c r="CW277" s="480"/>
      <c r="DS277" s="656"/>
      <c r="DT277" s="518">
        <v>53</v>
      </c>
      <c r="EJ277" s="472" t="str">
        <f>IF(X277=0,"",EJ$1&amp;X277)</f>
        <v/>
      </c>
      <c r="EK277" s="472" t="str">
        <f ca="1">EK$1&amp;X277</f>
        <v>[D_Python.xlsx]9.Quellen!C</v>
      </c>
      <c r="EV277" s="819">
        <f t="shared" si="140"/>
        <v>277</v>
      </c>
      <c r="EW277" s="819"/>
    </row>
    <row r="278" spans="1:153" s="478" customFormat="1" ht="4">
      <c r="A278" s="677" t="str">
        <f t="shared" ca="1" si="137"/>
        <v>D.1.278</v>
      </c>
      <c r="B278" s="677" t="str">
        <f t="shared" ca="1" si="138"/>
        <v>1.278</v>
      </c>
      <c r="C278" s="677" t="str">
        <f t="shared" si="98"/>
        <v>[278]</v>
      </c>
      <c r="D278" s="677">
        <f>ROW()</f>
        <v>278</v>
      </c>
      <c r="E278" s="528"/>
      <c r="F278" s="528"/>
      <c r="G278" s="528"/>
      <c r="H278" s="528"/>
      <c r="I278" s="527"/>
      <c r="J278" s="527"/>
      <c r="K278" s="527"/>
      <c r="L278" s="527"/>
      <c r="M278" s="527"/>
      <c r="N278" s="528"/>
      <c r="O278" s="871">
        <v>278</v>
      </c>
      <c r="P278" s="566"/>
      <c r="Q278" s="567"/>
      <c r="R278" s="888"/>
      <c r="S278" s="802"/>
      <c r="T278" s="882"/>
      <c r="U278" s="661"/>
      <c r="V278" s="661"/>
      <c r="W278" s="661"/>
      <c r="X278" s="661"/>
      <c r="Y278" s="661"/>
      <c r="Z278" s="661"/>
      <c r="AA278" s="661"/>
      <c r="AB278" s="675"/>
      <c r="AC278" s="675"/>
      <c r="AD278" s="675"/>
      <c r="AE278" s="675"/>
      <c r="AF278" s="675"/>
      <c r="AG278" s="675"/>
      <c r="AH278" s="675"/>
      <c r="AI278" s="675"/>
      <c r="AJ278" s="675"/>
      <c r="AK278" s="675"/>
      <c r="AL278" s="675"/>
      <c r="AM278" s="675"/>
      <c r="AN278" s="675"/>
      <c r="AO278" s="675"/>
      <c r="AP278" s="675"/>
      <c r="AQ278" s="675"/>
      <c r="AR278" s="675"/>
      <c r="AS278" s="675"/>
      <c r="AT278" s="675"/>
      <c r="AU278" s="675"/>
      <c r="AV278" s="675"/>
      <c r="AZ278" s="505"/>
      <c r="BB278" s="505"/>
      <c r="BI278" s="478" t="s">
        <v>126</v>
      </c>
      <c r="BJ278" s="489"/>
      <c r="BN278" s="661"/>
      <c r="CU278" s="479"/>
      <c r="CV278" s="661"/>
      <c r="CW278" s="479"/>
      <c r="DS278" s="661"/>
      <c r="EV278" s="818" t="str">
        <f t="shared" si="140"/>
        <v/>
      </c>
      <c r="EW278" s="818"/>
    </row>
    <row r="279" spans="1:153" s="472" customFormat="1" ht="13">
      <c r="A279" s="654" t="str">
        <f t="shared" ca="1" si="137"/>
        <v>D.1.279</v>
      </c>
      <c r="B279" s="654" t="str">
        <f t="shared" ca="1" si="138"/>
        <v>1.279</v>
      </c>
      <c r="C279" s="654" t="str">
        <f t="shared" si="98"/>
        <v>[279]</v>
      </c>
      <c r="D279" s="654">
        <f>ROW()</f>
        <v>279</v>
      </c>
      <c r="E279" s="481" t="str">
        <f>BP279</f>
        <v>Energieholz gesamt</v>
      </c>
      <c r="F279" s="482"/>
      <c r="G279" s="482"/>
      <c r="H279" s="482"/>
      <c r="I279" s="483"/>
      <c r="J279" s="484"/>
      <c r="K279" s="484"/>
      <c r="L279" s="484"/>
      <c r="M279" s="484"/>
      <c r="N279" s="532"/>
      <c r="O279" s="869">
        <v>279</v>
      </c>
      <c r="P279" s="568"/>
      <c r="Q279" s="569"/>
      <c r="R279" s="852"/>
      <c r="S279" s="804"/>
      <c r="T279" s="864"/>
      <c r="U279" s="905"/>
      <c r="V279" s="905"/>
      <c r="W279" s="905"/>
      <c r="X279" s="905"/>
      <c r="Y279" s="905"/>
      <c r="Z279" s="905"/>
      <c r="AA279" s="905"/>
      <c r="AB279" s="801"/>
      <c r="AC279" s="801"/>
      <c r="AD279" s="801"/>
      <c r="AE279" s="801"/>
      <c r="AF279" s="801"/>
      <c r="AG279" s="801"/>
      <c r="AH279" s="801"/>
      <c r="AI279" s="801"/>
      <c r="AJ279" s="801"/>
      <c r="AK279" s="801"/>
      <c r="AL279" s="801"/>
      <c r="AM279" s="801"/>
      <c r="AN279" s="801"/>
      <c r="AO279" s="801"/>
      <c r="AP279" s="801"/>
      <c r="AQ279" s="801"/>
      <c r="AR279" s="801"/>
      <c r="AS279" s="801"/>
      <c r="AT279" s="801"/>
      <c r="AU279" s="801"/>
      <c r="AV279" s="801"/>
      <c r="AZ279" s="504"/>
      <c r="BB279" s="506"/>
      <c r="BI279" s="472" t="s">
        <v>126</v>
      </c>
      <c r="BJ279" s="490"/>
      <c r="BN279" s="656"/>
      <c r="BO279" s="472" t="s">
        <v>250</v>
      </c>
      <c r="BP279" s="518" t="s">
        <v>393</v>
      </c>
      <c r="CU279" s="480"/>
      <c r="CV279" s="656"/>
      <c r="CW279" s="480"/>
      <c r="DS279" s="656"/>
      <c r="EV279" s="819">
        <f t="shared" si="140"/>
        <v>279</v>
      </c>
      <c r="EW279" s="819"/>
    </row>
    <row r="280" spans="1:153" s="478" customFormat="1" ht="4">
      <c r="A280" s="677" t="str">
        <f t="shared" ca="1" si="137"/>
        <v>D.1.280</v>
      </c>
      <c r="B280" s="677" t="str">
        <f t="shared" ca="1" si="138"/>
        <v>1.280</v>
      </c>
      <c r="C280" s="677" t="str">
        <f t="shared" si="98"/>
        <v>[280]</v>
      </c>
      <c r="D280" s="677">
        <f>ROW()</f>
        <v>280</v>
      </c>
      <c r="E280" s="528"/>
      <c r="F280" s="528"/>
      <c r="G280" s="528"/>
      <c r="H280" s="528"/>
      <c r="I280" s="527"/>
      <c r="J280" s="527"/>
      <c r="K280" s="527"/>
      <c r="L280" s="527"/>
      <c r="M280" s="527"/>
      <c r="N280" s="528"/>
      <c r="O280" s="871">
        <v>280</v>
      </c>
      <c r="P280" s="566"/>
      <c r="Q280" s="567"/>
      <c r="R280" s="888"/>
      <c r="S280" s="802"/>
      <c r="T280" s="882"/>
      <c r="U280" s="661"/>
      <c r="V280" s="661"/>
      <c r="W280" s="661"/>
      <c r="X280" s="661"/>
      <c r="Y280" s="661"/>
      <c r="Z280" s="661"/>
      <c r="AA280" s="661"/>
      <c r="AB280" s="675"/>
      <c r="AC280" s="675"/>
      <c r="AD280" s="675"/>
      <c r="AE280" s="675"/>
      <c r="AF280" s="675"/>
      <c r="AG280" s="675"/>
      <c r="AH280" s="675"/>
      <c r="AI280" s="675"/>
      <c r="AJ280" s="675"/>
      <c r="AK280" s="675"/>
      <c r="AL280" s="675"/>
      <c r="AM280" s="675"/>
      <c r="AN280" s="675"/>
      <c r="AO280" s="675"/>
      <c r="AP280" s="675"/>
      <c r="AQ280" s="675"/>
      <c r="AR280" s="675"/>
      <c r="AS280" s="675"/>
      <c r="AT280" s="675"/>
      <c r="AU280" s="675"/>
      <c r="AV280" s="675"/>
      <c r="AZ280" s="505"/>
      <c r="BB280" s="505"/>
      <c r="BI280" s="478" t="s">
        <v>126</v>
      </c>
      <c r="BJ280" s="489"/>
      <c r="BN280" s="661"/>
      <c r="CU280" s="479"/>
      <c r="CV280" s="661"/>
      <c r="CW280" s="479"/>
      <c r="DS280" s="661"/>
      <c r="EV280" s="818" t="str">
        <f t="shared" si="140"/>
        <v/>
      </c>
      <c r="EW280" s="818"/>
    </row>
    <row r="281" spans="1:153" s="475" customFormat="1" ht="13.5" customHeight="1">
      <c r="A281" s="654" t="str">
        <f t="shared" ca="1" si="137"/>
        <v>D.1.281</v>
      </c>
      <c r="B281" s="654" t="str">
        <f t="shared" ca="1" si="138"/>
        <v>1.281</v>
      </c>
      <c r="C281" s="654" t="str">
        <f t="shared" si="98"/>
        <v>[281]</v>
      </c>
      <c r="D281" s="654">
        <f>ROW()</f>
        <v>281</v>
      </c>
      <c r="E281" s="1129" t="str">
        <f>BP281</f>
        <v>Energieholz-Anteil für Gebäudewärme</v>
      </c>
      <c r="F281" s="1129"/>
      <c r="G281" s="1129"/>
      <c r="H281" s="1129"/>
      <c r="I281" s="1129"/>
      <c r="J281" s="471" t="s">
        <v>38</v>
      </c>
      <c r="K281" s="557">
        <f ca="1">INDIRECT($W$1&amp;U281)</f>
        <v>50.192032038165685</v>
      </c>
      <c r="L281" s="485" t="str">
        <f ca="1">HYPERLINK($CK$1&amp;U281,$CE$1&amp;U281&amp;$CF$1)</f>
        <v>[282]</v>
      </c>
      <c r="M281" s="558">
        <f ca="1">INDIRECT($W$1&amp;W281)</f>
        <v>0</v>
      </c>
      <c r="N281" s="533" t="str">
        <f ca="1">HYPERLINK($CK$1&amp;W281,$CE$1&amp;W281&amp;$CF$1)</f>
        <v>[284]</v>
      </c>
      <c r="O281" s="869">
        <v>281</v>
      </c>
      <c r="P281" s="570"/>
      <c r="Q281" s="583"/>
      <c r="R281" s="852"/>
      <c r="S281" s="784"/>
      <c r="T281" s="864"/>
      <c r="U281" s="672">
        <f>D282</f>
        <v>282</v>
      </c>
      <c r="V281" s="905" t="s">
        <v>126</v>
      </c>
      <c r="W281" s="672">
        <f>D284</f>
        <v>284</v>
      </c>
      <c r="X281" s="658"/>
      <c r="Y281" s="658"/>
      <c r="Z281" s="658"/>
      <c r="AA281" s="658"/>
      <c r="AB281" s="801"/>
      <c r="AC281" s="801"/>
      <c r="AD281" s="674"/>
      <c r="AE281" s="674"/>
      <c r="AF281" s="674"/>
      <c r="AG281" s="674"/>
      <c r="AH281" s="674"/>
      <c r="AI281" s="674"/>
      <c r="AJ281" s="674"/>
      <c r="AK281" s="674"/>
      <c r="AL281" s="674"/>
      <c r="AM281" s="674"/>
      <c r="AN281" s="674"/>
      <c r="AO281" s="674"/>
      <c r="AP281" s="674"/>
      <c r="AQ281" s="674"/>
      <c r="AR281" s="674"/>
      <c r="AS281" s="674"/>
      <c r="AT281" s="674"/>
      <c r="AU281" s="674"/>
      <c r="AV281" s="674"/>
      <c r="AX281" s="475" t="s">
        <v>244</v>
      </c>
      <c r="AY281" s="500">
        <f ca="1">DA281</f>
        <v>35.041575718754729</v>
      </c>
      <c r="AZ281" s="508" t="str">
        <f ca="1">HYPERLINK(DN281,DC281)</f>
        <v xml:space="preserve"> 225</v>
      </c>
      <c r="BA281" s="500">
        <f ca="1">DB281</f>
        <v>0</v>
      </c>
      <c r="BB281" s="508" t="str">
        <f ca="1">HYPERLINK(DO281,DD281)</f>
        <v xml:space="preserve"> 226</v>
      </c>
      <c r="BC281" s="475" t="str">
        <f ca="1">CY281&amp;" | "&amp;CZ281</f>
        <v>Brennstoffgew.
 für Heizung | 0</v>
      </c>
      <c r="BI281" s="475" t="s">
        <v>126</v>
      </c>
      <c r="BJ281" s="492" t="str">
        <f>E281</f>
        <v>Energieholz-Anteil für Gebäudewärme</v>
      </c>
      <c r="BK281" s="486">
        <f ca="1">K281</f>
        <v>50.192032038165685</v>
      </c>
      <c r="BL281" s="486">
        <f ca="1">M281</f>
        <v>0</v>
      </c>
      <c r="BM281" s="472">
        <f>D281</f>
        <v>281</v>
      </c>
      <c r="BN281" s="658"/>
      <c r="BO281" s="475" t="s">
        <v>251</v>
      </c>
      <c r="BP281" s="521" t="s">
        <v>392</v>
      </c>
      <c r="CU281" s="476"/>
      <c r="CV281" s="658"/>
      <c r="CW281" s="518">
        <v>54</v>
      </c>
      <c r="CY281" s="472" t="str">
        <f t="shared" ref="CY281:DO281" ca="1" si="143">INDIRECT($CX$1&amp;CY$1&amp;$CW281)</f>
        <v>Brennstoffgew.
 für Heizung</v>
      </c>
      <c r="CZ281" s="472">
        <f t="shared" ca="1" si="143"/>
        <v>0</v>
      </c>
      <c r="DA281" s="472">
        <f t="shared" ca="1" si="143"/>
        <v>35.041575718754729</v>
      </c>
      <c r="DB281" s="472">
        <f t="shared" ca="1" si="143"/>
        <v>0</v>
      </c>
      <c r="DC281" s="472" t="str">
        <f t="shared" ca="1" si="143"/>
        <v xml:space="preserve"> 225</v>
      </c>
      <c r="DD281" s="472" t="str">
        <f t="shared" ca="1" si="143"/>
        <v xml:space="preserve"> 226</v>
      </c>
      <c r="DE281" s="472" t="str">
        <f t="shared" ca="1" si="143"/>
        <v>Ho98</v>
      </c>
      <c r="DF281" s="472" t="str">
        <f t="shared" ca="1" si="143"/>
        <v>Ho36</v>
      </c>
      <c r="DG281" s="472" t="str">
        <f t="shared" ca="1" si="143"/>
        <v>Ho</v>
      </c>
      <c r="DH281" s="472" t="str">
        <f t="shared" ca="1" si="143"/>
        <v>98</v>
      </c>
      <c r="DI281" s="472" t="str">
        <f t="shared" ca="1" si="143"/>
        <v>[Ho.xls]TEXT!Z98S5</v>
      </c>
      <c r="DJ281" s="472" t="str">
        <f t="shared" ca="1" si="143"/>
        <v>Ho</v>
      </c>
      <c r="DK281" s="472" t="str">
        <f t="shared" ca="1" si="143"/>
        <v>36</v>
      </c>
      <c r="DL281" s="472" t="str">
        <f t="shared" ca="1" si="143"/>
        <v>[Ho.xls]TEXT!Z36S5</v>
      </c>
      <c r="DM281" s="472">
        <f t="shared" ca="1" si="143"/>
        <v>54</v>
      </c>
      <c r="DN281" s="472" t="str">
        <f t="shared" ca="1" si="143"/>
        <v>[Region.xls]PARAMETER!Z225S6</v>
      </c>
      <c r="DO281" s="472" t="str">
        <f t="shared" ca="1" si="143"/>
        <v>[Region.xls]PARAMETER!Z226S6</v>
      </c>
      <c r="DP281" s="472"/>
      <c r="DS281" s="656"/>
      <c r="DV281" s="472"/>
      <c r="DW281" s="472"/>
      <c r="DX281" s="472"/>
      <c r="DY281" s="472"/>
      <c r="DZ281" s="472"/>
      <c r="EA281" s="472"/>
      <c r="EB281" s="472"/>
      <c r="EC281" s="472"/>
      <c r="ED281" s="472"/>
      <c r="EE281" s="472"/>
      <c r="EF281" s="472"/>
      <c r="EG281" s="472"/>
      <c r="EH281" s="472"/>
      <c r="EI281" s="472"/>
      <c r="EJ281" s="472"/>
      <c r="EK281" s="472"/>
      <c r="EV281" s="819">
        <f t="shared" si="140"/>
        <v>281</v>
      </c>
      <c r="EW281" s="819"/>
    </row>
    <row r="282" spans="1:153" s="472" customFormat="1" ht="26">
      <c r="A282" s="654" t="str">
        <f t="shared" ca="1" si="137"/>
        <v>D.1.282</v>
      </c>
      <c r="B282" s="654" t="str">
        <f t="shared" ca="1" si="138"/>
        <v>1.282</v>
      </c>
      <c r="C282" s="654" t="str">
        <f t="shared" si="98"/>
        <v>[282]</v>
      </c>
      <c r="D282" s="654">
        <f>ROW()</f>
        <v>282</v>
      </c>
      <c r="E282" s="1130" t="str">
        <f ca="1">CU282</f>
        <v>- STATUS-Ansatz: 50,2 % als Verhältnis von 65.530 GWh/a  Energieholz für Haushalte [248] zu  130.559 GWh/a  energetischer Holznutzung insgesamt [247].</v>
      </c>
      <c r="F282" s="1130"/>
      <c r="G282" s="1130"/>
      <c r="H282" s="1130"/>
      <c r="I282" s="1130"/>
      <c r="J282" s="1130"/>
      <c r="K282" s="1130"/>
      <c r="L282" s="1130"/>
      <c r="M282" s="1130"/>
      <c r="N282" s="1131"/>
      <c r="O282" s="869">
        <v>282</v>
      </c>
      <c r="P282" s="573" t="str">
        <f ca="1">HYPERLINK(EK282,EJ282)</f>
        <v/>
      </c>
      <c r="Q282" s="574" t="str">
        <f>Y282</f>
        <v xml:space="preserve"> </v>
      </c>
      <c r="R282" s="852"/>
      <c r="S282" s="784"/>
      <c r="T282" s="864"/>
      <c r="U282" s="1023" t="str">
        <f ca="1">TEXT(W282,"0,0")&amp;" % als Verhältnis von "&amp;TEXT(AD282,"0.000")&amp;AE282&amp;" Energieholz für Haushalte "&amp;C248&amp;" zu  "&amp;TEXT(AF282,"0.000")&amp;AG282&amp;" energetischer Holznutzung insgesamt "&amp;C247&amp;"."</f>
        <v>50,2 % als Verhältnis von 65.530 GWh/a  Energieholz für Haushalte [248] zu  130.559 GWh/a  energetischer Holznutzung insgesamt [247].</v>
      </c>
      <c r="V282" s="905" t="s">
        <v>126</v>
      </c>
      <c r="W282" s="1034">
        <f ca="1">AH282</f>
        <v>50.192032038165685</v>
      </c>
      <c r="X282" s="672"/>
      <c r="Y282" s="672" t="s">
        <v>126</v>
      </c>
      <c r="Z282" s="1025"/>
      <c r="AA282" s="658"/>
      <c r="AB282" s="801"/>
      <c r="AC282" s="801"/>
      <c r="AD282" s="841">
        <f>AJ248</f>
        <v>65530</v>
      </c>
      <c r="AE282" s="801" t="s">
        <v>385</v>
      </c>
      <c r="AF282" s="801">
        <f ca="1">AJ247</f>
        <v>130558.57142857142</v>
      </c>
      <c r="AG282" s="801" t="s">
        <v>385</v>
      </c>
      <c r="AH282" s="801">
        <f ca="1">AD282/AF282%</f>
        <v>50.192032038165685</v>
      </c>
      <c r="AI282" s="801"/>
      <c r="AJ282" s="801"/>
      <c r="AK282" s="801"/>
      <c r="AL282" s="801"/>
      <c r="AM282" s="801"/>
      <c r="AN282" s="801"/>
      <c r="AO282" s="801"/>
      <c r="AP282" s="801"/>
      <c r="AQ282" s="801"/>
      <c r="AR282" s="801"/>
      <c r="AS282" s="801"/>
      <c r="AT282" s="801"/>
      <c r="AU282" s="801"/>
      <c r="AV282" s="801"/>
      <c r="AY282" s="472">
        <f ca="1">AY281/AY$246%</f>
        <v>48.153552877865167</v>
      </c>
      <c r="BA282" s="472">
        <f ca="1">BA281/BA$246%</f>
        <v>0</v>
      </c>
      <c r="BF282" s="473"/>
      <c r="BI282" s="472" t="s">
        <v>126</v>
      </c>
      <c r="BJ282" s="490"/>
      <c r="BN282" s="656"/>
      <c r="BO282" s="472" t="s">
        <v>259</v>
      </c>
      <c r="CU282" s="480" t="str">
        <f ca="1">CG$1&amp;IF(U282="",BF282,U282)</f>
        <v>- STATUS-Ansatz: 50,2 % als Verhältnis von 65.530 GWh/a  Energieholz für Haushalte [248] zu  130.559 GWh/a  energetischer Holznutzung insgesamt [247].</v>
      </c>
      <c r="CV282" s="656"/>
      <c r="CW282" s="480"/>
      <c r="DS282" s="656"/>
      <c r="DT282" s="518">
        <f>I_Basisdaten!A121</f>
        <v>121</v>
      </c>
      <c r="EJ282" s="472" t="str">
        <f>IF(X282=0,"",EJ$1&amp;X282)</f>
        <v/>
      </c>
      <c r="EK282" s="472" t="str">
        <f ca="1">EK$1&amp;X282</f>
        <v>[D_Python.xlsx]9.Quellen!C</v>
      </c>
      <c r="EV282" s="819">
        <f t="shared" ca="1" si="140"/>
        <v>282</v>
      </c>
      <c r="EW282" s="819"/>
    </row>
    <row r="283" spans="1:153" s="478" customFormat="1" ht="5" thickBot="1">
      <c r="A283" s="677" t="str">
        <f t="shared" ca="1" si="137"/>
        <v>D.1.283</v>
      </c>
      <c r="B283" s="677" t="str">
        <f t="shared" ca="1" si="138"/>
        <v>1.283</v>
      </c>
      <c r="C283" s="677" t="str">
        <f t="shared" si="98"/>
        <v>[283]</v>
      </c>
      <c r="D283" s="677">
        <f>ROW()</f>
        <v>283</v>
      </c>
      <c r="E283" s="528"/>
      <c r="F283" s="528"/>
      <c r="G283" s="528"/>
      <c r="H283" s="528"/>
      <c r="I283" s="527"/>
      <c r="J283" s="527"/>
      <c r="K283" s="527"/>
      <c r="L283" s="527"/>
      <c r="M283" s="527"/>
      <c r="N283" s="528"/>
      <c r="O283" s="871">
        <v>283</v>
      </c>
      <c r="P283" s="566"/>
      <c r="Q283" s="567"/>
      <c r="R283" s="888"/>
      <c r="S283" s="802"/>
      <c r="T283" s="882"/>
      <c r="U283" s="661"/>
      <c r="V283" s="661"/>
      <c r="W283" s="661"/>
      <c r="X283" s="661"/>
      <c r="Y283" s="661"/>
      <c r="Z283" s="661"/>
      <c r="AA283" s="661"/>
      <c r="AB283" s="675"/>
      <c r="AC283" s="675"/>
      <c r="AD283" s="675"/>
      <c r="AE283" s="675"/>
      <c r="AF283" s="675"/>
      <c r="AG283" s="675"/>
      <c r="AH283" s="675"/>
      <c r="AI283" s="675"/>
      <c r="AJ283" s="675"/>
      <c r="AK283" s="675"/>
      <c r="AL283" s="675"/>
      <c r="AM283" s="675"/>
      <c r="AN283" s="675"/>
      <c r="AO283" s="675"/>
      <c r="AP283" s="675"/>
      <c r="AQ283" s="675"/>
      <c r="AR283" s="675"/>
      <c r="AS283" s="675"/>
      <c r="AT283" s="675"/>
      <c r="AU283" s="675"/>
      <c r="AV283" s="675"/>
      <c r="BI283" s="478" t="s">
        <v>126</v>
      </c>
      <c r="BJ283" s="489"/>
      <c r="BN283" s="661"/>
      <c r="CU283" s="479"/>
      <c r="CV283" s="661"/>
      <c r="CW283" s="479"/>
      <c r="DS283" s="661"/>
      <c r="EV283" s="818" t="str">
        <f t="shared" si="140"/>
        <v/>
      </c>
      <c r="EW283" s="818"/>
    </row>
    <row r="284" spans="1:153" s="472" customFormat="1" ht="40" thickBot="1">
      <c r="A284" s="654" t="str">
        <f t="shared" ca="1" si="137"/>
        <v>D.1.284</v>
      </c>
      <c r="B284" s="654" t="str">
        <f t="shared" ca="1" si="138"/>
        <v>1.284</v>
      </c>
      <c r="C284" s="654" t="str">
        <f t="shared" si="98"/>
        <v>[284]</v>
      </c>
      <c r="D284" s="654">
        <f>ROW()</f>
        <v>284</v>
      </c>
      <c r="E284" s="1125" t="str">
        <f t="shared" ref="E284" si="144">CU284</f>
        <v xml:space="preserve">- ZIEL-Ansatz: (Bei Abweichungen gilt Abgleichergebnis in _S.xlsx) Energieholz für Gebäudewärme (Kamine, Öfen, Kessel) erscheinen für die Zukunft nicht sinnvoll, vorzuziehen ist die Verwendung des begrenzten Brennstoffanfalls für anspruchsvollere Anwendungsbereiche wie Prozesswärme oder Stromerzeugung. </v>
      </c>
      <c r="F284" s="1125"/>
      <c r="G284" s="1125"/>
      <c r="H284" s="1125"/>
      <c r="I284" s="1125"/>
      <c r="J284" s="1125"/>
      <c r="K284" s="1125"/>
      <c r="L284" s="1125"/>
      <c r="M284" s="1125"/>
      <c r="N284" s="1132"/>
      <c r="O284" s="869">
        <v>284</v>
      </c>
      <c r="P284" s="573" t="str">
        <f ca="1">HYPERLINK(EK284,EJ284)</f>
        <v/>
      </c>
      <c r="Q284" s="574" t="str">
        <f>Y284</f>
        <v xml:space="preserve"> </v>
      </c>
      <c r="R284" s="852"/>
      <c r="S284" s="784"/>
      <c r="T284" s="864"/>
      <c r="U284" s="1023" t="str">
        <f>"(Bei Abweichungen gilt Abgleichergebnis in _S.xlsx) Energieholz für Gebäudewärme (Kamine, Öfen, Kessel) erscheinen für die Zukunft nicht sinnvoll, "&amp;"vorzuziehen ist die Verwendung des begrenzten Brennstoffanfalls für anspruchsvollere Anwendungsbereiche wie Prozesswärme oder Stromerzeugung. "</f>
        <v xml:space="preserve">(Bei Abweichungen gilt Abgleichergebnis in _S.xlsx) Energieholz für Gebäudewärme (Kamine, Öfen, Kessel) erscheinen für die Zukunft nicht sinnvoll, vorzuziehen ist die Verwendung des begrenzten Brennstoffanfalls für anspruchsvollere Anwendungsbereiche wie Prozesswärme oder Stromerzeugung. </v>
      </c>
      <c r="V284" s="905" t="s">
        <v>126</v>
      </c>
      <c r="W284" s="1085">
        <v>0</v>
      </c>
      <c r="X284" s="865"/>
      <c r="Y284" s="672" t="s">
        <v>126</v>
      </c>
      <c r="Z284" s="1025"/>
      <c r="AA284" s="905"/>
      <c r="AB284" s="801"/>
      <c r="AC284" s="801"/>
      <c r="AD284" s="801"/>
      <c r="AE284" s="801"/>
      <c r="AF284" s="801"/>
      <c r="AG284" s="801"/>
      <c r="AH284" s="801"/>
      <c r="AI284" s="801"/>
      <c r="AJ284" s="801"/>
      <c r="AK284" s="801"/>
      <c r="AL284" s="801"/>
      <c r="AM284" s="801"/>
      <c r="AN284" s="801"/>
      <c r="AO284" s="801"/>
      <c r="AP284" s="801"/>
      <c r="AQ284" s="801"/>
      <c r="AR284" s="801"/>
      <c r="AS284" s="801"/>
      <c r="AT284" s="801"/>
      <c r="AU284" s="801"/>
      <c r="AV284" s="801"/>
      <c r="BF284" s="473"/>
      <c r="BI284" s="472" t="s">
        <v>126</v>
      </c>
      <c r="BJ284" s="490"/>
      <c r="BN284" s="656"/>
      <c r="BO284" s="472" t="s">
        <v>259</v>
      </c>
      <c r="CU284" s="480" t="str">
        <f>CH$1&amp;IF(U284="",BF284,U284)</f>
        <v xml:space="preserve">- ZIEL-Ansatz: (Bei Abweichungen gilt Abgleichergebnis in _S.xlsx) Energieholz für Gebäudewärme (Kamine, Öfen, Kessel) erscheinen für die Zukunft nicht sinnvoll, vorzuziehen ist die Verwendung des begrenzten Brennstoffanfalls für anspruchsvollere Anwendungsbereiche wie Prozesswärme oder Stromerzeugung. </v>
      </c>
      <c r="CV284" s="656"/>
      <c r="CW284" s="480"/>
      <c r="DS284" s="656"/>
      <c r="DT284" s="518">
        <v>53</v>
      </c>
      <c r="EJ284" s="472" t="str">
        <f>IF(X284=0,"",EJ$1&amp;X284)</f>
        <v/>
      </c>
      <c r="EK284" s="472" t="str">
        <f ca="1">EK$1&amp;X284</f>
        <v>[D_Python.xlsx]9.Quellen!C</v>
      </c>
      <c r="EV284" s="819">
        <f t="shared" si="140"/>
        <v>284</v>
      </c>
      <c r="EW284" s="819"/>
    </row>
    <row r="285" spans="1:153" s="478" customFormat="1" ht="4">
      <c r="A285" s="677" t="str">
        <f t="shared" ca="1" si="137"/>
        <v>D.1.285</v>
      </c>
      <c r="B285" s="677" t="str">
        <f t="shared" ca="1" si="138"/>
        <v>1.285</v>
      </c>
      <c r="C285" s="677" t="str">
        <f t="shared" si="98"/>
        <v>[285]</v>
      </c>
      <c r="D285" s="677">
        <f>ROW()</f>
        <v>285</v>
      </c>
      <c r="E285" s="548"/>
      <c r="F285" s="548"/>
      <c r="G285" s="548"/>
      <c r="H285" s="548"/>
      <c r="I285" s="549"/>
      <c r="J285" s="549"/>
      <c r="K285" s="549"/>
      <c r="L285" s="549"/>
      <c r="M285" s="549"/>
      <c r="N285" s="548"/>
      <c r="O285" s="871">
        <v>285</v>
      </c>
      <c r="P285" s="575"/>
      <c r="Q285" s="576"/>
      <c r="R285" s="888"/>
      <c r="S285" s="802"/>
      <c r="T285" s="882"/>
      <c r="U285" s="661"/>
      <c r="V285" s="661"/>
      <c r="W285" s="661"/>
      <c r="X285" s="661"/>
      <c r="Y285" s="661"/>
      <c r="Z285" s="661"/>
      <c r="AA285" s="661"/>
      <c r="AB285" s="675"/>
      <c r="AC285" s="675"/>
      <c r="AD285" s="675"/>
      <c r="AE285" s="675"/>
      <c r="AF285" s="675"/>
      <c r="AG285" s="675"/>
      <c r="AH285" s="675"/>
      <c r="AI285" s="675"/>
      <c r="AJ285" s="675"/>
      <c r="AK285" s="675"/>
      <c r="AL285" s="675"/>
      <c r="AM285" s="675"/>
      <c r="AN285" s="675"/>
      <c r="AO285" s="675"/>
      <c r="AP285" s="675"/>
      <c r="AQ285" s="675"/>
      <c r="AR285" s="675"/>
      <c r="AS285" s="675"/>
      <c r="AT285" s="675"/>
      <c r="AU285" s="675"/>
      <c r="AV285" s="675"/>
      <c r="AZ285" s="505"/>
      <c r="BB285" s="505"/>
      <c r="BI285" s="478" t="s">
        <v>126</v>
      </c>
      <c r="BJ285" s="489"/>
      <c r="BN285" s="661"/>
      <c r="CU285" s="479"/>
      <c r="CV285" s="661"/>
      <c r="CW285" s="479"/>
      <c r="DS285" s="661"/>
      <c r="EV285" s="818" t="str">
        <f t="shared" si="140"/>
        <v/>
      </c>
      <c r="EW285" s="818"/>
    </row>
    <row r="286" spans="1:153" s="475" customFormat="1" ht="13.5" customHeight="1">
      <c r="A286" s="654" t="str">
        <f t="shared" ca="1" si="137"/>
        <v>D.1.286</v>
      </c>
      <c r="B286" s="654" t="str">
        <f t="shared" ca="1" si="138"/>
        <v>1.286</v>
      </c>
      <c r="C286" s="654" t="str">
        <f t="shared" si="98"/>
        <v>[286]</v>
      </c>
      <c r="D286" s="654">
        <f>ROW()</f>
        <v>286</v>
      </c>
      <c r="E286" s="1129" t="str">
        <f>BP286</f>
        <v>Energieholzanteil für Prozesswärme</v>
      </c>
      <c r="F286" s="1129"/>
      <c r="G286" s="1129"/>
      <c r="H286" s="1129"/>
      <c r="I286" s="1129"/>
      <c r="J286" s="471" t="s">
        <v>38</v>
      </c>
      <c r="K286" s="557">
        <f ca="1">INDIRECT($W$1&amp;U286)</f>
        <v>15.39538904268473</v>
      </c>
      <c r="L286" s="485" t="str">
        <f ca="1">HYPERLINK($CK$1&amp;U286,$CE$1&amp;U286&amp;$CF$1)</f>
        <v>[287]</v>
      </c>
      <c r="M286" s="558">
        <f ca="1">INDIRECT($W$1&amp;W286)</f>
        <v>100</v>
      </c>
      <c r="N286" s="533" t="str">
        <f ca="1">HYPERLINK($CK$1&amp;W286,$CE$1&amp;W286&amp;$CF$1)</f>
        <v>[289]</v>
      </c>
      <c r="O286" s="869">
        <v>286</v>
      </c>
      <c r="P286" s="570"/>
      <c r="Q286" s="583"/>
      <c r="R286" s="852"/>
      <c r="S286" s="784"/>
      <c r="T286" s="864"/>
      <c r="U286" s="672">
        <f>D287</f>
        <v>287</v>
      </c>
      <c r="V286" s="905" t="s">
        <v>126</v>
      </c>
      <c r="W286" s="672">
        <f>D289</f>
        <v>289</v>
      </c>
      <c r="X286" s="658"/>
      <c r="Y286" s="658"/>
      <c r="Z286" s="658"/>
      <c r="AA286" s="658"/>
      <c r="AB286" s="801"/>
      <c r="AC286" s="801"/>
      <c r="AD286" s="674"/>
      <c r="AE286" s="674"/>
      <c r="AF286" s="674"/>
      <c r="AG286" s="674"/>
      <c r="AH286" s="674"/>
      <c r="AI286" s="674"/>
      <c r="AJ286" s="674"/>
      <c r="AK286" s="674"/>
      <c r="AL286" s="674"/>
      <c r="AM286" s="674"/>
      <c r="AN286" s="674"/>
      <c r="AO286" s="674"/>
      <c r="AP286" s="674"/>
      <c r="AQ286" s="674"/>
      <c r="AR286" s="674"/>
      <c r="AS286" s="674"/>
      <c r="AT286" s="674"/>
      <c r="AU286" s="674"/>
      <c r="AV286" s="674"/>
      <c r="AX286" s="475" t="s">
        <v>244</v>
      </c>
      <c r="AY286" s="500">
        <f ca="1">DA286</f>
        <v>10.254559182513647</v>
      </c>
      <c r="AZ286" s="508" t="str">
        <f ca="1">HYPERLINK(DN286,DC286)</f>
        <v xml:space="preserve"> 235</v>
      </c>
      <c r="BA286" s="500">
        <f ca="1">DB286</f>
        <v>35</v>
      </c>
      <c r="BB286" s="508" t="str">
        <f ca="1">HYPERLINK(DO286,DD286)</f>
        <v xml:space="preserve"> 236</v>
      </c>
      <c r="BC286" s="475" t="str">
        <f ca="1">CY286&amp;" | "&amp;CZ286</f>
        <v>Brennstoffgew.
für Prozesse | 0</v>
      </c>
      <c r="BI286" s="475" t="s">
        <v>126</v>
      </c>
      <c r="BJ286" s="492" t="str">
        <f>E286</f>
        <v>Energieholzanteil für Prozesswärme</v>
      </c>
      <c r="BK286" s="486">
        <f ca="1">K286</f>
        <v>15.39538904268473</v>
      </c>
      <c r="BL286" s="486">
        <f ca="1">M286</f>
        <v>100</v>
      </c>
      <c r="BM286" s="472">
        <f>D286</f>
        <v>286</v>
      </c>
      <c r="BN286" s="658"/>
      <c r="BO286" s="475" t="s">
        <v>251</v>
      </c>
      <c r="BP286" s="521" t="s">
        <v>394</v>
      </c>
      <c r="CU286" s="476"/>
      <c r="CV286" s="658"/>
      <c r="CW286" s="518">
        <v>61</v>
      </c>
      <c r="CY286" s="472" t="str">
        <f t="shared" ref="CY286:DO286" ca="1" si="145">INDIRECT($CX$1&amp;CY$1&amp;$CW286)</f>
        <v>Brennstoffgew.
für Prozesse</v>
      </c>
      <c r="CZ286" s="472">
        <f t="shared" ca="1" si="145"/>
        <v>0</v>
      </c>
      <c r="DA286" s="472">
        <f t="shared" ca="1" si="145"/>
        <v>10.254559182513647</v>
      </c>
      <c r="DB286" s="472">
        <f t="shared" ca="1" si="145"/>
        <v>35</v>
      </c>
      <c r="DC286" s="472" t="str">
        <f t="shared" ca="1" si="145"/>
        <v xml:space="preserve"> 235</v>
      </c>
      <c r="DD286" s="472" t="str">
        <f t="shared" ca="1" si="145"/>
        <v xml:space="preserve"> 236</v>
      </c>
      <c r="DE286" s="472" t="str">
        <f t="shared" ca="1" si="145"/>
        <v>Ho99</v>
      </c>
      <c r="DF286" s="472" t="str">
        <f t="shared" ca="1" si="145"/>
        <v>Ho36</v>
      </c>
      <c r="DG286" s="472" t="str">
        <f t="shared" ca="1" si="145"/>
        <v>Ho</v>
      </c>
      <c r="DH286" s="472" t="str">
        <f t="shared" ca="1" si="145"/>
        <v>99</v>
      </c>
      <c r="DI286" s="472" t="str">
        <f t="shared" ca="1" si="145"/>
        <v>[Ho.xls]TEXT!Z99S5</v>
      </c>
      <c r="DJ286" s="472" t="str">
        <f t="shared" ca="1" si="145"/>
        <v>Ho</v>
      </c>
      <c r="DK286" s="472" t="str">
        <f t="shared" ca="1" si="145"/>
        <v>36</v>
      </c>
      <c r="DL286" s="472" t="str">
        <f t="shared" ca="1" si="145"/>
        <v>[Ho.xls]TEXT!Z36S5</v>
      </c>
      <c r="DM286" s="472">
        <f t="shared" ca="1" si="145"/>
        <v>61</v>
      </c>
      <c r="DN286" s="472" t="str">
        <f t="shared" ca="1" si="145"/>
        <v>[Region.xls]PARAMETER!Z235S6</v>
      </c>
      <c r="DO286" s="472" t="str">
        <f t="shared" ca="1" si="145"/>
        <v>[Region.xls]PARAMETER!Z236S6</v>
      </c>
      <c r="DP286" s="472"/>
      <c r="DS286" s="656"/>
      <c r="DV286" s="472"/>
      <c r="DW286" s="472"/>
      <c r="DX286" s="472"/>
      <c r="DY286" s="472"/>
      <c r="DZ286" s="472"/>
      <c r="EA286" s="472"/>
      <c r="EB286" s="472"/>
      <c r="EC286" s="472"/>
      <c r="ED286" s="472"/>
      <c r="EE286" s="472"/>
      <c r="EF286" s="472"/>
      <c r="EG286" s="472"/>
      <c r="EH286" s="472"/>
      <c r="EI286" s="472"/>
      <c r="EJ286" s="472"/>
      <c r="EK286" s="472"/>
      <c r="EV286" s="819">
        <f t="shared" si="140"/>
        <v>286</v>
      </c>
      <c r="EW286" s="819"/>
    </row>
    <row r="287" spans="1:153" s="472" customFormat="1" ht="24" customHeight="1">
      <c r="A287" s="654" t="str">
        <f t="shared" ca="1" si="137"/>
        <v>D.1.287</v>
      </c>
      <c r="B287" s="654" t="str">
        <f t="shared" ca="1" si="138"/>
        <v>1.287</v>
      </c>
      <c r="C287" s="654" t="str">
        <f t="shared" ref="C287:C351" si="146">CE$1&amp;D287&amp;CF$1</f>
        <v>[287]</v>
      </c>
      <c r="D287" s="654">
        <f>ROW()</f>
        <v>287</v>
      </c>
      <c r="E287" s="1130" t="str">
        <f ca="1">CU287</f>
        <v>- STATUS-Ansatz: 15,4 % als Verhältnis von 20.100 GWh/a  Energieholz für Industrie [248] zu  130.559 GWh/a  energetischer Holznutzung insgesamt [247].</v>
      </c>
      <c r="F287" s="1130"/>
      <c r="G287" s="1130"/>
      <c r="H287" s="1130"/>
      <c r="I287" s="1130"/>
      <c r="J287" s="1130"/>
      <c r="K287" s="1130"/>
      <c r="L287" s="1130"/>
      <c r="M287" s="1130"/>
      <c r="N287" s="1131"/>
      <c r="O287" s="869">
        <v>287</v>
      </c>
      <c r="P287" s="573" t="str">
        <f ca="1">HYPERLINK(EK287,EJ287)</f>
        <v/>
      </c>
      <c r="Q287" s="574" t="str">
        <f>Y287</f>
        <v xml:space="preserve"> </v>
      </c>
      <c r="R287" s="852"/>
      <c r="S287" s="784"/>
      <c r="T287" s="864"/>
      <c r="U287" s="1023" t="str">
        <f ca="1">TEXT(W287,"0,0")&amp;" % als Verhältnis von "&amp;TEXT(AD287,"0.000")&amp;AE287&amp;" Energieholz für Industrie "&amp;C248&amp;" zu  "&amp;TEXT(AF287,"0.000")&amp;AG287&amp;" energetischer Holznutzung insgesamt "&amp;C247&amp;"."</f>
        <v>15,4 % als Verhältnis von 20.100 GWh/a  Energieholz für Industrie [248] zu  130.559 GWh/a  energetischer Holznutzung insgesamt [247].</v>
      </c>
      <c r="V287" s="905" t="s">
        <v>126</v>
      </c>
      <c r="W287" s="1034">
        <f ca="1">AH287</f>
        <v>15.39538904268473</v>
      </c>
      <c r="X287" s="672"/>
      <c r="Y287" s="672" t="s">
        <v>126</v>
      </c>
      <c r="Z287" s="1025"/>
      <c r="AA287" s="658"/>
      <c r="AB287" s="801"/>
      <c r="AC287" s="801"/>
      <c r="AD287" s="801">
        <f>AL248</f>
        <v>20100</v>
      </c>
      <c r="AE287" s="801" t="s">
        <v>385</v>
      </c>
      <c r="AF287" s="801">
        <f ca="1">AJ247</f>
        <v>130558.57142857142</v>
      </c>
      <c r="AG287" s="801" t="s">
        <v>385</v>
      </c>
      <c r="AH287" s="801">
        <f ca="1">AD287/AF287%</f>
        <v>15.39538904268473</v>
      </c>
      <c r="AI287" s="801"/>
      <c r="AJ287" s="801"/>
      <c r="AK287" s="801"/>
      <c r="AL287" s="801"/>
      <c r="AM287" s="801"/>
      <c r="AN287" s="801"/>
      <c r="AO287" s="801"/>
      <c r="AP287" s="801"/>
      <c r="AQ287" s="801"/>
      <c r="AR287" s="801"/>
      <c r="AS287" s="801"/>
      <c r="AT287" s="801"/>
      <c r="AU287" s="801"/>
      <c r="AV287" s="801"/>
      <c r="AY287" s="472">
        <f ca="1">AY286/AY$246%</f>
        <v>14.091645358575692</v>
      </c>
      <c r="BA287" s="472">
        <f ca="1">BA286/BA$246%</f>
        <v>100</v>
      </c>
      <c r="BF287" s="473"/>
      <c r="BI287" s="472" t="s">
        <v>126</v>
      </c>
      <c r="BJ287" s="490"/>
      <c r="BN287" s="656"/>
      <c r="BO287" s="472" t="s">
        <v>259</v>
      </c>
      <c r="CU287" s="480" t="str">
        <f ca="1">CG$1&amp;IF(U287="",BF287,U287)</f>
        <v>- STATUS-Ansatz: 15,4 % als Verhältnis von 20.100 GWh/a  Energieholz für Industrie [248] zu  130.559 GWh/a  energetischer Holznutzung insgesamt [247].</v>
      </c>
      <c r="CV287" s="656"/>
      <c r="CW287" s="480"/>
      <c r="DS287" s="656"/>
      <c r="DT287" s="518">
        <f>I_Basisdaten!A129</f>
        <v>129</v>
      </c>
      <c r="EJ287" s="472" t="str">
        <f>IF(X287=0,"",EJ$1&amp;X287)</f>
        <v/>
      </c>
      <c r="EK287" s="472" t="str">
        <f ca="1">EK$1&amp;X287</f>
        <v>[D_Python.xlsx]9.Quellen!C</v>
      </c>
      <c r="EV287" s="819">
        <f t="shared" ca="1" si="140"/>
        <v>287</v>
      </c>
      <c r="EW287" s="819"/>
    </row>
    <row r="288" spans="1:153" s="478" customFormat="1" ht="4">
      <c r="A288" s="677" t="str">
        <f t="shared" ca="1" si="137"/>
        <v>D.1.288</v>
      </c>
      <c r="B288" s="677" t="str">
        <f t="shared" ca="1" si="138"/>
        <v>1.288</v>
      </c>
      <c r="C288" s="677" t="str">
        <f t="shared" si="146"/>
        <v>[288]</v>
      </c>
      <c r="D288" s="677">
        <f>ROW()</f>
        <v>288</v>
      </c>
      <c r="E288" s="528"/>
      <c r="F288" s="528"/>
      <c r="G288" s="528"/>
      <c r="H288" s="528"/>
      <c r="I288" s="527"/>
      <c r="J288" s="527"/>
      <c r="K288" s="527"/>
      <c r="L288" s="527"/>
      <c r="M288" s="527"/>
      <c r="N288" s="528"/>
      <c r="O288" s="871">
        <v>288</v>
      </c>
      <c r="P288" s="566"/>
      <c r="Q288" s="567"/>
      <c r="R288" s="888"/>
      <c r="S288" s="802"/>
      <c r="T288" s="882"/>
      <c r="U288" s="661"/>
      <c r="V288" s="661"/>
      <c r="W288" s="661"/>
      <c r="X288" s="661"/>
      <c r="Y288" s="661"/>
      <c r="Z288" s="661"/>
      <c r="AA288" s="661"/>
      <c r="AB288" s="675"/>
      <c r="AC288" s="675"/>
      <c r="AD288" s="675"/>
      <c r="AE288" s="675"/>
      <c r="AF288" s="675"/>
      <c r="AG288" s="675"/>
      <c r="AH288" s="675"/>
      <c r="AI288" s="675"/>
      <c r="AJ288" s="675"/>
      <c r="AK288" s="675"/>
      <c r="AL288" s="675"/>
      <c r="AM288" s="675"/>
      <c r="AN288" s="675"/>
      <c r="AO288" s="675"/>
      <c r="AP288" s="675"/>
      <c r="AQ288" s="675"/>
      <c r="AR288" s="675"/>
      <c r="AS288" s="675"/>
      <c r="AT288" s="675"/>
      <c r="AU288" s="675"/>
      <c r="AV288" s="675"/>
      <c r="BI288" s="478" t="s">
        <v>126</v>
      </c>
      <c r="BJ288" s="489"/>
      <c r="BN288" s="661"/>
      <c r="CU288" s="479"/>
      <c r="CV288" s="661"/>
      <c r="CW288" s="479"/>
      <c r="DS288" s="661"/>
      <c r="EV288" s="818" t="str">
        <f t="shared" si="140"/>
        <v/>
      </c>
      <c r="EW288" s="818"/>
    </row>
    <row r="289" spans="1:153" s="472" customFormat="1" ht="39">
      <c r="A289" s="654" t="str">
        <f t="shared" ca="1" si="137"/>
        <v>D.1.289</v>
      </c>
      <c r="B289" s="654" t="str">
        <f t="shared" ca="1" si="138"/>
        <v>1.289</v>
      </c>
      <c r="C289" s="654" t="str">
        <f t="shared" si="146"/>
        <v>[289]</v>
      </c>
      <c r="D289" s="654">
        <f>ROW()</f>
        <v>289</v>
      </c>
      <c r="E289" s="1125" t="str">
        <f t="shared" ref="E289" si="147">CU289</f>
        <v>- ZIEL-Ansatz: Energieholz ist hier vorrangig für Prozesswärme vorgesehen, um zumindest einen Teil der heute eingesetzten fossilen Brennstoffe zur Erzielung der hohen Temperaturen zu substituieren. Elementar ist dies bei Prozessen, die kohlenstoffhaltige Brennstoffe als Reaktionspartner erfordern.</v>
      </c>
      <c r="F289" s="1125"/>
      <c r="G289" s="1125"/>
      <c r="H289" s="1125"/>
      <c r="I289" s="1125"/>
      <c r="J289" s="1125"/>
      <c r="K289" s="1125"/>
      <c r="L289" s="1125"/>
      <c r="M289" s="1125"/>
      <c r="N289" s="1132"/>
      <c r="O289" s="869">
        <v>289</v>
      </c>
      <c r="P289" s="573" t="str">
        <f ca="1">HYPERLINK(EK289,EJ289)</f>
        <v/>
      </c>
      <c r="Q289" s="574" t="str">
        <f>Y289</f>
        <v xml:space="preserve"> </v>
      </c>
      <c r="R289" s="852"/>
      <c r="S289" s="784"/>
      <c r="T289" s="864"/>
      <c r="U289" s="1023" t="str">
        <f>"Energieholz ist hier vorrangig für Prozesswärme vorgesehen, um zumindest einen Teil der heute eingesetzten fossilen Brennstoffe zur Erzielung der hohen Temperaturen zu substituieren. "&amp;"Elementar ist dies bei Prozessen, die kohlenstoffhaltige Brennstoffe als Reaktionspartner erfordern."</f>
        <v>Energieholz ist hier vorrangig für Prozesswärme vorgesehen, um zumindest einen Teil der heute eingesetzten fossilen Brennstoffe zur Erzielung der hohen Temperaturen zu substituieren. Elementar ist dies bei Prozessen, die kohlenstoffhaltige Brennstoffe als Reaktionspartner erfordern.</v>
      </c>
      <c r="V289" s="905" t="s">
        <v>126</v>
      </c>
      <c r="W289" s="1024">
        <f ca="1">BA287</f>
        <v>100</v>
      </c>
      <c r="X289" s="672"/>
      <c r="Y289" s="672" t="s">
        <v>126</v>
      </c>
      <c r="Z289" s="1025"/>
      <c r="AA289" s="905"/>
      <c r="AB289" s="801"/>
      <c r="AC289" s="801"/>
      <c r="AD289" s="801">
        <f ca="1">BA287</f>
        <v>100</v>
      </c>
      <c r="AE289" s="801"/>
      <c r="AF289" s="801"/>
      <c r="AG289" s="801"/>
      <c r="AH289" s="801"/>
      <c r="AI289" s="801"/>
      <c r="AJ289" s="801"/>
      <c r="AK289" s="801"/>
      <c r="AL289" s="801"/>
      <c r="AM289" s="801"/>
      <c r="AN289" s="801"/>
      <c r="AO289" s="801"/>
      <c r="AP289" s="801"/>
      <c r="AQ289" s="801"/>
      <c r="AR289" s="801"/>
      <c r="AS289" s="801"/>
      <c r="AT289" s="801"/>
      <c r="AU289" s="801"/>
      <c r="AV289" s="801"/>
      <c r="BF289" s="473"/>
      <c r="BI289" s="472" t="s">
        <v>126</v>
      </c>
      <c r="BJ289" s="490"/>
      <c r="BN289" s="656"/>
      <c r="BO289" s="472" t="s">
        <v>259</v>
      </c>
      <c r="CU289" s="480" t="str">
        <f>CH$1&amp;IF(U289="",BF289,U289)</f>
        <v>- ZIEL-Ansatz: Energieholz ist hier vorrangig für Prozesswärme vorgesehen, um zumindest einen Teil der heute eingesetzten fossilen Brennstoffe zur Erzielung der hohen Temperaturen zu substituieren. Elementar ist dies bei Prozessen, die kohlenstoffhaltige Brennstoffe als Reaktionspartner erfordern.</v>
      </c>
      <c r="CV289" s="656"/>
      <c r="CW289" s="480"/>
      <c r="DS289" s="656"/>
      <c r="DT289" s="518">
        <v>53</v>
      </c>
      <c r="EJ289" s="472" t="str">
        <f>IF(X289=0,"",EJ$1&amp;X289)</f>
        <v/>
      </c>
      <c r="EK289" s="472" t="str">
        <f ca="1">EK$1&amp;X289</f>
        <v>[D_Python.xlsx]9.Quellen!C</v>
      </c>
      <c r="EV289" s="819">
        <f t="shared" si="140"/>
        <v>289</v>
      </c>
      <c r="EW289" s="819"/>
    </row>
    <row r="290" spans="1:153" s="478" customFormat="1" ht="4">
      <c r="A290" s="677" t="str">
        <f t="shared" ca="1" si="137"/>
        <v>D.1.290</v>
      </c>
      <c r="B290" s="677" t="str">
        <f t="shared" ca="1" si="138"/>
        <v>1.290</v>
      </c>
      <c r="C290" s="677" t="str">
        <f t="shared" si="146"/>
        <v>[290]</v>
      </c>
      <c r="D290" s="677">
        <f>ROW()</f>
        <v>290</v>
      </c>
      <c r="E290" s="548"/>
      <c r="F290" s="548"/>
      <c r="G290" s="548"/>
      <c r="H290" s="548"/>
      <c r="I290" s="549"/>
      <c r="J290" s="549"/>
      <c r="K290" s="549"/>
      <c r="L290" s="549"/>
      <c r="M290" s="549"/>
      <c r="N290" s="548"/>
      <c r="O290" s="871">
        <v>290</v>
      </c>
      <c r="P290" s="575"/>
      <c r="Q290" s="576"/>
      <c r="R290" s="888"/>
      <c r="S290" s="802"/>
      <c r="T290" s="882"/>
      <c r="U290" s="661"/>
      <c r="V290" s="661"/>
      <c r="W290" s="661"/>
      <c r="X290" s="661"/>
      <c r="Y290" s="661"/>
      <c r="Z290" s="661"/>
      <c r="AA290" s="661"/>
      <c r="AB290" s="675"/>
      <c r="AC290" s="675"/>
      <c r="AD290" s="675"/>
      <c r="AE290" s="675"/>
      <c r="AF290" s="675"/>
      <c r="AG290" s="675"/>
      <c r="AH290" s="675"/>
      <c r="AI290" s="675"/>
      <c r="AJ290" s="675"/>
      <c r="AK290" s="675"/>
      <c r="AL290" s="675"/>
      <c r="AM290" s="675"/>
      <c r="AN290" s="675"/>
      <c r="AO290" s="675"/>
      <c r="AP290" s="675"/>
      <c r="AQ290" s="675"/>
      <c r="AR290" s="675"/>
      <c r="AS290" s="675"/>
      <c r="AT290" s="675"/>
      <c r="AU290" s="675"/>
      <c r="AV290" s="675"/>
      <c r="AZ290" s="505"/>
      <c r="BB290" s="505"/>
      <c r="BI290" s="478" t="s">
        <v>126</v>
      </c>
      <c r="BJ290" s="489"/>
      <c r="BN290" s="661"/>
      <c r="CU290" s="479"/>
      <c r="CV290" s="661"/>
      <c r="CW290" s="479"/>
      <c r="DS290" s="661"/>
      <c r="EV290" s="818" t="str">
        <f t="shared" si="140"/>
        <v/>
      </c>
      <c r="EW290" s="818"/>
    </row>
    <row r="291" spans="1:153" s="475" customFormat="1" ht="13.5" customHeight="1">
      <c r="A291" s="654" t="str">
        <f t="shared" ca="1" si="137"/>
        <v>D.1.291</v>
      </c>
      <c r="B291" s="654" t="str">
        <f t="shared" ca="1" si="138"/>
        <v>1.291</v>
      </c>
      <c r="C291" s="654" t="str">
        <f t="shared" si="146"/>
        <v>[291]</v>
      </c>
      <c r="D291" s="654">
        <f>ROW()</f>
        <v>291</v>
      </c>
      <c r="E291" s="1129" t="str">
        <f>BP291</f>
        <v>Energieholzanteil für Verstromung</v>
      </c>
      <c r="F291" s="1129"/>
      <c r="G291" s="1129"/>
      <c r="H291" s="1129"/>
      <c r="I291" s="1129"/>
      <c r="J291" s="471" t="s">
        <v>38</v>
      </c>
      <c r="K291" s="557">
        <f ca="1">INDIRECT($W$1&amp;U291)</f>
        <v>34.412578919149588</v>
      </c>
      <c r="L291" s="485" t="str">
        <f ca="1">HYPERLINK($CK$1&amp;U291,$CE$1&amp;U291&amp;$CF$1)</f>
        <v>[292]</v>
      </c>
      <c r="M291" s="558">
        <f ca="1">INDIRECT($W$1&amp;W291)</f>
        <v>0</v>
      </c>
      <c r="N291" s="533" t="str">
        <f ca="1">HYPERLINK($CK$1&amp;W291,$CE$1&amp;W291&amp;$CF$1)</f>
        <v>[294]</v>
      </c>
      <c r="O291" s="869">
        <v>291</v>
      </c>
      <c r="P291" s="570"/>
      <c r="Q291" s="583"/>
      <c r="R291" s="881"/>
      <c r="S291" s="784"/>
      <c r="T291" s="881"/>
      <c r="U291" s="672">
        <f>D292</f>
        <v>292</v>
      </c>
      <c r="V291" s="905" t="s">
        <v>126</v>
      </c>
      <c r="W291" s="672">
        <f>D294</f>
        <v>294</v>
      </c>
      <c r="X291" s="658"/>
      <c r="Y291" s="658"/>
      <c r="Z291" s="658"/>
      <c r="AA291" s="658"/>
      <c r="AB291" s="801"/>
      <c r="AC291" s="674"/>
      <c r="AD291" s="674"/>
      <c r="AE291" s="674"/>
      <c r="AF291" s="674"/>
      <c r="AG291" s="674"/>
      <c r="AH291" s="674"/>
      <c r="AI291" s="674"/>
      <c r="AJ291" s="674"/>
      <c r="AK291" s="674"/>
      <c r="AL291" s="674"/>
      <c r="AM291" s="674"/>
      <c r="AN291" s="674"/>
      <c r="AO291" s="674"/>
      <c r="AP291" s="674"/>
      <c r="AQ291" s="674"/>
      <c r="AR291" s="674"/>
      <c r="AS291" s="674"/>
      <c r="AT291" s="674"/>
      <c r="AU291" s="674"/>
      <c r="AV291" s="674"/>
      <c r="AX291" s="475" t="s">
        <v>244</v>
      </c>
      <c r="AY291" s="500">
        <f ca="1">DA291</f>
        <v>27.474353722141913</v>
      </c>
      <c r="AZ291" s="508" t="str">
        <f ca="1">HYPERLINK(DN291,DC291)</f>
        <v xml:space="preserve"> 245</v>
      </c>
      <c r="BA291" s="500">
        <f ca="1">DB291</f>
        <v>0</v>
      </c>
      <c r="BB291" s="508" t="str">
        <f ca="1">HYPERLINK(DO291,DD291)</f>
        <v xml:space="preserve"> 246</v>
      </c>
      <c r="BC291" s="475" t="str">
        <f ca="1">CY291&amp;" | "&amp;CZ291</f>
        <v>Kraftwerk | 0</v>
      </c>
      <c r="BI291" s="475" t="s">
        <v>126</v>
      </c>
      <c r="BJ291" s="492" t="str">
        <f>E291</f>
        <v>Energieholzanteil für Verstromung</v>
      </c>
      <c r="BK291" s="486">
        <f ca="1">K291</f>
        <v>34.412578919149588</v>
      </c>
      <c r="BL291" s="486">
        <f ca="1">M291</f>
        <v>0</v>
      </c>
      <c r="BM291" s="472">
        <f>D291</f>
        <v>291</v>
      </c>
      <c r="BN291" s="658"/>
      <c r="BO291" s="475" t="s">
        <v>251</v>
      </c>
      <c r="BP291" s="521" t="s">
        <v>395</v>
      </c>
      <c r="CU291" s="476"/>
      <c r="CV291" s="658"/>
      <c r="CW291" s="518">
        <v>57</v>
      </c>
      <c r="CY291" s="472" t="str">
        <f t="shared" ref="CY291:DO291" ca="1" si="148">INDIRECT($CX$1&amp;CY$1&amp;$CW291)</f>
        <v>Kraftwerk</v>
      </c>
      <c r="CZ291" s="472">
        <f t="shared" ca="1" si="148"/>
        <v>0</v>
      </c>
      <c r="DA291" s="472">
        <f t="shared" ca="1" si="148"/>
        <v>27.474353722141913</v>
      </c>
      <c r="DB291" s="472">
        <f t="shared" ca="1" si="148"/>
        <v>0</v>
      </c>
      <c r="DC291" s="472" t="str">
        <f t="shared" ca="1" si="148"/>
        <v xml:space="preserve"> 245</v>
      </c>
      <c r="DD291" s="472" t="str">
        <f t="shared" ca="1" si="148"/>
        <v xml:space="preserve"> 246</v>
      </c>
      <c r="DE291" s="472" t="str">
        <f t="shared" ca="1" si="148"/>
        <v>Ho97</v>
      </c>
      <c r="DF291" s="472" t="str">
        <f t="shared" ca="1" si="148"/>
        <v>Ho36</v>
      </c>
      <c r="DG291" s="472" t="str">
        <f t="shared" ca="1" si="148"/>
        <v>Ho</v>
      </c>
      <c r="DH291" s="472" t="str">
        <f t="shared" ca="1" si="148"/>
        <v>97</v>
      </c>
      <c r="DI291" s="472" t="str">
        <f t="shared" ca="1" si="148"/>
        <v>[Ho.xls]TEXT!Z97S5</v>
      </c>
      <c r="DJ291" s="472" t="str">
        <f t="shared" ca="1" si="148"/>
        <v>Ho</v>
      </c>
      <c r="DK291" s="472" t="str">
        <f t="shared" ca="1" si="148"/>
        <v>36</v>
      </c>
      <c r="DL291" s="472" t="str">
        <f t="shared" ca="1" si="148"/>
        <v>[Ho.xls]TEXT!Z36S5</v>
      </c>
      <c r="DM291" s="472">
        <f t="shared" ca="1" si="148"/>
        <v>57</v>
      </c>
      <c r="DN291" s="472" t="str">
        <f t="shared" ca="1" si="148"/>
        <v>[Region.xls]PARAMETER!Z245S6</v>
      </c>
      <c r="DO291" s="472" t="str">
        <f t="shared" ca="1" si="148"/>
        <v>[Region.xls]PARAMETER!Z246S6</v>
      </c>
      <c r="DP291" s="472"/>
      <c r="DS291" s="656"/>
      <c r="DV291" s="472"/>
      <c r="DW291" s="472"/>
      <c r="DX291" s="472"/>
      <c r="DY291" s="472"/>
      <c r="DZ291" s="472"/>
      <c r="EA291" s="472"/>
      <c r="EB291" s="472"/>
      <c r="EC291" s="472"/>
      <c r="ED291" s="472"/>
      <c r="EE291" s="472"/>
      <c r="EF291" s="472"/>
      <c r="EG291" s="472"/>
      <c r="EH291" s="472"/>
      <c r="EI291" s="472"/>
      <c r="EJ291" s="472"/>
      <c r="EK291" s="472"/>
      <c r="EV291" s="819">
        <f t="shared" si="140"/>
        <v>291</v>
      </c>
      <c r="EW291" s="819"/>
    </row>
    <row r="292" spans="1:153" s="472" customFormat="1" ht="26">
      <c r="A292" s="654" t="str">
        <f t="shared" ca="1" si="137"/>
        <v>D.1.292</v>
      </c>
      <c r="B292" s="654" t="str">
        <f t="shared" ca="1" si="138"/>
        <v>1.292</v>
      </c>
      <c r="C292" s="654" t="str">
        <f t="shared" si="146"/>
        <v>[292]</v>
      </c>
      <c r="D292" s="654">
        <f>ROW()</f>
        <v>292</v>
      </c>
      <c r="E292" s="1130" t="str">
        <f ca="1">CU292</f>
        <v>- STATUS-Ansatz: 34,4 % als Verhältnis von 44.929 GWh/a  Energieholz für Stromerzeugung [248] zu  130.559 GWh/a  energetischer Holznutzung insgesamt [247].</v>
      </c>
      <c r="F292" s="1130"/>
      <c r="G292" s="1130"/>
      <c r="H292" s="1130"/>
      <c r="I292" s="1130"/>
      <c r="J292" s="1130"/>
      <c r="K292" s="1130"/>
      <c r="L292" s="1130"/>
      <c r="M292" s="1130"/>
      <c r="N292" s="1131"/>
      <c r="O292" s="869">
        <v>292</v>
      </c>
      <c r="P292" s="573" t="str">
        <f ca="1">HYPERLINK(EK292,EJ292)</f>
        <v/>
      </c>
      <c r="Q292" s="574" t="str">
        <f>Y292</f>
        <v xml:space="preserve"> </v>
      </c>
      <c r="R292" s="852"/>
      <c r="S292" s="784"/>
      <c r="T292" s="864"/>
      <c r="U292" s="1023" t="str">
        <f ca="1">TEXT(W292,"0,0")&amp;" % als Verhältnis von "&amp;TEXT(AD292,"0.000")&amp;AE292&amp;" Energieholz für Stromerzeugung "&amp;C248&amp;" zu  "&amp;TEXT(AF292,"0.000")&amp;AG292&amp;" energetischer Holznutzung insgesamt "&amp;C247&amp;"."</f>
        <v>34,4 % als Verhältnis von 44.929 GWh/a  Energieholz für Stromerzeugung [248] zu  130.559 GWh/a  energetischer Holznutzung insgesamt [247].</v>
      </c>
      <c r="V292" s="905" t="s">
        <v>126</v>
      </c>
      <c r="W292" s="1034">
        <f ca="1">AH292</f>
        <v>34.412578919149588</v>
      </c>
      <c r="X292" s="672"/>
      <c r="Y292" s="672" t="s">
        <v>126</v>
      </c>
      <c r="Z292" s="1025"/>
      <c r="AA292" s="658"/>
      <c r="AB292" s="801"/>
      <c r="AC292" s="801"/>
      <c r="AD292" s="801">
        <f ca="1">AH248</f>
        <v>44928.571428571428</v>
      </c>
      <c r="AE292" s="801" t="s">
        <v>385</v>
      </c>
      <c r="AF292" s="801">
        <f ca="1">AJ247</f>
        <v>130558.57142857142</v>
      </c>
      <c r="AG292" s="801" t="s">
        <v>385</v>
      </c>
      <c r="AH292" s="801">
        <f ca="1">AD292/AF292%</f>
        <v>34.412578919149588</v>
      </c>
      <c r="AI292" s="801"/>
      <c r="AJ292" s="801"/>
      <c r="AK292" s="801"/>
      <c r="AL292" s="801"/>
      <c r="AM292" s="801"/>
      <c r="AN292" s="801"/>
      <c r="AO292" s="801"/>
      <c r="AP292" s="801"/>
      <c r="AQ292" s="801"/>
      <c r="AR292" s="801"/>
      <c r="AS292" s="801"/>
      <c r="AT292" s="801"/>
      <c r="AU292" s="801"/>
      <c r="AV292" s="801"/>
      <c r="AY292" s="472">
        <f ca="1">AY291/AY$246%</f>
        <v>37.754801763559144</v>
      </c>
      <c r="BA292" s="472">
        <f ca="1">BA291/BA$246%</f>
        <v>0</v>
      </c>
      <c r="BF292" s="473"/>
      <c r="BI292" s="472" t="s">
        <v>126</v>
      </c>
      <c r="BJ292" s="490"/>
      <c r="BN292" s="656"/>
      <c r="BO292" s="472" t="s">
        <v>259</v>
      </c>
      <c r="CU292" s="480" t="str">
        <f ca="1">CG$1&amp;IF(U292="",BF292,U292)</f>
        <v>- STATUS-Ansatz: 34,4 % als Verhältnis von 44.929 GWh/a  Energieholz für Stromerzeugung [248] zu  130.559 GWh/a  energetischer Holznutzung insgesamt [247].</v>
      </c>
      <c r="CV292" s="656"/>
      <c r="CW292" s="480"/>
      <c r="DS292" s="656"/>
      <c r="DT292" s="518">
        <f>I_Basisdaten!A137</f>
        <v>137</v>
      </c>
      <c r="EJ292" s="472" t="str">
        <f>IF(X292=0,"",EJ$1&amp;X292)</f>
        <v/>
      </c>
      <c r="EK292" s="472" t="str">
        <f ca="1">EK$1&amp;X292</f>
        <v>[D_Python.xlsx]9.Quellen!C</v>
      </c>
      <c r="EV292" s="819">
        <f t="shared" ca="1" si="140"/>
        <v>292</v>
      </c>
      <c r="EW292" s="819"/>
    </row>
    <row r="293" spans="1:153" s="478" customFormat="1" ht="4">
      <c r="A293" s="677" t="str">
        <f t="shared" ca="1" si="137"/>
        <v>D.1.293</v>
      </c>
      <c r="B293" s="677" t="str">
        <f t="shared" ca="1" si="138"/>
        <v>1.293</v>
      </c>
      <c r="C293" s="677" t="str">
        <f t="shared" si="146"/>
        <v>[293]</v>
      </c>
      <c r="D293" s="677">
        <f>ROW()</f>
        <v>293</v>
      </c>
      <c r="E293" s="528"/>
      <c r="F293" s="528"/>
      <c r="G293" s="528"/>
      <c r="H293" s="528"/>
      <c r="I293" s="527"/>
      <c r="J293" s="527"/>
      <c r="K293" s="527"/>
      <c r="L293" s="527"/>
      <c r="M293" s="527"/>
      <c r="N293" s="528"/>
      <c r="O293" s="871">
        <v>293</v>
      </c>
      <c r="P293" s="566"/>
      <c r="Q293" s="567"/>
      <c r="R293" s="888"/>
      <c r="S293" s="802"/>
      <c r="T293" s="882"/>
      <c r="U293" s="661"/>
      <c r="V293" s="661"/>
      <c r="W293" s="661"/>
      <c r="X293" s="661"/>
      <c r="Y293" s="661"/>
      <c r="Z293" s="661"/>
      <c r="AA293" s="661"/>
      <c r="AB293" s="675"/>
      <c r="AC293" s="675"/>
      <c r="AD293" s="675"/>
      <c r="AE293" s="675"/>
      <c r="AF293" s="675"/>
      <c r="AG293" s="675"/>
      <c r="AH293" s="675"/>
      <c r="AI293" s="675"/>
      <c r="AJ293" s="675"/>
      <c r="AK293" s="675"/>
      <c r="AL293" s="675"/>
      <c r="AM293" s="675"/>
      <c r="AN293" s="675"/>
      <c r="AO293" s="675"/>
      <c r="AP293" s="675"/>
      <c r="AQ293" s="675"/>
      <c r="AR293" s="675"/>
      <c r="AS293" s="675"/>
      <c r="AT293" s="675"/>
      <c r="AU293" s="675"/>
      <c r="AV293" s="675"/>
      <c r="BI293" s="478" t="s">
        <v>126</v>
      </c>
      <c r="BJ293" s="489"/>
      <c r="BN293" s="661"/>
      <c r="CU293" s="479"/>
      <c r="CV293" s="661"/>
      <c r="CW293" s="479"/>
      <c r="DS293" s="661"/>
      <c r="EV293" s="818" t="str">
        <f t="shared" si="140"/>
        <v/>
      </c>
      <c r="EW293" s="818"/>
    </row>
    <row r="294" spans="1:153" s="472" customFormat="1" ht="39">
      <c r="A294" s="654" t="str">
        <f t="shared" ca="1" si="137"/>
        <v>D.1.294</v>
      </c>
      <c r="B294" s="654" t="str">
        <f t="shared" ca="1" si="138"/>
        <v>1.294</v>
      </c>
      <c r="C294" s="654" t="str">
        <f t="shared" si="146"/>
        <v>[294]</v>
      </c>
      <c r="D294" s="654">
        <f>ROW()</f>
        <v>294</v>
      </c>
      <c r="E294" s="1125" t="str">
        <f>CU294</f>
        <v xml:space="preserve">- ZIEL-Ansatz: Auf die Verstromung von Energieholz wird zugunsten der Prozesswärme verzichtet, da mit dem begrenzten Brennstoffangebot nur ein marginaler Beitrag zur Stromversorgung geleistet werden könnte, selbst bei Einsatz in Regelkraftwerken.  </v>
      </c>
      <c r="F294" s="1125"/>
      <c r="G294" s="1125"/>
      <c r="H294" s="1125"/>
      <c r="I294" s="1125"/>
      <c r="J294" s="1125"/>
      <c r="K294" s="1125"/>
      <c r="L294" s="1125"/>
      <c r="M294" s="1125"/>
      <c r="N294" s="1132"/>
      <c r="O294" s="869">
        <v>294</v>
      </c>
      <c r="P294" s="573" t="str">
        <f ca="1">HYPERLINK(EK294,EJ294)</f>
        <v/>
      </c>
      <c r="Q294" s="574" t="str">
        <f>Y294</f>
        <v xml:space="preserve"> </v>
      </c>
      <c r="R294" s="852"/>
      <c r="S294" s="784"/>
      <c r="T294" s="864"/>
      <c r="U294" s="1023" t="str">
        <f>"Auf die Verstromung von Energieholz wird zugunsten der Prozesswärme verzichtet, "&amp;"da mit dem begrenzten Brennstoffangebot nur ein marginaler Beitrag zur Stromversorgung geleistet werden könnte, selbst bei Einsatz in Regelkraftwerken.  "</f>
        <v xml:space="preserve">Auf die Verstromung von Energieholz wird zugunsten der Prozesswärme verzichtet, da mit dem begrenzten Brennstoffangebot nur ein marginaler Beitrag zur Stromversorgung geleistet werden könnte, selbst bei Einsatz in Regelkraftwerken.  </v>
      </c>
      <c r="V294" s="905" t="s">
        <v>126</v>
      </c>
      <c r="W294" s="1024">
        <f ca="1">BA292</f>
        <v>0</v>
      </c>
      <c r="X294" s="672"/>
      <c r="Y294" s="672" t="s">
        <v>126</v>
      </c>
      <c r="Z294" s="1025"/>
      <c r="AA294" s="905"/>
      <c r="AB294" s="801"/>
      <c r="AC294" s="801"/>
      <c r="AD294" s="801">
        <f ca="1">BA292</f>
        <v>0</v>
      </c>
      <c r="AE294" s="801"/>
      <c r="AF294" s="801"/>
      <c r="AG294" s="801"/>
      <c r="AH294" s="801"/>
      <c r="AI294" s="801"/>
      <c r="AJ294" s="801"/>
      <c r="AK294" s="801"/>
      <c r="AL294" s="801"/>
      <c r="AM294" s="801"/>
      <c r="AN294" s="801"/>
      <c r="AO294" s="801"/>
      <c r="AP294" s="801"/>
      <c r="AQ294" s="801"/>
      <c r="AR294" s="801"/>
      <c r="AS294" s="801"/>
      <c r="AT294" s="801"/>
      <c r="AU294" s="801"/>
      <c r="AV294" s="801"/>
      <c r="BF294" s="473"/>
      <c r="BI294" s="472" t="s">
        <v>126</v>
      </c>
      <c r="BJ294" s="490"/>
      <c r="BN294" s="656"/>
      <c r="BO294" s="472" t="s">
        <v>259</v>
      </c>
      <c r="CU294" s="480" t="str">
        <f>CH$1&amp;IF(U294="",BF294,U294)</f>
        <v xml:space="preserve">- ZIEL-Ansatz: Auf die Verstromung von Energieholz wird zugunsten der Prozesswärme verzichtet, da mit dem begrenzten Brennstoffangebot nur ein marginaler Beitrag zur Stromversorgung geleistet werden könnte, selbst bei Einsatz in Regelkraftwerken.  </v>
      </c>
      <c r="CV294" s="656"/>
      <c r="CW294" s="480"/>
      <c r="DS294" s="656"/>
      <c r="DT294" s="518">
        <v>53</v>
      </c>
      <c r="EJ294" s="472" t="str">
        <f>IF(X294=0,"",EJ$1&amp;X294)</f>
        <v/>
      </c>
      <c r="EK294" s="472" t="str">
        <f ca="1">EK$1&amp;X294</f>
        <v>[D_Python.xlsx]9.Quellen!C</v>
      </c>
      <c r="EV294" s="819">
        <f t="shared" si="140"/>
        <v>294</v>
      </c>
      <c r="EW294" s="819"/>
    </row>
    <row r="295" spans="1:153" s="478" customFormat="1" ht="4">
      <c r="A295" s="677" t="str">
        <f t="shared" ca="1" si="137"/>
        <v>D.1.295</v>
      </c>
      <c r="B295" s="677" t="str">
        <f t="shared" ca="1" si="138"/>
        <v>1.295</v>
      </c>
      <c r="C295" s="677" t="str">
        <f t="shared" si="146"/>
        <v>[295]</v>
      </c>
      <c r="D295" s="677">
        <f>ROW()</f>
        <v>295</v>
      </c>
      <c r="E295" s="548"/>
      <c r="F295" s="548"/>
      <c r="G295" s="548"/>
      <c r="H295" s="548"/>
      <c r="I295" s="549"/>
      <c r="J295" s="549"/>
      <c r="K295" s="549"/>
      <c r="L295" s="549"/>
      <c r="M295" s="549"/>
      <c r="N295" s="548"/>
      <c r="O295" s="871">
        <v>295</v>
      </c>
      <c r="P295" s="575"/>
      <c r="Q295" s="576"/>
      <c r="R295" s="888"/>
      <c r="S295" s="802"/>
      <c r="T295" s="882"/>
      <c r="U295" s="661"/>
      <c r="V295" s="661"/>
      <c r="W295" s="661"/>
      <c r="X295" s="661"/>
      <c r="Y295" s="661"/>
      <c r="Z295" s="661"/>
      <c r="AA295" s="661"/>
      <c r="AB295" s="675"/>
      <c r="AC295" s="675"/>
      <c r="AD295" s="675"/>
      <c r="AE295" s="675"/>
      <c r="AF295" s="675"/>
      <c r="AG295" s="675"/>
      <c r="AH295" s="675"/>
      <c r="AI295" s="675"/>
      <c r="AJ295" s="675"/>
      <c r="AK295" s="675"/>
      <c r="AL295" s="675"/>
      <c r="AM295" s="675"/>
      <c r="AN295" s="675"/>
      <c r="AO295" s="675"/>
      <c r="AP295" s="675"/>
      <c r="AQ295" s="675"/>
      <c r="AR295" s="675"/>
      <c r="AS295" s="675"/>
      <c r="AT295" s="675"/>
      <c r="AU295" s="675"/>
      <c r="AV295" s="675"/>
      <c r="AZ295" s="505"/>
      <c r="BB295" s="505"/>
      <c r="BI295" s="478" t="s">
        <v>126</v>
      </c>
      <c r="BJ295" s="489"/>
      <c r="BN295" s="661"/>
      <c r="CU295" s="479"/>
      <c r="CV295" s="661"/>
      <c r="CW295" s="479"/>
      <c r="DS295" s="661"/>
      <c r="EV295" s="818" t="str">
        <f t="shared" si="140"/>
        <v/>
      </c>
      <c r="EW295" s="818"/>
    </row>
    <row r="296" spans="1:153" s="475" customFormat="1" ht="13.5" customHeight="1">
      <c r="A296" s="654" t="str">
        <f t="shared" ca="1" si="137"/>
        <v>D.1.296</v>
      </c>
      <c r="B296" s="654" t="str">
        <f t="shared" ca="1" si="138"/>
        <v>1.296</v>
      </c>
      <c r="C296" s="654" t="str">
        <f t="shared" si="146"/>
        <v>[296]</v>
      </c>
      <c r="D296" s="654">
        <f>ROW()</f>
        <v>296</v>
      </c>
      <c r="E296" s="1129" t="str">
        <f>BP296</f>
        <v>Energieholzanteil für Wärmenetze</v>
      </c>
      <c r="F296" s="1129"/>
      <c r="G296" s="1129"/>
      <c r="H296" s="1129"/>
      <c r="I296" s="1129"/>
      <c r="J296" s="471" t="s">
        <v>38</v>
      </c>
      <c r="K296" s="557">
        <f ca="1">INDIRECT($W$1&amp;U296)</f>
        <v>0</v>
      </c>
      <c r="L296" s="485" t="str">
        <f ca="1">HYPERLINK($CK$1&amp;U296,$CE$1&amp;U296&amp;$CF$1)</f>
        <v>[297]</v>
      </c>
      <c r="M296" s="558">
        <f ca="1">INDIRECT($W$1&amp;W296)</f>
        <v>0</v>
      </c>
      <c r="N296" s="533" t="str">
        <f ca="1">HYPERLINK($CK$1&amp;W296,$CE$1&amp;W296&amp;$CF$1)</f>
        <v>[299]</v>
      </c>
      <c r="O296" s="869">
        <v>296</v>
      </c>
      <c r="P296" s="570"/>
      <c r="Q296" s="583"/>
      <c r="R296" s="852"/>
      <c r="S296" s="784"/>
      <c r="T296" s="864"/>
      <c r="U296" s="672">
        <f>D297</f>
        <v>297</v>
      </c>
      <c r="V296" s="905" t="s">
        <v>126</v>
      </c>
      <c r="W296" s="672">
        <f>D299</f>
        <v>299</v>
      </c>
      <c r="X296" s="658"/>
      <c r="Y296" s="658"/>
      <c r="Z296" s="658"/>
      <c r="AA296" s="658"/>
      <c r="AB296" s="801"/>
      <c r="AC296" s="801"/>
      <c r="AD296" s="674"/>
      <c r="AE296" s="674"/>
      <c r="AF296" s="674"/>
      <c r="AG296" s="674"/>
      <c r="AH296" s="674"/>
      <c r="AI296" s="674"/>
      <c r="AJ296" s="674"/>
      <c r="AK296" s="674"/>
      <c r="AL296" s="674"/>
      <c r="AM296" s="674"/>
      <c r="AN296" s="674"/>
      <c r="AO296" s="674"/>
      <c r="AP296" s="674"/>
      <c r="AQ296" s="674"/>
      <c r="AR296" s="674"/>
      <c r="AS296" s="674"/>
      <c r="AT296" s="674"/>
      <c r="AU296" s="674"/>
      <c r="AV296" s="674"/>
      <c r="BI296" s="475" t="s">
        <v>126</v>
      </c>
      <c r="BJ296" s="492" t="str">
        <f>E296</f>
        <v>Energieholzanteil für Wärmenetze</v>
      </c>
      <c r="BK296" s="486">
        <f ca="1">K296</f>
        <v>0</v>
      </c>
      <c r="BL296" s="486">
        <f ca="1">M296</f>
        <v>0</v>
      </c>
      <c r="BM296" s="472">
        <f>D296</f>
        <v>296</v>
      </c>
      <c r="BN296" s="658"/>
      <c r="BO296" s="475" t="s">
        <v>251</v>
      </c>
      <c r="BP296" s="521" t="s">
        <v>406</v>
      </c>
      <c r="CU296" s="476"/>
      <c r="CV296" s="658"/>
      <c r="CW296" s="518">
        <v>57</v>
      </c>
      <c r="CY296" s="472" t="str">
        <f t="shared" ref="CY296:DO296" ca="1" si="149">INDIRECT($CX$1&amp;CY$1&amp;$CW296)</f>
        <v>Kraftwerk</v>
      </c>
      <c r="CZ296" s="472">
        <f t="shared" ca="1" si="149"/>
        <v>0</v>
      </c>
      <c r="DA296" s="472">
        <f t="shared" ca="1" si="149"/>
        <v>27.474353722141913</v>
      </c>
      <c r="DB296" s="472">
        <f t="shared" ca="1" si="149"/>
        <v>0</v>
      </c>
      <c r="DC296" s="472" t="str">
        <f t="shared" ca="1" si="149"/>
        <v xml:space="preserve"> 245</v>
      </c>
      <c r="DD296" s="472" t="str">
        <f t="shared" ca="1" si="149"/>
        <v xml:space="preserve"> 246</v>
      </c>
      <c r="DE296" s="472" t="str">
        <f t="shared" ca="1" si="149"/>
        <v>Ho97</v>
      </c>
      <c r="DF296" s="472" t="str">
        <f t="shared" ca="1" si="149"/>
        <v>Ho36</v>
      </c>
      <c r="DG296" s="472" t="str">
        <f t="shared" ca="1" si="149"/>
        <v>Ho</v>
      </c>
      <c r="DH296" s="472" t="str">
        <f t="shared" ca="1" si="149"/>
        <v>97</v>
      </c>
      <c r="DI296" s="472" t="str">
        <f t="shared" ca="1" si="149"/>
        <v>[Ho.xls]TEXT!Z97S5</v>
      </c>
      <c r="DJ296" s="472" t="str">
        <f t="shared" ca="1" si="149"/>
        <v>Ho</v>
      </c>
      <c r="DK296" s="472" t="str">
        <f t="shared" ca="1" si="149"/>
        <v>36</v>
      </c>
      <c r="DL296" s="472" t="str">
        <f t="shared" ca="1" si="149"/>
        <v>[Ho.xls]TEXT!Z36S5</v>
      </c>
      <c r="DM296" s="472">
        <f t="shared" ca="1" si="149"/>
        <v>57</v>
      </c>
      <c r="DN296" s="472" t="str">
        <f t="shared" ca="1" si="149"/>
        <v>[Region.xls]PARAMETER!Z245S6</v>
      </c>
      <c r="DO296" s="472" t="str">
        <f t="shared" ca="1" si="149"/>
        <v>[Region.xls]PARAMETER!Z246S6</v>
      </c>
      <c r="DP296" s="472"/>
      <c r="DS296" s="656"/>
      <c r="DV296" s="472"/>
      <c r="DW296" s="472"/>
      <c r="DX296" s="472"/>
      <c r="DY296" s="472"/>
      <c r="DZ296" s="472"/>
      <c r="EA296" s="472"/>
      <c r="EB296" s="472"/>
      <c r="EC296" s="472"/>
      <c r="ED296" s="472"/>
      <c r="EE296" s="472"/>
      <c r="EF296" s="472"/>
      <c r="EG296" s="472"/>
      <c r="EH296" s="472"/>
      <c r="EI296" s="472"/>
      <c r="EJ296" s="472"/>
      <c r="EK296" s="472"/>
      <c r="EV296" s="819">
        <f t="shared" si="140"/>
        <v>296</v>
      </c>
      <c r="EW296" s="819"/>
    </row>
    <row r="297" spans="1:153" s="472" customFormat="1" ht="91">
      <c r="A297" s="654" t="str">
        <f t="shared" ca="1" si="137"/>
        <v>D.1.297</v>
      </c>
      <c r="B297" s="654" t="str">
        <f t="shared" ca="1" si="138"/>
        <v>1.297</v>
      </c>
      <c r="C297" s="654" t="str">
        <f t="shared" si="146"/>
        <v>[297]</v>
      </c>
      <c r="D297" s="654">
        <f>ROW()</f>
        <v>297</v>
      </c>
      <c r="E297" s="1130" t="str">
        <f>CU297</f>
        <v xml:space="preserve">- STATUS-Ansatz: 0 %. Begründung: Da der Energieholzeinsatz für Einspeisung von Abwärme aus Heizkraftwerken bereits über den Einsatz für Stromerzeugung in die Kalkulation eingeht, wird hier nur der Energieholzeinsatz von Heizwerken ohne Stromerzeugung angesetzt. Für Deutschland gibt es zwar Angaben zur Wärme von Heizwerken und Heizkraftwerken insgesamt, aber nicht differenziert [249]. Der Sachverhalt, dass dieser Wärmebeitrag insgesamt wesentlich niedriger liegt, als die Bruttostromerzeugung aus festen Biobrennstoffen [249], legt den Schluss nahe, dass es sich überwiegend um Abwärme aus Verstromung handelt. Vereinfachend wird daher die Wärme aus reinen Holz-Heizwerken hier vernachlässigt. </v>
      </c>
      <c r="F297" s="1130"/>
      <c r="G297" s="1130"/>
      <c r="H297" s="1130"/>
      <c r="I297" s="1130"/>
      <c r="J297" s="1130"/>
      <c r="K297" s="1130"/>
      <c r="L297" s="1130"/>
      <c r="M297" s="1130"/>
      <c r="N297" s="1131"/>
      <c r="O297" s="869">
        <v>297</v>
      </c>
      <c r="P297" s="573" t="str">
        <f ca="1">HYPERLINK(EK297,EJ297)</f>
        <v/>
      </c>
      <c r="Q297" s="574" t="str">
        <f>Y297</f>
        <v xml:space="preserve"> </v>
      </c>
      <c r="R297" s="852"/>
      <c r="S297" s="784"/>
      <c r="T297" s="864"/>
      <c r="U297" s="1023" t="str">
        <f>W297&amp;" %. Begründung: Da der Energieholzeinsatz für Einspeisung von Abwärme aus Heizkraftwerken bereits über den Einsatz für Stromerzeugung in die Kalkulation eingeht, wird hier nur der Energieholzeinsatz von Heizwerken ohne Stromerzeugung angesetzt. "&amp;"Für Deutschland gibt es zwar Angaben zur Wärme von Heizwerken und Heizkraftwerken insgesamt, aber nicht differenziert "&amp;C249&amp;". Der Sachverhalt, dass dieser Wärmebeitrag insgesamt wesentlich niedriger liegt, als die Bruttostromerzeugung aus festen Biobrennstoffen "&amp;C249&amp;", legt den Schluss nahe, dass es sich überwiegend um Abwärme aus Verstromung handelt. "&amp;"Vereinfachend wird daher die Wärme aus reinen Holz-Heizwerken hier vernachlässigt. "</f>
        <v xml:space="preserve">0 %. Begründung: Da der Energieholzeinsatz für Einspeisung von Abwärme aus Heizkraftwerken bereits über den Einsatz für Stromerzeugung in die Kalkulation eingeht, wird hier nur der Energieholzeinsatz von Heizwerken ohne Stromerzeugung angesetzt. Für Deutschland gibt es zwar Angaben zur Wärme von Heizwerken und Heizkraftwerken insgesamt, aber nicht differenziert [249]. Der Sachverhalt, dass dieser Wärmebeitrag insgesamt wesentlich niedriger liegt, als die Bruttostromerzeugung aus festen Biobrennstoffen [249], legt den Schluss nahe, dass es sich überwiegend um Abwärme aus Verstromung handelt. Vereinfachend wird daher die Wärme aus reinen Holz-Heizwerken hier vernachlässigt. </v>
      </c>
      <c r="V297" s="905" t="s">
        <v>126</v>
      </c>
      <c r="W297" s="1024">
        <v>0</v>
      </c>
      <c r="X297" s="672"/>
      <c r="Y297" s="672" t="s">
        <v>126</v>
      </c>
      <c r="Z297" s="1025"/>
      <c r="AA297" s="658"/>
      <c r="AB297" s="801"/>
      <c r="AC297" s="801"/>
      <c r="AD297" s="801"/>
      <c r="AE297" s="801"/>
      <c r="AF297" s="801"/>
      <c r="AG297" s="801"/>
      <c r="AH297" s="801"/>
      <c r="AI297" s="801"/>
      <c r="AJ297" s="801"/>
      <c r="AK297" s="801"/>
      <c r="AL297" s="801"/>
      <c r="AM297" s="801"/>
      <c r="AN297" s="801"/>
      <c r="AO297" s="801"/>
      <c r="AP297" s="801"/>
      <c r="AQ297" s="801"/>
      <c r="AR297" s="801"/>
      <c r="AS297" s="801"/>
      <c r="AT297" s="801"/>
      <c r="AU297" s="801"/>
      <c r="AV297" s="801"/>
      <c r="BF297" s="473"/>
      <c r="BI297" s="472" t="s">
        <v>126</v>
      </c>
      <c r="BJ297" s="490"/>
      <c r="BN297" s="656"/>
      <c r="BO297" s="472" t="s">
        <v>259</v>
      </c>
      <c r="CU297" s="480" t="str">
        <f>CG$1&amp;IF(U297="",BF297,U297)</f>
        <v xml:space="preserve">- STATUS-Ansatz: 0 %. Begründung: Da der Energieholzeinsatz für Einspeisung von Abwärme aus Heizkraftwerken bereits über den Einsatz für Stromerzeugung in die Kalkulation eingeht, wird hier nur der Energieholzeinsatz von Heizwerken ohne Stromerzeugung angesetzt. Für Deutschland gibt es zwar Angaben zur Wärme von Heizwerken und Heizkraftwerken insgesamt, aber nicht differenziert [249]. Der Sachverhalt, dass dieser Wärmebeitrag insgesamt wesentlich niedriger liegt, als die Bruttostromerzeugung aus festen Biobrennstoffen [249], legt den Schluss nahe, dass es sich überwiegend um Abwärme aus Verstromung handelt. Vereinfachend wird daher die Wärme aus reinen Holz-Heizwerken hier vernachlässigt. </v>
      </c>
      <c r="CV297" s="656"/>
      <c r="CW297" s="480"/>
      <c r="DS297" s="656"/>
      <c r="DT297" s="518">
        <f>I_Basisdaten!A141</f>
        <v>141</v>
      </c>
      <c r="EJ297" s="472" t="str">
        <f>IF(X297=0,"",EJ$1&amp;X297)</f>
        <v/>
      </c>
      <c r="EK297" s="472" t="str">
        <f ca="1">EK$1&amp;X297</f>
        <v>[D_Python.xlsx]9.Quellen!C</v>
      </c>
      <c r="EV297" s="819">
        <f t="shared" si="140"/>
        <v>297</v>
      </c>
      <c r="EW297" s="819"/>
    </row>
    <row r="298" spans="1:153" s="478" customFormat="1" ht="4">
      <c r="A298" s="677" t="str">
        <f t="shared" ca="1" si="137"/>
        <v>D.1.298</v>
      </c>
      <c r="B298" s="677" t="str">
        <f t="shared" ca="1" si="138"/>
        <v>1.298</v>
      </c>
      <c r="C298" s="677" t="str">
        <f t="shared" si="146"/>
        <v>[298]</v>
      </c>
      <c r="D298" s="677">
        <f>ROW()</f>
        <v>298</v>
      </c>
      <c r="E298" s="528"/>
      <c r="F298" s="528"/>
      <c r="G298" s="528"/>
      <c r="H298" s="528"/>
      <c r="I298" s="527"/>
      <c r="J298" s="527"/>
      <c r="K298" s="527"/>
      <c r="L298" s="527"/>
      <c r="M298" s="527"/>
      <c r="N298" s="528"/>
      <c r="O298" s="871">
        <v>298</v>
      </c>
      <c r="P298" s="566"/>
      <c r="Q298" s="567"/>
      <c r="R298" s="888"/>
      <c r="S298" s="802"/>
      <c r="T298" s="882"/>
      <c r="U298" s="661"/>
      <c r="V298" s="661"/>
      <c r="W298" s="661"/>
      <c r="X298" s="661"/>
      <c r="Y298" s="661"/>
      <c r="Z298" s="661"/>
      <c r="AA298" s="661"/>
      <c r="AB298" s="675"/>
      <c r="AC298" s="675"/>
      <c r="AD298" s="675"/>
      <c r="AE298" s="675"/>
      <c r="AF298" s="675"/>
      <c r="AG298" s="675"/>
      <c r="AH298" s="675"/>
      <c r="AI298" s="675"/>
      <c r="AJ298" s="675"/>
      <c r="AK298" s="675"/>
      <c r="AL298" s="675"/>
      <c r="AM298" s="675"/>
      <c r="AN298" s="675"/>
      <c r="AO298" s="675"/>
      <c r="AP298" s="675"/>
      <c r="AQ298" s="675"/>
      <c r="AR298" s="675"/>
      <c r="AS298" s="675"/>
      <c r="AT298" s="675"/>
      <c r="AU298" s="675"/>
      <c r="AV298" s="675"/>
      <c r="BI298" s="478" t="s">
        <v>126</v>
      </c>
      <c r="BJ298" s="489"/>
      <c r="BN298" s="661"/>
      <c r="CU298" s="479"/>
      <c r="CV298" s="661"/>
      <c r="CW298" s="479"/>
      <c r="DS298" s="661"/>
      <c r="EV298" s="818" t="str">
        <f t="shared" si="140"/>
        <v/>
      </c>
      <c r="EW298" s="818"/>
    </row>
    <row r="299" spans="1:153" s="472" customFormat="1" ht="39">
      <c r="A299" s="654" t="str">
        <f t="shared" ca="1" si="137"/>
        <v>D.1.299</v>
      </c>
      <c r="B299" s="654" t="str">
        <f t="shared" ca="1" si="138"/>
        <v>1.299</v>
      </c>
      <c r="C299" s="654" t="str">
        <f t="shared" si="146"/>
        <v>[299]</v>
      </c>
      <c r="D299" s="654">
        <f>ROW()</f>
        <v>299</v>
      </c>
      <c r="E299" s="1125" t="str">
        <f>CU299</f>
        <v>- ZIEL-Ansatz: Reine Biomasse-Heizwerke zur Versorgung mit Gebäudewärme über Wärmenetze erscheinen für die Zukunft nicht sinnvoll, vorzuziehen ist die Verwendung des begrenzten Brennstoffanfalls für anspruchsvollere Anwendungsbereiche wie Prozesswärme oder Stromerzeugung.</v>
      </c>
      <c r="F299" s="1125"/>
      <c r="G299" s="1125"/>
      <c r="H299" s="1125"/>
      <c r="I299" s="1125"/>
      <c r="J299" s="1125"/>
      <c r="K299" s="1125"/>
      <c r="L299" s="1125"/>
      <c r="M299" s="1125"/>
      <c r="N299" s="1132"/>
      <c r="O299" s="869">
        <v>299</v>
      </c>
      <c r="P299" s="573" t="str">
        <f ca="1">HYPERLINK(EK299,EJ299)</f>
        <v/>
      </c>
      <c r="Q299" s="574" t="str">
        <f>Y299</f>
        <v xml:space="preserve"> </v>
      </c>
      <c r="R299" s="852"/>
      <c r="S299" s="784"/>
      <c r="T299" s="864"/>
      <c r="U299" s="1023" t="str">
        <f>"Reine Biomasse-Heizwerke zur Versorgung mit Gebäudewärme über Wärmenetze erscheinen für die Zukunft nicht sinnvoll, "&amp;"vorzuziehen ist die Verwendung des begrenzten Brennstoffanfalls für anspruchsvollere Anwendungsbereiche wie Prozesswärme oder Stromerzeugung."</f>
        <v>Reine Biomasse-Heizwerke zur Versorgung mit Gebäudewärme über Wärmenetze erscheinen für die Zukunft nicht sinnvoll, vorzuziehen ist die Verwendung des begrenzten Brennstoffanfalls für anspruchsvollere Anwendungsbereiche wie Prozesswärme oder Stromerzeugung.</v>
      </c>
      <c r="V299" s="905" t="s">
        <v>126</v>
      </c>
      <c r="W299" s="1024">
        <v>0</v>
      </c>
      <c r="X299" s="672"/>
      <c r="Y299" s="672" t="s">
        <v>126</v>
      </c>
      <c r="Z299" s="1025"/>
      <c r="AA299" s="905"/>
      <c r="AB299" s="801"/>
      <c r="AC299" s="801"/>
      <c r="AD299" s="801"/>
      <c r="AE299" s="801"/>
      <c r="AF299" s="801"/>
      <c r="AG299" s="801"/>
      <c r="AH299" s="801"/>
      <c r="AI299" s="801"/>
      <c r="AJ299" s="801"/>
      <c r="AK299" s="801"/>
      <c r="AL299" s="801"/>
      <c r="AM299" s="801"/>
      <c r="AN299" s="801"/>
      <c r="AO299" s="801"/>
      <c r="AP299" s="801"/>
      <c r="AQ299" s="801"/>
      <c r="AR299" s="801"/>
      <c r="AS299" s="801"/>
      <c r="AT299" s="801"/>
      <c r="AU299" s="801"/>
      <c r="AV299" s="801"/>
      <c r="BF299" s="473"/>
      <c r="BI299" s="472" t="s">
        <v>126</v>
      </c>
      <c r="BJ299" s="490"/>
      <c r="BN299" s="656"/>
      <c r="BO299" s="472" t="s">
        <v>259</v>
      </c>
      <c r="CU299" s="480" t="str">
        <f>CH$1&amp;IF(U299="",BF299,U299)</f>
        <v>- ZIEL-Ansatz: Reine Biomasse-Heizwerke zur Versorgung mit Gebäudewärme über Wärmenetze erscheinen für die Zukunft nicht sinnvoll, vorzuziehen ist die Verwendung des begrenzten Brennstoffanfalls für anspruchsvollere Anwendungsbereiche wie Prozesswärme oder Stromerzeugung.</v>
      </c>
      <c r="CV299" s="656"/>
      <c r="CW299" s="480"/>
      <c r="DS299" s="656"/>
      <c r="DT299" s="518">
        <v>53</v>
      </c>
      <c r="EJ299" s="472" t="str">
        <f>IF(X299=0,"",EJ$1&amp;X299)</f>
        <v/>
      </c>
      <c r="EK299" s="472" t="str">
        <f ca="1">EK$1&amp;X299</f>
        <v>[D_Python.xlsx]9.Quellen!C</v>
      </c>
      <c r="EV299" s="819">
        <f t="shared" si="140"/>
        <v>299</v>
      </c>
      <c r="EW299" s="819"/>
    </row>
    <row r="300" spans="1:153" s="528" customFormat="1" ht="4">
      <c r="A300" s="540" t="str">
        <f t="shared" ca="1" si="137"/>
        <v>D.1.300</v>
      </c>
      <c r="B300" s="540" t="str">
        <f t="shared" ca="1" si="138"/>
        <v>1.300</v>
      </c>
      <c r="C300" s="540" t="str">
        <f t="shared" si="146"/>
        <v>[300]</v>
      </c>
      <c r="D300" s="540">
        <f>ROW()</f>
        <v>300</v>
      </c>
      <c r="I300" s="527"/>
      <c r="J300" s="527"/>
      <c r="K300" s="527"/>
      <c r="L300" s="527"/>
      <c r="M300" s="527"/>
      <c r="O300" s="870">
        <v>300</v>
      </c>
      <c r="P300" s="566"/>
      <c r="Q300" s="567"/>
      <c r="R300" s="889"/>
      <c r="S300" s="802"/>
      <c r="T300" s="883"/>
      <c r="U300" s="661"/>
      <c r="V300" s="661"/>
      <c r="W300" s="661"/>
      <c r="X300" s="661"/>
      <c r="Y300" s="661"/>
      <c r="Z300" s="661"/>
      <c r="AA300" s="661"/>
      <c r="AB300" s="675"/>
      <c r="AC300" s="675"/>
      <c r="AD300" s="675"/>
      <c r="AE300" s="675"/>
      <c r="AF300" s="675"/>
      <c r="AG300" s="675"/>
      <c r="AH300" s="675"/>
      <c r="AI300" s="675"/>
      <c r="AJ300" s="675"/>
      <c r="AK300" s="675"/>
      <c r="AL300" s="675"/>
      <c r="AM300" s="675"/>
      <c r="AN300" s="675"/>
      <c r="AO300" s="675"/>
      <c r="AP300" s="675"/>
      <c r="AQ300" s="675"/>
      <c r="AR300" s="675"/>
      <c r="AS300" s="675"/>
      <c r="AT300" s="675"/>
      <c r="AU300" s="675"/>
      <c r="AV300" s="675"/>
      <c r="AZ300" s="541"/>
      <c r="BB300" s="541"/>
      <c r="BI300" s="528" t="s">
        <v>126</v>
      </c>
      <c r="BJ300" s="542"/>
      <c r="BN300" s="680"/>
      <c r="CU300" s="543"/>
      <c r="CV300" s="680"/>
      <c r="CW300" s="543"/>
      <c r="DS300" s="680"/>
      <c r="EV300" s="820" t="str">
        <f t="shared" si="140"/>
        <v/>
      </c>
      <c r="EW300" s="820"/>
    </row>
    <row r="301" spans="1:153" s="472" customFormat="1" ht="13">
      <c r="A301" s="654" t="str">
        <f t="shared" ca="1" si="137"/>
        <v>D.1.301</v>
      </c>
      <c r="B301" s="654" t="str">
        <f t="shared" ca="1" si="138"/>
        <v>1.301</v>
      </c>
      <c r="C301" s="654" t="str">
        <f t="shared" si="146"/>
        <v>[301]</v>
      </c>
      <c r="D301" s="654">
        <f>ROW()</f>
        <v>301</v>
      </c>
      <c r="E301" s="481" t="str">
        <f>BP301</f>
        <v>Stroh, energetische Nutzung</v>
      </c>
      <c r="F301" s="482"/>
      <c r="G301" s="482"/>
      <c r="H301" s="482"/>
      <c r="I301" s="483"/>
      <c r="J301" s="484"/>
      <c r="K301" s="484"/>
      <c r="L301" s="484"/>
      <c r="M301" s="484"/>
      <c r="N301" s="532"/>
      <c r="O301" s="869">
        <v>301</v>
      </c>
      <c r="P301" s="568"/>
      <c r="Q301" s="569"/>
      <c r="R301" s="852"/>
      <c r="S301" s="804"/>
      <c r="T301" s="864"/>
      <c r="U301" s="905"/>
      <c r="V301" s="905"/>
      <c r="W301" s="905"/>
      <c r="X301" s="905"/>
      <c r="Y301" s="905"/>
      <c r="Z301" s="905"/>
      <c r="AA301" s="905"/>
      <c r="AB301" s="801"/>
      <c r="AC301" s="801"/>
      <c r="AD301" s="801"/>
      <c r="AE301" s="801"/>
      <c r="AF301" s="801"/>
      <c r="AG301" s="801"/>
      <c r="AH301" s="801"/>
      <c r="AI301" s="801"/>
      <c r="AJ301" s="801"/>
      <c r="AK301" s="801"/>
      <c r="AL301" s="801"/>
      <c r="AM301" s="801"/>
      <c r="AN301" s="801"/>
      <c r="AO301" s="801"/>
      <c r="AP301" s="801"/>
      <c r="AQ301" s="801"/>
      <c r="AR301" s="801"/>
      <c r="AS301" s="801"/>
      <c r="AT301" s="801"/>
      <c r="AU301" s="801"/>
      <c r="AV301" s="801"/>
      <c r="AZ301" s="504"/>
      <c r="BB301" s="506"/>
      <c r="BI301" s="472" t="s">
        <v>126</v>
      </c>
      <c r="BJ301" s="490"/>
      <c r="BN301" s="656"/>
      <c r="BO301" s="472" t="s">
        <v>250</v>
      </c>
      <c r="BP301" s="518" t="s">
        <v>285</v>
      </c>
      <c r="CU301" s="480"/>
      <c r="CV301" s="656"/>
      <c r="CW301" s="480"/>
      <c r="DS301" s="656"/>
      <c r="EV301" s="819">
        <f t="shared" si="140"/>
        <v>301</v>
      </c>
      <c r="EW301" s="819"/>
    </row>
    <row r="302" spans="1:153" s="478" customFormat="1" ht="4">
      <c r="A302" s="677" t="str">
        <f t="shared" ca="1" si="137"/>
        <v>D.1.302</v>
      </c>
      <c r="B302" s="677" t="str">
        <f t="shared" ca="1" si="138"/>
        <v>1.302</v>
      </c>
      <c r="C302" s="677" t="str">
        <f t="shared" si="146"/>
        <v>[302]</v>
      </c>
      <c r="D302" s="677">
        <f>ROW()</f>
        <v>302</v>
      </c>
      <c r="E302" s="528"/>
      <c r="F302" s="528"/>
      <c r="G302" s="528"/>
      <c r="H302" s="528"/>
      <c r="I302" s="527"/>
      <c r="J302" s="527"/>
      <c r="K302" s="527"/>
      <c r="L302" s="527"/>
      <c r="M302" s="527"/>
      <c r="N302" s="528"/>
      <c r="O302" s="871">
        <v>302</v>
      </c>
      <c r="P302" s="566"/>
      <c r="Q302" s="567"/>
      <c r="R302" s="888"/>
      <c r="S302" s="802"/>
      <c r="T302" s="882"/>
      <c r="U302" s="661"/>
      <c r="V302" s="661"/>
      <c r="W302" s="661"/>
      <c r="X302" s="661"/>
      <c r="Y302" s="661"/>
      <c r="Z302" s="661"/>
      <c r="AA302" s="661"/>
      <c r="AB302" s="675"/>
      <c r="AC302" s="675"/>
      <c r="AD302" s="675"/>
      <c r="AE302" s="675"/>
      <c r="AF302" s="675"/>
      <c r="AG302" s="675"/>
      <c r="AH302" s="675"/>
      <c r="AI302" s="675"/>
      <c r="AJ302" s="675"/>
      <c r="AK302" s="675"/>
      <c r="AL302" s="675"/>
      <c r="AM302" s="675"/>
      <c r="AN302" s="675"/>
      <c r="AO302" s="675"/>
      <c r="AP302" s="675"/>
      <c r="AQ302" s="675"/>
      <c r="AR302" s="675"/>
      <c r="AS302" s="675"/>
      <c r="AT302" s="675"/>
      <c r="AU302" s="675"/>
      <c r="AV302" s="675"/>
      <c r="AZ302" s="505"/>
      <c r="BB302" s="505"/>
      <c r="BI302" s="478" t="s">
        <v>126</v>
      </c>
      <c r="BJ302" s="489"/>
      <c r="BN302" s="661"/>
      <c r="CU302" s="479"/>
      <c r="CV302" s="661"/>
      <c r="CW302" s="479"/>
      <c r="DS302" s="661"/>
      <c r="EV302" s="818" t="str">
        <f t="shared" si="140"/>
        <v/>
      </c>
      <c r="EW302" s="818"/>
    </row>
    <row r="303" spans="1:153" s="475" customFormat="1" ht="13.5" customHeight="1">
      <c r="A303" s="654" t="str">
        <f t="shared" ca="1" si="137"/>
        <v>D.1.303</v>
      </c>
      <c r="B303" s="654" t="str">
        <f t="shared" ca="1" si="138"/>
        <v>1.303</v>
      </c>
      <c r="C303" s="654" t="str">
        <f t="shared" si="146"/>
        <v>[303]</v>
      </c>
      <c r="D303" s="654">
        <f>ROW()</f>
        <v>303</v>
      </c>
      <c r="E303" s="1129" t="str">
        <f>BP303</f>
        <v>Energetisch genutzter Anteil am Strohanfall</v>
      </c>
      <c r="F303" s="1129"/>
      <c r="G303" s="1129"/>
      <c r="H303" s="1129"/>
      <c r="I303" s="1129"/>
      <c r="J303" s="471" t="s">
        <v>38</v>
      </c>
      <c r="K303" s="557">
        <f ca="1">INDIRECT($W$1&amp;U303)</f>
        <v>0.16181059119559105</v>
      </c>
      <c r="L303" s="485" t="str">
        <f ca="1">HYPERLINK($CK$1&amp;U303,$CE$1&amp;U303&amp;$CF$1)</f>
        <v>[304]</v>
      </c>
      <c r="M303" s="558">
        <f ca="1">INDIRECT($W$1&amp;W303)</f>
        <v>33</v>
      </c>
      <c r="N303" s="533" t="str">
        <f ca="1">HYPERLINK($CK$1&amp;W303,$CE$1&amp;W303&amp;$CF$1)</f>
        <v>[306]</v>
      </c>
      <c r="O303" s="869">
        <v>303</v>
      </c>
      <c r="P303" s="570"/>
      <c r="Q303" s="583"/>
      <c r="R303" s="852"/>
      <c r="S303" s="784"/>
      <c r="T303" s="864"/>
      <c r="U303" s="672">
        <f>D304</f>
        <v>304</v>
      </c>
      <c r="V303" s="905" t="s">
        <v>126</v>
      </c>
      <c r="W303" s="672">
        <f>D306</f>
        <v>306</v>
      </c>
      <c r="X303" s="658"/>
      <c r="Y303" s="658"/>
      <c r="Z303" s="658"/>
      <c r="AA303" s="658"/>
      <c r="AB303" s="801"/>
      <c r="AC303" s="801"/>
      <c r="AD303" s="674"/>
      <c r="AE303" s="674"/>
      <c r="AF303" s="674"/>
      <c r="AG303" s="674"/>
      <c r="AH303" s="674"/>
      <c r="AI303" s="674"/>
      <c r="AJ303" s="674"/>
      <c r="AK303" s="674"/>
      <c r="AL303" s="674"/>
      <c r="AM303" s="674"/>
      <c r="AN303" s="674"/>
      <c r="AO303" s="674"/>
      <c r="AP303" s="674"/>
      <c r="AQ303" s="674"/>
      <c r="AR303" s="674"/>
      <c r="AS303" s="674"/>
      <c r="AT303" s="674"/>
      <c r="AU303" s="674"/>
      <c r="AV303" s="674"/>
      <c r="AX303" s="475" t="s">
        <v>244</v>
      </c>
      <c r="AY303" s="500">
        <f ca="1">DA303</f>
        <v>0</v>
      </c>
      <c r="AZ303" s="508" t="str">
        <f ca="1">HYPERLINK(DN303,DC303)</f>
        <v xml:space="preserve"> 266</v>
      </c>
      <c r="BA303" s="500">
        <f ca="1">DB303</f>
        <v>0</v>
      </c>
      <c r="BB303" s="508" t="str">
        <f ca="1">HYPERLINK(DO303,DD303)</f>
        <v xml:space="preserve"> 267</v>
      </c>
      <c r="BC303" s="475" t="str">
        <f ca="1">CY303&amp;" | "&amp;CZ303</f>
        <v>0 | 1.1 Nutz-Anteil Stroh-Ofen (Heizung) = genutzer Anteil der jährlichen Erntemenge</v>
      </c>
      <c r="BI303" s="475" t="s">
        <v>126</v>
      </c>
      <c r="BJ303" s="492" t="str">
        <f>E303</f>
        <v>Energetisch genutzter Anteil am Strohanfall</v>
      </c>
      <c r="BK303" s="486">
        <f ca="1">K303</f>
        <v>0.16181059119559105</v>
      </c>
      <c r="BL303" s="486">
        <f ca="1">M303</f>
        <v>33</v>
      </c>
      <c r="BM303" s="472">
        <f>D303</f>
        <v>303</v>
      </c>
      <c r="BN303" s="658"/>
      <c r="BO303" s="475" t="s">
        <v>251</v>
      </c>
      <c r="BP303" s="521" t="s">
        <v>396</v>
      </c>
      <c r="CU303" s="476"/>
      <c r="CV303" s="658"/>
      <c r="CW303" s="518">
        <v>65</v>
      </c>
      <c r="CY303" s="472">
        <f t="shared" ref="CY303:DO303" ca="1" si="150">INDIRECT($CX$1&amp;CY$1&amp;$CW303)</f>
        <v>0</v>
      </c>
      <c r="CZ303" s="472" t="str">
        <f t="shared" ca="1" si="150"/>
        <v>1.1 Nutz-Anteil Stroh-Ofen (Heizung) = genutzer Anteil der jährlichen Erntemenge</v>
      </c>
      <c r="DA303" s="472">
        <f t="shared" ca="1" si="150"/>
        <v>0</v>
      </c>
      <c r="DB303" s="472">
        <f t="shared" ca="1" si="150"/>
        <v>0</v>
      </c>
      <c r="DC303" s="472" t="str">
        <f t="shared" ca="1" si="150"/>
        <v xml:space="preserve"> 266</v>
      </c>
      <c r="DD303" s="472" t="str">
        <f t="shared" ca="1" si="150"/>
        <v xml:space="preserve"> 267</v>
      </c>
      <c r="DE303" s="472" t="str">
        <f t="shared" ca="1" si="150"/>
        <v>SR30</v>
      </c>
      <c r="DF303" s="472" t="str">
        <f t="shared" ca="1" si="150"/>
        <v>SR33</v>
      </c>
      <c r="DG303" s="472" t="str">
        <f t="shared" ca="1" si="150"/>
        <v>SR</v>
      </c>
      <c r="DH303" s="472" t="str">
        <f t="shared" ca="1" si="150"/>
        <v>30</v>
      </c>
      <c r="DI303" s="472" t="str">
        <f t="shared" ca="1" si="150"/>
        <v>[SR.xls]TEXT!Z30S5</v>
      </c>
      <c r="DJ303" s="472" t="str">
        <f t="shared" ca="1" si="150"/>
        <v>SR</v>
      </c>
      <c r="DK303" s="472" t="str">
        <f t="shared" ca="1" si="150"/>
        <v>33</v>
      </c>
      <c r="DL303" s="472" t="str">
        <f t="shared" ca="1" si="150"/>
        <v>[SR.xls]TEXT!Z33S5</v>
      </c>
      <c r="DM303" s="472">
        <f t="shared" ca="1" si="150"/>
        <v>65</v>
      </c>
      <c r="DN303" s="472" t="str">
        <f t="shared" ca="1" si="150"/>
        <v>[Region.xls]PARAMETER!Z266S6</v>
      </c>
      <c r="DO303" s="472" t="str">
        <f t="shared" ca="1" si="150"/>
        <v>[Region.xls]PARAMETER!Z267S6</v>
      </c>
      <c r="DP303" s="472"/>
      <c r="DS303" s="656"/>
      <c r="DV303" s="472"/>
      <c r="DW303" s="472"/>
      <c r="DX303" s="472"/>
      <c r="DY303" s="472"/>
      <c r="DZ303" s="472"/>
      <c r="EA303" s="472"/>
      <c r="EB303" s="472"/>
      <c r="EC303" s="472"/>
      <c r="ED303" s="472"/>
      <c r="EE303" s="472"/>
      <c r="EF303" s="472"/>
      <c r="EG303" s="472"/>
      <c r="EH303" s="472"/>
      <c r="EI303" s="472"/>
      <c r="EJ303" s="472"/>
      <c r="EK303" s="472"/>
      <c r="EV303" s="819">
        <f t="shared" si="140"/>
        <v>303</v>
      </c>
      <c r="EW303" s="819"/>
    </row>
    <row r="304" spans="1:153" s="472" customFormat="1" ht="78">
      <c r="A304" s="654" t="str">
        <f t="shared" ca="1" si="137"/>
        <v>D.1.304</v>
      </c>
      <c r="B304" s="654" t="str">
        <f t="shared" ca="1" si="138"/>
        <v>1.304</v>
      </c>
      <c r="C304" s="654" t="str">
        <f t="shared" si="146"/>
        <v>[304]</v>
      </c>
      <c r="D304" s="654">
        <f>ROW()</f>
        <v>304</v>
      </c>
      <c r="E304" s="1130" t="str">
        <f ca="1">CU304</f>
        <v>- STATUS-Ansatz: Eine energetische Nutzung des anfallenden Getreidestrohs in relevantem Umfang findet in Deutschland bislang nicht statt. Einzig bekannte Nutzung ist das Biomasse-Heizkraftwerk Emsland mit einem jährlichen Stroheinsatz von 62.500 Tonnen [9.237]. Bei einem mittleren Heizwert von 14,05 MJ/kg (bei 86 % Trockenanteil) entspricht das einem Energieinhalt von 244 GWh/a. Bei einem Energieertrag von 23,8 MWh/ha/a [311] wird Getreidestroh von 10.235 ha Anbaufläche eingesetzt. Das sind 0,2 % der gesamten Getreideanbaufläche Deutschlands [86].</v>
      </c>
      <c r="F304" s="1130"/>
      <c r="G304" s="1130"/>
      <c r="H304" s="1130"/>
      <c r="I304" s="1130"/>
      <c r="J304" s="1130"/>
      <c r="K304" s="1130"/>
      <c r="L304" s="1130"/>
      <c r="M304" s="1130"/>
      <c r="N304" s="1131"/>
      <c r="O304" s="869">
        <v>304</v>
      </c>
      <c r="P304" s="573" t="str">
        <f ca="1">HYPERLINK(EK304,EJ304)</f>
        <v>9.237</v>
      </c>
      <c r="Q304" s="574" t="str">
        <f>Y304</f>
        <v xml:space="preserve"> </v>
      </c>
      <c r="R304" s="852"/>
      <c r="S304" s="784"/>
      <c r="T304" s="864"/>
      <c r="U304" s="1023" t="str">
        <f ca="1">"Eine energetische Nutzung des anfallenden Getreidestrohs in relevantem Umfang findet in Deutschland bislang nicht statt. Einzig bekannte Nutzung ist das Biomasse-Heizkraftwerk Emsland mit einem jährlichen Stroheinsatz von "&amp;TEXT(AD304,"0.000")&amp;" Tonnen ["&amp;P304&amp;"]. Bei einem mittleren Heizwert von "&amp;AF304&amp;" MJ/kg (bei 86 % Trockenanteil) entspricht das einem Energieinhalt von "&amp;TEXT(AH304,"0")&amp;AI304&amp;". Bei einem Energieertrag von "&amp;TEXT(AJ304,"0,0")&amp;AK304&amp;C311&amp;" wird Getreidestroh von "&amp;TEXT(AL304,"0.000")&amp;AM304&amp;" Anbaufläche eingesetzt. Das sind "&amp;TEXT(AP304,"0,0")&amp;AQ304&amp;" der gesamten Getreideanbaufläche Deutschlands "&amp;C86&amp;"."</f>
        <v>Eine energetische Nutzung des anfallenden Getreidestrohs in relevantem Umfang findet in Deutschland bislang nicht statt. Einzig bekannte Nutzung ist das Biomasse-Heizkraftwerk Emsland mit einem jährlichen Stroheinsatz von 62.500 Tonnen [9.237]. Bei einem mittleren Heizwert von 14,05 MJ/kg (bei 86 % Trockenanteil) entspricht das einem Energieinhalt von 244 GWh/a. Bei einem Energieertrag von 23,8 MWh/ha/a [311] wird Getreidestroh von 10.235 ha Anbaufläche eingesetzt. Das sind 0,2 % der gesamten Getreideanbaufläche Deutschlands [86].</v>
      </c>
      <c r="V304" s="905" t="s">
        <v>126</v>
      </c>
      <c r="W304" s="1079">
        <f>AP304</f>
        <v>0.16181059119559105</v>
      </c>
      <c r="X304" s="672">
        <v>237</v>
      </c>
      <c r="Y304" s="672" t="s">
        <v>126</v>
      </c>
      <c r="Z304" s="1025"/>
      <c r="AA304" s="658"/>
      <c r="AB304" s="801"/>
      <c r="AC304" s="801"/>
      <c r="AD304" s="801">
        <v>62500</v>
      </c>
      <c r="AE304" s="801" t="s">
        <v>1009</v>
      </c>
      <c r="AF304" s="861">
        <v>14.05</v>
      </c>
      <c r="AG304" s="801" t="s">
        <v>1010</v>
      </c>
      <c r="AH304" s="801">
        <f>AD304*AF304/3.6/1000</f>
        <v>243.92361111111109</v>
      </c>
      <c r="AI304" s="801" t="s">
        <v>288</v>
      </c>
      <c r="AJ304" s="562">
        <f>W311</f>
        <v>23.833333333333332</v>
      </c>
      <c r="AK304" s="801" t="s">
        <v>410</v>
      </c>
      <c r="AL304" s="801">
        <f>AH304/AJ304*1000</f>
        <v>10234.557109557109</v>
      </c>
      <c r="AM304" s="801" t="s">
        <v>289</v>
      </c>
      <c r="AN304" s="687">
        <f>W86</f>
        <v>6325023</v>
      </c>
      <c r="AO304" s="801" t="s">
        <v>382</v>
      </c>
      <c r="AP304" s="801">
        <f>AL304/AN304%</f>
        <v>0.16181059119559105</v>
      </c>
      <c r="AQ304" s="801" t="s">
        <v>972</v>
      </c>
      <c r="AR304" s="801"/>
      <c r="AS304" s="801"/>
      <c r="AT304" s="801"/>
      <c r="AU304" s="801"/>
      <c r="AV304" s="801"/>
      <c r="AY304" s="592">
        <f ca="1">AY315+AY320+AY325</f>
        <v>0</v>
      </c>
      <c r="BA304" s="592">
        <f ca="1">BA315+BA320+BA325</f>
        <v>33</v>
      </c>
      <c r="BF304" s="473"/>
      <c r="BI304" s="472" t="s">
        <v>126</v>
      </c>
      <c r="BJ304" s="490"/>
      <c r="BN304" s="656"/>
      <c r="BO304" s="472" t="s">
        <v>259</v>
      </c>
      <c r="CU304" s="480" t="str">
        <f ca="1">CG$1&amp;IF(U304="",BF304,U304)</f>
        <v>- STATUS-Ansatz: Eine energetische Nutzung des anfallenden Getreidestrohs in relevantem Umfang findet in Deutschland bislang nicht statt. Einzig bekannte Nutzung ist das Biomasse-Heizkraftwerk Emsland mit einem jährlichen Stroheinsatz von 62.500 Tonnen [9.237]. Bei einem mittleren Heizwert von 14,05 MJ/kg (bei 86 % Trockenanteil) entspricht das einem Energieinhalt von 244 GWh/a. Bei einem Energieertrag von 23,8 MWh/ha/a [311] wird Getreidestroh von 10.235 ha Anbaufläche eingesetzt. Das sind 0,2 % der gesamten Getreideanbaufläche Deutschlands [86].</v>
      </c>
      <c r="CV304" s="656"/>
      <c r="CW304" s="480"/>
      <c r="DS304" s="656"/>
      <c r="DT304" s="518">
        <f>I_Basisdaten!A146</f>
        <v>146</v>
      </c>
      <c r="EJ304" s="472" t="str">
        <f ca="1">IF(X304=0,"",EJ$1&amp;X304)</f>
        <v>9.237</v>
      </c>
      <c r="EK304" s="472" t="str">
        <f ca="1">EK$1&amp;X304</f>
        <v>[D_Python.xlsx]9.Quellen!C237</v>
      </c>
      <c r="EV304" s="819">
        <f t="shared" ca="1" si="140"/>
        <v>304</v>
      </c>
      <c r="EW304" s="819"/>
    </row>
    <row r="305" spans="1:153" s="478" customFormat="1" ht="4">
      <c r="A305" s="677" t="str">
        <f t="shared" ca="1" si="137"/>
        <v>D.1.305</v>
      </c>
      <c r="B305" s="677" t="str">
        <f t="shared" ca="1" si="138"/>
        <v>1.305</v>
      </c>
      <c r="C305" s="677" t="str">
        <f t="shared" si="146"/>
        <v>[305]</v>
      </c>
      <c r="D305" s="677">
        <f>ROW()</f>
        <v>305</v>
      </c>
      <c r="E305" s="528"/>
      <c r="F305" s="528"/>
      <c r="G305" s="528"/>
      <c r="H305" s="528"/>
      <c r="I305" s="527"/>
      <c r="J305" s="527"/>
      <c r="K305" s="527"/>
      <c r="L305" s="527"/>
      <c r="M305" s="527"/>
      <c r="N305" s="528"/>
      <c r="O305" s="871">
        <v>305</v>
      </c>
      <c r="P305" s="566"/>
      <c r="Q305" s="567"/>
      <c r="R305" s="888"/>
      <c r="S305" s="802"/>
      <c r="T305" s="882"/>
      <c r="U305" s="661"/>
      <c r="V305" s="661"/>
      <c r="W305" s="661"/>
      <c r="X305" s="661"/>
      <c r="Y305" s="661"/>
      <c r="Z305" s="661"/>
      <c r="AA305" s="661"/>
      <c r="AB305" s="675"/>
      <c r="AC305" s="675"/>
      <c r="AD305" s="675"/>
      <c r="AE305" s="675"/>
      <c r="AF305" s="675"/>
      <c r="AG305" s="675"/>
      <c r="AH305" s="675"/>
      <c r="AI305" s="675"/>
      <c r="AJ305" s="675"/>
      <c r="AK305" s="675"/>
      <c r="AL305" s="675"/>
      <c r="AM305" s="675"/>
      <c r="AN305" s="675"/>
      <c r="AO305" s="675"/>
      <c r="AP305" s="675"/>
      <c r="AQ305" s="675"/>
      <c r="AR305" s="675"/>
      <c r="AS305" s="675"/>
      <c r="AT305" s="675"/>
      <c r="AU305" s="675"/>
      <c r="AV305" s="675"/>
      <c r="BI305" s="478" t="s">
        <v>126</v>
      </c>
      <c r="BJ305" s="489"/>
      <c r="BN305" s="661"/>
      <c r="CU305" s="479"/>
      <c r="CV305" s="661"/>
      <c r="CW305" s="479"/>
      <c r="DS305" s="661"/>
      <c r="EV305" s="818" t="str">
        <f t="shared" si="140"/>
        <v/>
      </c>
      <c r="EW305" s="818"/>
    </row>
    <row r="306" spans="1:153" s="472" customFormat="1">
      <c r="A306" s="654" t="str">
        <f t="shared" ca="1" si="137"/>
        <v>D.1.306</v>
      </c>
      <c r="B306" s="654" t="str">
        <f t="shared" ca="1" si="138"/>
        <v>1.306</v>
      </c>
      <c r="C306" s="654" t="str">
        <f t="shared" si="146"/>
        <v>[306]</v>
      </c>
      <c r="D306" s="654">
        <f>ROW()</f>
        <v>306</v>
      </c>
      <c r="E306" s="1125" t="str">
        <f t="shared" ref="E306" si="151">CU306</f>
        <v>- ZIEL-Ansatz: Mit 33 % wird dem Vorschlag des IFEU-Papiers [308] gefolgt.</v>
      </c>
      <c r="F306" s="1125"/>
      <c r="G306" s="1125"/>
      <c r="H306" s="1125"/>
      <c r="I306" s="1125"/>
      <c r="J306" s="1125"/>
      <c r="K306" s="1125"/>
      <c r="L306" s="1125"/>
      <c r="M306" s="1125"/>
      <c r="N306" s="1132"/>
      <c r="O306" s="869">
        <v>306</v>
      </c>
      <c r="P306" s="573" t="str">
        <f ca="1">HYPERLINK(EK306,EJ306)</f>
        <v/>
      </c>
      <c r="Q306" s="574" t="str">
        <f>Y306</f>
        <v xml:space="preserve"> </v>
      </c>
      <c r="R306" s="852"/>
      <c r="S306" s="784"/>
      <c r="T306" s="864"/>
      <c r="U306" s="1023" t="str">
        <f>"Mit "&amp;W308&amp;" % wird dem Vorschlag des IFEU-Papiers "&amp;C308&amp;" gefolgt."</f>
        <v>Mit 33 % wird dem Vorschlag des IFEU-Papiers [308] gefolgt.</v>
      </c>
      <c r="V306" s="808" t="s">
        <v>126</v>
      </c>
      <c r="W306" s="1024">
        <f>W308</f>
        <v>33</v>
      </c>
      <c r="X306" s="672"/>
      <c r="Y306" s="672" t="s">
        <v>126</v>
      </c>
      <c r="Z306" s="1025"/>
      <c r="AA306" s="905"/>
      <c r="AB306" s="801"/>
      <c r="AC306" s="801"/>
      <c r="AD306" s="801"/>
      <c r="AE306" s="801"/>
      <c r="AF306" s="801"/>
      <c r="AG306" s="801"/>
      <c r="AH306" s="801"/>
      <c r="AI306" s="801"/>
      <c r="AJ306" s="801"/>
      <c r="AK306" s="801"/>
      <c r="AL306" s="801"/>
      <c r="AM306" s="801"/>
      <c r="AN306" s="801"/>
      <c r="AO306" s="801"/>
      <c r="AP306" s="801"/>
      <c r="AQ306" s="801"/>
      <c r="AR306" s="801"/>
      <c r="AS306" s="801"/>
      <c r="AT306" s="801"/>
      <c r="AU306" s="801"/>
      <c r="AV306" s="801"/>
      <c r="AX306" s="472">
        <f ca="1">BA304</f>
        <v>33</v>
      </c>
      <c r="AY306" s="472" t="s">
        <v>387</v>
      </c>
      <c r="BF306" s="473"/>
      <c r="BI306" s="472" t="s">
        <v>126</v>
      </c>
      <c r="BJ306" s="490"/>
      <c r="BN306" s="656"/>
      <c r="BO306" s="472" t="s">
        <v>259</v>
      </c>
      <c r="CU306" s="480" t="str">
        <f>CH$1&amp;IF(U306="",BF306,U306)</f>
        <v>- ZIEL-Ansatz: Mit 33 % wird dem Vorschlag des IFEU-Papiers [308] gefolgt.</v>
      </c>
      <c r="CV306" s="656"/>
      <c r="CW306" s="480"/>
      <c r="DS306" s="656"/>
      <c r="DT306" s="518">
        <v>53</v>
      </c>
      <c r="EJ306" s="472" t="str">
        <f>IF(X306=0,"",EJ$1&amp;X306)</f>
        <v/>
      </c>
      <c r="EK306" s="472" t="str">
        <f ca="1">EK$1&amp;X306</f>
        <v>[D_Python.xlsx]9.Quellen!C</v>
      </c>
      <c r="EV306" s="819">
        <f t="shared" si="140"/>
        <v>306</v>
      </c>
      <c r="EW306" s="819"/>
    </row>
    <row r="307" spans="1:153" s="798" customFormat="1" ht="48" customHeight="1">
      <c r="A307" s="654" t="str">
        <f t="shared" ref="A307" ca="1" si="152">BT$1&amp;D307</f>
        <v>D.1.307</v>
      </c>
      <c r="B307" s="654" t="str">
        <f t="shared" ref="B307" ca="1" si="153">BW$1&amp;D307</f>
        <v>1.307</v>
      </c>
      <c r="C307" s="654" t="str">
        <f t="shared" ref="C307" si="154">CE$1&amp;D307&amp;CF$1</f>
        <v>[307]</v>
      </c>
      <c r="D307" s="654">
        <f>ROW()</f>
        <v>307</v>
      </c>
      <c r="E307" s="1139" t="str">
        <f ca="1">CU307</f>
        <v>Auf Hinweis aus dem Nds. Landwirtschaftsministerium [9.182] erscheint ausgehend von den Standortbedingungen in Niedersachsen ein energetisch nutzbares Strohpotenzial von 4.200 GWh/a  angemessen. Das sind rund 20% des gesamten Strohanfalls, resultierend aus 898.000 ha  Getreideanbaufläche [88] und 23,8 MWh/ha  Energieertrag [313].</v>
      </c>
      <c r="F307" s="1139"/>
      <c r="G307" s="1139"/>
      <c r="H307" s="1139"/>
      <c r="I307" s="1139"/>
      <c r="J307" s="1139"/>
      <c r="K307" s="1139"/>
      <c r="L307" s="1139"/>
      <c r="M307" s="1139"/>
      <c r="N307" s="1139"/>
      <c r="O307" s="873">
        <v>307</v>
      </c>
      <c r="P307" s="691" t="str">
        <f ca="1">HYPERLINK(EK307,EJ307)</f>
        <v>9.182</v>
      </c>
      <c r="Q307" s="692" t="str">
        <f>Y307</f>
        <v xml:space="preserve"> </v>
      </c>
      <c r="R307" s="852"/>
      <c r="S307" s="784"/>
      <c r="T307" s="864"/>
      <c r="U307" s="1033" t="str">
        <f ca="1">"Auf Hinweis aus dem Nds. Landwirtschaftsministerium ["&amp;P307&amp;"] erscheint ausgehend von den Standortbedingungen in Niedersachsen ein energetisch nutzbares Strohpotenzial von "&amp;TEXT(AD307,"0.000")&amp;AE307&amp;" angemessen. Das sind rund "&amp;W307&amp;AM307&amp;" des gesamten Strohanfalls, resultierend aus "&amp;TEXT(AF307,"0.000")&amp;AG307&amp;" Getreideanbaufläche "&amp;C88&amp;" und "&amp;TEXT(AH307,"0,0")&amp;AI307&amp;" Energieertrag "&amp;C313&amp;"."</f>
        <v>Auf Hinweis aus dem Nds. Landwirtschaftsministerium [9.182] erscheint ausgehend von den Standortbedingungen in Niedersachsen ein energetisch nutzbares Strohpotenzial von 4.200 GWh/a  angemessen. Das sind rund 20% des gesamten Strohanfalls, resultierend aus 898.000 ha  Getreideanbaufläche [88] und 23,8 MWh/ha  Energieertrag [313].</v>
      </c>
      <c r="V307" s="808"/>
      <c r="W307" s="1024">
        <f>ROUND(AL307,0)</f>
        <v>20</v>
      </c>
      <c r="X307" s="825">
        <f>'9.Quellen'!C182</f>
        <v>182</v>
      </c>
      <c r="Y307" s="526" t="s">
        <v>126</v>
      </c>
      <c r="Z307" s="1025"/>
      <c r="AA307" s="905"/>
      <c r="AB307" s="801"/>
      <c r="AC307" s="801"/>
      <c r="AD307" s="801">
        <v>4200</v>
      </c>
      <c r="AE307" s="801" t="s">
        <v>385</v>
      </c>
      <c r="AF307" s="687">
        <v>898000</v>
      </c>
      <c r="AG307" s="801" t="s">
        <v>382</v>
      </c>
      <c r="AH307" s="562">
        <f>W311</f>
        <v>23.833333333333332</v>
      </c>
      <c r="AI307" s="801" t="s">
        <v>889</v>
      </c>
      <c r="AJ307" s="801">
        <f>AH307*AF307/1000</f>
        <v>21402.333333333332</v>
      </c>
      <c r="AK307" s="801" t="s">
        <v>288</v>
      </c>
      <c r="AL307" s="801">
        <f>AD307/AJ307%</f>
        <v>19.624028532714505</v>
      </c>
      <c r="AM307" s="801" t="s">
        <v>38</v>
      </c>
      <c r="AN307" s="801"/>
      <c r="AO307" s="801"/>
      <c r="AP307" s="801"/>
      <c r="AQ307" s="801"/>
      <c r="AR307" s="801"/>
      <c r="AS307" s="801"/>
      <c r="AT307" s="801"/>
      <c r="AU307" s="801"/>
      <c r="AV307" s="801"/>
      <c r="BF307" s="657"/>
      <c r="BI307" s="798" t="s">
        <v>126</v>
      </c>
      <c r="BJ307" s="666"/>
      <c r="BO307" s="798" t="s">
        <v>252</v>
      </c>
      <c r="CU307" s="663" t="str">
        <f ca="1">IF(U307="",BF307,U307)</f>
        <v>Auf Hinweis aus dem Nds. Landwirtschaftsministerium [9.182] erscheint ausgehend von den Standortbedingungen in Niedersachsen ein energetisch nutzbares Strohpotenzial von 4.200 GWh/a  angemessen. Das sind rund 20% des gesamten Strohanfalls, resultierend aus 898.000 ha  Getreideanbaufläche [88] und 23,8 MWh/ha  Energieertrag [313].</v>
      </c>
      <c r="CW307" s="663"/>
      <c r="DT307" s="671"/>
      <c r="EJ307" s="798" t="str">
        <f ca="1">IF(X307=0,"",EJ$1&amp;X307)</f>
        <v>9.182</v>
      </c>
      <c r="EK307" s="798" t="str">
        <f ca="1">EK$1&amp;X307</f>
        <v>[D_Python.xlsx]9.Quellen!C182</v>
      </c>
      <c r="EV307" s="819">
        <f t="shared" ref="EV307" ca="1" si="155">IF(U307&amp;BP307="","",D307)</f>
        <v>307</v>
      </c>
      <c r="EW307" s="819"/>
    </row>
    <row r="308" spans="1:153" s="472" customFormat="1" ht="39">
      <c r="A308" s="654" t="str">
        <f t="shared" ca="1" si="137"/>
        <v>D.1.308</v>
      </c>
      <c r="B308" s="654" t="str">
        <f t="shared" ca="1" si="138"/>
        <v>1.308</v>
      </c>
      <c r="C308" s="654" t="str">
        <f t="shared" si="146"/>
        <v>[308]</v>
      </c>
      <c r="D308" s="654">
        <f>ROW()</f>
        <v>308</v>
      </c>
      <c r="E308" s="1125" t="str">
        <f ca="1">CU308</f>
        <v>In einem Positionspapier des IFEU [9.132] mit einer vergleichenden Bewertung von sieben verschiedenen Studien wird vorgeschlagen (S. 3), künftig maximal ein Drittel des anfallenden Getreidestrohs energetisch zu nutzen, um die Humusbilanz der Äcker auch langerfristig nicht zu beeinträchtigen.</v>
      </c>
      <c r="F308" s="1125"/>
      <c r="G308" s="1125"/>
      <c r="H308" s="1125"/>
      <c r="I308" s="1125"/>
      <c r="J308" s="1125"/>
      <c r="K308" s="1125"/>
      <c r="L308" s="1125"/>
      <c r="M308" s="1125"/>
      <c r="N308" s="1125"/>
      <c r="O308" s="869">
        <v>308</v>
      </c>
      <c r="P308" s="573" t="str">
        <f ca="1">HYPERLINK(EK308,EJ308)</f>
        <v>9.132</v>
      </c>
      <c r="Q308" s="574" t="str">
        <f>Y308</f>
        <v>S. 3</v>
      </c>
      <c r="R308" s="852"/>
      <c r="S308" s="784"/>
      <c r="T308" s="864"/>
      <c r="U308" s="1033" t="str">
        <f ca="1">"In einem Positionspapier des "&amp;'9.Quellen'!E132&amp;" ["&amp;P308&amp;"] mit einer vergleichenden Bewertung von sieben verschiedenen Studien wird vorgeschlagen ("&amp;Q308&amp;"), künftig maximal ein Drittel des anfallenden Getreidestrohs energetisch zu nutzen, um die Humusbilanz der Äcker auch langerfristig nicht zu beeinträchtigen."</f>
        <v>In einem Positionspapier des IFEU [9.132] mit einer vergleichenden Bewertung von sieben verschiedenen Studien wird vorgeschlagen (S. 3), künftig maximal ein Drittel des anfallenden Getreidestrohs energetisch zu nutzen, um die Humusbilanz der Äcker auch langerfristig nicht zu beeinträchtigen.</v>
      </c>
      <c r="V308" s="808" t="s">
        <v>126</v>
      </c>
      <c r="W308" s="1024">
        <v>33</v>
      </c>
      <c r="X308" s="825">
        <f>'9.Quellen'!C132</f>
        <v>132</v>
      </c>
      <c r="Y308" s="825" t="s">
        <v>337</v>
      </c>
      <c r="Z308" s="1025"/>
      <c r="AA308" s="905"/>
      <c r="AB308" s="801"/>
      <c r="AC308" s="801"/>
      <c r="AD308" s="801"/>
      <c r="AE308" s="801"/>
      <c r="AF308" s="801"/>
      <c r="AG308" s="801"/>
      <c r="AH308" s="801"/>
      <c r="AI308" s="801"/>
      <c r="AJ308" s="801"/>
      <c r="AK308" s="801"/>
      <c r="AL308" s="801"/>
      <c r="AM308" s="801"/>
      <c r="AN308" s="801"/>
      <c r="AO308" s="801"/>
      <c r="AP308" s="801"/>
      <c r="AQ308" s="801"/>
      <c r="AR308" s="801"/>
      <c r="AS308" s="801"/>
      <c r="AT308" s="801"/>
      <c r="AU308" s="801"/>
      <c r="AV308" s="801"/>
      <c r="BF308" s="473"/>
      <c r="BI308" s="472" t="s">
        <v>126</v>
      </c>
      <c r="BJ308" s="490"/>
      <c r="BN308" s="656"/>
      <c r="BO308" s="472" t="s">
        <v>252</v>
      </c>
      <c r="CU308" s="480" t="str">
        <f ca="1">IF(U308="",BF308,U308)</f>
        <v>In einem Positionspapier des IFEU [9.132] mit einer vergleichenden Bewertung von sieben verschiedenen Studien wird vorgeschlagen (S. 3), künftig maximal ein Drittel des anfallenden Getreidestrohs energetisch zu nutzen, um die Humusbilanz der Äcker auch langerfristig nicht zu beeinträchtigen.</v>
      </c>
      <c r="CV308" s="656"/>
      <c r="CW308" s="480"/>
      <c r="DS308" s="656"/>
      <c r="DT308" s="518"/>
      <c r="EJ308" s="472" t="str">
        <f ca="1">IF(X308=0,"",EJ$1&amp;X308)</f>
        <v>9.132</v>
      </c>
      <c r="EK308" s="472" t="str">
        <f ca="1">EK$1&amp;X308</f>
        <v>[D_Python.xlsx]9.Quellen!C132</v>
      </c>
      <c r="EV308" s="819">
        <f t="shared" ca="1" si="140"/>
        <v>308</v>
      </c>
      <c r="EW308" s="819"/>
    </row>
    <row r="309" spans="1:153" s="478" customFormat="1" ht="4">
      <c r="A309" s="677" t="str">
        <f t="shared" ca="1" si="137"/>
        <v>D.1.309</v>
      </c>
      <c r="B309" s="677" t="str">
        <f t="shared" ca="1" si="138"/>
        <v>1.309</v>
      </c>
      <c r="C309" s="677" t="str">
        <f t="shared" si="146"/>
        <v>[309]</v>
      </c>
      <c r="D309" s="677">
        <f>ROW()</f>
        <v>309</v>
      </c>
      <c r="E309" s="548"/>
      <c r="F309" s="548"/>
      <c r="G309" s="548"/>
      <c r="H309" s="548"/>
      <c r="I309" s="549"/>
      <c r="J309" s="549"/>
      <c r="K309" s="549"/>
      <c r="L309" s="549"/>
      <c r="M309" s="549"/>
      <c r="N309" s="548"/>
      <c r="O309" s="871">
        <v>309</v>
      </c>
      <c r="P309" s="575"/>
      <c r="Q309" s="576"/>
      <c r="R309" s="888"/>
      <c r="S309" s="802"/>
      <c r="T309" s="882"/>
      <c r="U309" s="661"/>
      <c r="V309" s="661"/>
      <c r="W309" s="661"/>
      <c r="X309" s="661"/>
      <c r="Y309" s="661"/>
      <c r="Z309" s="661"/>
      <c r="AA309" s="661"/>
      <c r="AB309" s="675"/>
      <c r="AC309" s="675"/>
      <c r="AD309" s="675"/>
      <c r="AE309" s="675"/>
      <c r="AF309" s="675"/>
      <c r="AG309" s="675"/>
      <c r="AH309" s="675"/>
      <c r="AI309" s="675"/>
      <c r="AJ309" s="675"/>
      <c r="AK309" s="675"/>
      <c r="AL309" s="675"/>
      <c r="AM309" s="675"/>
      <c r="AN309" s="675"/>
      <c r="AO309" s="675"/>
      <c r="AP309" s="675"/>
      <c r="AQ309" s="675"/>
      <c r="AR309" s="675"/>
      <c r="AS309" s="675"/>
      <c r="AT309" s="675"/>
      <c r="AU309" s="675"/>
      <c r="AV309" s="675"/>
      <c r="AZ309" s="505"/>
      <c r="BB309" s="505"/>
      <c r="BI309" s="478" t="s">
        <v>126</v>
      </c>
      <c r="BJ309" s="489"/>
      <c r="BN309" s="661"/>
      <c r="CU309" s="479"/>
      <c r="CV309" s="661"/>
      <c r="CW309" s="479"/>
      <c r="DS309" s="661"/>
      <c r="EV309" s="818" t="str">
        <f t="shared" si="140"/>
        <v/>
      </c>
      <c r="EW309" s="818"/>
    </row>
    <row r="310" spans="1:153" s="475" customFormat="1" ht="13.5" customHeight="1">
      <c r="A310" s="654" t="str">
        <f t="shared" ca="1" si="137"/>
        <v>D.1.310</v>
      </c>
      <c r="B310" s="654" t="str">
        <f t="shared" ca="1" si="138"/>
        <v>1.310</v>
      </c>
      <c r="C310" s="654" t="str">
        <f t="shared" si="146"/>
        <v>[310]</v>
      </c>
      <c r="D310" s="654">
        <f>ROW()</f>
        <v>310</v>
      </c>
      <c r="E310" s="1129" t="str">
        <f>BP310</f>
        <v xml:space="preserve">Getreidestroh - Energieertrag </v>
      </c>
      <c r="F310" s="1129"/>
      <c r="G310" s="1129"/>
      <c r="H310" s="1129"/>
      <c r="I310" s="1129"/>
      <c r="J310" s="559" t="s">
        <v>280</v>
      </c>
      <c r="K310" s="557">
        <f ca="1">INDIRECT($W$1&amp;U310)</f>
        <v>23.833333333333332</v>
      </c>
      <c r="L310" s="485" t="str">
        <f ca="1">HYPERLINK($CK$1&amp;U310,$CE$1&amp;U310&amp;$CF$1)</f>
        <v>[311]</v>
      </c>
      <c r="M310" s="558">
        <f ca="1">INDIRECT($W$1&amp;W310)</f>
        <v>23.833333333333332</v>
      </c>
      <c r="N310" s="533" t="str">
        <f ca="1">HYPERLINK($CK$1&amp;W310,$CE$1&amp;W310&amp;$CF$1)</f>
        <v>[313]</v>
      </c>
      <c r="O310" s="869">
        <v>310</v>
      </c>
      <c r="P310" s="570"/>
      <c r="Q310" s="583"/>
      <c r="R310" s="852"/>
      <c r="S310" s="784"/>
      <c r="T310" s="864"/>
      <c r="U310" s="672">
        <f>D311</f>
        <v>311</v>
      </c>
      <c r="V310" s="905" t="s">
        <v>126</v>
      </c>
      <c r="W310" s="672">
        <f>D313</f>
        <v>313</v>
      </c>
      <c r="X310" s="658"/>
      <c r="Y310" s="658"/>
      <c r="Z310" s="658"/>
      <c r="AA310" s="658"/>
      <c r="AB310" s="801"/>
      <c r="AC310" s="801"/>
      <c r="AD310" s="674"/>
      <c r="AE310" s="674"/>
      <c r="AF310" s="674"/>
      <c r="AG310" s="674"/>
      <c r="AH310" s="674"/>
      <c r="AI310" s="674"/>
      <c r="AJ310" s="674"/>
      <c r="AK310" s="674"/>
      <c r="AL310" s="674"/>
      <c r="AM310" s="674"/>
      <c r="AN310" s="674"/>
      <c r="AO310" s="674"/>
      <c r="AP310" s="674"/>
      <c r="AQ310" s="674"/>
      <c r="AR310" s="674"/>
      <c r="AS310" s="674"/>
      <c r="AT310" s="674"/>
      <c r="AU310" s="674"/>
      <c r="AV310" s="674"/>
      <c r="AX310" s="475" t="s">
        <v>244</v>
      </c>
      <c r="AY310" s="500">
        <f ca="1">DA310</f>
        <v>20.168253587558315</v>
      </c>
      <c r="AZ310" s="508" t="str">
        <f ca="1">HYPERLINK(DN310,DC310)</f>
        <v xml:space="preserve"> 270</v>
      </c>
      <c r="BA310" s="500">
        <f ca="1">DB310</f>
        <v>20.168253587558315</v>
      </c>
      <c r="BB310" s="508" t="str">
        <f ca="1">HYPERLINK(DO310,DD310)</f>
        <v xml:space="preserve"> 271</v>
      </c>
      <c r="BC310" s="475" t="str">
        <f ca="1">CY310&amp;" | "&amp;CZ310</f>
        <v>Wärme | 1.2 Energieertrag Stroh-Ofen Heizung netto</v>
      </c>
      <c r="BI310" s="475" t="s">
        <v>126</v>
      </c>
      <c r="BJ310" s="492" t="str">
        <f>E310</f>
        <v xml:space="preserve">Getreidestroh - Energieertrag </v>
      </c>
      <c r="BK310" s="486">
        <f ca="1">K310</f>
        <v>23.833333333333332</v>
      </c>
      <c r="BL310" s="486">
        <f ca="1">M310</f>
        <v>23.833333333333332</v>
      </c>
      <c r="BM310" s="472">
        <f>D310</f>
        <v>310</v>
      </c>
      <c r="BN310" s="658"/>
      <c r="BO310" s="475" t="s">
        <v>251</v>
      </c>
      <c r="BP310" s="521" t="s">
        <v>397</v>
      </c>
      <c r="CU310" s="476"/>
      <c r="CV310" s="658"/>
      <c r="CW310" s="518">
        <v>66</v>
      </c>
      <c r="CY310" s="472" t="str">
        <f t="shared" ref="CY310:DO310" ca="1" si="156">INDIRECT($CX$1&amp;CY$1&amp;$CW310)</f>
        <v>Wärme</v>
      </c>
      <c r="CZ310" s="472" t="str">
        <f t="shared" ca="1" si="156"/>
        <v>1.2 Energieertrag Stroh-Ofen Heizung netto</v>
      </c>
      <c r="DA310" s="472">
        <f t="shared" ca="1" si="156"/>
        <v>20.168253587558315</v>
      </c>
      <c r="DB310" s="472">
        <f t="shared" ca="1" si="156"/>
        <v>20.168253587558315</v>
      </c>
      <c r="DC310" s="472" t="str">
        <f t="shared" ca="1" si="156"/>
        <v xml:space="preserve"> 270</v>
      </c>
      <c r="DD310" s="472" t="str">
        <f t="shared" ca="1" si="156"/>
        <v xml:space="preserve"> 271</v>
      </c>
      <c r="DE310" s="472" t="str">
        <f t="shared" ca="1" si="156"/>
        <v>SR50</v>
      </c>
      <c r="DF310" s="472" t="str">
        <f t="shared" ca="1" si="156"/>
        <v>SR50</v>
      </c>
      <c r="DG310" s="472" t="str">
        <f t="shared" ca="1" si="156"/>
        <v>SR</v>
      </c>
      <c r="DH310" s="472" t="str">
        <f t="shared" ca="1" si="156"/>
        <v>50</v>
      </c>
      <c r="DI310" s="472" t="str">
        <f t="shared" ca="1" si="156"/>
        <v>[SR.xls]TEXT!Z50S5</v>
      </c>
      <c r="DJ310" s="472" t="str">
        <f t="shared" ca="1" si="156"/>
        <v>SR</v>
      </c>
      <c r="DK310" s="472" t="str">
        <f t="shared" ca="1" si="156"/>
        <v>50</v>
      </c>
      <c r="DL310" s="472" t="str">
        <f t="shared" ca="1" si="156"/>
        <v>[SR.xls]TEXT!Z50S5</v>
      </c>
      <c r="DM310" s="472">
        <f t="shared" ca="1" si="156"/>
        <v>66</v>
      </c>
      <c r="DN310" s="472" t="str">
        <f t="shared" ca="1" si="156"/>
        <v>[Region.xls]PARAMETER!Z270S6</v>
      </c>
      <c r="DO310" s="472" t="str">
        <f t="shared" ca="1" si="156"/>
        <v>[Region.xls]PARAMETER!Z271S6</v>
      </c>
      <c r="DP310" s="472"/>
      <c r="DS310" s="656"/>
      <c r="DV310" s="472"/>
      <c r="DW310" s="472"/>
      <c r="DX310" s="472"/>
      <c r="DY310" s="472"/>
      <c r="DZ310" s="472"/>
      <c r="EA310" s="472"/>
      <c r="EB310" s="472"/>
      <c r="EC310" s="472"/>
      <c r="ED310" s="472"/>
      <c r="EE310" s="472"/>
      <c r="EF310" s="472"/>
      <c r="EG310" s="472"/>
      <c r="EH310" s="472"/>
      <c r="EI310" s="472"/>
      <c r="EJ310" s="472"/>
      <c r="EK310" s="472"/>
      <c r="EV310" s="819">
        <f t="shared" si="140"/>
        <v>310</v>
      </c>
      <c r="EW310" s="819"/>
    </row>
    <row r="311" spans="1:153" s="472" customFormat="1" ht="26">
      <c r="A311" s="654" t="str">
        <f t="shared" ca="1" si="137"/>
        <v>D.1.311</v>
      </c>
      <c r="B311" s="654" t="str">
        <f t="shared" ca="1" si="138"/>
        <v>1.311</v>
      </c>
      <c r="C311" s="654" t="str">
        <f t="shared" si="146"/>
        <v>[311]</v>
      </c>
      <c r="D311" s="654">
        <f>ROW()</f>
        <v>311</v>
      </c>
      <c r="E311" s="1130" t="str">
        <f ca="1">CU311</f>
        <v>- STATUS-Ansatz: 23,8 GWh/ha/a gemäß FNR[9.102], S. 16: Der Bruttojahresbrennstoffertrag von Getreidestroh ist dort mit 85,8 GJ/ha/a angegeben.</v>
      </c>
      <c r="F311" s="1130"/>
      <c r="G311" s="1130"/>
      <c r="H311" s="1130"/>
      <c r="I311" s="1130"/>
      <c r="J311" s="1130"/>
      <c r="K311" s="1130"/>
      <c r="L311" s="1130"/>
      <c r="M311" s="1130"/>
      <c r="N311" s="1131"/>
      <c r="O311" s="869">
        <v>311</v>
      </c>
      <c r="P311" s="573" t="str">
        <f ca="1">HYPERLINK(EK311,EJ311)</f>
        <v>9.102</v>
      </c>
      <c r="Q311" s="574" t="str">
        <f>Y311</f>
        <v>S. 16</v>
      </c>
      <c r="R311" s="852"/>
      <c r="S311" s="784"/>
      <c r="T311" s="864"/>
      <c r="U311" s="1023" t="str">
        <f ca="1">TEXT(W311,"0,0")&amp;" GWh/ha/a gemäß "&amp;'9.Quellen'!E99&amp;"["&amp;P311&amp;"], "&amp;Y311&amp;": Der Bruttojahresbrennstoffertrag von Getreidestroh ist dort mit "&amp;AD311&amp;AE311&amp;" angegeben."</f>
        <v>23,8 GWh/ha/a gemäß FNR[9.102], S. 16: Der Bruttojahresbrennstoffertrag von Getreidestroh ist dort mit 85,8 GJ/ha/a angegeben.</v>
      </c>
      <c r="V311" s="905" t="s">
        <v>126</v>
      </c>
      <c r="W311" s="1034">
        <f>AF311</f>
        <v>23.833333333333332</v>
      </c>
      <c r="X311" s="672">
        <f>'9.Quellen'!C102</f>
        <v>102</v>
      </c>
      <c r="Y311" s="672" t="s">
        <v>418</v>
      </c>
      <c r="Z311" s="1025"/>
      <c r="AA311" s="658"/>
      <c r="AB311" s="801"/>
      <c r="AC311" s="801"/>
      <c r="AD311" s="801">
        <v>85.8</v>
      </c>
      <c r="AE311" s="801" t="s">
        <v>423</v>
      </c>
      <c r="AF311" s="801">
        <f>AD311/3.6</f>
        <v>23.833333333333332</v>
      </c>
      <c r="AG311" s="801" t="s">
        <v>410</v>
      </c>
      <c r="AH311" s="801"/>
      <c r="AI311" s="801"/>
      <c r="AJ311" s="801"/>
      <c r="AK311" s="801"/>
      <c r="AL311" s="801"/>
      <c r="AM311" s="801"/>
      <c r="AN311" s="801"/>
      <c r="AO311" s="801"/>
      <c r="AP311" s="801"/>
      <c r="AQ311" s="801"/>
      <c r="AR311" s="801"/>
      <c r="AS311" s="801"/>
      <c r="AT311" s="801"/>
      <c r="AU311" s="801"/>
      <c r="AV311" s="801"/>
      <c r="BF311" s="473"/>
      <c r="BI311" s="472" t="s">
        <v>126</v>
      </c>
      <c r="BJ311" s="490"/>
      <c r="BN311" s="656"/>
      <c r="BO311" s="472" t="s">
        <v>259</v>
      </c>
      <c r="CU311" s="480" t="str">
        <f ca="1">CG$1&amp;IF(U311="",BF311,U311)</f>
        <v>- STATUS-Ansatz: 23,8 GWh/ha/a gemäß FNR[9.102], S. 16: Der Bruttojahresbrennstoffertrag von Getreidestroh ist dort mit 85,8 GJ/ha/a angegeben.</v>
      </c>
      <c r="CV311" s="656"/>
      <c r="CW311" s="480"/>
      <c r="DS311" s="656"/>
      <c r="DT311" s="518">
        <f>I_Basisdaten!A155</f>
        <v>155</v>
      </c>
      <c r="EJ311" s="472" t="str">
        <f ca="1">IF(X311=0,"",EJ$1&amp;X311)</f>
        <v>9.102</v>
      </c>
      <c r="EK311" s="472" t="str">
        <f ca="1">EK$1&amp;X311</f>
        <v>[D_Python.xlsx]9.Quellen!C102</v>
      </c>
      <c r="EV311" s="819">
        <f t="shared" ca="1" si="140"/>
        <v>311</v>
      </c>
      <c r="EW311" s="819"/>
    </row>
    <row r="312" spans="1:153" s="478" customFormat="1" ht="4">
      <c r="A312" s="677" t="str">
        <f t="shared" ca="1" si="137"/>
        <v>D.1.312</v>
      </c>
      <c r="B312" s="677" t="str">
        <f t="shared" ca="1" si="138"/>
        <v>1.312</v>
      </c>
      <c r="C312" s="677" t="str">
        <f t="shared" si="146"/>
        <v>[312]</v>
      </c>
      <c r="D312" s="677">
        <f>ROW()</f>
        <v>312</v>
      </c>
      <c r="E312" s="528"/>
      <c r="F312" s="528"/>
      <c r="G312" s="528"/>
      <c r="H312" s="528"/>
      <c r="I312" s="527"/>
      <c r="J312" s="527"/>
      <c r="K312" s="527"/>
      <c r="L312" s="527"/>
      <c r="M312" s="527"/>
      <c r="N312" s="528"/>
      <c r="O312" s="871">
        <v>312</v>
      </c>
      <c r="P312" s="566"/>
      <c r="Q312" s="567"/>
      <c r="R312" s="888"/>
      <c r="S312" s="802"/>
      <c r="T312" s="882"/>
      <c r="U312" s="661"/>
      <c r="V312" s="661"/>
      <c r="W312" s="661"/>
      <c r="X312" s="661"/>
      <c r="Y312" s="661"/>
      <c r="Z312" s="661"/>
      <c r="AA312" s="661"/>
      <c r="AB312" s="675"/>
      <c r="AC312" s="675"/>
      <c r="AD312" s="675"/>
      <c r="AE312" s="675"/>
      <c r="AF312" s="675"/>
      <c r="AG312" s="675"/>
      <c r="AH312" s="675"/>
      <c r="AI312" s="675"/>
      <c r="AJ312" s="675"/>
      <c r="AK312" s="675"/>
      <c r="AL312" s="675"/>
      <c r="AM312" s="675"/>
      <c r="AN312" s="675"/>
      <c r="AO312" s="675"/>
      <c r="AP312" s="675"/>
      <c r="AQ312" s="675"/>
      <c r="AR312" s="675"/>
      <c r="AS312" s="675"/>
      <c r="AT312" s="675"/>
      <c r="AU312" s="675"/>
      <c r="AV312" s="675"/>
      <c r="BI312" s="478" t="s">
        <v>126</v>
      </c>
      <c r="BJ312" s="489"/>
      <c r="BN312" s="661"/>
      <c r="CU312" s="479"/>
      <c r="CV312" s="661"/>
      <c r="CW312" s="479"/>
      <c r="DS312" s="661"/>
      <c r="EV312" s="818" t="str">
        <f t="shared" si="140"/>
        <v/>
      </c>
      <c r="EW312" s="818"/>
    </row>
    <row r="313" spans="1:153" s="472" customFormat="1" ht="26">
      <c r="A313" s="654" t="str">
        <f t="shared" ca="1" si="137"/>
        <v>D.1.313</v>
      </c>
      <c r="B313" s="654" t="str">
        <f t="shared" ca="1" si="138"/>
        <v>1.313</v>
      </c>
      <c r="C313" s="654" t="str">
        <f t="shared" si="146"/>
        <v>[313]</v>
      </c>
      <c r="D313" s="654">
        <f>ROW()</f>
        <v>313</v>
      </c>
      <c r="E313" s="1125" t="str">
        <f t="shared" ref="E313" si="157">CU313</f>
        <v>- ZIEL-Ansatz: Der Status-Ansatz wird übernommen, eventuelle Einflüsse auf die Wachstumsbedingungen, beispielsweise durch die Klimaveränderung, sind aus heutiger Sicht nicht hinreichend einschätzbar.</v>
      </c>
      <c r="F313" s="1125"/>
      <c r="G313" s="1125"/>
      <c r="H313" s="1125"/>
      <c r="I313" s="1125"/>
      <c r="J313" s="1125"/>
      <c r="K313" s="1125"/>
      <c r="L313" s="1125"/>
      <c r="M313" s="1125"/>
      <c r="N313" s="1132"/>
      <c r="O313" s="869">
        <v>313</v>
      </c>
      <c r="P313" s="573" t="str">
        <f ca="1">HYPERLINK(EK313,EJ313)</f>
        <v/>
      </c>
      <c r="Q313" s="574" t="str">
        <f>Y313</f>
        <v xml:space="preserve"> </v>
      </c>
      <c r="R313" s="852"/>
      <c r="S313" s="784"/>
      <c r="T313" s="864"/>
      <c r="U313" s="1023" t="str">
        <f>"Der Status-Ansatz wird übernommen, eventuelle Einflüsse auf die Wachstumsbedingungen, beispielsweise durch die Klimaveränderung, sind aus heutiger Sicht nicht hinreichend einschätzbar."</f>
        <v>Der Status-Ansatz wird übernommen, eventuelle Einflüsse auf die Wachstumsbedingungen, beispielsweise durch die Klimaveränderung, sind aus heutiger Sicht nicht hinreichend einschätzbar.</v>
      </c>
      <c r="V313" s="905" t="s">
        <v>126</v>
      </c>
      <c r="W313" s="1034">
        <f>W311</f>
        <v>23.833333333333332</v>
      </c>
      <c r="X313" s="672"/>
      <c r="Y313" s="672" t="s">
        <v>126</v>
      </c>
      <c r="Z313" s="1025"/>
      <c r="AA313" s="905"/>
      <c r="AB313" s="801"/>
      <c r="AC313" s="801"/>
      <c r="AD313" s="801">
        <f ca="1">BA310</f>
        <v>20.168253587558315</v>
      </c>
      <c r="AE313" s="801" t="s">
        <v>387</v>
      </c>
      <c r="AF313" s="801"/>
      <c r="AG313" s="801"/>
      <c r="AH313" s="801"/>
      <c r="AI313" s="801"/>
      <c r="AJ313" s="801"/>
      <c r="AK313" s="801"/>
      <c r="AL313" s="801"/>
      <c r="AM313" s="801"/>
      <c r="AN313" s="801"/>
      <c r="AO313" s="801"/>
      <c r="AP313" s="801"/>
      <c r="AQ313" s="801"/>
      <c r="AR313" s="801"/>
      <c r="AS313" s="801"/>
      <c r="AT313" s="801"/>
      <c r="AU313" s="801"/>
      <c r="AV313" s="801"/>
      <c r="BF313" s="473"/>
      <c r="BI313" s="472" t="s">
        <v>126</v>
      </c>
      <c r="BJ313" s="490"/>
      <c r="BN313" s="656"/>
      <c r="BO313" s="472" t="s">
        <v>259</v>
      </c>
      <c r="CU313" s="480" t="str">
        <f>CH$1&amp;IF(U313="",BF313,U313)</f>
        <v>- ZIEL-Ansatz: Der Status-Ansatz wird übernommen, eventuelle Einflüsse auf die Wachstumsbedingungen, beispielsweise durch die Klimaveränderung, sind aus heutiger Sicht nicht hinreichend einschätzbar.</v>
      </c>
      <c r="CV313" s="656"/>
      <c r="CW313" s="480"/>
      <c r="DS313" s="656"/>
      <c r="DT313" s="518">
        <v>53</v>
      </c>
      <c r="EJ313" s="472" t="str">
        <f>IF(X313=0,"",EJ$1&amp;X313)</f>
        <v/>
      </c>
      <c r="EK313" s="472" t="str">
        <f ca="1">EK$1&amp;X313</f>
        <v>[D_Python.xlsx]9.Quellen!C</v>
      </c>
      <c r="EV313" s="819">
        <f t="shared" si="140"/>
        <v>313</v>
      </c>
      <c r="EW313" s="819"/>
    </row>
    <row r="314" spans="1:153" s="478" customFormat="1" ht="4">
      <c r="A314" s="677" t="str">
        <f t="shared" ca="1" si="137"/>
        <v>D.1.314</v>
      </c>
      <c r="B314" s="677" t="str">
        <f t="shared" ca="1" si="138"/>
        <v>1.314</v>
      </c>
      <c r="C314" s="677" t="str">
        <f t="shared" si="146"/>
        <v>[314]</v>
      </c>
      <c r="D314" s="677">
        <f>ROW()</f>
        <v>314</v>
      </c>
      <c r="E314" s="548"/>
      <c r="F314" s="548"/>
      <c r="G314" s="548"/>
      <c r="H314" s="548"/>
      <c r="I314" s="549"/>
      <c r="J314" s="549"/>
      <c r="K314" s="549"/>
      <c r="L314" s="549"/>
      <c r="M314" s="549"/>
      <c r="N314" s="548"/>
      <c r="O314" s="871">
        <v>314</v>
      </c>
      <c r="P314" s="575"/>
      <c r="Q314" s="576"/>
      <c r="R314" s="888"/>
      <c r="S314" s="802"/>
      <c r="T314" s="882"/>
      <c r="U314" s="661"/>
      <c r="V314" s="661"/>
      <c r="W314" s="661"/>
      <c r="X314" s="661"/>
      <c r="Y314" s="661"/>
      <c r="Z314" s="661"/>
      <c r="AA314" s="661"/>
      <c r="AB314" s="675"/>
      <c r="AC314" s="675"/>
      <c r="AD314" s="675"/>
      <c r="AE314" s="675"/>
      <c r="AF314" s="675"/>
      <c r="AG314" s="675"/>
      <c r="AH314" s="675"/>
      <c r="AI314" s="675"/>
      <c r="AJ314" s="675"/>
      <c r="AK314" s="675"/>
      <c r="AL314" s="675"/>
      <c r="AM314" s="675"/>
      <c r="AN314" s="675"/>
      <c r="AO314" s="675"/>
      <c r="AP314" s="675"/>
      <c r="AQ314" s="675"/>
      <c r="AR314" s="675"/>
      <c r="AS314" s="675"/>
      <c r="AT314" s="675"/>
      <c r="AU314" s="675"/>
      <c r="AV314" s="675"/>
      <c r="AZ314" s="505"/>
      <c r="BB314" s="505"/>
      <c r="BI314" s="478" t="s">
        <v>126</v>
      </c>
      <c r="BJ314" s="489"/>
      <c r="BN314" s="661"/>
      <c r="CU314" s="479"/>
      <c r="CV314" s="661"/>
      <c r="CW314" s="479"/>
      <c r="DS314" s="661"/>
      <c r="EV314" s="818" t="str">
        <f t="shared" si="140"/>
        <v/>
      </c>
      <c r="EW314" s="818"/>
    </row>
    <row r="315" spans="1:153" s="475" customFormat="1" ht="13.5" customHeight="1">
      <c r="A315" s="654" t="str">
        <f t="shared" ca="1" si="137"/>
        <v>D.1.315</v>
      </c>
      <c r="B315" s="654" t="str">
        <f t="shared" ca="1" si="138"/>
        <v>1.315</v>
      </c>
      <c r="C315" s="654" t="str">
        <f t="shared" si="146"/>
        <v>[315]</v>
      </c>
      <c r="D315" s="654">
        <f>ROW()</f>
        <v>315</v>
      </c>
      <c r="E315" s="1129" t="str">
        <f>BP315</f>
        <v>Energiestrohanteil für Gebäudewärme</v>
      </c>
      <c r="F315" s="1129"/>
      <c r="G315" s="1129"/>
      <c r="H315" s="1129"/>
      <c r="I315" s="1129"/>
      <c r="J315" s="471" t="s">
        <v>38</v>
      </c>
      <c r="K315" s="557">
        <f ca="1">INDIRECT($W$1&amp;U315)</f>
        <v>0</v>
      </c>
      <c r="L315" s="485" t="str">
        <f ca="1">HYPERLINK($CK$1&amp;U315,$CE$1&amp;U315&amp;$CF$1)</f>
        <v>[316]</v>
      </c>
      <c r="M315" s="558">
        <f ca="1">INDIRECT($W$1&amp;W315)</f>
        <v>0</v>
      </c>
      <c r="N315" s="533" t="str">
        <f ca="1">HYPERLINK($CK$1&amp;W315,$CE$1&amp;W315&amp;$CF$1)</f>
        <v>[318]</v>
      </c>
      <c r="O315" s="869">
        <v>315</v>
      </c>
      <c r="P315" s="570"/>
      <c r="Q315" s="583"/>
      <c r="R315" s="852"/>
      <c r="S315" s="784"/>
      <c r="T315" s="864"/>
      <c r="U315" s="672">
        <f>D316</f>
        <v>316</v>
      </c>
      <c r="V315" s="905" t="s">
        <v>126</v>
      </c>
      <c r="W315" s="672">
        <f>D318</f>
        <v>318</v>
      </c>
      <c r="X315" s="658"/>
      <c r="Y315" s="658"/>
      <c r="Z315" s="658"/>
      <c r="AA315" s="658"/>
      <c r="AB315" s="801"/>
      <c r="AC315" s="801"/>
      <c r="AD315" s="674"/>
      <c r="AE315" s="674"/>
      <c r="AF315" s="674"/>
      <c r="AG315" s="674"/>
      <c r="AH315" s="674"/>
      <c r="AI315" s="674"/>
      <c r="AJ315" s="674"/>
      <c r="AK315" s="674"/>
      <c r="AL315" s="674"/>
      <c r="AM315" s="674"/>
      <c r="AN315" s="674"/>
      <c r="AO315" s="674"/>
      <c r="AP315" s="674"/>
      <c r="AQ315" s="674"/>
      <c r="AR315" s="674"/>
      <c r="AS315" s="674"/>
      <c r="AT315" s="674"/>
      <c r="AU315" s="674"/>
      <c r="AV315" s="674"/>
      <c r="AX315" s="475" t="s">
        <v>244</v>
      </c>
      <c r="AY315" s="500">
        <f ca="1">DA315</f>
        <v>0</v>
      </c>
      <c r="AZ315" s="508" t="str">
        <f ca="1">HYPERLINK(DN315,DC315)</f>
        <v xml:space="preserve"> 266</v>
      </c>
      <c r="BA315" s="500">
        <f ca="1">DB315</f>
        <v>0</v>
      </c>
      <c r="BB315" s="508" t="str">
        <f ca="1">HYPERLINK(DO315,DD315)</f>
        <v xml:space="preserve"> 267</v>
      </c>
      <c r="BC315" s="475" t="str">
        <f ca="1">CY315&amp;" | "&amp;CZ315</f>
        <v>0 | 1.1 Nutz-Anteil Stroh-Ofen (Heizung) = genutzer Anteil der jährlichen Erntemenge</v>
      </c>
      <c r="BI315" s="475" t="s">
        <v>126</v>
      </c>
      <c r="BJ315" s="492" t="str">
        <f>E315</f>
        <v>Energiestrohanteil für Gebäudewärme</v>
      </c>
      <c r="BK315" s="486">
        <f ca="1">K315</f>
        <v>0</v>
      </c>
      <c r="BL315" s="486">
        <f ca="1">M315</f>
        <v>0</v>
      </c>
      <c r="BM315" s="472">
        <f>D315</f>
        <v>315</v>
      </c>
      <c r="BN315" s="658"/>
      <c r="BO315" s="475" t="s">
        <v>251</v>
      </c>
      <c r="BP315" s="521" t="s">
        <v>398</v>
      </c>
      <c r="CU315" s="476"/>
      <c r="CV315" s="658"/>
      <c r="CW315" s="518">
        <v>65</v>
      </c>
      <c r="CY315" s="472">
        <f t="shared" ref="CY315:DO315" ca="1" si="158">INDIRECT($CX$1&amp;CY$1&amp;$CW315)</f>
        <v>0</v>
      </c>
      <c r="CZ315" s="472" t="str">
        <f t="shared" ca="1" si="158"/>
        <v>1.1 Nutz-Anteil Stroh-Ofen (Heizung) = genutzer Anteil der jährlichen Erntemenge</v>
      </c>
      <c r="DA315" s="472">
        <f t="shared" ca="1" si="158"/>
        <v>0</v>
      </c>
      <c r="DB315" s="472">
        <f t="shared" ca="1" si="158"/>
        <v>0</v>
      </c>
      <c r="DC315" s="472" t="str">
        <f t="shared" ca="1" si="158"/>
        <v xml:space="preserve"> 266</v>
      </c>
      <c r="DD315" s="472" t="str">
        <f t="shared" ca="1" si="158"/>
        <v xml:space="preserve"> 267</v>
      </c>
      <c r="DE315" s="472" t="str">
        <f t="shared" ca="1" si="158"/>
        <v>SR30</v>
      </c>
      <c r="DF315" s="472" t="str">
        <f t="shared" ca="1" si="158"/>
        <v>SR33</v>
      </c>
      <c r="DG315" s="472" t="str">
        <f t="shared" ca="1" si="158"/>
        <v>SR</v>
      </c>
      <c r="DH315" s="472" t="str">
        <f t="shared" ca="1" si="158"/>
        <v>30</v>
      </c>
      <c r="DI315" s="472" t="str">
        <f t="shared" ca="1" si="158"/>
        <v>[SR.xls]TEXT!Z30S5</v>
      </c>
      <c r="DJ315" s="472" t="str">
        <f t="shared" ca="1" si="158"/>
        <v>SR</v>
      </c>
      <c r="DK315" s="472" t="str">
        <f t="shared" ca="1" si="158"/>
        <v>33</v>
      </c>
      <c r="DL315" s="472" t="str">
        <f t="shared" ca="1" si="158"/>
        <v>[SR.xls]TEXT!Z33S5</v>
      </c>
      <c r="DM315" s="472">
        <f t="shared" ca="1" si="158"/>
        <v>65</v>
      </c>
      <c r="DN315" s="472" t="str">
        <f t="shared" ca="1" si="158"/>
        <v>[Region.xls]PARAMETER!Z266S6</v>
      </c>
      <c r="DO315" s="472" t="str">
        <f t="shared" ca="1" si="158"/>
        <v>[Region.xls]PARAMETER!Z267S6</v>
      </c>
      <c r="DP315" s="472"/>
      <c r="DS315" s="656"/>
      <c r="DV315" s="472"/>
      <c r="DW315" s="472"/>
      <c r="DX315" s="472"/>
      <c r="DY315" s="472"/>
      <c r="DZ315" s="472"/>
      <c r="EA315" s="472"/>
      <c r="EB315" s="472"/>
      <c r="EC315" s="472"/>
      <c r="ED315" s="472"/>
      <c r="EE315" s="472"/>
      <c r="EF315" s="472"/>
      <c r="EG315" s="472"/>
      <c r="EH315" s="472"/>
      <c r="EI315" s="472"/>
      <c r="EJ315" s="472"/>
      <c r="EK315" s="472"/>
      <c r="EV315" s="819">
        <f t="shared" si="140"/>
        <v>315</v>
      </c>
      <c r="EW315" s="819"/>
    </row>
    <row r="316" spans="1:153" s="472" customFormat="1" ht="15" customHeight="1">
      <c r="A316" s="654" t="str">
        <f t="shared" ca="1" si="137"/>
        <v>D.1.316</v>
      </c>
      <c r="B316" s="654" t="str">
        <f t="shared" ca="1" si="138"/>
        <v>1.316</v>
      </c>
      <c r="C316" s="654" t="str">
        <f t="shared" si="146"/>
        <v>[316]</v>
      </c>
      <c r="D316" s="654">
        <f>ROW()</f>
        <v>316</v>
      </c>
      <c r="E316" s="1130" t="str">
        <f>CU316</f>
        <v>- STATUS-Ansatz: (keine energetische Nutzung von Getreidestroh [304]).</v>
      </c>
      <c r="F316" s="1130"/>
      <c r="G316" s="1130"/>
      <c r="H316" s="1130"/>
      <c r="I316" s="1130"/>
      <c r="J316" s="1130"/>
      <c r="K316" s="1130"/>
      <c r="L316" s="1130"/>
      <c r="M316" s="1130"/>
      <c r="N316" s="1131"/>
      <c r="O316" s="869">
        <v>316</v>
      </c>
      <c r="P316" s="573" t="str">
        <f ca="1">HYPERLINK(EK316,EJ316)</f>
        <v/>
      </c>
      <c r="Q316" s="574" t="str">
        <f>Y316</f>
        <v xml:space="preserve"> </v>
      </c>
      <c r="R316" s="852"/>
      <c r="S316" s="784"/>
      <c r="T316" s="864"/>
      <c r="U316" s="1023" t="str">
        <f>"(keine energetische Nutzung von Getreidestroh "&amp;C$304&amp;")."</f>
        <v>(keine energetische Nutzung von Getreidestroh [304]).</v>
      </c>
      <c r="V316" s="905" t="s">
        <v>126</v>
      </c>
      <c r="W316" s="1024">
        <f ca="1">AY316</f>
        <v>0</v>
      </c>
      <c r="X316" s="672"/>
      <c r="Y316" s="672" t="s">
        <v>126</v>
      </c>
      <c r="Z316" s="1025"/>
      <c r="AA316" s="658"/>
      <c r="AB316" s="801"/>
      <c r="AC316" s="801"/>
      <c r="AD316" s="687"/>
      <c r="AE316" s="801"/>
      <c r="AF316" s="801"/>
      <c r="AG316" s="801"/>
      <c r="AH316" s="801"/>
      <c r="AI316" s="801"/>
      <c r="AJ316" s="801"/>
      <c r="AK316" s="801"/>
      <c r="AL316" s="801"/>
      <c r="AM316" s="801"/>
      <c r="AN316" s="801"/>
      <c r="AO316" s="801"/>
      <c r="AP316" s="801"/>
      <c r="AQ316" s="801"/>
      <c r="AR316" s="801"/>
      <c r="AS316" s="801"/>
      <c r="AT316" s="801"/>
      <c r="AU316" s="801"/>
      <c r="AV316" s="801"/>
      <c r="AY316" s="472">
        <f ca="1">IFERROR(AY315/AY$304%,0)</f>
        <v>0</v>
      </c>
      <c r="BA316" s="472">
        <f ca="1">IFERROR(BA315/BA$304%,0)</f>
        <v>0</v>
      </c>
      <c r="BF316" s="473"/>
      <c r="BI316" s="472" t="s">
        <v>126</v>
      </c>
      <c r="BJ316" s="490"/>
      <c r="BN316" s="656"/>
      <c r="BO316" s="472" t="s">
        <v>259</v>
      </c>
      <c r="CU316" s="480" t="str">
        <f>CG$1&amp;IF(U316="",BF316,U316)</f>
        <v>- STATUS-Ansatz: (keine energetische Nutzung von Getreidestroh [304]).</v>
      </c>
      <c r="CV316" s="656"/>
      <c r="CW316" s="480"/>
      <c r="DS316" s="656"/>
      <c r="DT316" s="518">
        <f>I_Basisdaten!A151</f>
        <v>151</v>
      </c>
      <c r="EJ316" s="472" t="str">
        <f>IF(X316=0,"",EJ$1&amp;X316)</f>
        <v/>
      </c>
      <c r="EK316" s="472" t="str">
        <f ca="1">EK$1&amp;X316</f>
        <v>[D_Python.xlsx]9.Quellen!C</v>
      </c>
      <c r="EV316" s="819">
        <f t="shared" si="140"/>
        <v>316</v>
      </c>
      <c r="EW316" s="819"/>
    </row>
    <row r="317" spans="1:153" s="478" customFormat="1" ht="4">
      <c r="A317" s="677" t="str">
        <f t="shared" ca="1" si="137"/>
        <v>D.1.317</v>
      </c>
      <c r="B317" s="677" t="str">
        <f t="shared" ca="1" si="138"/>
        <v>1.317</v>
      </c>
      <c r="C317" s="677" t="str">
        <f t="shared" si="146"/>
        <v>[317]</v>
      </c>
      <c r="D317" s="677">
        <f>ROW()</f>
        <v>317</v>
      </c>
      <c r="E317" s="528"/>
      <c r="F317" s="528"/>
      <c r="G317" s="528"/>
      <c r="H317" s="528"/>
      <c r="I317" s="527"/>
      <c r="J317" s="527"/>
      <c r="K317" s="527"/>
      <c r="L317" s="527"/>
      <c r="M317" s="527"/>
      <c r="N317" s="528"/>
      <c r="O317" s="871">
        <v>317</v>
      </c>
      <c r="P317" s="566"/>
      <c r="Q317" s="567"/>
      <c r="R317" s="888"/>
      <c r="S317" s="802"/>
      <c r="T317" s="882"/>
      <c r="U317" s="661"/>
      <c r="V317" s="661"/>
      <c r="W317" s="661"/>
      <c r="X317" s="661"/>
      <c r="Y317" s="661"/>
      <c r="Z317" s="661"/>
      <c r="AA317" s="661"/>
      <c r="AB317" s="675"/>
      <c r="AC317" s="675"/>
      <c r="AD317" s="675"/>
      <c r="AE317" s="675"/>
      <c r="AF317" s="675"/>
      <c r="AG317" s="675"/>
      <c r="AH317" s="675"/>
      <c r="AI317" s="675"/>
      <c r="AJ317" s="675"/>
      <c r="AK317" s="675"/>
      <c r="AL317" s="675"/>
      <c r="AM317" s="675"/>
      <c r="AN317" s="675"/>
      <c r="AO317" s="675"/>
      <c r="AP317" s="675"/>
      <c r="AQ317" s="675"/>
      <c r="AR317" s="675"/>
      <c r="AS317" s="675"/>
      <c r="AT317" s="675"/>
      <c r="AU317" s="675"/>
      <c r="AV317" s="675"/>
      <c r="BI317" s="478" t="s">
        <v>126</v>
      </c>
      <c r="BJ317" s="489"/>
      <c r="BN317" s="661"/>
      <c r="CU317" s="479"/>
      <c r="CV317" s="661"/>
      <c r="CW317" s="479"/>
      <c r="DS317" s="661"/>
      <c r="EV317" s="818" t="str">
        <f t="shared" si="140"/>
        <v/>
      </c>
      <c r="EW317" s="818"/>
    </row>
    <row r="318" spans="1:153" s="472" customFormat="1" ht="39">
      <c r="A318" s="654" t="str">
        <f t="shared" ca="1" si="137"/>
        <v>D.1.318</v>
      </c>
      <c r="B318" s="654" t="str">
        <f t="shared" ca="1" si="138"/>
        <v>1.318</v>
      </c>
      <c r="C318" s="654" t="str">
        <f t="shared" si="146"/>
        <v>[318]</v>
      </c>
      <c r="D318" s="654">
        <f>ROW()</f>
        <v>318</v>
      </c>
      <c r="E318" s="1125" t="str">
        <f t="shared" ref="E318" si="159">CU318</f>
        <v xml:space="preserve">- ZIEL-Ansatz: Strohbrennstoffe für Gebäudewärme (Pelletöfen, Pelletkessel) erscheinen nicht sinnvoll, vorzuziehen ist die Verwendung des begrenzten Brennstoffanfalls für anspruchsvollere Anwendungsbereiche wie Prozesswärme oder Stromerzeugung. </v>
      </c>
      <c r="F318" s="1125"/>
      <c r="G318" s="1125"/>
      <c r="H318" s="1125"/>
      <c r="I318" s="1125"/>
      <c r="J318" s="1125"/>
      <c r="K318" s="1125"/>
      <c r="L318" s="1125"/>
      <c r="M318" s="1125"/>
      <c r="N318" s="1132"/>
      <c r="O318" s="869">
        <v>318</v>
      </c>
      <c r="P318" s="573" t="str">
        <f ca="1">HYPERLINK(EK318,EJ318)</f>
        <v/>
      </c>
      <c r="Q318" s="574" t="str">
        <f>Y318</f>
        <v xml:space="preserve"> </v>
      </c>
      <c r="R318" s="852"/>
      <c r="S318" s="784"/>
      <c r="T318" s="864"/>
      <c r="U318" s="1023" t="str">
        <f>"Strohbrennstoffe für Gebäudewärme (Pelletöfen, Pelletkessel) erscheinen nicht sinnvoll, "&amp;"vorzuziehen ist die Verwendung des begrenzten Brennstoffanfalls für anspruchsvollere Anwendungsbereiche wie Prozesswärme oder Stromerzeugung. "</f>
        <v xml:space="preserve">Strohbrennstoffe für Gebäudewärme (Pelletöfen, Pelletkessel) erscheinen nicht sinnvoll, vorzuziehen ist die Verwendung des begrenzten Brennstoffanfalls für anspruchsvollere Anwendungsbereiche wie Prozesswärme oder Stromerzeugung. </v>
      </c>
      <c r="V318" s="905" t="s">
        <v>126</v>
      </c>
      <c r="W318" s="1024">
        <f ca="1">BA316</f>
        <v>0</v>
      </c>
      <c r="X318" s="672"/>
      <c r="Y318" s="672" t="s">
        <v>126</v>
      </c>
      <c r="Z318" s="1025"/>
      <c r="AA318" s="905"/>
      <c r="AB318" s="801"/>
      <c r="AC318" s="801"/>
      <c r="AD318" s="801"/>
      <c r="AE318" s="801"/>
      <c r="AF318" s="801"/>
      <c r="AG318" s="801"/>
      <c r="AH318" s="801"/>
      <c r="AI318" s="801"/>
      <c r="AJ318" s="801"/>
      <c r="AK318" s="801"/>
      <c r="AL318" s="801"/>
      <c r="AM318" s="801"/>
      <c r="AN318" s="801"/>
      <c r="AO318" s="801"/>
      <c r="AP318" s="801"/>
      <c r="AQ318" s="801"/>
      <c r="AR318" s="801"/>
      <c r="AS318" s="801"/>
      <c r="AT318" s="801"/>
      <c r="AU318" s="801"/>
      <c r="AV318" s="801"/>
      <c r="BF318" s="473"/>
      <c r="BI318" s="472" t="s">
        <v>126</v>
      </c>
      <c r="BJ318" s="490"/>
      <c r="BN318" s="656"/>
      <c r="BO318" s="472" t="s">
        <v>259</v>
      </c>
      <c r="CU318" s="480" t="str">
        <f>CH$1&amp;IF(U318="",BF318,U318)</f>
        <v xml:space="preserve">- ZIEL-Ansatz: Strohbrennstoffe für Gebäudewärme (Pelletöfen, Pelletkessel) erscheinen nicht sinnvoll, vorzuziehen ist die Verwendung des begrenzten Brennstoffanfalls für anspruchsvollere Anwendungsbereiche wie Prozesswärme oder Stromerzeugung. </v>
      </c>
      <c r="CV318" s="656"/>
      <c r="CW318" s="480"/>
      <c r="DS318" s="656"/>
      <c r="DT318" s="518">
        <v>53</v>
      </c>
      <c r="EJ318" s="472" t="str">
        <f>IF(X318=0,"",EJ$1&amp;X318)</f>
        <v/>
      </c>
      <c r="EK318" s="472" t="str">
        <f ca="1">EK$1&amp;X318</f>
        <v>[D_Python.xlsx]9.Quellen!C</v>
      </c>
      <c r="EV318" s="819">
        <f t="shared" si="140"/>
        <v>318</v>
      </c>
      <c r="EW318" s="819"/>
    </row>
    <row r="319" spans="1:153" s="478" customFormat="1" ht="4">
      <c r="A319" s="677" t="str">
        <f t="shared" ca="1" si="137"/>
        <v>D.1.319</v>
      </c>
      <c r="B319" s="677" t="str">
        <f t="shared" ca="1" si="138"/>
        <v>1.319</v>
      </c>
      <c r="C319" s="677" t="str">
        <f t="shared" si="146"/>
        <v>[319]</v>
      </c>
      <c r="D319" s="677">
        <f>ROW()</f>
        <v>319</v>
      </c>
      <c r="E319" s="548"/>
      <c r="F319" s="548"/>
      <c r="G319" s="548"/>
      <c r="H319" s="548"/>
      <c r="I319" s="549"/>
      <c r="J319" s="549"/>
      <c r="K319" s="549"/>
      <c r="L319" s="549"/>
      <c r="M319" s="549"/>
      <c r="N319" s="548"/>
      <c r="O319" s="871">
        <v>319</v>
      </c>
      <c r="P319" s="575"/>
      <c r="Q319" s="576"/>
      <c r="R319" s="888"/>
      <c r="S319" s="802"/>
      <c r="T319" s="882"/>
      <c r="U319" s="661"/>
      <c r="V319" s="661"/>
      <c r="W319" s="661"/>
      <c r="X319" s="661"/>
      <c r="Y319" s="661"/>
      <c r="Z319" s="661"/>
      <c r="AA319" s="661"/>
      <c r="AB319" s="675"/>
      <c r="AC319" s="675"/>
      <c r="AD319" s="675"/>
      <c r="AE319" s="675"/>
      <c r="AF319" s="675"/>
      <c r="AG319" s="675"/>
      <c r="AH319" s="675"/>
      <c r="AI319" s="675"/>
      <c r="AJ319" s="675"/>
      <c r="AK319" s="675"/>
      <c r="AL319" s="675"/>
      <c r="AM319" s="675"/>
      <c r="AN319" s="675"/>
      <c r="AO319" s="675"/>
      <c r="AP319" s="675"/>
      <c r="AQ319" s="675"/>
      <c r="AR319" s="675"/>
      <c r="AS319" s="675"/>
      <c r="AT319" s="675"/>
      <c r="AU319" s="675"/>
      <c r="AV319" s="675"/>
      <c r="AZ319" s="505"/>
      <c r="BB319" s="505"/>
      <c r="BI319" s="478" t="s">
        <v>126</v>
      </c>
      <c r="BJ319" s="489"/>
      <c r="BN319" s="661"/>
      <c r="CU319" s="479"/>
      <c r="CV319" s="661"/>
      <c r="CW319" s="479"/>
      <c r="DS319" s="661"/>
      <c r="EV319" s="818" t="str">
        <f t="shared" si="140"/>
        <v/>
      </c>
      <c r="EW319" s="818"/>
    </row>
    <row r="320" spans="1:153" s="475" customFormat="1" ht="13.5" customHeight="1">
      <c r="A320" s="654" t="str">
        <f t="shared" ca="1" si="137"/>
        <v>D.1.320</v>
      </c>
      <c r="B320" s="654" t="str">
        <f t="shared" ca="1" si="138"/>
        <v>1.320</v>
      </c>
      <c r="C320" s="654" t="str">
        <f t="shared" si="146"/>
        <v>[320]</v>
      </c>
      <c r="D320" s="654">
        <f>ROW()</f>
        <v>320</v>
      </c>
      <c r="E320" s="1129" t="str">
        <f>BP320</f>
        <v>Energiestrohanteil für Prozesswärme</v>
      </c>
      <c r="F320" s="1129"/>
      <c r="G320" s="1129"/>
      <c r="H320" s="1129"/>
      <c r="I320" s="1129"/>
      <c r="J320" s="471" t="s">
        <v>38</v>
      </c>
      <c r="K320" s="557">
        <f ca="1">INDIRECT($W$1&amp;U320)</f>
        <v>0</v>
      </c>
      <c r="L320" s="485" t="str">
        <f ca="1">HYPERLINK($CK$1&amp;U320,$CE$1&amp;U320&amp;$CF$1)</f>
        <v>[321]</v>
      </c>
      <c r="M320" s="558">
        <f ca="1">INDIRECT($W$1&amp;W320)</f>
        <v>100</v>
      </c>
      <c r="N320" s="533" t="str">
        <f ca="1">HYPERLINK($CK$1&amp;W320,$CE$1&amp;W320&amp;$CF$1)</f>
        <v>[323]</v>
      </c>
      <c r="O320" s="869">
        <v>320</v>
      </c>
      <c r="P320" s="570"/>
      <c r="Q320" s="583"/>
      <c r="R320" s="852"/>
      <c r="S320" s="784"/>
      <c r="T320" s="864"/>
      <c r="U320" s="672">
        <f>D321</f>
        <v>321</v>
      </c>
      <c r="V320" s="905" t="s">
        <v>126</v>
      </c>
      <c r="W320" s="672">
        <f>D323</f>
        <v>323</v>
      </c>
      <c r="X320" s="658"/>
      <c r="Y320" s="658"/>
      <c r="Z320" s="658"/>
      <c r="AA320" s="658"/>
      <c r="AB320" s="801"/>
      <c r="AC320" s="801"/>
      <c r="AD320" s="674"/>
      <c r="AE320" s="674"/>
      <c r="AF320" s="674"/>
      <c r="AG320" s="674"/>
      <c r="AH320" s="674"/>
      <c r="AI320" s="674"/>
      <c r="AJ320" s="674"/>
      <c r="AK320" s="674"/>
      <c r="AL320" s="674"/>
      <c r="AM320" s="674"/>
      <c r="AN320" s="674"/>
      <c r="AO320" s="674"/>
      <c r="AP320" s="674"/>
      <c r="AQ320" s="674"/>
      <c r="AR320" s="674"/>
      <c r="AS320" s="674"/>
      <c r="AT320" s="674"/>
      <c r="AU320" s="674"/>
      <c r="AV320" s="674"/>
      <c r="AX320" s="475" t="s">
        <v>244</v>
      </c>
      <c r="AY320" s="500">
        <f ca="1">DA320</f>
        <v>0</v>
      </c>
      <c r="AZ320" s="508" t="str">
        <f ca="1">HYPERLINK(DN320,DC320)</f>
        <v xml:space="preserve"> 274</v>
      </c>
      <c r="BA320" s="500">
        <f ca="1">DB320</f>
        <v>33</v>
      </c>
      <c r="BB320" s="508" t="str">
        <f ca="1">HYPERLINK(DO320,DD320)</f>
        <v xml:space="preserve"> 275</v>
      </c>
      <c r="BC320" s="475" t="str">
        <f ca="1">CY320&amp;" | "&amp;CZ320</f>
        <v>0 | 2.1 Nutz-Anteil Stroh-Ofen (Prozesse) = genutzer Anteil der jährlichen Erntemenge</v>
      </c>
      <c r="BI320" s="475" t="s">
        <v>126</v>
      </c>
      <c r="BJ320" s="492" t="str">
        <f>E320</f>
        <v>Energiestrohanteil für Prozesswärme</v>
      </c>
      <c r="BK320" s="486">
        <f ca="1">K320</f>
        <v>0</v>
      </c>
      <c r="BL320" s="486">
        <f ca="1">M320</f>
        <v>100</v>
      </c>
      <c r="BM320" s="472">
        <f>D320</f>
        <v>320</v>
      </c>
      <c r="BN320" s="658"/>
      <c r="BO320" s="475" t="s">
        <v>251</v>
      </c>
      <c r="BP320" s="521" t="s">
        <v>399</v>
      </c>
      <c r="CU320" s="476"/>
      <c r="CV320" s="658"/>
      <c r="CW320" s="518">
        <v>72</v>
      </c>
      <c r="CY320" s="472">
        <f t="shared" ref="CY320:DO320" ca="1" si="160">INDIRECT($CX$1&amp;CY$1&amp;$CW320)</f>
        <v>0</v>
      </c>
      <c r="CZ320" s="472" t="str">
        <f t="shared" ca="1" si="160"/>
        <v>2.1 Nutz-Anteil Stroh-Ofen (Prozesse) = genutzer Anteil der jährlichen Erntemenge</v>
      </c>
      <c r="DA320" s="472">
        <f t="shared" ca="1" si="160"/>
        <v>0</v>
      </c>
      <c r="DB320" s="472">
        <f t="shared" ca="1" si="160"/>
        <v>33</v>
      </c>
      <c r="DC320" s="472" t="str">
        <f t="shared" ca="1" si="160"/>
        <v xml:space="preserve"> 274</v>
      </c>
      <c r="DD320" s="472" t="str">
        <f t="shared" ca="1" si="160"/>
        <v xml:space="preserve"> 275</v>
      </c>
      <c r="DE320" s="472" t="str">
        <f t="shared" ca="1" si="160"/>
        <v>SR30</v>
      </c>
      <c r="DF320" s="472" t="str">
        <f t="shared" ca="1" si="160"/>
        <v>SR33</v>
      </c>
      <c r="DG320" s="472" t="str">
        <f t="shared" ca="1" si="160"/>
        <v>SR</v>
      </c>
      <c r="DH320" s="472" t="str">
        <f t="shared" ca="1" si="160"/>
        <v>30</v>
      </c>
      <c r="DI320" s="472" t="str">
        <f t="shared" ca="1" si="160"/>
        <v>[SR.xls]TEXT!Z30S5</v>
      </c>
      <c r="DJ320" s="472" t="str">
        <f t="shared" ca="1" si="160"/>
        <v>SR</v>
      </c>
      <c r="DK320" s="472" t="str">
        <f t="shared" ca="1" si="160"/>
        <v>33</v>
      </c>
      <c r="DL320" s="472" t="str">
        <f t="shared" ca="1" si="160"/>
        <v>[SR.xls]TEXT!Z33S5</v>
      </c>
      <c r="DM320" s="472">
        <f t="shared" ca="1" si="160"/>
        <v>72</v>
      </c>
      <c r="DN320" s="472" t="str">
        <f t="shared" ca="1" si="160"/>
        <v>[Region.xls]PARAMETER!Z274S6</v>
      </c>
      <c r="DO320" s="472" t="str">
        <f t="shared" ca="1" si="160"/>
        <v>[Region.xls]PARAMETER!Z275S6</v>
      </c>
      <c r="DP320" s="472"/>
      <c r="DS320" s="656"/>
      <c r="DV320" s="472"/>
      <c r="DW320" s="472"/>
      <c r="DX320" s="472"/>
      <c r="DY320" s="472"/>
      <c r="DZ320" s="472"/>
      <c r="EA320" s="472"/>
      <c r="EB320" s="472"/>
      <c r="EC320" s="472"/>
      <c r="ED320" s="472"/>
      <c r="EE320" s="472"/>
      <c r="EF320" s="472"/>
      <c r="EG320" s="472"/>
      <c r="EH320" s="472"/>
      <c r="EI320" s="472"/>
      <c r="EJ320" s="472"/>
      <c r="EK320" s="472"/>
      <c r="EV320" s="819">
        <f t="shared" si="140"/>
        <v>320</v>
      </c>
      <c r="EW320" s="819"/>
    </row>
    <row r="321" spans="1:153" s="472" customFormat="1" ht="15" customHeight="1">
      <c r="A321" s="654" t="str">
        <f t="shared" ca="1" si="137"/>
        <v>D.1.321</v>
      </c>
      <c r="B321" s="654" t="str">
        <f t="shared" ca="1" si="138"/>
        <v>1.321</v>
      </c>
      <c r="C321" s="654" t="str">
        <f t="shared" si="146"/>
        <v>[321]</v>
      </c>
      <c r="D321" s="654">
        <f>ROW()</f>
        <v>321</v>
      </c>
      <c r="E321" s="1130" t="str">
        <f>CU321</f>
        <v>- STATUS-Ansatz: (keine energetische Nutzung von Getreidestroh [304]).</v>
      </c>
      <c r="F321" s="1130"/>
      <c r="G321" s="1130"/>
      <c r="H321" s="1130"/>
      <c r="I321" s="1130"/>
      <c r="J321" s="1130"/>
      <c r="K321" s="1130"/>
      <c r="L321" s="1130"/>
      <c r="M321" s="1130"/>
      <c r="N321" s="1131"/>
      <c r="O321" s="869">
        <v>321</v>
      </c>
      <c r="P321" s="573" t="str">
        <f ca="1">HYPERLINK(EK321,EJ321)</f>
        <v/>
      </c>
      <c r="Q321" s="574" t="str">
        <f>Y321</f>
        <v xml:space="preserve"> </v>
      </c>
      <c r="R321" s="852"/>
      <c r="S321" s="784"/>
      <c r="T321" s="864"/>
      <c r="U321" s="1023" t="str">
        <f>"(keine energetische Nutzung von Getreidestroh "&amp;C$304&amp;")."</f>
        <v>(keine energetische Nutzung von Getreidestroh [304]).</v>
      </c>
      <c r="V321" s="905" t="s">
        <v>126</v>
      </c>
      <c r="W321" s="1024">
        <f ca="1">AY321</f>
        <v>0</v>
      </c>
      <c r="X321" s="672"/>
      <c r="Y321" s="672" t="s">
        <v>126</v>
      </c>
      <c r="Z321" s="1025"/>
      <c r="AA321" s="658"/>
      <c r="AB321" s="801"/>
      <c r="AC321" s="801"/>
      <c r="AD321" s="801"/>
      <c r="AE321" s="801"/>
      <c r="AF321" s="801"/>
      <c r="AG321" s="801"/>
      <c r="AH321" s="801"/>
      <c r="AI321" s="801"/>
      <c r="AJ321" s="801"/>
      <c r="AK321" s="801"/>
      <c r="AL321" s="801"/>
      <c r="AM321" s="801"/>
      <c r="AN321" s="801"/>
      <c r="AO321" s="801"/>
      <c r="AP321" s="801"/>
      <c r="AQ321" s="801"/>
      <c r="AR321" s="801"/>
      <c r="AS321" s="801"/>
      <c r="AT321" s="801"/>
      <c r="AU321" s="801"/>
      <c r="AV321" s="801"/>
      <c r="AY321" s="472">
        <f ca="1">IFERROR(AY320/AY$304%,0)</f>
        <v>0</v>
      </c>
      <c r="BA321" s="472">
        <f ca="1">IFERROR(BA320/BA$304%,0)</f>
        <v>100</v>
      </c>
      <c r="BF321" s="473"/>
      <c r="BI321" s="472" t="s">
        <v>126</v>
      </c>
      <c r="BJ321" s="490"/>
      <c r="BN321" s="656"/>
      <c r="BO321" s="472" t="s">
        <v>259</v>
      </c>
      <c r="CU321" s="480" t="str">
        <f>CG$1&amp;IF(U321="",BF321,U321)</f>
        <v>- STATUS-Ansatz: (keine energetische Nutzung von Getreidestroh [304]).</v>
      </c>
      <c r="CV321" s="656"/>
      <c r="CW321" s="480"/>
      <c r="DS321" s="656"/>
      <c r="DT321" s="518">
        <f>I_Basisdaten!A159</f>
        <v>159</v>
      </c>
      <c r="EJ321" s="472" t="str">
        <f>IF(X321=0,"",EJ$1&amp;X321)</f>
        <v/>
      </c>
      <c r="EK321" s="472" t="str">
        <f ca="1">EK$1&amp;X321</f>
        <v>[D_Python.xlsx]9.Quellen!C</v>
      </c>
      <c r="EV321" s="819">
        <f t="shared" si="140"/>
        <v>321</v>
      </c>
      <c r="EW321" s="819"/>
    </row>
    <row r="322" spans="1:153" s="478" customFormat="1" ht="4">
      <c r="A322" s="677" t="str">
        <f t="shared" ca="1" si="137"/>
        <v>D.1.322</v>
      </c>
      <c r="B322" s="677" t="str">
        <f t="shared" ca="1" si="138"/>
        <v>1.322</v>
      </c>
      <c r="C322" s="677" t="str">
        <f t="shared" si="146"/>
        <v>[322]</v>
      </c>
      <c r="D322" s="677">
        <f>ROW()</f>
        <v>322</v>
      </c>
      <c r="E322" s="528"/>
      <c r="F322" s="528"/>
      <c r="G322" s="528"/>
      <c r="H322" s="528"/>
      <c r="I322" s="527"/>
      <c r="J322" s="527"/>
      <c r="K322" s="527"/>
      <c r="L322" s="527"/>
      <c r="M322" s="527"/>
      <c r="N322" s="528"/>
      <c r="O322" s="871">
        <v>322</v>
      </c>
      <c r="P322" s="566"/>
      <c r="Q322" s="567"/>
      <c r="R322" s="888"/>
      <c r="S322" s="802"/>
      <c r="T322" s="882"/>
      <c r="U322" s="661"/>
      <c r="V322" s="661"/>
      <c r="W322" s="661"/>
      <c r="X322" s="661"/>
      <c r="Y322" s="661"/>
      <c r="Z322" s="661"/>
      <c r="AA322" s="661"/>
      <c r="AB322" s="675"/>
      <c r="AC322" s="675"/>
      <c r="AD322" s="675"/>
      <c r="AE322" s="675"/>
      <c r="AF322" s="675"/>
      <c r="AG322" s="675"/>
      <c r="AH322" s="675"/>
      <c r="AI322" s="675"/>
      <c r="AJ322" s="675"/>
      <c r="AK322" s="675"/>
      <c r="AL322" s="675"/>
      <c r="AM322" s="675"/>
      <c r="AN322" s="675"/>
      <c r="AO322" s="675"/>
      <c r="AP322" s="675"/>
      <c r="AQ322" s="675"/>
      <c r="AR322" s="675"/>
      <c r="AS322" s="675"/>
      <c r="AT322" s="675"/>
      <c r="AU322" s="675"/>
      <c r="AV322" s="675"/>
      <c r="BI322" s="478" t="s">
        <v>126</v>
      </c>
      <c r="BJ322" s="489"/>
      <c r="BN322" s="661"/>
      <c r="CU322" s="479"/>
      <c r="CV322" s="661"/>
      <c r="CW322" s="479"/>
      <c r="DS322" s="661"/>
      <c r="EV322" s="818" t="str">
        <f t="shared" si="140"/>
        <v/>
      </c>
      <c r="EW322" s="818"/>
    </row>
    <row r="323" spans="1:153" s="472" customFormat="1" ht="37.5" customHeight="1">
      <c r="A323" s="654" t="str">
        <f t="shared" ca="1" si="137"/>
        <v>D.1.323</v>
      </c>
      <c r="B323" s="654" t="str">
        <f t="shared" ca="1" si="138"/>
        <v>1.323</v>
      </c>
      <c r="C323" s="654" t="str">
        <f t="shared" si="146"/>
        <v>[323]</v>
      </c>
      <c r="D323" s="654">
        <f>ROW()</f>
        <v>323</v>
      </c>
      <c r="E323" s="1125" t="str">
        <f t="shared" ref="E323" si="161">CU323</f>
        <v>- ZIEL-Ansatz: Strohbrennstoffe sind hier vorrangig für Prozesswärme vorgesehen, um zumindest einen Teil der heute eingesetzten fossilen Brennstoffe zur Erzielung der hohen Temperaturen zu substituieren. Elementar ist dies bei Prozessen, die kohlenstoffhaltige Brennstoffe als Reaktionspartner erfordern.</v>
      </c>
      <c r="F323" s="1125"/>
      <c r="G323" s="1125"/>
      <c r="H323" s="1125"/>
      <c r="I323" s="1125"/>
      <c r="J323" s="1125"/>
      <c r="K323" s="1125"/>
      <c r="L323" s="1125"/>
      <c r="M323" s="1125"/>
      <c r="N323" s="1132"/>
      <c r="O323" s="869">
        <v>323</v>
      </c>
      <c r="P323" s="573" t="str">
        <f ca="1">HYPERLINK(EK323,EJ323)</f>
        <v/>
      </c>
      <c r="Q323" s="574" t="str">
        <f>Y323</f>
        <v xml:space="preserve"> </v>
      </c>
      <c r="R323" s="852"/>
      <c r="S323" s="784"/>
      <c r="T323" s="864"/>
      <c r="U323" s="1023" t="str">
        <f>"Strohbrennstoffe sind hier vorrangig für Prozesswärme vorgesehen, um zumindest einen Teil der heute eingesetzten fossilen Brennstoffe zur Erzielung der hohen Temperaturen zu substituieren. "&amp;"Elementar ist dies bei Prozessen, die kohlenstoffhaltige Brennstoffe als Reaktionspartner erfordern."</f>
        <v>Strohbrennstoffe sind hier vorrangig für Prozesswärme vorgesehen, um zumindest einen Teil der heute eingesetzten fossilen Brennstoffe zur Erzielung der hohen Temperaturen zu substituieren. Elementar ist dies bei Prozessen, die kohlenstoffhaltige Brennstoffe als Reaktionspartner erfordern.</v>
      </c>
      <c r="V323" s="905" t="s">
        <v>126</v>
      </c>
      <c r="W323" s="1024">
        <f ca="1">BA321</f>
        <v>100</v>
      </c>
      <c r="X323" s="672"/>
      <c r="Y323" s="672" t="s">
        <v>126</v>
      </c>
      <c r="Z323" s="1025"/>
      <c r="AA323" s="905"/>
      <c r="AB323" s="801"/>
      <c r="AC323" s="801"/>
      <c r="AD323" s="801"/>
      <c r="AE323" s="801"/>
      <c r="AF323" s="801"/>
      <c r="AG323" s="801"/>
      <c r="AH323" s="801"/>
      <c r="AI323" s="801"/>
      <c r="AJ323" s="801"/>
      <c r="AK323" s="801"/>
      <c r="AL323" s="801"/>
      <c r="AM323" s="801"/>
      <c r="AN323" s="801"/>
      <c r="AO323" s="801"/>
      <c r="AP323" s="801"/>
      <c r="AQ323" s="801"/>
      <c r="AR323" s="801"/>
      <c r="AS323" s="801"/>
      <c r="AT323" s="801"/>
      <c r="AU323" s="801"/>
      <c r="AV323" s="801"/>
      <c r="BF323" s="473"/>
      <c r="BI323" s="472" t="s">
        <v>126</v>
      </c>
      <c r="BJ323" s="490"/>
      <c r="BN323" s="656"/>
      <c r="BO323" s="472" t="s">
        <v>259</v>
      </c>
      <c r="CU323" s="480" t="str">
        <f>CH$1&amp;IF(U323="",BF323,U323)</f>
        <v>- ZIEL-Ansatz: Strohbrennstoffe sind hier vorrangig für Prozesswärme vorgesehen, um zumindest einen Teil der heute eingesetzten fossilen Brennstoffe zur Erzielung der hohen Temperaturen zu substituieren. Elementar ist dies bei Prozessen, die kohlenstoffhaltige Brennstoffe als Reaktionspartner erfordern.</v>
      </c>
      <c r="CV323" s="656"/>
      <c r="CW323" s="480"/>
      <c r="DS323" s="656"/>
      <c r="DT323" s="518">
        <v>53</v>
      </c>
      <c r="EJ323" s="472" t="str">
        <f>IF(X323=0,"",EJ$1&amp;X323)</f>
        <v/>
      </c>
      <c r="EK323" s="472" t="str">
        <f ca="1">EK$1&amp;X323</f>
        <v>[D_Python.xlsx]9.Quellen!C</v>
      </c>
      <c r="EV323" s="819">
        <f t="shared" si="140"/>
        <v>323</v>
      </c>
      <c r="EW323" s="819"/>
    </row>
    <row r="324" spans="1:153" s="478" customFormat="1" ht="4">
      <c r="A324" s="677" t="str">
        <f t="shared" ca="1" si="137"/>
        <v>D.1.324</v>
      </c>
      <c r="B324" s="677" t="str">
        <f t="shared" ca="1" si="138"/>
        <v>1.324</v>
      </c>
      <c r="C324" s="677" t="str">
        <f t="shared" si="146"/>
        <v>[324]</v>
      </c>
      <c r="D324" s="677">
        <f>ROW()</f>
        <v>324</v>
      </c>
      <c r="E324" s="548"/>
      <c r="F324" s="548"/>
      <c r="G324" s="548"/>
      <c r="H324" s="548"/>
      <c r="I324" s="549"/>
      <c r="J324" s="549"/>
      <c r="K324" s="549"/>
      <c r="L324" s="549"/>
      <c r="M324" s="549"/>
      <c r="N324" s="548"/>
      <c r="O324" s="871">
        <v>324</v>
      </c>
      <c r="P324" s="575"/>
      <c r="Q324" s="576"/>
      <c r="R324" s="888"/>
      <c r="S324" s="806"/>
      <c r="T324" s="882"/>
      <c r="U324" s="661"/>
      <c r="V324" s="661"/>
      <c r="W324" s="661"/>
      <c r="X324" s="661"/>
      <c r="Y324" s="661"/>
      <c r="Z324" s="661"/>
      <c r="AA324" s="661"/>
      <c r="AB324" s="675"/>
      <c r="AC324" s="675"/>
      <c r="AD324" s="675"/>
      <c r="AE324" s="675"/>
      <c r="AF324" s="675"/>
      <c r="AG324" s="675"/>
      <c r="AH324" s="675"/>
      <c r="AI324" s="675"/>
      <c r="AJ324" s="675"/>
      <c r="AK324" s="675"/>
      <c r="AL324" s="675"/>
      <c r="AM324" s="675"/>
      <c r="AN324" s="675"/>
      <c r="AO324" s="675"/>
      <c r="AP324" s="675"/>
      <c r="AQ324" s="675"/>
      <c r="AR324" s="675"/>
      <c r="AS324" s="675"/>
      <c r="AT324" s="675"/>
      <c r="AU324" s="675"/>
      <c r="AV324" s="675"/>
      <c r="AZ324" s="505"/>
      <c r="BB324" s="505"/>
      <c r="BI324" s="478" t="s">
        <v>126</v>
      </c>
      <c r="BJ324" s="489"/>
      <c r="BN324" s="661"/>
      <c r="CU324" s="479"/>
      <c r="CV324" s="661"/>
      <c r="CW324" s="479"/>
      <c r="DS324" s="661"/>
      <c r="EV324" s="818" t="str">
        <f t="shared" si="140"/>
        <v/>
      </c>
      <c r="EW324" s="818"/>
    </row>
    <row r="325" spans="1:153" s="475" customFormat="1" ht="13.5" customHeight="1">
      <c r="A325" s="654" t="str">
        <f t="shared" ca="1" si="137"/>
        <v>D.1.325</v>
      </c>
      <c r="B325" s="654" t="str">
        <f t="shared" ca="1" si="138"/>
        <v>1.325</v>
      </c>
      <c r="C325" s="654" t="str">
        <f t="shared" si="146"/>
        <v>[325]</v>
      </c>
      <c r="D325" s="654">
        <f>ROW()</f>
        <v>325</v>
      </c>
      <c r="E325" s="1129" t="str">
        <f>BP325</f>
        <v xml:space="preserve">Energiestrohanteil für Verstromung </v>
      </c>
      <c r="F325" s="1129"/>
      <c r="G325" s="1129"/>
      <c r="H325" s="1129"/>
      <c r="I325" s="1129"/>
      <c r="J325" s="471" t="s">
        <v>38</v>
      </c>
      <c r="K325" s="557">
        <f ca="1">INDIRECT($W$1&amp;U325)</f>
        <v>100</v>
      </c>
      <c r="L325" s="485" t="str">
        <f ca="1">HYPERLINK($CK$1&amp;U325,$CE$1&amp;U325&amp;$CF$1)</f>
        <v>[326]</v>
      </c>
      <c r="M325" s="558">
        <f ca="1">INDIRECT($W$1&amp;W325)</f>
        <v>0</v>
      </c>
      <c r="N325" s="533" t="str">
        <f ca="1">HYPERLINK($CK$1&amp;W325,$CE$1&amp;W325&amp;$CF$1)</f>
        <v>[328]</v>
      </c>
      <c r="O325" s="869">
        <v>325</v>
      </c>
      <c r="P325" s="570"/>
      <c r="Q325" s="583"/>
      <c r="R325" s="852"/>
      <c r="S325" s="784"/>
      <c r="T325" s="864"/>
      <c r="U325" s="672">
        <f>D326</f>
        <v>326</v>
      </c>
      <c r="V325" s="905" t="s">
        <v>126</v>
      </c>
      <c r="W325" s="672">
        <f>D328</f>
        <v>328</v>
      </c>
      <c r="X325" s="658"/>
      <c r="Y325" s="658"/>
      <c r="Z325" s="658"/>
      <c r="AA325" s="658"/>
      <c r="AB325" s="801"/>
      <c r="AC325" s="801"/>
      <c r="AD325" s="674"/>
      <c r="AE325" s="674"/>
      <c r="AF325" s="674"/>
      <c r="AG325" s="674"/>
      <c r="AH325" s="674"/>
      <c r="AI325" s="674"/>
      <c r="AJ325" s="674"/>
      <c r="AK325" s="674"/>
      <c r="AL325" s="674"/>
      <c r="AM325" s="674"/>
      <c r="AN325" s="674"/>
      <c r="AO325" s="674"/>
      <c r="AP325" s="674"/>
      <c r="AQ325" s="674"/>
      <c r="AR325" s="674"/>
      <c r="AS325" s="674"/>
      <c r="AT325" s="674"/>
      <c r="AU325" s="674"/>
      <c r="AV325" s="674"/>
      <c r="AX325" s="475" t="s">
        <v>244</v>
      </c>
      <c r="AY325" s="500">
        <f ca="1">DA325</f>
        <v>0</v>
      </c>
      <c r="AZ325" s="508" t="str">
        <f ca="1">HYPERLINK(DN325,DC325)</f>
        <v xml:space="preserve"> 282</v>
      </c>
      <c r="BA325" s="500">
        <f ca="1">DB325</f>
        <v>0</v>
      </c>
      <c r="BB325" s="508" t="str">
        <f ca="1">HYPERLINK(DO325,DD325)</f>
        <v xml:space="preserve"> 283</v>
      </c>
      <c r="BC325" s="475" t="str">
        <f ca="1">CY325&amp;" | "&amp;CZ325</f>
        <v>Kraftwerk | 3.1 Nutz-Anteil Stroh für Heizkraftwerke = genutzer Anteil der jährlichen Erntemenge</v>
      </c>
      <c r="BI325" s="475" t="s">
        <v>126</v>
      </c>
      <c r="BJ325" s="492" t="str">
        <f>E325</f>
        <v xml:space="preserve">Energiestrohanteil für Verstromung </v>
      </c>
      <c r="BK325" s="486">
        <f ca="1">K325</f>
        <v>100</v>
      </c>
      <c r="BL325" s="486">
        <f ca="1">M325</f>
        <v>0</v>
      </c>
      <c r="BM325" s="472">
        <f>D325</f>
        <v>325</v>
      </c>
      <c r="BN325" s="658"/>
      <c r="BO325" s="475" t="s">
        <v>251</v>
      </c>
      <c r="BP325" s="521" t="s">
        <v>400</v>
      </c>
      <c r="CU325" s="476"/>
      <c r="CV325" s="658"/>
      <c r="CW325" s="518">
        <v>68</v>
      </c>
      <c r="CY325" s="472" t="str">
        <f t="shared" ref="CY325:DO325" ca="1" si="162">INDIRECT($CX$1&amp;CY$1&amp;$CW325)</f>
        <v>Kraftwerk</v>
      </c>
      <c r="CZ325" s="472" t="str">
        <f t="shared" ca="1" si="162"/>
        <v>3.1 Nutz-Anteil Stroh für Heizkraftwerke = genutzer Anteil der jährlichen Erntemenge</v>
      </c>
      <c r="DA325" s="472">
        <f t="shared" ca="1" si="162"/>
        <v>0</v>
      </c>
      <c r="DB325" s="472">
        <f t="shared" ca="1" si="162"/>
        <v>0</v>
      </c>
      <c r="DC325" s="472" t="str">
        <f t="shared" ca="1" si="162"/>
        <v xml:space="preserve"> 282</v>
      </c>
      <c r="DD325" s="472" t="str">
        <f t="shared" ca="1" si="162"/>
        <v xml:space="preserve"> 283</v>
      </c>
      <c r="DE325" s="472" t="str">
        <f t="shared" ca="1" si="162"/>
        <v>SR30</v>
      </c>
      <c r="DF325" s="472" t="str">
        <f t="shared" ca="1" si="162"/>
        <v>SR30</v>
      </c>
      <c r="DG325" s="472" t="str">
        <f t="shared" ca="1" si="162"/>
        <v>SR</v>
      </c>
      <c r="DH325" s="472" t="str">
        <f t="shared" ca="1" si="162"/>
        <v>30</v>
      </c>
      <c r="DI325" s="472" t="str">
        <f t="shared" ca="1" si="162"/>
        <v>[SR.xls]TEXT!Z30S5</v>
      </c>
      <c r="DJ325" s="472" t="str">
        <f t="shared" ca="1" si="162"/>
        <v>SR</v>
      </c>
      <c r="DK325" s="472" t="str">
        <f t="shared" ca="1" si="162"/>
        <v>30</v>
      </c>
      <c r="DL325" s="472" t="str">
        <f t="shared" ca="1" si="162"/>
        <v>[SR.xls]TEXT!Z30S5</v>
      </c>
      <c r="DM325" s="472">
        <f t="shared" ca="1" si="162"/>
        <v>68</v>
      </c>
      <c r="DN325" s="472" t="str">
        <f t="shared" ca="1" si="162"/>
        <v>[Region.xls]PARAMETER!Z282S6</v>
      </c>
      <c r="DO325" s="472" t="str">
        <f t="shared" ca="1" si="162"/>
        <v>[Region.xls]PARAMETER!Z283S6</v>
      </c>
      <c r="DP325" s="472"/>
      <c r="DS325" s="656"/>
      <c r="DV325" s="472"/>
      <c r="DW325" s="472"/>
      <c r="DX325" s="472"/>
      <c r="DY325" s="472"/>
      <c r="DZ325" s="472"/>
      <c r="EA325" s="472"/>
      <c r="EB325" s="472"/>
      <c r="EC325" s="472"/>
      <c r="ED325" s="472"/>
      <c r="EE325" s="472"/>
      <c r="EF325" s="472"/>
      <c r="EG325" s="472"/>
      <c r="EH325" s="472"/>
      <c r="EI325" s="472"/>
      <c r="EJ325" s="472"/>
      <c r="EK325" s="472"/>
      <c r="EV325" s="819">
        <f t="shared" si="140"/>
        <v>325</v>
      </c>
      <c r="EW325" s="819"/>
    </row>
    <row r="326" spans="1:153" s="472" customFormat="1" ht="15" customHeight="1">
      <c r="A326" s="654" t="str">
        <f t="shared" ca="1" si="137"/>
        <v>D.1.326</v>
      </c>
      <c r="B326" s="654" t="str">
        <f t="shared" ca="1" si="138"/>
        <v>1.326</v>
      </c>
      <c r="C326" s="654" t="str">
        <f t="shared" si="146"/>
        <v>[326]</v>
      </c>
      <c r="D326" s="654">
        <f>ROW()</f>
        <v>326</v>
      </c>
      <c r="E326" s="1130" t="str">
        <f>CU326</f>
        <v>- STATUS-Ansatz: Einzig bekannte Nutzung von Getreidestroh ist die Verstromung [304].</v>
      </c>
      <c r="F326" s="1130"/>
      <c r="G326" s="1130"/>
      <c r="H326" s="1130"/>
      <c r="I326" s="1130"/>
      <c r="J326" s="1130"/>
      <c r="K326" s="1130"/>
      <c r="L326" s="1130"/>
      <c r="M326" s="1130"/>
      <c r="N326" s="1131"/>
      <c r="O326" s="869">
        <v>326</v>
      </c>
      <c r="P326" s="573" t="str">
        <f ca="1">HYPERLINK(EK326,EJ326)</f>
        <v/>
      </c>
      <c r="Q326" s="574" t="str">
        <f>Y326</f>
        <v xml:space="preserve"> </v>
      </c>
      <c r="R326" s="852"/>
      <c r="S326" s="784"/>
      <c r="T326" s="864"/>
      <c r="U326" s="1023" t="str">
        <f>"Einzig bekannte Nutzung von Getreidestroh ist die Verstromung "&amp;C$304&amp;"."</f>
        <v>Einzig bekannte Nutzung von Getreidestroh ist die Verstromung [304].</v>
      </c>
      <c r="V326" s="905" t="s">
        <v>126</v>
      </c>
      <c r="W326" s="1024">
        <v>100</v>
      </c>
      <c r="X326" s="672"/>
      <c r="Y326" s="672" t="s">
        <v>126</v>
      </c>
      <c r="Z326" s="1025"/>
      <c r="AA326" s="658"/>
      <c r="AB326" s="801"/>
      <c r="AC326" s="801"/>
      <c r="AD326" s="801"/>
      <c r="AE326" s="801"/>
      <c r="AF326" s="801"/>
      <c r="AG326" s="801"/>
      <c r="AH326" s="801"/>
      <c r="AI326" s="801"/>
      <c r="AJ326" s="801"/>
      <c r="AK326" s="801"/>
      <c r="AL326" s="801"/>
      <c r="AM326" s="801"/>
      <c r="AN326" s="801"/>
      <c r="AO326" s="801"/>
      <c r="AP326" s="801"/>
      <c r="AQ326" s="801"/>
      <c r="AR326" s="801"/>
      <c r="AS326" s="801"/>
      <c r="AT326" s="801"/>
      <c r="AU326" s="801"/>
      <c r="AV326" s="801"/>
      <c r="AY326" s="472">
        <f ca="1">IFERROR(AY325/AY$304%,0)</f>
        <v>0</v>
      </c>
      <c r="BA326" s="472">
        <f ca="1">IFERROR(BA325/BA$304%,0)</f>
        <v>0</v>
      </c>
      <c r="BF326" s="473"/>
      <c r="BI326" s="472" t="s">
        <v>126</v>
      </c>
      <c r="BJ326" s="490"/>
      <c r="BN326" s="656"/>
      <c r="BO326" s="472" t="s">
        <v>259</v>
      </c>
      <c r="CU326" s="480" t="str">
        <f>CG$1&amp;IF(U326="",BF326,U326)</f>
        <v>- STATUS-Ansatz: Einzig bekannte Nutzung von Getreidestroh ist die Verstromung [304].</v>
      </c>
      <c r="CV326" s="656"/>
      <c r="CW326" s="480"/>
      <c r="DS326" s="656"/>
      <c r="DT326" s="518">
        <f>I_Basisdaten!A167</f>
        <v>167</v>
      </c>
      <c r="EJ326" s="472" t="str">
        <f>IF(X326=0,"",EJ$1&amp;X326)</f>
        <v/>
      </c>
      <c r="EK326" s="472" t="str">
        <f ca="1">EK$1&amp;X326</f>
        <v>[D_Python.xlsx]9.Quellen!C</v>
      </c>
      <c r="EV326" s="819">
        <f t="shared" si="140"/>
        <v>326</v>
      </c>
      <c r="EW326" s="819"/>
    </row>
    <row r="327" spans="1:153" s="478" customFormat="1" ht="4">
      <c r="A327" s="677" t="str">
        <f t="shared" ca="1" si="137"/>
        <v>D.1.327</v>
      </c>
      <c r="B327" s="677" t="str">
        <f t="shared" ca="1" si="138"/>
        <v>1.327</v>
      </c>
      <c r="C327" s="677" t="str">
        <f t="shared" si="146"/>
        <v>[327]</v>
      </c>
      <c r="D327" s="677">
        <f>ROW()</f>
        <v>327</v>
      </c>
      <c r="E327" s="528"/>
      <c r="F327" s="528"/>
      <c r="G327" s="528"/>
      <c r="H327" s="528"/>
      <c r="I327" s="527"/>
      <c r="J327" s="527"/>
      <c r="K327" s="527"/>
      <c r="L327" s="527"/>
      <c r="M327" s="527"/>
      <c r="N327" s="528"/>
      <c r="O327" s="871">
        <v>327</v>
      </c>
      <c r="P327" s="566"/>
      <c r="Q327" s="567"/>
      <c r="R327" s="888"/>
      <c r="S327" s="802"/>
      <c r="T327" s="882"/>
      <c r="U327" s="661"/>
      <c r="V327" s="661"/>
      <c r="W327" s="661"/>
      <c r="X327" s="661"/>
      <c r="Y327" s="661"/>
      <c r="Z327" s="661"/>
      <c r="AA327" s="661"/>
      <c r="AB327" s="675"/>
      <c r="AC327" s="675"/>
      <c r="AD327" s="675"/>
      <c r="AE327" s="675"/>
      <c r="AF327" s="675"/>
      <c r="AG327" s="675"/>
      <c r="AH327" s="675"/>
      <c r="AI327" s="675"/>
      <c r="AJ327" s="675"/>
      <c r="AK327" s="675"/>
      <c r="AL327" s="675"/>
      <c r="AM327" s="675"/>
      <c r="AN327" s="675"/>
      <c r="AO327" s="675"/>
      <c r="AP327" s="675"/>
      <c r="AQ327" s="675"/>
      <c r="AR327" s="675"/>
      <c r="AS327" s="675"/>
      <c r="AT327" s="675"/>
      <c r="AU327" s="675"/>
      <c r="AV327" s="675"/>
      <c r="BI327" s="478" t="s">
        <v>126</v>
      </c>
      <c r="BJ327" s="489"/>
      <c r="BN327" s="661"/>
      <c r="CU327" s="479"/>
      <c r="CV327" s="661"/>
      <c r="CW327" s="479"/>
      <c r="DS327" s="661"/>
      <c r="EV327" s="818" t="str">
        <f t="shared" si="140"/>
        <v/>
      </c>
      <c r="EW327" s="818"/>
    </row>
    <row r="328" spans="1:153" s="472" customFormat="1" ht="39">
      <c r="A328" s="654" t="str">
        <f t="shared" ca="1" si="137"/>
        <v>D.1.328</v>
      </c>
      <c r="B328" s="654" t="str">
        <f t="shared" ca="1" si="138"/>
        <v>1.328</v>
      </c>
      <c r="C328" s="654" t="str">
        <f t="shared" si="146"/>
        <v>[328]</v>
      </c>
      <c r="D328" s="654">
        <f>ROW()</f>
        <v>328</v>
      </c>
      <c r="E328" s="1125" t="str">
        <f t="shared" ref="E328" si="163">CU328</f>
        <v xml:space="preserve">- ZIEL-Ansatz: Auf die Verstromung von Stroh wird zugunsten der Prozesswärme verzichtet, da mit dem begrenzten Brennstoffangebot nur ein marginaler Beitrag zur Stromversorgung geleistet werden könnte, selbst bei Einsatz in Regelkraftwerken.  </v>
      </c>
      <c r="F328" s="1125"/>
      <c r="G328" s="1125"/>
      <c r="H328" s="1125"/>
      <c r="I328" s="1125"/>
      <c r="J328" s="1125"/>
      <c r="K328" s="1125"/>
      <c r="L328" s="1125"/>
      <c r="M328" s="1125"/>
      <c r="N328" s="1132"/>
      <c r="O328" s="869">
        <v>328</v>
      </c>
      <c r="P328" s="573" t="str">
        <f ca="1">HYPERLINK(EK328,EJ328)</f>
        <v/>
      </c>
      <c r="Q328" s="574" t="str">
        <f>Y328</f>
        <v xml:space="preserve"> </v>
      </c>
      <c r="R328" s="852"/>
      <c r="S328" s="784"/>
      <c r="T328" s="864"/>
      <c r="U328" s="1023" t="str">
        <f>"Auf die Verstromung von Stroh wird zugunsten der Prozesswärme verzichtet, "&amp;"da mit dem begrenzten Brennstoffangebot nur ein marginaler Beitrag zur Stromversorgung geleistet werden könnte, selbst bei Einsatz in Regelkraftwerken.  "</f>
        <v xml:space="preserve">Auf die Verstromung von Stroh wird zugunsten der Prozesswärme verzichtet, da mit dem begrenzten Brennstoffangebot nur ein marginaler Beitrag zur Stromversorgung geleistet werden könnte, selbst bei Einsatz in Regelkraftwerken.  </v>
      </c>
      <c r="V328" s="905" t="s">
        <v>126</v>
      </c>
      <c r="W328" s="1024">
        <f ca="1">BA326</f>
        <v>0</v>
      </c>
      <c r="X328" s="672"/>
      <c r="Y328" s="672" t="s">
        <v>126</v>
      </c>
      <c r="Z328" s="1025"/>
      <c r="AA328" s="905"/>
      <c r="AB328" s="801"/>
      <c r="AC328" s="801"/>
      <c r="AD328" s="801"/>
      <c r="AE328" s="801"/>
      <c r="AF328" s="801"/>
      <c r="AG328" s="801"/>
      <c r="AH328" s="801"/>
      <c r="AI328" s="801"/>
      <c r="AJ328" s="801"/>
      <c r="AK328" s="801"/>
      <c r="AL328" s="801"/>
      <c r="AM328" s="801"/>
      <c r="AN328" s="801"/>
      <c r="AO328" s="801"/>
      <c r="AP328" s="801"/>
      <c r="AQ328" s="801"/>
      <c r="AR328" s="801"/>
      <c r="AS328" s="801"/>
      <c r="AT328" s="801"/>
      <c r="AU328" s="801"/>
      <c r="AV328" s="801"/>
      <c r="BF328" s="473"/>
      <c r="BI328" s="472" t="s">
        <v>126</v>
      </c>
      <c r="BJ328" s="490"/>
      <c r="BN328" s="656"/>
      <c r="BO328" s="472" t="s">
        <v>259</v>
      </c>
      <c r="CU328" s="480" t="str">
        <f>CH$1&amp;IF(U328="",BF328,U328)</f>
        <v xml:space="preserve">- ZIEL-Ansatz: Auf die Verstromung von Stroh wird zugunsten der Prozesswärme verzichtet, da mit dem begrenzten Brennstoffangebot nur ein marginaler Beitrag zur Stromversorgung geleistet werden könnte, selbst bei Einsatz in Regelkraftwerken.  </v>
      </c>
      <c r="CV328" s="656"/>
      <c r="CW328" s="480"/>
      <c r="DS328" s="656"/>
      <c r="DT328" s="518">
        <v>53</v>
      </c>
      <c r="EJ328" s="472" t="str">
        <f>IF(X328=0,"",EJ$1&amp;X328)</f>
        <v/>
      </c>
      <c r="EK328" s="472" t="str">
        <f ca="1">EK$1&amp;X328</f>
        <v>[D_Python.xlsx]9.Quellen!C</v>
      </c>
      <c r="EV328" s="819">
        <f t="shared" si="140"/>
        <v>328</v>
      </c>
      <c r="EW328" s="819"/>
    </row>
    <row r="329" spans="1:153" s="478" customFormat="1" ht="4">
      <c r="A329" s="677" t="str">
        <f t="shared" ca="1" si="137"/>
        <v>D.1.329</v>
      </c>
      <c r="B329" s="677" t="str">
        <f t="shared" ca="1" si="138"/>
        <v>1.329</v>
      </c>
      <c r="C329" s="677" t="str">
        <f t="shared" si="146"/>
        <v>[329]</v>
      </c>
      <c r="D329" s="677">
        <f>ROW()</f>
        <v>329</v>
      </c>
      <c r="E329" s="548"/>
      <c r="F329" s="548"/>
      <c r="G329" s="548"/>
      <c r="H329" s="548"/>
      <c r="I329" s="549"/>
      <c r="J329" s="549"/>
      <c r="K329" s="549"/>
      <c r="L329" s="549"/>
      <c r="M329" s="549"/>
      <c r="N329" s="548"/>
      <c r="O329" s="871">
        <v>329</v>
      </c>
      <c r="P329" s="575"/>
      <c r="Q329" s="576"/>
      <c r="R329" s="888"/>
      <c r="S329" s="802"/>
      <c r="T329" s="882"/>
      <c r="U329" s="661"/>
      <c r="V329" s="661"/>
      <c r="W329" s="661"/>
      <c r="X329" s="661"/>
      <c r="Y329" s="661"/>
      <c r="Z329" s="661"/>
      <c r="AA329" s="661"/>
      <c r="AB329" s="675"/>
      <c r="AC329" s="675"/>
      <c r="AD329" s="675"/>
      <c r="AE329" s="675"/>
      <c r="AF329" s="675"/>
      <c r="AG329" s="675"/>
      <c r="AH329" s="675"/>
      <c r="AI329" s="675"/>
      <c r="AJ329" s="675"/>
      <c r="AK329" s="675"/>
      <c r="AL329" s="675"/>
      <c r="AM329" s="675"/>
      <c r="AN329" s="675"/>
      <c r="AO329" s="675"/>
      <c r="AP329" s="675"/>
      <c r="AQ329" s="675"/>
      <c r="AR329" s="675"/>
      <c r="AS329" s="675"/>
      <c r="AT329" s="675"/>
      <c r="AU329" s="675"/>
      <c r="AV329" s="675"/>
      <c r="AZ329" s="505"/>
      <c r="BB329" s="505"/>
      <c r="BI329" s="478" t="s">
        <v>126</v>
      </c>
      <c r="BJ329" s="489"/>
      <c r="BN329" s="661"/>
      <c r="CU329" s="479"/>
      <c r="CV329" s="661"/>
      <c r="CW329" s="479"/>
      <c r="DS329" s="661"/>
      <c r="EV329" s="818" t="str">
        <f t="shared" si="140"/>
        <v/>
      </c>
      <c r="EW329" s="818"/>
    </row>
    <row r="330" spans="1:153" s="475" customFormat="1" ht="13.5" customHeight="1">
      <c r="A330" s="654" t="str">
        <f t="shared" ca="1" si="137"/>
        <v>D.1.330</v>
      </c>
      <c r="B330" s="654" t="str">
        <f t="shared" ca="1" si="138"/>
        <v>1.330</v>
      </c>
      <c r="C330" s="654" t="str">
        <f t="shared" si="146"/>
        <v>[330]</v>
      </c>
      <c r="D330" s="654">
        <f>ROW()</f>
        <v>330</v>
      </c>
      <c r="E330" s="1129" t="str">
        <f>BP330</f>
        <v>Energiestrohanteil für Wärmenetze</v>
      </c>
      <c r="F330" s="1129"/>
      <c r="G330" s="1129"/>
      <c r="H330" s="1129"/>
      <c r="I330" s="1129"/>
      <c r="J330" s="471" t="s">
        <v>38</v>
      </c>
      <c r="K330" s="557">
        <f ca="1">INDIRECT($W$1&amp;U330)</f>
        <v>0</v>
      </c>
      <c r="L330" s="485" t="str">
        <f ca="1">HYPERLINK($CK$1&amp;U330,$CE$1&amp;U330&amp;$CF$1)</f>
        <v>[331]</v>
      </c>
      <c r="M330" s="558">
        <f ca="1">INDIRECT($W$1&amp;W330)</f>
        <v>0</v>
      </c>
      <c r="N330" s="533" t="str">
        <f ca="1">HYPERLINK($CK$1&amp;W330,$CE$1&amp;W330&amp;$CF$1)</f>
        <v>[333]</v>
      </c>
      <c r="O330" s="869">
        <v>330</v>
      </c>
      <c r="P330" s="570"/>
      <c r="Q330" s="583"/>
      <c r="R330" s="887"/>
      <c r="S330" s="784"/>
      <c r="T330" s="881"/>
      <c r="U330" s="672">
        <f>D331</f>
        <v>331</v>
      </c>
      <c r="V330" s="905" t="s">
        <v>126</v>
      </c>
      <c r="W330" s="672">
        <f>D333</f>
        <v>333</v>
      </c>
      <c r="X330" s="658"/>
      <c r="Y330" s="658"/>
      <c r="Z330" s="658"/>
      <c r="AA330" s="658"/>
      <c r="AB330" s="801"/>
      <c r="AC330" s="674"/>
      <c r="AD330" s="674"/>
      <c r="AE330" s="674"/>
      <c r="AF330" s="674"/>
      <c r="AG330" s="674"/>
      <c r="AH330" s="674"/>
      <c r="AI330" s="674"/>
      <c r="AJ330" s="674"/>
      <c r="AK330" s="674"/>
      <c r="AL330" s="674"/>
      <c r="AM330" s="674"/>
      <c r="AN330" s="674"/>
      <c r="AO330" s="674"/>
      <c r="AP330" s="674"/>
      <c r="AQ330" s="674"/>
      <c r="AR330" s="674"/>
      <c r="AS330" s="674"/>
      <c r="AT330" s="674"/>
      <c r="AU330" s="674"/>
      <c r="AV330" s="674"/>
      <c r="BI330" s="475" t="s">
        <v>126</v>
      </c>
      <c r="BJ330" s="492" t="str">
        <f>E330</f>
        <v>Energiestrohanteil für Wärmenetze</v>
      </c>
      <c r="BK330" s="486">
        <f ca="1">K330</f>
        <v>0</v>
      </c>
      <c r="BL330" s="486">
        <f ca="1">M330</f>
        <v>0</v>
      </c>
      <c r="BM330" s="472">
        <f>D330</f>
        <v>330</v>
      </c>
      <c r="BN330" s="658"/>
      <c r="BO330" s="475" t="s">
        <v>251</v>
      </c>
      <c r="BP330" s="521" t="s">
        <v>407</v>
      </c>
      <c r="CU330" s="476"/>
      <c r="CV330" s="658"/>
      <c r="CW330" s="518">
        <v>57</v>
      </c>
      <c r="CY330" s="472" t="str">
        <f t="shared" ref="CY330:DO330" ca="1" si="164">INDIRECT($CX$1&amp;CY$1&amp;$CW330)</f>
        <v>Kraftwerk</v>
      </c>
      <c r="CZ330" s="472">
        <f t="shared" ca="1" si="164"/>
        <v>0</v>
      </c>
      <c r="DA330" s="472">
        <f t="shared" ca="1" si="164"/>
        <v>27.474353722141913</v>
      </c>
      <c r="DB330" s="472">
        <f t="shared" ca="1" si="164"/>
        <v>0</v>
      </c>
      <c r="DC330" s="472" t="str">
        <f t="shared" ca="1" si="164"/>
        <v xml:space="preserve"> 245</v>
      </c>
      <c r="DD330" s="472" t="str">
        <f t="shared" ca="1" si="164"/>
        <v xml:space="preserve"> 246</v>
      </c>
      <c r="DE330" s="472" t="str">
        <f t="shared" ca="1" si="164"/>
        <v>Ho97</v>
      </c>
      <c r="DF330" s="472" t="str">
        <f t="shared" ca="1" si="164"/>
        <v>Ho36</v>
      </c>
      <c r="DG330" s="472" t="str">
        <f t="shared" ca="1" si="164"/>
        <v>Ho</v>
      </c>
      <c r="DH330" s="472" t="str">
        <f t="shared" ca="1" si="164"/>
        <v>97</v>
      </c>
      <c r="DI330" s="472" t="str">
        <f t="shared" ca="1" si="164"/>
        <v>[Ho.xls]TEXT!Z97S5</v>
      </c>
      <c r="DJ330" s="472" t="str">
        <f t="shared" ca="1" si="164"/>
        <v>Ho</v>
      </c>
      <c r="DK330" s="472" t="str">
        <f t="shared" ca="1" si="164"/>
        <v>36</v>
      </c>
      <c r="DL330" s="472" t="str">
        <f t="shared" ca="1" si="164"/>
        <v>[Ho.xls]TEXT!Z36S5</v>
      </c>
      <c r="DM330" s="472">
        <f t="shared" ca="1" si="164"/>
        <v>57</v>
      </c>
      <c r="DN330" s="472" t="str">
        <f t="shared" ca="1" si="164"/>
        <v>[Region.xls]PARAMETER!Z245S6</v>
      </c>
      <c r="DO330" s="472" t="str">
        <f t="shared" ca="1" si="164"/>
        <v>[Region.xls]PARAMETER!Z246S6</v>
      </c>
      <c r="DP330" s="472"/>
      <c r="DS330" s="656"/>
      <c r="DV330" s="472"/>
      <c r="DW330" s="472"/>
      <c r="DX330" s="472"/>
      <c r="DY330" s="472"/>
      <c r="DZ330" s="472"/>
      <c r="EA330" s="472"/>
      <c r="EB330" s="472"/>
      <c r="EC330" s="472"/>
      <c r="ED330" s="472"/>
      <c r="EE330" s="472"/>
      <c r="EF330" s="472"/>
      <c r="EG330" s="472"/>
      <c r="EH330" s="472"/>
      <c r="EI330" s="472"/>
      <c r="EJ330" s="472"/>
      <c r="EK330" s="472"/>
      <c r="EV330" s="819">
        <f t="shared" si="140"/>
        <v>330</v>
      </c>
      <c r="EW330" s="819"/>
    </row>
    <row r="331" spans="1:153" s="472" customFormat="1" ht="15" customHeight="1">
      <c r="A331" s="654" t="str">
        <f t="shared" ca="1" si="137"/>
        <v>D.1.331</v>
      </c>
      <c r="B331" s="654" t="str">
        <f t="shared" ca="1" si="138"/>
        <v>1.331</v>
      </c>
      <c r="C331" s="654" t="str">
        <f t="shared" si="146"/>
        <v>[331]</v>
      </c>
      <c r="D331" s="654">
        <f>ROW()</f>
        <v>331</v>
      </c>
      <c r="E331" s="1130" t="str">
        <f>CU331</f>
        <v>- STATUS-Ansatz: (keine energetische Nutzung von Getreidestroh [304]).</v>
      </c>
      <c r="F331" s="1130"/>
      <c r="G331" s="1130"/>
      <c r="H331" s="1130"/>
      <c r="I331" s="1130"/>
      <c r="J331" s="1130"/>
      <c r="K331" s="1130"/>
      <c r="L331" s="1130"/>
      <c r="M331" s="1130"/>
      <c r="N331" s="1131"/>
      <c r="O331" s="869">
        <v>331</v>
      </c>
      <c r="P331" s="573" t="str">
        <f ca="1">HYPERLINK(EK331,EJ331)</f>
        <v/>
      </c>
      <c r="Q331" s="574" t="str">
        <f>Y331</f>
        <v xml:space="preserve"> </v>
      </c>
      <c r="R331" s="852"/>
      <c r="S331" s="784"/>
      <c r="T331" s="864"/>
      <c r="U331" s="1023" t="str">
        <f>"(keine energetische Nutzung von Getreidestroh "&amp;C$304&amp;")."</f>
        <v>(keine energetische Nutzung von Getreidestroh [304]).</v>
      </c>
      <c r="V331" s="905" t="s">
        <v>126</v>
      </c>
      <c r="W331" s="1024">
        <v>0</v>
      </c>
      <c r="X331" s="672"/>
      <c r="Y331" s="672" t="s">
        <v>126</v>
      </c>
      <c r="Z331" s="1025"/>
      <c r="AA331" s="658"/>
      <c r="AB331" s="801"/>
      <c r="AC331" s="801"/>
      <c r="AD331" s="801"/>
      <c r="AE331" s="801"/>
      <c r="AF331" s="801"/>
      <c r="AG331" s="801"/>
      <c r="AH331" s="801"/>
      <c r="AI331" s="801"/>
      <c r="AJ331" s="801"/>
      <c r="AK331" s="801"/>
      <c r="AL331" s="801"/>
      <c r="AM331" s="801"/>
      <c r="AN331" s="801"/>
      <c r="AO331" s="801"/>
      <c r="AP331" s="801"/>
      <c r="AQ331" s="801"/>
      <c r="AR331" s="801"/>
      <c r="AS331" s="801"/>
      <c r="AT331" s="801"/>
      <c r="AU331" s="801"/>
      <c r="AV331" s="801"/>
      <c r="BF331" s="473"/>
      <c r="BI331" s="472" t="s">
        <v>126</v>
      </c>
      <c r="BJ331" s="490"/>
      <c r="BN331" s="656"/>
      <c r="BO331" s="472" t="s">
        <v>259</v>
      </c>
      <c r="CU331" s="480" t="str">
        <f>CG$1&amp;IF(U331="",BF331,U331)</f>
        <v>- STATUS-Ansatz: (keine energetische Nutzung von Getreidestroh [304]).</v>
      </c>
      <c r="CV331" s="656"/>
      <c r="CW331" s="480"/>
      <c r="DS331" s="656"/>
      <c r="DT331" s="518">
        <f>I_Basisdaten!A167</f>
        <v>167</v>
      </c>
      <c r="EJ331" s="472" t="str">
        <f>IF(X331=0,"",EJ$1&amp;X331)</f>
        <v/>
      </c>
      <c r="EK331" s="472" t="str">
        <f ca="1">EK$1&amp;X331</f>
        <v>[D_Python.xlsx]9.Quellen!C</v>
      </c>
      <c r="EV331" s="819">
        <f t="shared" si="140"/>
        <v>331</v>
      </c>
      <c r="EW331" s="819"/>
    </row>
    <row r="332" spans="1:153" s="478" customFormat="1" ht="4">
      <c r="A332" s="677" t="str">
        <f t="shared" ca="1" si="137"/>
        <v>D.1.332</v>
      </c>
      <c r="B332" s="677" t="str">
        <f t="shared" ca="1" si="138"/>
        <v>1.332</v>
      </c>
      <c r="C332" s="677" t="str">
        <f t="shared" si="146"/>
        <v>[332]</v>
      </c>
      <c r="D332" s="677">
        <f>ROW()</f>
        <v>332</v>
      </c>
      <c r="E332" s="528"/>
      <c r="F332" s="528"/>
      <c r="G332" s="528"/>
      <c r="H332" s="528"/>
      <c r="I332" s="527"/>
      <c r="J332" s="527"/>
      <c r="K332" s="527"/>
      <c r="L332" s="527"/>
      <c r="M332" s="527"/>
      <c r="N332" s="528"/>
      <c r="O332" s="871">
        <v>332</v>
      </c>
      <c r="P332" s="566"/>
      <c r="Q332" s="567"/>
      <c r="R332" s="888"/>
      <c r="S332" s="802"/>
      <c r="T332" s="882"/>
      <c r="U332" s="661"/>
      <c r="V332" s="661"/>
      <c r="W332" s="661"/>
      <c r="X332" s="661"/>
      <c r="Y332" s="661"/>
      <c r="Z332" s="661"/>
      <c r="AA332" s="661"/>
      <c r="AB332" s="675"/>
      <c r="AC332" s="675"/>
      <c r="AD332" s="675"/>
      <c r="AE332" s="675"/>
      <c r="AF332" s="675"/>
      <c r="AG332" s="675"/>
      <c r="AH332" s="675"/>
      <c r="AI332" s="675"/>
      <c r="AJ332" s="675"/>
      <c r="AK332" s="675"/>
      <c r="AL332" s="675"/>
      <c r="AM332" s="675"/>
      <c r="AN332" s="675"/>
      <c r="AO332" s="675"/>
      <c r="AP332" s="675"/>
      <c r="AQ332" s="675"/>
      <c r="AR332" s="675"/>
      <c r="AS332" s="675"/>
      <c r="AT332" s="675"/>
      <c r="AU332" s="675"/>
      <c r="AV332" s="675"/>
      <c r="BI332" s="478" t="s">
        <v>126</v>
      </c>
      <c r="BJ332" s="489"/>
      <c r="BN332" s="661"/>
      <c r="CU332" s="479"/>
      <c r="CV332" s="661"/>
      <c r="CW332" s="479"/>
      <c r="DS332" s="661"/>
      <c r="EV332" s="818" t="str">
        <f t="shared" si="140"/>
        <v/>
      </c>
      <c r="EW332" s="818"/>
    </row>
    <row r="333" spans="1:153" s="472" customFormat="1" ht="39">
      <c r="A333" s="654" t="str">
        <f t="shared" ca="1" si="137"/>
        <v>D.1.333</v>
      </c>
      <c r="B333" s="654" t="str">
        <f t="shared" ca="1" si="138"/>
        <v>1.333</v>
      </c>
      <c r="C333" s="654" t="str">
        <f t="shared" si="146"/>
        <v>[333]</v>
      </c>
      <c r="D333" s="654">
        <f>ROW()</f>
        <v>333</v>
      </c>
      <c r="E333" s="1125" t="str">
        <f>CU333</f>
        <v>- ZIEL-Ansatz: Reine Biomasse-Heizwerke zur Versorgung mit Gebäudewärme über Wärmenetze erscheinen für die Zukunft nicht sinnvoll, vorzuziehen ist die Verwendung des begrenzten Brennstoffanfalls für anspruchsvollere Anwendungsbereiche wie Prozesswärme oder Stromerzeugung.</v>
      </c>
      <c r="F333" s="1125"/>
      <c r="G333" s="1125"/>
      <c r="H333" s="1125"/>
      <c r="I333" s="1125"/>
      <c r="J333" s="1125"/>
      <c r="K333" s="1125"/>
      <c r="L333" s="1125"/>
      <c r="M333" s="1125"/>
      <c r="N333" s="1132"/>
      <c r="O333" s="869">
        <v>333</v>
      </c>
      <c r="P333" s="573" t="str">
        <f ca="1">HYPERLINK(EK333,EJ333)</f>
        <v/>
      </c>
      <c r="Q333" s="574" t="str">
        <f>Y333</f>
        <v xml:space="preserve"> </v>
      </c>
      <c r="R333" s="852"/>
      <c r="S333" s="784"/>
      <c r="T333" s="864"/>
      <c r="U333" s="1023" t="str">
        <f>"Reine Biomasse-Heizwerke zur Versorgung mit Gebäudewärme über Wärmenetze erscheinen für die Zukunft nicht sinnvoll, "&amp;"vorzuziehen ist die Verwendung des begrenzten Brennstoffanfalls für anspruchsvollere Anwendungsbereiche wie Prozesswärme oder Stromerzeugung."</f>
        <v>Reine Biomasse-Heizwerke zur Versorgung mit Gebäudewärme über Wärmenetze erscheinen für die Zukunft nicht sinnvoll, vorzuziehen ist die Verwendung des begrenzten Brennstoffanfalls für anspruchsvollere Anwendungsbereiche wie Prozesswärme oder Stromerzeugung.</v>
      </c>
      <c r="V333" s="905" t="s">
        <v>126</v>
      </c>
      <c r="W333" s="1024">
        <v>0</v>
      </c>
      <c r="X333" s="672"/>
      <c r="Y333" s="672" t="s">
        <v>126</v>
      </c>
      <c r="Z333" s="1025"/>
      <c r="AA333" s="905"/>
      <c r="AB333" s="801"/>
      <c r="AC333" s="801"/>
      <c r="AD333" s="801"/>
      <c r="AE333" s="801"/>
      <c r="AF333" s="801"/>
      <c r="AG333" s="801"/>
      <c r="AH333" s="801"/>
      <c r="AI333" s="801"/>
      <c r="AJ333" s="801"/>
      <c r="AK333" s="801"/>
      <c r="AL333" s="801"/>
      <c r="AM333" s="801"/>
      <c r="AN333" s="801"/>
      <c r="AO333" s="801"/>
      <c r="AP333" s="801"/>
      <c r="AQ333" s="801"/>
      <c r="AR333" s="801"/>
      <c r="AS333" s="801"/>
      <c r="AT333" s="801"/>
      <c r="AU333" s="801"/>
      <c r="AV333" s="801"/>
      <c r="BF333" s="473"/>
      <c r="BI333" s="472" t="s">
        <v>126</v>
      </c>
      <c r="BJ333" s="490"/>
      <c r="BN333" s="656"/>
      <c r="BO333" s="472" t="s">
        <v>259</v>
      </c>
      <c r="CU333" s="480" t="str">
        <f>CH$1&amp;IF(U333="",BF333,U333)</f>
        <v>- ZIEL-Ansatz: Reine Biomasse-Heizwerke zur Versorgung mit Gebäudewärme über Wärmenetze erscheinen für die Zukunft nicht sinnvoll, vorzuziehen ist die Verwendung des begrenzten Brennstoffanfalls für anspruchsvollere Anwendungsbereiche wie Prozesswärme oder Stromerzeugung.</v>
      </c>
      <c r="CV333" s="656"/>
      <c r="CW333" s="480"/>
      <c r="DS333" s="656"/>
      <c r="DT333" s="518">
        <v>53</v>
      </c>
      <c r="EJ333" s="472" t="str">
        <f>IF(X333=0,"",EJ$1&amp;X333)</f>
        <v/>
      </c>
      <c r="EK333" s="472" t="str">
        <f ca="1">EK$1&amp;X333</f>
        <v>[D_Python.xlsx]9.Quellen!C</v>
      </c>
      <c r="EV333" s="819">
        <f t="shared" si="140"/>
        <v>333</v>
      </c>
      <c r="EW333" s="819"/>
    </row>
    <row r="334" spans="1:153" s="528" customFormat="1" ht="4">
      <c r="A334" s="540" t="str">
        <f t="shared" ca="1" si="137"/>
        <v>D.1.334</v>
      </c>
      <c r="B334" s="540" t="str">
        <f t="shared" ca="1" si="138"/>
        <v>1.334</v>
      </c>
      <c r="C334" s="540" t="str">
        <f t="shared" si="146"/>
        <v>[334]</v>
      </c>
      <c r="D334" s="540">
        <f>ROW()</f>
        <v>334</v>
      </c>
      <c r="I334" s="527"/>
      <c r="J334" s="527"/>
      <c r="K334" s="527"/>
      <c r="L334" s="527"/>
      <c r="M334" s="527"/>
      <c r="O334" s="870">
        <v>334</v>
      </c>
      <c r="P334" s="566"/>
      <c r="Q334" s="567"/>
      <c r="R334" s="889"/>
      <c r="S334" s="802"/>
      <c r="T334" s="883"/>
      <c r="U334" s="661"/>
      <c r="V334" s="661"/>
      <c r="W334" s="661"/>
      <c r="X334" s="661"/>
      <c r="Y334" s="661"/>
      <c r="Z334" s="661"/>
      <c r="AA334" s="661"/>
      <c r="AB334" s="675"/>
      <c r="AC334" s="675"/>
      <c r="AD334" s="675"/>
      <c r="AE334" s="675"/>
      <c r="AF334" s="675"/>
      <c r="AG334" s="675"/>
      <c r="AH334" s="675"/>
      <c r="AI334" s="675"/>
      <c r="AJ334" s="675"/>
      <c r="AK334" s="675"/>
      <c r="AL334" s="675"/>
      <c r="AM334" s="675"/>
      <c r="AN334" s="675"/>
      <c r="AO334" s="675"/>
      <c r="AP334" s="675"/>
      <c r="AQ334" s="675"/>
      <c r="AR334" s="675"/>
      <c r="AS334" s="675"/>
      <c r="AT334" s="675"/>
      <c r="AU334" s="675"/>
      <c r="AV334" s="675"/>
      <c r="AZ334" s="541"/>
      <c r="BB334" s="541"/>
      <c r="BI334" s="528" t="s">
        <v>126</v>
      </c>
      <c r="BJ334" s="542"/>
      <c r="BN334" s="680"/>
      <c r="CU334" s="543"/>
      <c r="CV334" s="680"/>
      <c r="CW334" s="543"/>
      <c r="DS334" s="680"/>
      <c r="EV334" s="820" t="str">
        <f t="shared" si="140"/>
        <v/>
      </c>
      <c r="EW334" s="820"/>
    </row>
    <row r="335" spans="1:153" s="472" customFormat="1" ht="13">
      <c r="A335" s="654" t="str">
        <f t="shared" ref="A335:A398" ca="1" si="165">BT$1&amp;D335</f>
        <v>D.1.335</v>
      </c>
      <c r="B335" s="654" t="str">
        <f t="shared" ref="B335:B398" ca="1" si="166">BW$1&amp;D335</f>
        <v>1.335</v>
      </c>
      <c r="C335" s="654" t="str">
        <f t="shared" si="146"/>
        <v>[335]</v>
      </c>
      <c r="D335" s="654">
        <f>ROW()</f>
        <v>335</v>
      </c>
      <c r="E335" s="481" t="str">
        <f>BP335</f>
        <v>Verstromung biogene Brennstoffe (fest)</v>
      </c>
      <c r="F335" s="482"/>
      <c r="G335" s="482"/>
      <c r="H335" s="482"/>
      <c r="I335" s="483"/>
      <c r="J335" s="484"/>
      <c r="K335" s="484"/>
      <c r="L335" s="484"/>
      <c r="M335" s="484"/>
      <c r="N335" s="532"/>
      <c r="O335" s="869">
        <v>335</v>
      </c>
      <c r="P335" s="568"/>
      <c r="Q335" s="569"/>
      <c r="R335" s="852"/>
      <c r="S335" s="804"/>
      <c r="T335" s="864"/>
      <c r="U335" s="905"/>
      <c r="V335" s="905"/>
      <c r="W335" s="905"/>
      <c r="X335" s="905"/>
      <c r="Y335" s="905"/>
      <c r="Z335" s="905"/>
      <c r="AA335" s="905"/>
      <c r="AB335" s="801"/>
      <c r="AC335" s="801"/>
      <c r="AD335" s="801"/>
      <c r="AE335" s="801"/>
      <c r="AF335" s="801"/>
      <c r="AG335" s="801"/>
      <c r="AH335" s="801"/>
      <c r="AI335" s="801"/>
      <c r="AJ335" s="801"/>
      <c r="AK335" s="801"/>
      <c r="AL335" s="801"/>
      <c r="AM335" s="801"/>
      <c r="AN335" s="801"/>
      <c r="AO335" s="801"/>
      <c r="AP335" s="801"/>
      <c r="AQ335" s="801"/>
      <c r="AR335" s="801"/>
      <c r="AS335" s="801"/>
      <c r="AT335" s="801"/>
      <c r="AU335" s="801"/>
      <c r="AV335" s="801"/>
      <c r="AZ335" s="504"/>
      <c r="BB335" s="506"/>
      <c r="BI335" s="472" t="s">
        <v>126</v>
      </c>
      <c r="BJ335" s="490"/>
      <c r="BN335" s="656"/>
      <c r="BO335" s="472" t="s">
        <v>250</v>
      </c>
      <c r="BP335" s="518" t="s">
        <v>404</v>
      </c>
      <c r="CU335" s="480"/>
      <c r="CV335" s="656"/>
      <c r="CW335" s="480"/>
      <c r="DS335" s="656"/>
      <c r="EV335" s="819">
        <f t="shared" ref="EV335:EV398" si="167">IF(U335&amp;BP335="","",D335)</f>
        <v>335</v>
      </c>
      <c r="EW335" s="819"/>
    </row>
    <row r="336" spans="1:153" s="478" customFormat="1" ht="4">
      <c r="A336" s="677" t="str">
        <f t="shared" ca="1" si="165"/>
        <v>D.1.336</v>
      </c>
      <c r="B336" s="677" t="str">
        <f t="shared" ca="1" si="166"/>
        <v>1.336</v>
      </c>
      <c r="C336" s="677" t="str">
        <f t="shared" si="146"/>
        <v>[336]</v>
      </c>
      <c r="D336" s="677">
        <f>ROW()</f>
        <v>336</v>
      </c>
      <c r="E336" s="528"/>
      <c r="F336" s="528"/>
      <c r="G336" s="528"/>
      <c r="H336" s="528"/>
      <c r="I336" s="527"/>
      <c r="J336" s="527"/>
      <c r="K336" s="527"/>
      <c r="L336" s="527"/>
      <c r="M336" s="527"/>
      <c r="N336" s="528"/>
      <c r="O336" s="871">
        <v>336</v>
      </c>
      <c r="P336" s="566"/>
      <c r="Q336" s="567"/>
      <c r="R336" s="888"/>
      <c r="S336" s="802"/>
      <c r="T336" s="882"/>
      <c r="U336" s="661"/>
      <c r="V336" s="661"/>
      <c r="W336" s="661"/>
      <c r="X336" s="661"/>
      <c r="Y336" s="661"/>
      <c r="Z336" s="661"/>
      <c r="AA336" s="661"/>
      <c r="AB336" s="675"/>
      <c r="AC336" s="675"/>
      <c r="AD336" s="675"/>
      <c r="AE336" s="675"/>
      <c r="AF336" s="675"/>
      <c r="AG336" s="675"/>
      <c r="AH336" s="675"/>
      <c r="AI336" s="675"/>
      <c r="AJ336" s="675"/>
      <c r="AK336" s="675"/>
      <c r="AL336" s="675"/>
      <c r="AM336" s="675"/>
      <c r="AN336" s="675"/>
      <c r="AO336" s="675"/>
      <c r="AP336" s="675"/>
      <c r="AQ336" s="675"/>
      <c r="AR336" s="675"/>
      <c r="AS336" s="675"/>
      <c r="AT336" s="675"/>
      <c r="AU336" s="675"/>
      <c r="AV336" s="675"/>
      <c r="AZ336" s="505"/>
      <c r="BB336" s="505"/>
      <c r="BI336" s="478" t="s">
        <v>126</v>
      </c>
      <c r="BJ336" s="489"/>
      <c r="BN336" s="661"/>
      <c r="CU336" s="479"/>
      <c r="CV336" s="661"/>
      <c r="CW336" s="479"/>
      <c r="DS336" s="661"/>
      <c r="EV336" s="818" t="str">
        <f t="shared" si="167"/>
        <v/>
      </c>
      <c r="EW336" s="818"/>
    </row>
    <row r="337" spans="1:153" s="475" customFormat="1" ht="13.5" customHeight="1">
      <c r="A337" s="654" t="str">
        <f t="shared" ca="1" si="165"/>
        <v>D.1.337</v>
      </c>
      <c r="B337" s="654" t="str">
        <f t="shared" ca="1" si="166"/>
        <v>1.337</v>
      </c>
      <c r="C337" s="654" t="str">
        <f t="shared" si="146"/>
        <v>[337]</v>
      </c>
      <c r="D337" s="654">
        <f>ROW()</f>
        <v>337</v>
      </c>
      <c r="E337" s="1129" t="str">
        <f>BP337</f>
        <v>Strom aus Brennstoffen (fest) - Nutzungsgrad</v>
      </c>
      <c r="F337" s="1129"/>
      <c r="G337" s="1129"/>
      <c r="H337" s="1129"/>
      <c r="I337" s="1129"/>
      <c r="J337" s="559" t="s">
        <v>38</v>
      </c>
      <c r="K337" s="557">
        <f ca="1">INDIRECT($W$1&amp;U337)</f>
        <v>28</v>
      </c>
      <c r="L337" s="485" t="str">
        <f ca="1">HYPERLINK($CK$1&amp;U337,$CE$1&amp;U337&amp;$CF$1)</f>
        <v>[338]</v>
      </c>
      <c r="M337" s="558">
        <f ca="1">INDIRECT($W$1&amp;W337)</f>
        <v>36.200000000000003</v>
      </c>
      <c r="N337" s="533" t="str">
        <f ca="1">HYPERLINK($CK$1&amp;W337,$CE$1&amp;W337&amp;$CF$1)</f>
        <v>[342]</v>
      </c>
      <c r="O337" s="869">
        <v>337</v>
      </c>
      <c r="P337" s="570"/>
      <c r="Q337" s="583"/>
      <c r="R337" s="852"/>
      <c r="S337" s="784"/>
      <c r="T337" s="864"/>
      <c r="U337" s="672">
        <f>D338</f>
        <v>338</v>
      </c>
      <c r="V337" s="905" t="s">
        <v>126</v>
      </c>
      <c r="W337" s="672">
        <f>D342</f>
        <v>342</v>
      </c>
      <c r="X337" s="658"/>
      <c r="Y337" s="658"/>
      <c r="Z337" s="658"/>
      <c r="AA337" s="658"/>
      <c r="AB337" s="801"/>
      <c r="AC337" s="801"/>
      <c r="AD337" s="674"/>
      <c r="AE337" s="674"/>
      <c r="AF337" s="674"/>
      <c r="AG337" s="674"/>
      <c r="AH337" s="674"/>
      <c r="AI337" s="674"/>
      <c r="AJ337" s="674"/>
      <c r="AK337" s="674"/>
      <c r="AL337" s="674"/>
      <c r="AM337" s="674"/>
      <c r="AN337" s="674"/>
      <c r="AO337" s="674"/>
      <c r="AP337" s="674"/>
      <c r="AQ337" s="674"/>
      <c r="AR337" s="674"/>
      <c r="AS337" s="674"/>
      <c r="AT337" s="674"/>
      <c r="AU337" s="674"/>
      <c r="AV337" s="674"/>
      <c r="AX337" s="475" t="s">
        <v>244</v>
      </c>
      <c r="AY337" s="500">
        <f ca="1">DA337</f>
        <v>6.9148298014485654</v>
      </c>
      <c r="AZ337" s="508" t="str">
        <f ca="1">HYPERLINK(DN337,DC337)</f>
        <v xml:space="preserve"> 251</v>
      </c>
      <c r="BA337" s="500">
        <f ca="1">DB337</f>
        <v>6.9148298014485654</v>
      </c>
      <c r="BB337" s="508" t="str">
        <f ca="1">HYPERLINK(DO337,DD337)</f>
        <v xml:space="preserve"> 252</v>
      </c>
      <c r="BC337" s="475" t="str">
        <f ca="1">CY337&amp;" | "&amp;CZ337</f>
        <v>Strom | 3.2.1 Energieertrag Strom aus Holz</v>
      </c>
      <c r="BI337" s="475" t="s">
        <v>126</v>
      </c>
      <c r="BJ337" s="492" t="str">
        <f>E337</f>
        <v>Strom aus Brennstoffen (fest) - Nutzungsgrad</v>
      </c>
      <c r="BK337" s="486">
        <f ca="1">K337</f>
        <v>28</v>
      </c>
      <c r="BL337" s="486">
        <f ca="1">M337</f>
        <v>36.200000000000003</v>
      </c>
      <c r="BM337" s="472">
        <f>D337</f>
        <v>337</v>
      </c>
      <c r="BN337" s="658"/>
      <c r="BO337" s="475" t="s">
        <v>251</v>
      </c>
      <c r="BP337" s="521" t="s">
        <v>402</v>
      </c>
      <c r="CU337" s="476"/>
      <c r="CV337" s="658"/>
      <c r="CW337" s="518">
        <v>58</v>
      </c>
      <c r="CY337" s="472" t="str">
        <f t="shared" ref="CY337:DO337" ca="1" si="168">INDIRECT($CX$1&amp;CY$1&amp;$CW337)</f>
        <v>Strom</v>
      </c>
      <c r="CZ337" s="472" t="str">
        <f t="shared" ca="1" si="168"/>
        <v>3.2.1 Energieertrag Strom aus Holz</v>
      </c>
      <c r="DA337" s="472">
        <f t="shared" ca="1" si="168"/>
        <v>6.9148298014485654</v>
      </c>
      <c r="DB337" s="472">
        <f t="shared" ca="1" si="168"/>
        <v>6.9148298014485654</v>
      </c>
      <c r="DC337" s="472" t="str">
        <f t="shared" ca="1" si="168"/>
        <v xml:space="preserve"> 251</v>
      </c>
      <c r="DD337" s="472" t="str">
        <f t="shared" ca="1" si="168"/>
        <v xml:space="preserve"> 252</v>
      </c>
      <c r="DE337" s="472" t="str">
        <f t="shared" ca="1" si="168"/>
        <v>Ho71</v>
      </c>
      <c r="DF337" s="472" t="str">
        <f t="shared" ca="1" si="168"/>
        <v>Ho81</v>
      </c>
      <c r="DG337" s="472" t="str">
        <f t="shared" ca="1" si="168"/>
        <v>Ho</v>
      </c>
      <c r="DH337" s="472" t="str">
        <f t="shared" ca="1" si="168"/>
        <v>71</v>
      </c>
      <c r="DI337" s="472" t="str">
        <f t="shared" ca="1" si="168"/>
        <v>[Ho.xls]TEXT!Z71S5</v>
      </c>
      <c r="DJ337" s="472" t="str">
        <f t="shared" ca="1" si="168"/>
        <v>Ho</v>
      </c>
      <c r="DK337" s="472" t="str">
        <f t="shared" ca="1" si="168"/>
        <v>81</v>
      </c>
      <c r="DL337" s="472" t="str">
        <f t="shared" ca="1" si="168"/>
        <v>[Ho.xls]TEXT!Z81S5</v>
      </c>
      <c r="DM337" s="472">
        <f t="shared" ca="1" si="168"/>
        <v>58</v>
      </c>
      <c r="DN337" s="472" t="str">
        <f t="shared" ca="1" si="168"/>
        <v>[Region.xls]PARAMETER!Z251S6</v>
      </c>
      <c r="DO337" s="472" t="str">
        <f t="shared" ca="1" si="168"/>
        <v>[Region.xls]PARAMETER!Z252S6</v>
      </c>
      <c r="DP337" s="472"/>
      <c r="DS337" s="656"/>
      <c r="DV337" s="472"/>
      <c r="DW337" s="472"/>
      <c r="DX337" s="472"/>
      <c r="DY337" s="472"/>
      <c r="DZ337" s="472"/>
      <c r="EA337" s="472"/>
      <c r="EB337" s="472"/>
      <c r="EC337" s="472"/>
      <c r="ED337" s="472"/>
      <c r="EE337" s="472"/>
      <c r="EF337" s="472"/>
      <c r="EG337" s="472"/>
      <c r="EH337" s="472"/>
      <c r="EI337" s="472"/>
      <c r="EJ337" s="472"/>
      <c r="EK337" s="472"/>
      <c r="EV337" s="819">
        <f t="shared" si="167"/>
        <v>337</v>
      </c>
      <c r="EW337" s="819"/>
    </row>
    <row r="338" spans="1:153" s="472" customFormat="1" ht="39">
      <c r="A338" s="654" t="str">
        <f t="shared" ca="1" si="165"/>
        <v>D.1.338</v>
      </c>
      <c r="B338" s="654" t="str">
        <f t="shared" ca="1" si="166"/>
        <v>1.338</v>
      </c>
      <c r="C338" s="654" t="str">
        <f t="shared" si="146"/>
        <v>[338]</v>
      </c>
      <c r="D338" s="654">
        <f>ROW()</f>
        <v>338</v>
      </c>
      <c r="E338" s="1130" t="str">
        <f>CU338</f>
        <v xml:space="preserve">- STATUS-Ansatz: Angaben zum Durchschnitt des Nutzungsgrades waren direkt weder für Niedersachsen noch für Deutschland verfügbar. Ersatzweise erfolgte eine Annahme von 28% el. unter Orientierung an zwei konkreten Anlagen innerhalb des Effizienz-Spektrums [339], [340]. </v>
      </c>
      <c r="F338" s="1130"/>
      <c r="G338" s="1130"/>
      <c r="H338" s="1130"/>
      <c r="I338" s="1130"/>
      <c r="J338" s="1130"/>
      <c r="K338" s="1130"/>
      <c r="L338" s="1130"/>
      <c r="M338" s="1130"/>
      <c r="N338" s="1131"/>
      <c r="O338" s="869">
        <v>338</v>
      </c>
      <c r="P338" s="573" t="str">
        <f ca="1">HYPERLINK(EK338,EJ338)</f>
        <v/>
      </c>
      <c r="Q338" s="574" t="str">
        <f>Y338</f>
        <v xml:space="preserve"> </v>
      </c>
      <c r="R338" s="852"/>
      <c r="S338" s="784"/>
      <c r="T338" s="864"/>
      <c r="U338" s="1023" t="str">
        <f>"Angaben zum Durchschnitt des Nutzungsgrades waren direkt weder für Niedersachsen noch für Deutschland verfügbar. Ersatzweise erfolgte eine Annahme von "&amp;AD338&amp;AE338&amp;" unter Orientierung an zwei konkreten Anlagen innerhalb des Effizienz-Spektrums "&amp;C339&amp;", "&amp;C340&amp;". "</f>
        <v xml:space="preserve">Angaben zum Durchschnitt des Nutzungsgrades waren direkt weder für Niedersachsen noch für Deutschland verfügbar. Ersatzweise erfolgte eine Annahme von 28% el. unter Orientierung an zwei konkreten Anlagen innerhalb des Effizienz-Spektrums [339], [340]. </v>
      </c>
      <c r="V338" s="905" t="s">
        <v>126</v>
      </c>
      <c r="W338" s="1034">
        <f>AD338</f>
        <v>28</v>
      </c>
      <c r="X338" s="672"/>
      <c r="Y338" s="672" t="s">
        <v>126</v>
      </c>
      <c r="Z338" s="1025"/>
      <c r="AA338" s="658"/>
      <c r="AB338" s="801"/>
      <c r="AC338" s="801"/>
      <c r="AD338" s="801">
        <v>28</v>
      </c>
      <c r="AE338" s="801" t="s">
        <v>439</v>
      </c>
      <c r="AF338" s="801"/>
      <c r="AG338" s="801"/>
      <c r="AH338" s="801"/>
      <c r="AI338" s="801"/>
      <c r="AJ338" s="801"/>
      <c r="AK338" s="801"/>
      <c r="AL338" s="801"/>
      <c r="AM338" s="801"/>
      <c r="AN338" s="801"/>
      <c r="AO338" s="801"/>
      <c r="AP338" s="801"/>
      <c r="AQ338" s="801"/>
      <c r="AR338" s="801"/>
      <c r="AS338" s="801"/>
      <c r="AT338" s="801"/>
      <c r="AU338" s="801"/>
      <c r="AV338" s="801"/>
      <c r="AY338" s="472">
        <f ca="1">AY337/AY$257%</f>
        <v>34.285714285714285</v>
      </c>
      <c r="BA338" s="472">
        <f ca="1">BA337/BA$257%</f>
        <v>34.285714285714285</v>
      </c>
      <c r="BF338" s="473"/>
      <c r="BI338" s="472" t="s">
        <v>126</v>
      </c>
      <c r="BJ338" s="490"/>
      <c r="BN338" s="656"/>
      <c r="BO338" s="472" t="s">
        <v>259</v>
      </c>
      <c r="CU338" s="480" t="str">
        <f>CG$1&amp;IF(U338="",BF338,U338)</f>
        <v xml:space="preserve">- STATUS-Ansatz: Angaben zum Durchschnitt des Nutzungsgrades waren direkt weder für Niedersachsen noch für Deutschland verfügbar. Ersatzweise erfolgte eine Annahme von 28% el. unter Orientierung an zwei konkreten Anlagen innerhalb des Effizienz-Spektrums [339], [340]. </v>
      </c>
      <c r="CV338" s="656"/>
      <c r="CW338" s="480"/>
      <c r="DS338" s="656"/>
      <c r="DT338" s="518">
        <f>I_Basisdaten!A137</f>
        <v>137</v>
      </c>
      <c r="EJ338" s="472" t="str">
        <f>IF(X338=0,"",EJ$1&amp;X338)</f>
        <v/>
      </c>
      <c r="EK338" s="472" t="str">
        <f ca="1">EK$1&amp;X338</f>
        <v>[D_Python.xlsx]9.Quellen!C</v>
      </c>
      <c r="EV338" s="819">
        <f t="shared" si="167"/>
        <v>338</v>
      </c>
      <c r="EW338" s="819"/>
    </row>
    <row r="339" spans="1:153" s="472" customFormat="1" ht="36" customHeight="1">
      <c r="A339" s="654" t="str">
        <f t="shared" ca="1" si="165"/>
        <v>D.1.339</v>
      </c>
      <c r="B339" s="654" t="str">
        <f t="shared" ca="1" si="166"/>
        <v>1.339</v>
      </c>
      <c r="C339" s="654" t="str">
        <f t="shared" si="146"/>
        <v>[339]</v>
      </c>
      <c r="D339" s="654">
        <f>ROW()</f>
        <v>339</v>
      </c>
      <c r="E339" s="1130" t="str">
        <f ca="1">CU339</f>
        <v>Aus den Betriebsdaten eines 2009 in Langelsheim in Betrieb genommenen Biomasse-Heizkraftwerkes lässt sich auf einen Jahresnutzungsgrad von 20,5% el. und 36,6% therm. schließen, dies ergab eine Auswertung in [9.211], Ho69.</v>
      </c>
      <c r="F339" s="1130"/>
      <c r="G339" s="1130"/>
      <c r="H339" s="1130"/>
      <c r="I339" s="1130"/>
      <c r="J339" s="1130"/>
      <c r="K339" s="1130"/>
      <c r="L339" s="1130"/>
      <c r="M339" s="1130"/>
      <c r="N339" s="1131"/>
      <c r="O339" s="869">
        <v>339</v>
      </c>
      <c r="P339" s="573" t="str">
        <f ca="1">HYPERLINK(EK339,EJ339)</f>
        <v>9.211</v>
      </c>
      <c r="Q339" s="574" t="str">
        <f>Y339</f>
        <v>Ho69</v>
      </c>
      <c r="R339" s="852"/>
      <c r="S339" s="784"/>
      <c r="T339" s="864"/>
      <c r="U339" s="1033" t="str">
        <f ca="1">"Aus den Betriebsdaten eines 2009 in Langelsheim in Betrieb genommenen Biomasse-Heizkraftwerkes lässt sich auf einen Jahresnutzungsgrad von "&amp;AD339&amp;AE339&amp;" und "&amp;AF339&amp;AG339&amp;" schließen, dies ergab eine Auswertung in ["&amp;P339&amp;"], "&amp;Q339&amp;"."</f>
        <v>Aus den Betriebsdaten eines 2009 in Langelsheim in Betrieb genommenen Biomasse-Heizkraftwerkes lässt sich auf einen Jahresnutzungsgrad von 20,5% el. und 36,6% therm. schließen, dies ergab eine Auswertung in [9.211], Ho69.</v>
      </c>
      <c r="V339" s="905" t="s">
        <v>126</v>
      </c>
      <c r="W339" s="1034">
        <f>AD339</f>
        <v>20.5</v>
      </c>
      <c r="X339" s="672">
        <f>'9.Quellen'!C211</f>
        <v>211</v>
      </c>
      <c r="Y339" s="672" t="s">
        <v>434</v>
      </c>
      <c r="Z339" s="1025"/>
      <c r="AA339" s="905"/>
      <c r="AB339" s="801"/>
      <c r="AC339" s="801"/>
      <c r="AD339" s="801">
        <v>20.5</v>
      </c>
      <c r="AE339" s="801" t="s">
        <v>439</v>
      </c>
      <c r="AF339" s="801">
        <v>36.6</v>
      </c>
      <c r="AG339" s="801" t="s">
        <v>435</v>
      </c>
      <c r="AH339" s="801"/>
      <c r="AI339" s="801"/>
      <c r="AJ339" s="801"/>
      <c r="AK339" s="801"/>
      <c r="AL339" s="801"/>
      <c r="AM339" s="801"/>
      <c r="AN339" s="801"/>
      <c r="AO339" s="801"/>
      <c r="AP339" s="801"/>
      <c r="AQ339" s="801"/>
      <c r="AR339" s="801"/>
      <c r="AS339" s="801"/>
      <c r="AT339" s="801"/>
      <c r="AU339" s="801"/>
      <c r="AV339" s="801"/>
      <c r="BF339" s="473"/>
      <c r="BI339" s="472" t="s">
        <v>126</v>
      </c>
      <c r="BJ339" s="490"/>
      <c r="BN339" s="656"/>
      <c r="BO339" s="472" t="s">
        <v>252</v>
      </c>
      <c r="CU339" s="480" t="str">
        <f ca="1">IF(U339="",BF339,U339)</f>
        <v>Aus den Betriebsdaten eines 2009 in Langelsheim in Betrieb genommenen Biomasse-Heizkraftwerkes lässt sich auf einen Jahresnutzungsgrad von 20,5% el. und 36,6% therm. schließen, dies ergab eine Auswertung in [9.211], Ho69.</v>
      </c>
      <c r="CV339" s="656"/>
      <c r="CW339" s="480"/>
      <c r="DS339" s="656"/>
      <c r="DT339" s="518"/>
      <c r="EJ339" s="472" t="str">
        <f ca="1">IF(X339=0,"",EJ$1&amp;X339)</f>
        <v>9.211</v>
      </c>
      <c r="EK339" s="472" t="str">
        <f ca="1">EK$1&amp;X339</f>
        <v>[D_Python.xlsx]9.Quellen!C211</v>
      </c>
      <c r="EV339" s="819">
        <f t="shared" ca="1" si="167"/>
        <v>339</v>
      </c>
      <c r="EW339" s="819"/>
    </row>
    <row r="340" spans="1:153" s="472" customFormat="1" ht="36" customHeight="1">
      <c r="A340" s="654" t="str">
        <f t="shared" ca="1" si="165"/>
        <v>D.1.340</v>
      </c>
      <c r="B340" s="654" t="str">
        <f t="shared" ca="1" si="166"/>
        <v>1.340</v>
      </c>
      <c r="C340" s="654" t="str">
        <f t="shared" si="146"/>
        <v>[340]</v>
      </c>
      <c r="D340" s="654">
        <f>ROW()</f>
        <v>340</v>
      </c>
      <c r="E340" s="1130" t="str">
        <f ca="1">CU340</f>
        <v>Für das 2008 in Piesteritz in Betrieb genommenen Biomasse-Heizkraftwerk wird  in [9.223], S. 11 ein Wirkungsgrad von 36,2% el. Brutto angegeben, außerdem erfolgt eine Dampfauskoppelung mit einem Wirkungsgrad von 55% therm..</v>
      </c>
      <c r="F340" s="1130"/>
      <c r="G340" s="1130"/>
      <c r="H340" s="1130"/>
      <c r="I340" s="1130"/>
      <c r="J340" s="1130"/>
      <c r="K340" s="1130"/>
      <c r="L340" s="1130"/>
      <c r="M340" s="1130"/>
      <c r="N340" s="1131"/>
      <c r="O340" s="869">
        <v>340</v>
      </c>
      <c r="P340" s="573" t="str">
        <f ca="1">HYPERLINK(EK340,EJ340)</f>
        <v>9.223</v>
      </c>
      <c r="Q340" s="574" t="str">
        <f>Y340</f>
        <v>S. 11</v>
      </c>
      <c r="R340" s="852"/>
      <c r="S340" s="784"/>
      <c r="T340" s="864"/>
      <c r="U340" s="1033" t="str">
        <f ca="1">"Für das 2008 in Piesteritz in Betrieb genommenen Biomasse-Heizkraftwerk wird  in ["&amp;P340&amp;"], "&amp;Q340&amp;" ein Wirkungsgrad von "&amp;AD340&amp;AE340&amp;" angegeben, außerdem erfolgt eine Dampfauskoppelung mit einem Wirkungsgrad von "&amp;AF340&amp;AG340&amp;"."</f>
        <v>Für das 2008 in Piesteritz in Betrieb genommenen Biomasse-Heizkraftwerk wird  in [9.223], S. 11 ein Wirkungsgrad von 36,2% el. Brutto angegeben, außerdem erfolgt eine Dampfauskoppelung mit einem Wirkungsgrad von 55% therm..</v>
      </c>
      <c r="V340" s="905" t="s">
        <v>126</v>
      </c>
      <c r="W340" s="1034">
        <f>AD340</f>
        <v>36.200000000000003</v>
      </c>
      <c r="X340" s="672">
        <f>'9.Quellen'!C223</f>
        <v>223</v>
      </c>
      <c r="Y340" s="672" t="s">
        <v>437</v>
      </c>
      <c r="Z340" s="1025"/>
      <c r="AA340" s="905"/>
      <c r="AB340" s="801"/>
      <c r="AC340" s="801"/>
      <c r="AD340" s="801">
        <v>36.200000000000003</v>
      </c>
      <c r="AE340" s="801" t="s">
        <v>836</v>
      </c>
      <c r="AF340" s="801">
        <v>55</v>
      </c>
      <c r="AG340" s="801" t="s">
        <v>435</v>
      </c>
      <c r="AH340" s="801"/>
      <c r="AI340" s="801"/>
      <c r="AJ340" s="801"/>
      <c r="AK340" s="801"/>
      <c r="AL340" s="801"/>
      <c r="AM340" s="801"/>
      <c r="AN340" s="801"/>
      <c r="AO340" s="801"/>
      <c r="AP340" s="801"/>
      <c r="AQ340" s="801"/>
      <c r="AR340" s="801"/>
      <c r="AS340" s="801"/>
      <c r="AT340" s="801"/>
      <c r="AU340" s="801"/>
      <c r="AV340" s="801"/>
      <c r="BF340" s="473"/>
      <c r="BI340" s="472" t="s">
        <v>126</v>
      </c>
      <c r="BJ340" s="490"/>
      <c r="BN340" s="656"/>
      <c r="BO340" s="472" t="s">
        <v>252</v>
      </c>
      <c r="CU340" s="480" t="str">
        <f ca="1">IF(U340="",BF340,U340)</f>
        <v>Für das 2008 in Piesteritz in Betrieb genommenen Biomasse-Heizkraftwerk wird  in [9.223], S. 11 ein Wirkungsgrad von 36,2% el. Brutto angegeben, außerdem erfolgt eine Dampfauskoppelung mit einem Wirkungsgrad von 55% therm..</v>
      </c>
      <c r="CV340" s="656"/>
      <c r="CW340" s="480"/>
      <c r="DS340" s="656"/>
      <c r="DT340" s="518"/>
      <c r="EJ340" s="472" t="str">
        <f ca="1">IF(X340=0,"",EJ$1&amp;X340)</f>
        <v>9.223</v>
      </c>
      <c r="EK340" s="472" t="str">
        <f ca="1">EK$1&amp;X340</f>
        <v>[D_Python.xlsx]9.Quellen!C223</v>
      </c>
      <c r="EV340" s="819">
        <f t="shared" ca="1" si="167"/>
        <v>340</v>
      </c>
      <c r="EW340" s="819"/>
    </row>
    <row r="341" spans="1:153" s="478" customFormat="1" ht="4">
      <c r="A341" s="677" t="str">
        <f t="shared" ca="1" si="165"/>
        <v>D.1.341</v>
      </c>
      <c r="B341" s="677" t="str">
        <f t="shared" ca="1" si="166"/>
        <v>1.341</v>
      </c>
      <c r="C341" s="677" t="str">
        <f t="shared" si="146"/>
        <v>[341]</v>
      </c>
      <c r="D341" s="677">
        <f>ROW()</f>
        <v>341</v>
      </c>
      <c r="E341" s="528"/>
      <c r="F341" s="528"/>
      <c r="G341" s="528"/>
      <c r="H341" s="528"/>
      <c r="I341" s="527"/>
      <c r="J341" s="527"/>
      <c r="K341" s="527"/>
      <c r="L341" s="527"/>
      <c r="M341" s="527"/>
      <c r="N341" s="528"/>
      <c r="O341" s="871">
        <v>341</v>
      </c>
      <c r="P341" s="566"/>
      <c r="Q341" s="567"/>
      <c r="R341" s="888"/>
      <c r="S341" s="802"/>
      <c r="T341" s="882"/>
      <c r="U341" s="661"/>
      <c r="V341" s="661"/>
      <c r="W341" s="661"/>
      <c r="X341" s="661"/>
      <c r="Y341" s="661"/>
      <c r="Z341" s="661"/>
      <c r="AA341" s="661"/>
      <c r="AB341" s="675"/>
      <c r="AC341" s="675"/>
      <c r="AD341" s="675"/>
      <c r="AE341" s="675"/>
      <c r="AF341" s="675"/>
      <c r="AG341" s="675"/>
      <c r="AH341" s="675"/>
      <c r="AI341" s="675"/>
      <c r="AJ341" s="675"/>
      <c r="AK341" s="675"/>
      <c r="AL341" s="675"/>
      <c r="AM341" s="675"/>
      <c r="AN341" s="675"/>
      <c r="AO341" s="675"/>
      <c r="AP341" s="675"/>
      <c r="AQ341" s="675"/>
      <c r="AR341" s="675"/>
      <c r="AS341" s="675"/>
      <c r="AT341" s="675"/>
      <c r="AU341" s="675"/>
      <c r="AV341" s="675"/>
      <c r="BI341" s="478" t="s">
        <v>126</v>
      </c>
      <c r="BJ341" s="489"/>
      <c r="BN341" s="661"/>
      <c r="CU341" s="479"/>
      <c r="CV341" s="661"/>
      <c r="CW341" s="479"/>
      <c r="DS341" s="661"/>
      <c r="EV341" s="818" t="str">
        <f t="shared" si="167"/>
        <v/>
      </c>
      <c r="EW341" s="818"/>
    </row>
    <row r="342" spans="1:153" s="472" customFormat="1" ht="26">
      <c r="A342" s="654" t="str">
        <f t="shared" ca="1" si="165"/>
        <v>D.1.342</v>
      </c>
      <c r="B342" s="654" t="str">
        <f t="shared" ca="1" si="166"/>
        <v>1.342</v>
      </c>
      <c r="C342" s="654" t="str">
        <f t="shared" si="146"/>
        <v>[342]</v>
      </c>
      <c r="D342" s="654">
        <f>ROW()</f>
        <v>342</v>
      </c>
      <c r="E342" s="1125" t="str">
        <f t="shared" ref="E342" si="169">CU342</f>
        <v>- ZIEL-Ansatz: 36,2 % el. gemäß der Referenzanlage in Piesteritz [340] markieren aus heutiger Sicht das obere Ende erreichbarer Nutzungsgrade des künftigen Anlagenparks.</v>
      </c>
      <c r="F342" s="1125"/>
      <c r="G342" s="1125"/>
      <c r="H342" s="1125"/>
      <c r="I342" s="1125"/>
      <c r="J342" s="1125"/>
      <c r="K342" s="1125"/>
      <c r="L342" s="1125"/>
      <c r="M342" s="1125"/>
      <c r="N342" s="1132"/>
      <c r="O342" s="869">
        <v>342</v>
      </c>
      <c r="P342" s="573" t="str">
        <f ca="1">HYPERLINK(EK342,EJ342)</f>
        <v/>
      </c>
      <c r="Q342" s="574" t="str">
        <f>Y342</f>
        <v xml:space="preserve"> </v>
      </c>
      <c r="R342" s="852"/>
      <c r="S342" s="807"/>
      <c r="T342" s="864"/>
      <c r="U342" s="1023" t="str">
        <f>W342&amp;" % el. gemäß der Referenzanlage in Piesteritz "&amp;C340&amp;" markieren aus heutiger Sicht das obere Ende erreichbarer Nutzungsgrade des künftigen Anlagenparks."</f>
        <v>36,2 % el. gemäß der Referenzanlage in Piesteritz [340] markieren aus heutiger Sicht das obere Ende erreichbarer Nutzungsgrade des künftigen Anlagenparks.</v>
      </c>
      <c r="V342" s="905" t="s">
        <v>126</v>
      </c>
      <c r="W342" s="1034">
        <f>W340</f>
        <v>36.200000000000003</v>
      </c>
      <c r="X342" s="672"/>
      <c r="Y342" s="672" t="s">
        <v>126</v>
      </c>
      <c r="Z342" s="1025"/>
      <c r="AA342" s="905"/>
      <c r="AB342" s="801"/>
      <c r="AC342" s="801"/>
      <c r="AD342" s="801"/>
      <c r="AE342" s="801"/>
      <c r="AF342" s="801"/>
      <c r="AG342" s="801"/>
      <c r="AH342" s="801"/>
      <c r="AI342" s="801"/>
      <c r="AJ342" s="801"/>
      <c r="AK342" s="801"/>
      <c r="AL342" s="801"/>
      <c r="AM342" s="801"/>
      <c r="AN342" s="801"/>
      <c r="AO342" s="801"/>
      <c r="AP342" s="801"/>
      <c r="AQ342" s="801"/>
      <c r="AR342" s="801"/>
      <c r="AS342" s="801"/>
      <c r="AT342" s="801"/>
      <c r="AU342" s="801"/>
      <c r="AV342" s="801"/>
      <c r="BF342" s="473"/>
      <c r="BI342" s="472" t="s">
        <v>126</v>
      </c>
      <c r="BJ342" s="490"/>
      <c r="BN342" s="656"/>
      <c r="BO342" s="472" t="s">
        <v>259</v>
      </c>
      <c r="CU342" s="480" t="str">
        <f>CH$1&amp;IF(U342="",BF342,U342)</f>
        <v>- ZIEL-Ansatz: 36,2 % el. gemäß der Referenzanlage in Piesteritz [340] markieren aus heutiger Sicht das obere Ende erreichbarer Nutzungsgrade des künftigen Anlagenparks.</v>
      </c>
      <c r="CV342" s="656"/>
      <c r="CW342" s="480"/>
      <c r="DS342" s="656"/>
      <c r="DT342" s="518">
        <v>53</v>
      </c>
      <c r="EJ342" s="472" t="str">
        <f>IF(X342=0,"",EJ$1&amp;X342)</f>
        <v/>
      </c>
      <c r="EK342" s="472" t="str">
        <f ca="1">EK$1&amp;X342</f>
        <v>[D_Python.xlsx]9.Quellen!C</v>
      </c>
      <c r="EV342" s="819">
        <f t="shared" si="167"/>
        <v>342</v>
      </c>
      <c r="EW342" s="819"/>
    </row>
    <row r="343" spans="1:153" s="478" customFormat="1" ht="4">
      <c r="A343" s="677" t="str">
        <f t="shared" ca="1" si="165"/>
        <v>D.1.343</v>
      </c>
      <c r="B343" s="677" t="str">
        <f t="shared" ca="1" si="166"/>
        <v>1.343</v>
      </c>
      <c r="C343" s="677" t="str">
        <f t="shared" si="146"/>
        <v>[343]</v>
      </c>
      <c r="D343" s="677">
        <f>ROW()</f>
        <v>343</v>
      </c>
      <c r="E343" s="548"/>
      <c r="F343" s="548"/>
      <c r="G343" s="548"/>
      <c r="H343" s="548"/>
      <c r="I343" s="549"/>
      <c r="J343" s="549"/>
      <c r="K343" s="549"/>
      <c r="L343" s="549"/>
      <c r="M343" s="549"/>
      <c r="N343" s="548"/>
      <c r="O343" s="871">
        <v>343</v>
      </c>
      <c r="P343" s="575"/>
      <c r="Q343" s="576"/>
      <c r="R343" s="888"/>
      <c r="S343" s="806"/>
      <c r="T343" s="882"/>
      <c r="U343" s="661"/>
      <c r="V343" s="661"/>
      <c r="W343" s="661"/>
      <c r="X343" s="661"/>
      <c r="Y343" s="661"/>
      <c r="Z343" s="661"/>
      <c r="AA343" s="661"/>
      <c r="AB343" s="675"/>
      <c r="AC343" s="675"/>
      <c r="AD343" s="675"/>
      <c r="AE343" s="675"/>
      <c r="AF343" s="675"/>
      <c r="AG343" s="675"/>
      <c r="AH343" s="675"/>
      <c r="AI343" s="675"/>
      <c r="AJ343" s="675"/>
      <c r="AK343" s="675"/>
      <c r="AL343" s="675"/>
      <c r="AM343" s="675"/>
      <c r="AN343" s="675"/>
      <c r="AO343" s="675"/>
      <c r="AP343" s="675"/>
      <c r="AQ343" s="675"/>
      <c r="AR343" s="675"/>
      <c r="AS343" s="675"/>
      <c r="AT343" s="675"/>
      <c r="AU343" s="675"/>
      <c r="AV343" s="675"/>
      <c r="AZ343" s="505"/>
      <c r="BB343" s="505"/>
      <c r="BI343" s="478" t="s">
        <v>126</v>
      </c>
      <c r="BJ343" s="489"/>
      <c r="BN343" s="661"/>
      <c r="CU343" s="479"/>
      <c r="CV343" s="661"/>
      <c r="CW343" s="479"/>
      <c r="DS343" s="661"/>
      <c r="EV343" s="818" t="str">
        <f t="shared" si="167"/>
        <v/>
      </c>
      <c r="EW343" s="818"/>
    </row>
    <row r="344" spans="1:153" s="475" customFormat="1" ht="13.5" customHeight="1">
      <c r="A344" s="654" t="str">
        <f t="shared" ca="1" si="165"/>
        <v>D.1.344</v>
      </c>
      <c r="B344" s="654" t="str">
        <f t="shared" ca="1" si="166"/>
        <v>1.344</v>
      </c>
      <c r="C344" s="654" t="str">
        <f t="shared" si="146"/>
        <v>[344]</v>
      </c>
      <c r="D344" s="654">
        <f>ROW()</f>
        <v>344</v>
      </c>
      <c r="E344" s="1129" t="str">
        <f>BP344</f>
        <v>Abwärme aus Verstromung - Nutzungsgrad</v>
      </c>
      <c r="F344" s="1129"/>
      <c r="G344" s="1129"/>
      <c r="H344" s="1129"/>
      <c r="I344" s="1129"/>
      <c r="J344" s="559" t="s">
        <v>38</v>
      </c>
      <c r="K344" s="557">
        <f ca="1">INDIRECT($W$1&amp;U344)</f>
        <v>16.715421303656598</v>
      </c>
      <c r="L344" s="485" t="str">
        <f ca="1">HYPERLINK($CK$1&amp;U344,$CE$1&amp;U344&amp;$CF$1)</f>
        <v>[345]</v>
      </c>
      <c r="M344" s="558">
        <f ca="1">INDIRECT($W$1&amp;W344)</f>
        <v>55</v>
      </c>
      <c r="N344" s="533" t="str">
        <f ca="1">HYPERLINK($CK$1&amp;W344,$CE$1&amp;W344&amp;$CF$1)</f>
        <v>[346]</v>
      </c>
      <c r="O344" s="869">
        <v>344</v>
      </c>
      <c r="P344" s="570"/>
      <c r="Q344" s="583"/>
      <c r="R344" s="852"/>
      <c r="S344" s="784"/>
      <c r="T344" s="864"/>
      <c r="U344" s="672">
        <f>D345</f>
        <v>345</v>
      </c>
      <c r="V344" s="905" t="s">
        <v>126</v>
      </c>
      <c r="W344" s="672">
        <f>D346</f>
        <v>346</v>
      </c>
      <c r="X344" s="658"/>
      <c r="Y344" s="658"/>
      <c r="Z344" s="658"/>
      <c r="AA344" s="658"/>
      <c r="AB344" s="801"/>
      <c r="AC344" s="801"/>
      <c r="AD344" s="674"/>
      <c r="AE344" s="674"/>
      <c r="AF344" s="674"/>
      <c r="AG344" s="674"/>
      <c r="AH344" s="674"/>
      <c r="AI344" s="674"/>
      <c r="AJ344" s="674"/>
      <c r="AK344" s="674"/>
      <c r="AL344" s="674"/>
      <c r="AM344" s="674"/>
      <c r="AN344" s="674"/>
      <c r="AO344" s="674"/>
      <c r="AP344" s="674"/>
      <c r="AQ344" s="674"/>
      <c r="AR344" s="674"/>
      <c r="AS344" s="674"/>
      <c r="AT344" s="674"/>
      <c r="AU344" s="674"/>
      <c r="AV344" s="674"/>
      <c r="AX344" s="475" t="s">
        <v>244</v>
      </c>
      <c r="AY344" s="500">
        <f ca="1">DA344</f>
        <v>3.9952349963925049</v>
      </c>
      <c r="AZ344" s="508" t="str">
        <f ca="1">HYPERLINK(DN344,DC344)</f>
        <v xml:space="preserve"> 257</v>
      </c>
      <c r="BA344" s="500">
        <f ca="1">DB344</f>
        <v>3.9952349963925049</v>
      </c>
      <c r="BB344" s="508" t="str">
        <f ca="1">HYPERLINK(DO344,DD344)</f>
        <v xml:space="preserve"> 258</v>
      </c>
      <c r="BC344" s="475" t="str">
        <f ca="1">CY344&amp;" | "&amp;CZ344</f>
        <v>Wärme | 3.2.2 Energieertrag Nutzwärme aus Holzverstromung</v>
      </c>
      <c r="BI344" s="475" t="s">
        <v>126</v>
      </c>
      <c r="BJ344" s="492" t="str">
        <f>E344</f>
        <v>Abwärme aus Verstromung - Nutzungsgrad</v>
      </c>
      <c r="BK344" s="486">
        <f ca="1">K344</f>
        <v>16.715421303656598</v>
      </c>
      <c r="BL344" s="486">
        <f ca="1">M344</f>
        <v>55</v>
      </c>
      <c r="BM344" s="472">
        <f>D344</f>
        <v>344</v>
      </c>
      <c r="BN344" s="658"/>
      <c r="BO344" s="475" t="s">
        <v>251</v>
      </c>
      <c r="BP344" s="521" t="s">
        <v>401</v>
      </c>
      <c r="CU344" s="476"/>
      <c r="CV344" s="658"/>
      <c r="CW344" s="518">
        <v>59</v>
      </c>
      <c r="CY344" s="472" t="str">
        <f t="shared" ref="CY344:DO344" ca="1" si="170">INDIRECT($CX$1&amp;CY$1&amp;$CW344)</f>
        <v>Wärme</v>
      </c>
      <c r="CZ344" s="472" t="str">
        <f t="shared" ca="1" si="170"/>
        <v>3.2.2 Energieertrag Nutzwärme aus Holzverstromung</v>
      </c>
      <c r="DA344" s="472">
        <f t="shared" ca="1" si="170"/>
        <v>3.9952349963925049</v>
      </c>
      <c r="DB344" s="472">
        <f t="shared" ca="1" si="170"/>
        <v>3.9952349963925049</v>
      </c>
      <c r="DC344" s="472" t="str">
        <f t="shared" ca="1" si="170"/>
        <v xml:space="preserve"> 257</v>
      </c>
      <c r="DD344" s="472" t="str">
        <f t="shared" ca="1" si="170"/>
        <v xml:space="preserve"> 258</v>
      </c>
      <c r="DE344" s="472" t="str">
        <f t="shared" ca="1" si="170"/>
        <v>Ho74</v>
      </c>
      <c r="DF344" s="472" t="str">
        <f t="shared" ca="1" si="170"/>
        <v>Ho82</v>
      </c>
      <c r="DG344" s="472" t="str">
        <f t="shared" ca="1" si="170"/>
        <v>Ho</v>
      </c>
      <c r="DH344" s="472" t="str">
        <f t="shared" ca="1" si="170"/>
        <v>74</v>
      </c>
      <c r="DI344" s="472" t="str">
        <f t="shared" ca="1" si="170"/>
        <v>[Ho.xls]TEXT!Z74S5</v>
      </c>
      <c r="DJ344" s="472" t="str">
        <f t="shared" ca="1" si="170"/>
        <v>Ho</v>
      </c>
      <c r="DK344" s="472" t="str">
        <f t="shared" ca="1" si="170"/>
        <v>82</v>
      </c>
      <c r="DL344" s="472" t="str">
        <f t="shared" ca="1" si="170"/>
        <v>[Ho.xls]TEXT!Z82S5</v>
      </c>
      <c r="DM344" s="472">
        <f t="shared" ca="1" si="170"/>
        <v>59</v>
      </c>
      <c r="DN344" s="472" t="str">
        <f t="shared" ca="1" si="170"/>
        <v>[Region.xls]PARAMETER!Z257S6</v>
      </c>
      <c r="DO344" s="472" t="str">
        <f t="shared" ca="1" si="170"/>
        <v>[Region.xls]PARAMETER!Z258S6</v>
      </c>
      <c r="DP344" s="472"/>
      <c r="DS344" s="656"/>
      <c r="DV344" s="472"/>
      <c r="DW344" s="472"/>
      <c r="DX344" s="472"/>
      <c r="DY344" s="472"/>
      <c r="DZ344" s="472"/>
      <c r="EA344" s="472"/>
      <c r="EB344" s="472"/>
      <c r="EC344" s="472"/>
      <c r="ED344" s="472"/>
      <c r="EE344" s="472"/>
      <c r="EF344" s="472"/>
      <c r="EG344" s="472"/>
      <c r="EH344" s="472"/>
      <c r="EI344" s="472"/>
      <c r="EJ344" s="472"/>
      <c r="EK344" s="472"/>
      <c r="EV344" s="819">
        <f t="shared" si="167"/>
        <v>344</v>
      </c>
      <c r="EW344" s="819"/>
    </row>
    <row r="345" spans="1:153" s="472" customFormat="1" ht="65">
      <c r="A345" s="654" t="str">
        <f t="shared" ca="1" si="165"/>
        <v>D.1.345</v>
      </c>
      <c r="B345" s="654" t="str">
        <f t="shared" ca="1" si="166"/>
        <v>1.345</v>
      </c>
      <c r="C345" s="654" t="str">
        <f t="shared" si="146"/>
        <v>[345]</v>
      </c>
      <c r="D345" s="654">
        <f>ROW()</f>
        <v>345</v>
      </c>
      <c r="E345" s="1130" t="str">
        <f>CU345</f>
        <v xml:space="preserve">- STATUS-Ansatz: Angaben zum effektiven Jahresnutzungsgrad als Verhältnis von tatsächlich genutzter Abwärme zum Brennstoffeinsatz zur Verstromung waren direkt weder für Niedersachsen noch für Deutschland verfügbar. Ersatzweise wird ausgehend vom elektrischen Nutzungsgrad 28% el.[338] über das Verhältnis von 7.510 GWh/a th.  Wärmebereitstellung aus Heizkraftwerken [249] zu 12.580 GWh/a el. Stromerzeugung dieser Heizkraftwerke [249] der effektive Nutzungsgrad von 16,7 % gebildet. </v>
      </c>
      <c r="F345" s="1130"/>
      <c r="G345" s="1130"/>
      <c r="H345" s="1130"/>
      <c r="I345" s="1130"/>
      <c r="J345" s="1130"/>
      <c r="K345" s="1130"/>
      <c r="L345" s="1130"/>
      <c r="M345" s="1130"/>
      <c r="N345" s="1131"/>
      <c r="O345" s="869">
        <v>345</v>
      </c>
      <c r="P345" s="573" t="str">
        <f ca="1">HYPERLINK(EK345,EJ345)</f>
        <v/>
      </c>
      <c r="Q345" s="574" t="str">
        <f>Y345</f>
        <v xml:space="preserve"> </v>
      </c>
      <c r="R345" s="852"/>
      <c r="S345" s="784"/>
      <c r="T345" s="864"/>
      <c r="U345" s="1023" t="str">
        <f>"Angaben zum effektiven Jahresnutzungsgrad als Verhältnis von tatsächlich genutzter Abwärme zum Brennstoffeinsatz zur Verstromung waren direkt weder für Niedersachsen noch für Deutschland verfügbar. Ersatzweise wird ausgehend vom elektrischen Nutzungsgrad "&amp;AD345&amp;AE345&amp;C338&amp;" über das Verhältnis von "&amp;TEXT(AH345,"0.000")&amp;AI345&amp;"  Wärmebereitstellung aus Heizkraftwerken "&amp;C249&amp;" zu "&amp;TEXT(AF345,"0.000")&amp;AG345&amp;" Stromerzeugung dieser Heizkraftwerke "&amp;C249&amp;" der effektive Nutzungsgrad von "&amp;TEXT(AJ345,"0,0")&amp;" % gebildet. "</f>
        <v xml:space="preserve">Angaben zum effektiven Jahresnutzungsgrad als Verhältnis von tatsächlich genutzter Abwärme zum Brennstoffeinsatz zur Verstromung waren direkt weder für Niedersachsen noch für Deutschland verfügbar. Ersatzweise wird ausgehend vom elektrischen Nutzungsgrad 28% el.[338] über das Verhältnis von 7.510 GWh/a th.  Wärmebereitstellung aus Heizkraftwerken [249] zu 12.580 GWh/a el. Stromerzeugung dieser Heizkraftwerke [249] der effektive Nutzungsgrad von 16,7 % gebildet. </v>
      </c>
      <c r="V345" s="905" t="s">
        <v>126</v>
      </c>
      <c r="W345" s="1024">
        <f>AJ345</f>
        <v>16.715421303656598</v>
      </c>
      <c r="X345" s="672"/>
      <c r="Y345" s="672" t="s">
        <v>126</v>
      </c>
      <c r="Z345" s="1025"/>
      <c r="AA345" s="658"/>
      <c r="AB345" s="801"/>
      <c r="AC345" s="801"/>
      <c r="AD345" s="801">
        <f>AD338</f>
        <v>28</v>
      </c>
      <c r="AE345" s="801" t="s">
        <v>439</v>
      </c>
      <c r="AF345" s="801">
        <f>AD249</f>
        <v>12580</v>
      </c>
      <c r="AG345" s="801" t="s">
        <v>440</v>
      </c>
      <c r="AH345" s="801">
        <f>AJ249</f>
        <v>7510</v>
      </c>
      <c r="AI345" s="801" t="s">
        <v>441</v>
      </c>
      <c r="AJ345" s="801">
        <f>AD345/AF345*AH345</f>
        <v>16.715421303656598</v>
      </c>
      <c r="AK345" s="801" t="s">
        <v>38</v>
      </c>
      <c r="AL345" s="801"/>
      <c r="AM345" s="801"/>
      <c r="AN345" s="801"/>
      <c r="AO345" s="801"/>
      <c r="AP345" s="801"/>
      <c r="AQ345" s="801"/>
      <c r="AR345" s="801"/>
      <c r="AS345" s="801"/>
      <c r="AT345" s="801"/>
      <c r="AU345" s="801"/>
      <c r="AV345" s="801"/>
      <c r="AY345" s="472">
        <f ca="1">AY344/AY$257%</f>
        <v>19.80952380952381</v>
      </c>
      <c r="BA345" s="472">
        <f ca="1">BA344/BA$257%</f>
        <v>19.80952380952381</v>
      </c>
      <c r="BF345" s="473"/>
      <c r="BI345" s="472" t="s">
        <v>126</v>
      </c>
      <c r="BJ345" s="490"/>
      <c r="BN345" s="656"/>
      <c r="BO345" s="472" t="s">
        <v>259</v>
      </c>
      <c r="CU345" s="480" t="str">
        <f>CG$1&amp;IF(U345="",BF345,U345)</f>
        <v xml:space="preserve">- STATUS-Ansatz: Angaben zum effektiven Jahresnutzungsgrad als Verhältnis von tatsächlich genutzter Abwärme zum Brennstoffeinsatz zur Verstromung waren direkt weder für Niedersachsen noch für Deutschland verfügbar. Ersatzweise wird ausgehend vom elektrischen Nutzungsgrad 28% el.[338] über das Verhältnis von 7.510 GWh/a th.  Wärmebereitstellung aus Heizkraftwerken [249] zu 12.580 GWh/a el. Stromerzeugung dieser Heizkraftwerke [249] der effektive Nutzungsgrad von 16,7 % gebildet. </v>
      </c>
      <c r="CV345" s="656"/>
      <c r="CW345" s="480"/>
      <c r="DS345" s="656"/>
      <c r="DT345" s="518">
        <f>I_Basisdaten!A141</f>
        <v>141</v>
      </c>
      <c r="EJ345" s="472" t="str">
        <f>IF(X345=0,"",EJ$1&amp;X345)</f>
        <v/>
      </c>
      <c r="EK345" s="472" t="str">
        <f ca="1">EK$1&amp;X345</f>
        <v>[D_Python.xlsx]9.Quellen!C</v>
      </c>
      <c r="EV345" s="819">
        <f t="shared" si="167"/>
        <v>345</v>
      </c>
      <c r="EW345" s="819"/>
    </row>
    <row r="346" spans="1:153" s="472" customFormat="1" ht="26">
      <c r="A346" s="654" t="str">
        <f t="shared" ca="1" si="165"/>
        <v>D.1.346</v>
      </c>
      <c r="B346" s="654" t="str">
        <f t="shared" ca="1" si="166"/>
        <v>1.346</v>
      </c>
      <c r="C346" s="654" t="str">
        <f t="shared" si="146"/>
        <v>[346]</v>
      </c>
      <c r="D346" s="654">
        <f>ROW()</f>
        <v>346</v>
      </c>
      <c r="E346" s="1125" t="str">
        <f t="shared" ref="E346" si="171">CU346</f>
        <v>- ZIEL-Ansatz: 55 % el. gemäß der Referenzanlage in Piesteritz [340] markieren aus heutiger das obere Ende erreichbarer Nutzungsgrade des künftigen Anlagenparks.</v>
      </c>
      <c r="F346" s="1125"/>
      <c r="G346" s="1125"/>
      <c r="H346" s="1125"/>
      <c r="I346" s="1125"/>
      <c r="J346" s="1125"/>
      <c r="K346" s="1125"/>
      <c r="L346" s="1125"/>
      <c r="M346" s="1125"/>
      <c r="N346" s="1132"/>
      <c r="O346" s="869">
        <v>346</v>
      </c>
      <c r="P346" s="573" t="str">
        <f ca="1">HYPERLINK(EK346,EJ346)</f>
        <v/>
      </c>
      <c r="Q346" s="574" t="str">
        <f>Y346</f>
        <v xml:space="preserve"> </v>
      </c>
      <c r="R346" s="852"/>
      <c r="S346" s="784"/>
      <c r="T346" s="864"/>
      <c r="U346" s="1023" t="str">
        <f>W346&amp;" % el. gemäß der Referenzanlage in Piesteritz "&amp;C340&amp;" markieren aus heutiger das obere Ende erreichbarer Nutzungsgrade des künftigen Anlagenparks."</f>
        <v>55 % el. gemäß der Referenzanlage in Piesteritz [340] markieren aus heutiger das obere Ende erreichbarer Nutzungsgrade des künftigen Anlagenparks.</v>
      </c>
      <c r="V346" s="905" t="s">
        <v>126</v>
      </c>
      <c r="W346" s="1024">
        <f>AD346</f>
        <v>55</v>
      </c>
      <c r="X346" s="672"/>
      <c r="Y346" s="672" t="s">
        <v>126</v>
      </c>
      <c r="Z346" s="1025"/>
      <c r="AA346" s="905"/>
      <c r="AB346" s="801"/>
      <c r="AC346" s="801"/>
      <c r="AD346" s="801">
        <f>AF340</f>
        <v>55</v>
      </c>
      <c r="AE346" s="801" t="s">
        <v>837</v>
      </c>
      <c r="AF346" s="801"/>
      <c r="AG346" s="801"/>
      <c r="AH346" s="801"/>
      <c r="AI346" s="801"/>
      <c r="AJ346" s="801"/>
      <c r="AK346" s="801"/>
      <c r="AL346" s="801"/>
      <c r="AM346" s="801"/>
      <c r="AN346" s="801"/>
      <c r="AO346" s="801"/>
      <c r="AP346" s="801"/>
      <c r="AQ346" s="801"/>
      <c r="AR346" s="801"/>
      <c r="AS346" s="801"/>
      <c r="AT346" s="801"/>
      <c r="AU346" s="801"/>
      <c r="AV346" s="801"/>
      <c r="BF346" s="473"/>
      <c r="BI346" s="472" t="s">
        <v>126</v>
      </c>
      <c r="BJ346" s="490"/>
      <c r="BN346" s="656"/>
      <c r="BO346" s="472" t="s">
        <v>259</v>
      </c>
      <c r="CU346" s="480" t="str">
        <f>CH$1&amp;IF(U346="",BF346,U346)</f>
        <v>- ZIEL-Ansatz: 55 % el. gemäß der Referenzanlage in Piesteritz [340] markieren aus heutiger das obere Ende erreichbarer Nutzungsgrade des künftigen Anlagenparks.</v>
      </c>
      <c r="CV346" s="656"/>
      <c r="CW346" s="480"/>
      <c r="DS346" s="656"/>
      <c r="DT346" s="518">
        <v>53</v>
      </c>
      <c r="EJ346" s="472" t="str">
        <f>IF(X346=0,"",EJ$1&amp;X346)</f>
        <v/>
      </c>
      <c r="EK346" s="472" t="str">
        <f ca="1">EK$1&amp;X346</f>
        <v>[D_Python.xlsx]9.Quellen!C</v>
      </c>
      <c r="EV346" s="819">
        <f t="shared" si="167"/>
        <v>346</v>
      </c>
      <c r="EW346" s="819"/>
    </row>
    <row r="347" spans="1:153" s="528" customFormat="1" ht="4">
      <c r="A347" s="540" t="str">
        <f t="shared" ca="1" si="165"/>
        <v>D.1.347</v>
      </c>
      <c r="B347" s="540" t="str">
        <f t="shared" ca="1" si="166"/>
        <v>1.347</v>
      </c>
      <c r="C347" s="540" t="str">
        <f t="shared" si="146"/>
        <v>[347]</v>
      </c>
      <c r="D347" s="540">
        <f>ROW()</f>
        <v>347</v>
      </c>
      <c r="I347" s="527"/>
      <c r="J347" s="527"/>
      <c r="K347" s="527"/>
      <c r="L347" s="527"/>
      <c r="M347" s="527"/>
      <c r="O347" s="870">
        <v>347</v>
      </c>
      <c r="P347" s="566"/>
      <c r="Q347" s="567"/>
      <c r="R347" s="889"/>
      <c r="S347" s="802"/>
      <c r="T347" s="883"/>
      <c r="U347" s="661"/>
      <c r="V347" s="661"/>
      <c r="W347" s="661"/>
      <c r="X347" s="661"/>
      <c r="Y347" s="661"/>
      <c r="Z347" s="661"/>
      <c r="AA347" s="661"/>
      <c r="AB347" s="675"/>
      <c r="AC347" s="675"/>
      <c r="AD347" s="675"/>
      <c r="AE347" s="675"/>
      <c r="AF347" s="675"/>
      <c r="AG347" s="675"/>
      <c r="AH347" s="675"/>
      <c r="AI347" s="675"/>
      <c r="AJ347" s="675"/>
      <c r="AK347" s="675"/>
      <c r="AL347" s="675"/>
      <c r="AM347" s="675"/>
      <c r="AN347" s="675"/>
      <c r="AO347" s="675"/>
      <c r="AP347" s="675"/>
      <c r="AQ347" s="675"/>
      <c r="AR347" s="675"/>
      <c r="AS347" s="675"/>
      <c r="AT347" s="675"/>
      <c r="AU347" s="675"/>
      <c r="AV347" s="675"/>
      <c r="AZ347" s="541"/>
      <c r="BB347" s="541"/>
      <c r="BI347" s="528" t="s">
        <v>126</v>
      </c>
      <c r="BJ347" s="542"/>
      <c r="BN347" s="680"/>
      <c r="CU347" s="543"/>
      <c r="CV347" s="680"/>
      <c r="CW347" s="543"/>
      <c r="DS347" s="680"/>
      <c r="EV347" s="820" t="str">
        <f t="shared" si="167"/>
        <v/>
      </c>
      <c r="EW347" s="820"/>
    </row>
    <row r="348" spans="1:153" s="472" customFormat="1" ht="13">
      <c r="A348" s="654" t="str">
        <f t="shared" ca="1" si="165"/>
        <v>D.1.348</v>
      </c>
      <c r="B348" s="654" t="str">
        <f t="shared" ca="1" si="166"/>
        <v>1.348</v>
      </c>
      <c r="C348" s="654" t="str">
        <f t="shared" si="146"/>
        <v>[348]</v>
      </c>
      <c r="D348" s="654">
        <f>ROW()</f>
        <v>348</v>
      </c>
      <c r="E348" s="481" t="str">
        <f>BP348</f>
        <v>Biogene Brennstoffe (fest) für Wärmenetze</v>
      </c>
      <c r="F348" s="482"/>
      <c r="G348" s="482"/>
      <c r="H348" s="482"/>
      <c r="I348" s="483"/>
      <c r="J348" s="484"/>
      <c r="K348" s="484"/>
      <c r="L348" s="484"/>
      <c r="M348" s="484"/>
      <c r="N348" s="532"/>
      <c r="O348" s="869">
        <v>348</v>
      </c>
      <c r="P348" s="568"/>
      <c r="Q348" s="569"/>
      <c r="R348" s="852"/>
      <c r="S348" s="804"/>
      <c r="T348" s="864"/>
      <c r="U348" s="905"/>
      <c r="V348" s="905"/>
      <c r="W348" s="905"/>
      <c r="X348" s="905"/>
      <c r="Y348" s="905"/>
      <c r="Z348" s="905"/>
      <c r="AA348" s="905"/>
      <c r="AB348" s="801"/>
      <c r="AC348" s="801"/>
      <c r="AD348" s="801"/>
      <c r="AE348" s="801"/>
      <c r="AF348" s="801"/>
      <c r="AG348" s="801"/>
      <c r="AH348" s="801"/>
      <c r="AI348" s="801"/>
      <c r="AJ348" s="801"/>
      <c r="AK348" s="801"/>
      <c r="AL348" s="801"/>
      <c r="AM348" s="801"/>
      <c r="AN348" s="801"/>
      <c r="AO348" s="801"/>
      <c r="AP348" s="801"/>
      <c r="AQ348" s="801"/>
      <c r="AR348" s="801"/>
      <c r="AS348" s="801"/>
      <c r="AT348" s="801"/>
      <c r="AU348" s="801"/>
      <c r="AV348" s="801"/>
      <c r="AZ348" s="504"/>
      <c r="BB348" s="506"/>
      <c r="BI348" s="472" t="s">
        <v>126</v>
      </c>
      <c r="BJ348" s="490"/>
      <c r="BN348" s="656"/>
      <c r="BO348" s="472" t="s">
        <v>250</v>
      </c>
      <c r="BP348" s="518" t="s">
        <v>408</v>
      </c>
      <c r="CU348" s="480"/>
      <c r="CV348" s="656"/>
      <c r="CW348" s="480"/>
      <c r="DS348" s="656"/>
      <c r="EV348" s="819">
        <f t="shared" si="167"/>
        <v>348</v>
      </c>
      <c r="EW348" s="819"/>
    </row>
    <row r="349" spans="1:153" s="478" customFormat="1" ht="4">
      <c r="A349" s="677" t="str">
        <f t="shared" ca="1" si="165"/>
        <v>D.1.349</v>
      </c>
      <c r="B349" s="677" t="str">
        <f t="shared" ca="1" si="166"/>
        <v>1.349</v>
      </c>
      <c r="C349" s="677" t="str">
        <f t="shared" si="146"/>
        <v>[349]</v>
      </c>
      <c r="D349" s="677">
        <f>ROW()</f>
        <v>349</v>
      </c>
      <c r="E349" s="528"/>
      <c r="F349" s="528"/>
      <c r="G349" s="528"/>
      <c r="H349" s="528"/>
      <c r="I349" s="527"/>
      <c r="J349" s="527"/>
      <c r="K349" s="527"/>
      <c r="L349" s="527"/>
      <c r="M349" s="527"/>
      <c r="N349" s="528"/>
      <c r="O349" s="871">
        <v>349</v>
      </c>
      <c r="P349" s="566"/>
      <c r="Q349" s="567"/>
      <c r="R349" s="888"/>
      <c r="S349" s="802"/>
      <c r="T349" s="882"/>
      <c r="U349" s="661"/>
      <c r="V349" s="661"/>
      <c r="W349" s="661"/>
      <c r="X349" s="661"/>
      <c r="Y349" s="661"/>
      <c r="Z349" s="661"/>
      <c r="AA349" s="661"/>
      <c r="AB349" s="675"/>
      <c r="AC349" s="675"/>
      <c r="AD349" s="675"/>
      <c r="AE349" s="675"/>
      <c r="AF349" s="675"/>
      <c r="AG349" s="675"/>
      <c r="AH349" s="675"/>
      <c r="AI349" s="675"/>
      <c r="AJ349" s="675"/>
      <c r="AK349" s="675"/>
      <c r="AL349" s="675"/>
      <c r="AM349" s="675"/>
      <c r="AN349" s="675"/>
      <c r="AO349" s="675"/>
      <c r="AP349" s="675"/>
      <c r="AQ349" s="675"/>
      <c r="AR349" s="675"/>
      <c r="AS349" s="675"/>
      <c r="AT349" s="675"/>
      <c r="AU349" s="675"/>
      <c r="AV349" s="675"/>
      <c r="AZ349" s="505"/>
      <c r="BB349" s="505"/>
      <c r="BI349" s="478" t="s">
        <v>126</v>
      </c>
      <c r="BJ349" s="489"/>
      <c r="BN349" s="661"/>
      <c r="CU349" s="479"/>
      <c r="CV349" s="661"/>
      <c r="CW349" s="479"/>
      <c r="DS349" s="661"/>
      <c r="EV349" s="818" t="str">
        <f t="shared" si="167"/>
        <v/>
      </c>
      <c r="EW349" s="818"/>
    </row>
    <row r="350" spans="1:153" s="475" customFormat="1" ht="13.5" customHeight="1">
      <c r="A350" s="654" t="str">
        <f t="shared" ca="1" si="165"/>
        <v>D.1.350</v>
      </c>
      <c r="B350" s="654" t="str">
        <f t="shared" ca="1" si="166"/>
        <v>1.350</v>
      </c>
      <c r="C350" s="654" t="str">
        <f t="shared" si="146"/>
        <v>[350]</v>
      </c>
      <c r="D350" s="654">
        <f>ROW()</f>
        <v>350</v>
      </c>
      <c r="E350" s="1129" t="str">
        <f>BP350</f>
        <v>Heizwerke/Wärmenetze - Nutzungsgrad</v>
      </c>
      <c r="F350" s="1129"/>
      <c r="G350" s="1129"/>
      <c r="H350" s="1129"/>
      <c r="I350" s="1129"/>
      <c r="J350" s="559" t="s">
        <v>38</v>
      </c>
      <c r="K350" s="557">
        <f ca="1">INDIRECT($W$1&amp;U350)</f>
        <v>75</v>
      </c>
      <c r="L350" s="485" t="str">
        <f ca="1">HYPERLINK($CK$1&amp;U350,$CE$1&amp;U350&amp;$CF$1)</f>
        <v>[351]</v>
      </c>
      <c r="M350" s="558">
        <f ca="1">INDIRECT($W$1&amp;W350)</f>
        <v>75</v>
      </c>
      <c r="N350" s="533" t="str">
        <f ca="1">HYPERLINK($CK$1&amp;W350,$CE$1&amp;W350&amp;$CF$1)</f>
        <v>[352]</v>
      </c>
      <c r="O350" s="869">
        <v>350</v>
      </c>
      <c r="P350" s="570"/>
      <c r="Q350" s="583"/>
      <c r="R350" s="887"/>
      <c r="S350" s="784"/>
      <c r="T350" s="881"/>
      <c r="U350" s="672">
        <f>D351</f>
        <v>351</v>
      </c>
      <c r="V350" s="905" t="s">
        <v>126</v>
      </c>
      <c r="W350" s="672">
        <f>D352</f>
        <v>352</v>
      </c>
      <c r="X350" s="658"/>
      <c r="Y350" s="658"/>
      <c r="Z350" s="658"/>
      <c r="AA350" s="658"/>
      <c r="AB350" s="801"/>
      <c r="AC350" s="674"/>
      <c r="AD350" s="674"/>
      <c r="AE350" s="674"/>
      <c r="AF350" s="674"/>
      <c r="AG350" s="674"/>
      <c r="AH350" s="674"/>
      <c r="AI350" s="674"/>
      <c r="AJ350" s="674"/>
      <c r="AK350" s="674"/>
      <c r="AL350" s="674"/>
      <c r="AM350" s="674"/>
      <c r="AN350" s="674"/>
      <c r="AO350" s="674"/>
      <c r="AP350" s="674"/>
      <c r="AQ350" s="674"/>
      <c r="AR350" s="674"/>
      <c r="AS350" s="674"/>
      <c r="AT350" s="674"/>
      <c r="AU350" s="674"/>
      <c r="AV350" s="674"/>
      <c r="BI350" s="475" t="s">
        <v>126</v>
      </c>
      <c r="BJ350" s="492" t="str">
        <f>E350</f>
        <v>Heizwerke/Wärmenetze - Nutzungsgrad</v>
      </c>
      <c r="BK350" s="486">
        <f ca="1">K350</f>
        <v>75</v>
      </c>
      <c r="BL350" s="486">
        <f ca="1">M350</f>
        <v>75</v>
      </c>
      <c r="BM350" s="472">
        <f>D350</f>
        <v>350</v>
      </c>
      <c r="BN350" s="658"/>
      <c r="BO350" s="475" t="s">
        <v>251</v>
      </c>
      <c r="BP350" s="521" t="s">
        <v>409</v>
      </c>
      <c r="CU350" s="476"/>
      <c r="CV350" s="658"/>
      <c r="CW350" s="518">
        <v>59</v>
      </c>
      <c r="CY350" s="472" t="str">
        <f t="shared" ref="CY350:DO350" ca="1" si="172">INDIRECT($CX$1&amp;CY$1&amp;$CW350)</f>
        <v>Wärme</v>
      </c>
      <c r="CZ350" s="472" t="str">
        <f t="shared" ca="1" si="172"/>
        <v>3.2.2 Energieertrag Nutzwärme aus Holzverstromung</v>
      </c>
      <c r="DA350" s="472">
        <f t="shared" ca="1" si="172"/>
        <v>3.9952349963925049</v>
      </c>
      <c r="DB350" s="472">
        <f t="shared" ca="1" si="172"/>
        <v>3.9952349963925049</v>
      </c>
      <c r="DC350" s="472" t="str">
        <f t="shared" ca="1" si="172"/>
        <v xml:space="preserve"> 257</v>
      </c>
      <c r="DD350" s="472" t="str">
        <f t="shared" ca="1" si="172"/>
        <v xml:space="preserve"> 258</v>
      </c>
      <c r="DE350" s="472" t="str">
        <f t="shared" ca="1" si="172"/>
        <v>Ho74</v>
      </c>
      <c r="DF350" s="472" t="str">
        <f t="shared" ca="1" si="172"/>
        <v>Ho82</v>
      </c>
      <c r="DG350" s="472" t="str">
        <f t="shared" ca="1" si="172"/>
        <v>Ho</v>
      </c>
      <c r="DH350" s="472" t="str">
        <f t="shared" ca="1" si="172"/>
        <v>74</v>
      </c>
      <c r="DI350" s="472" t="str">
        <f t="shared" ca="1" si="172"/>
        <v>[Ho.xls]TEXT!Z74S5</v>
      </c>
      <c r="DJ350" s="472" t="str">
        <f t="shared" ca="1" si="172"/>
        <v>Ho</v>
      </c>
      <c r="DK350" s="472" t="str">
        <f t="shared" ca="1" si="172"/>
        <v>82</v>
      </c>
      <c r="DL350" s="472" t="str">
        <f t="shared" ca="1" si="172"/>
        <v>[Ho.xls]TEXT!Z82S5</v>
      </c>
      <c r="DM350" s="472">
        <f t="shared" ca="1" si="172"/>
        <v>59</v>
      </c>
      <c r="DN350" s="472" t="str">
        <f t="shared" ca="1" si="172"/>
        <v>[Region.xls]PARAMETER!Z257S6</v>
      </c>
      <c r="DO350" s="472" t="str">
        <f t="shared" ca="1" si="172"/>
        <v>[Region.xls]PARAMETER!Z258S6</v>
      </c>
      <c r="DP350" s="472"/>
      <c r="DS350" s="656"/>
      <c r="DV350" s="472"/>
      <c r="DW350" s="472"/>
      <c r="DX350" s="472"/>
      <c r="DY350" s="472"/>
      <c r="DZ350" s="472"/>
      <c r="EA350" s="472"/>
      <c r="EB350" s="472"/>
      <c r="EC350" s="472"/>
      <c r="ED350" s="472"/>
      <c r="EE350" s="472"/>
      <c r="EF350" s="472"/>
      <c r="EG350" s="472"/>
      <c r="EH350" s="472"/>
      <c r="EI350" s="472"/>
      <c r="EJ350" s="472"/>
      <c r="EK350" s="472"/>
      <c r="EV350" s="819">
        <f t="shared" si="167"/>
        <v>350</v>
      </c>
      <c r="EW350" s="819"/>
    </row>
    <row r="351" spans="1:153" s="472" customFormat="1">
      <c r="A351" s="654" t="str">
        <f t="shared" ca="1" si="165"/>
        <v>D.1.351</v>
      </c>
      <c r="B351" s="654" t="str">
        <f t="shared" ca="1" si="166"/>
        <v>1.351</v>
      </c>
      <c r="C351" s="654" t="str">
        <f t="shared" si="146"/>
        <v>[351]</v>
      </c>
      <c r="D351" s="654">
        <f>ROW()</f>
        <v>351</v>
      </c>
      <c r="E351" s="1130" t="str">
        <f>CU351</f>
        <v>- STATUS-Ansatz: Da keine geeigneten Belege verfügbar waren, wurde eine eigene Einschätzung getroffen.</v>
      </c>
      <c r="F351" s="1130"/>
      <c r="G351" s="1130"/>
      <c r="H351" s="1130"/>
      <c r="I351" s="1130"/>
      <c r="J351" s="1130"/>
      <c r="K351" s="1130"/>
      <c r="L351" s="1130"/>
      <c r="M351" s="1130"/>
      <c r="N351" s="1131"/>
      <c r="O351" s="869">
        <v>351</v>
      </c>
      <c r="P351" s="573" t="str">
        <f ca="1">HYPERLINK(EK351,EJ351)</f>
        <v/>
      </c>
      <c r="Q351" s="574" t="str">
        <f>Y351</f>
        <v xml:space="preserve"> </v>
      </c>
      <c r="R351" s="852"/>
      <c r="S351" s="784"/>
      <c r="T351" s="864"/>
      <c r="U351" s="1023" t="s">
        <v>811</v>
      </c>
      <c r="V351" s="905" t="s">
        <v>126</v>
      </c>
      <c r="W351" s="1024">
        <v>75</v>
      </c>
      <c r="X351" s="672"/>
      <c r="Y351" s="672" t="s">
        <v>126</v>
      </c>
      <c r="Z351" s="1025"/>
      <c r="AA351" s="658"/>
      <c r="AB351" s="801"/>
      <c r="AC351" s="801"/>
      <c r="AD351" s="801"/>
      <c r="AE351" s="801"/>
      <c r="AF351" s="801"/>
      <c r="AG351" s="801"/>
      <c r="AH351" s="801"/>
      <c r="AI351" s="801"/>
      <c r="AJ351" s="801"/>
      <c r="AK351" s="801"/>
      <c r="AL351" s="801"/>
      <c r="AM351" s="801"/>
      <c r="AN351" s="801"/>
      <c r="AO351" s="801"/>
      <c r="AP351" s="801"/>
      <c r="AQ351" s="801"/>
      <c r="AR351" s="801"/>
      <c r="AS351" s="801"/>
      <c r="AT351" s="801"/>
      <c r="AU351" s="801"/>
      <c r="AV351" s="801"/>
      <c r="BF351" s="473"/>
      <c r="BI351" s="472" t="s">
        <v>126</v>
      </c>
      <c r="BJ351" s="490"/>
      <c r="BN351" s="656"/>
      <c r="BO351" s="472" t="s">
        <v>259</v>
      </c>
      <c r="CU351" s="480" t="str">
        <f>CG$1&amp;IF(U351="",BF351,U351)</f>
        <v>- STATUS-Ansatz: Da keine geeigneten Belege verfügbar waren, wurde eine eigene Einschätzung getroffen.</v>
      </c>
      <c r="CV351" s="656"/>
      <c r="CW351" s="480"/>
      <c r="DS351" s="656"/>
      <c r="DT351" s="518">
        <f>I_Basisdaten!A151</f>
        <v>151</v>
      </c>
      <c r="EJ351" s="472" t="str">
        <f>IF(X351=0,"",EJ$1&amp;X351)</f>
        <v/>
      </c>
      <c r="EK351" s="472" t="str">
        <f ca="1">EK$1&amp;X351</f>
        <v>[D_Python.xlsx]9.Quellen!C</v>
      </c>
      <c r="EV351" s="819">
        <f t="shared" si="167"/>
        <v>351</v>
      </c>
      <c r="EW351" s="819"/>
    </row>
    <row r="352" spans="1:153" s="472" customFormat="1">
      <c r="A352" s="654" t="str">
        <f t="shared" ca="1" si="165"/>
        <v>D.1.352</v>
      </c>
      <c r="B352" s="654" t="str">
        <f t="shared" ca="1" si="166"/>
        <v>1.352</v>
      </c>
      <c r="C352" s="654" t="str">
        <f t="shared" ref="C352:C418" si="173">CE$1&amp;D352&amp;CF$1</f>
        <v>[352]</v>
      </c>
      <c r="D352" s="654">
        <f>ROW()</f>
        <v>352</v>
      </c>
      <c r="E352" s="1125" t="str">
        <f t="shared" ref="E352" si="174">CU352</f>
        <v>- ZIEL-Ansatz: Da keine geeigneten Belege verfügbar waren, wurde eine eigene Einschätzung getroffen.</v>
      </c>
      <c r="F352" s="1125"/>
      <c r="G352" s="1125"/>
      <c r="H352" s="1125"/>
      <c r="I352" s="1125"/>
      <c r="J352" s="1125"/>
      <c r="K352" s="1125"/>
      <c r="L352" s="1125"/>
      <c r="M352" s="1125"/>
      <c r="N352" s="1132"/>
      <c r="O352" s="869">
        <v>352</v>
      </c>
      <c r="P352" s="573" t="str">
        <f ca="1">HYPERLINK(EK352,EJ352)</f>
        <v/>
      </c>
      <c r="Q352" s="574" t="str">
        <f>Y352</f>
        <v xml:space="preserve"> </v>
      </c>
      <c r="R352" s="852"/>
      <c r="S352" s="784"/>
      <c r="T352" s="864"/>
      <c r="U352" s="1023" t="s">
        <v>811</v>
      </c>
      <c r="V352" s="905" t="s">
        <v>126</v>
      </c>
      <c r="W352" s="1024">
        <v>75</v>
      </c>
      <c r="X352" s="672"/>
      <c r="Y352" s="672" t="s">
        <v>126</v>
      </c>
      <c r="Z352" s="1025"/>
      <c r="AA352" s="905"/>
      <c r="AB352" s="801"/>
      <c r="AC352" s="801"/>
      <c r="AD352" s="801"/>
      <c r="AE352" s="801"/>
      <c r="AF352" s="801"/>
      <c r="AG352" s="801"/>
      <c r="AH352" s="801"/>
      <c r="AI352" s="801"/>
      <c r="AJ352" s="801"/>
      <c r="AK352" s="801"/>
      <c r="AL352" s="801"/>
      <c r="AM352" s="801"/>
      <c r="AN352" s="801"/>
      <c r="AO352" s="801"/>
      <c r="AP352" s="801"/>
      <c r="AQ352" s="801"/>
      <c r="AR352" s="801"/>
      <c r="AS352" s="801"/>
      <c r="AT352" s="801"/>
      <c r="AU352" s="801"/>
      <c r="AV352" s="801"/>
      <c r="BF352" s="473"/>
      <c r="BI352" s="472" t="s">
        <v>126</v>
      </c>
      <c r="BJ352" s="490"/>
      <c r="BN352" s="656"/>
      <c r="BO352" s="472" t="s">
        <v>259</v>
      </c>
      <c r="CU352" s="480" t="str">
        <f>CH$1&amp;IF(U352="",BF352,U352)</f>
        <v>- ZIEL-Ansatz: Da keine geeigneten Belege verfügbar waren, wurde eine eigene Einschätzung getroffen.</v>
      </c>
      <c r="CV352" s="656"/>
      <c r="CW352" s="480"/>
      <c r="DS352" s="656"/>
      <c r="DT352" s="518">
        <v>53</v>
      </c>
      <c r="EJ352" s="472" t="str">
        <f>IF(X352=0,"",EJ$1&amp;X352)</f>
        <v/>
      </c>
      <c r="EK352" s="472" t="str">
        <f ca="1">EK$1&amp;X352</f>
        <v>[D_Python.xlsx]9.Quellen!C</v>
      </c>
      <c r="EV352" s="819">
        <f t="shared" si="167"/>
        <v>352</v>
      </c>
      <c r="EW352" s="819"/>
    </row>
    <row r="353" spans="1:153" s="528" customFormat="1" ht="4">
      <c r="A353" s="540" t="str">
        <f t="shared" ca="1" si="165"/>
        <v>D.1.353</v>
      </c>
      <c r="B353" s="540" t="str">
        <f t="shared" ca="1" si="166"/>
        <v>1.353</v>
      </c>
      <c r="C353" s="540" t="str">
        <f t="shared" si="173"/>
        <v>[353]</v>
      </c>
      <c r="D353" s="540">
        <f>ROW()</f>
        <v>353</v>
      </c>
      <c r="I353" s="527"/>
      <c r="J353" s="527"/>
      <c r="K353" s="527"/>
      <c r="L353" s="527"/>
      <c r="M353" s="527"/>
      <c r="O353" s="870">
        <v>353</v>
      </c>
      <c r="P353" s="566"/>
      <c r="Q353" s="567"/>
      <c r="R353" s="889"/>
      <c r="S353" s="802"/>
      <c r="T353" s="883"/>
      <c r="U353" s="661"/>
      <c r="V353" s="661"/>
      <c r="W353" s="661"/>
      <c r="X353" s="661"/>
      <c r="Y353" s="661"/>
      <c r="Z353" s="661"/>
      <c r="AA353" s="661"/>
      <c r="AB353" s="675"/>
      <c r="AC353" s="675"/>
      <c r="AD353" s="675"/>
      <c r="AE353" s="675"/>
      <c r="AF353" s="675"/>
      <c r="AG353" s="675"/>
      <c r="AH353" s="675"/>
      <c r="AI353" s="675"/>
      <c r="AJ353" s="675"/>
      <c r="AK353" s="675"/>
      <c r="AL353" s="675"/>
      <c r="AM353" s="675"/>
      <c r="AN353" s="675"/>
      <c r="AO353" s="675"/>
      <c r="AP353" s="675"/>
      <c r="AQ353" s="675"/>
      <c r="AR353" s="675"/>
      <c r="AS353" s="675"/>
      <c r="AT353" s="675"/>
      <c r="AU353" s="675"/>
      <c r="AV353" s="675"/>
      <c r="AZ353" s="541"/>
      <c r="BB353" s="541"/>
      <c r="BI353" s="528" t="s">
        <v>126</v>
      </c>
      <c r="BJ353" s="542"/>
      <c r="BN353" s="680"/>
      <c r="CU353" s="543"/>
      <c r="CV353" s="680"/>
      <c r="CW353" s="543"/>
      <c r="DS353" s="680"/>
      <c r="EV353" s="820" t="str">
        <f t="shared" si="167"/>
        <v/>
      </c>
      <c r="EW353" s="820"/>
    </row>
    <row r="354" spans="1:153" s="472" customFormat="1" ht="13">
      <c r="A354" s="654" t="str">
        <f t="shared" ca="1" si="165"/>
        <v>D.1.354</v>
      </c>
      <c r="B354" s="654" t="str">
        <f t="shared" ca="1" si="166"/>
        <v>1.354</v>
      </c>
      <c r="C354" s="654" t="str">
        <f t="shared" si="173"/>
        <v>[354]</v>
      </c>
      <c r="D354" s="654">
        <f>ROW()</f>
        <v>354</v>
      </c>
      <c r="E354" s="481" t="str">
        <f>BP354</f>
        <v>Biogene Abfallstoffe (fest)</v>
      </c>
      <c r="F354" s="482"/>
      <c r="G354" s="482"/>
      <c r="H354" s="482"/>
      <c r="I354" s="483"/>
      <c r="J354" s="484"/>
      <c r="K354" s="484"/>
      <c r="L354" s="484"/>
      <c r="M354" s="484"/>
      <c r="N354" s="532"/>
      <c r="O354" s="869">
        <v>354</v>
      </c>
      <c r="P354" s="568"/>
      <c r="Q354" s="569"/>
      <c r="R354" s="852"/>
      <c r="S354" s="804"/>
      <c r="T354" s="864"/>
      <c r="U354" s="905"/>
      <c r="V354" s="905"/>
      <c r="W354" s="905"/>
      <c r="X354" s="905"/>
      <c r="Y354" s="905"/>
      <c r="Z354" s="905"/>
      <c r="AA354" s="905"/>
      <c r="AB354" s="801"/>
      <c r="AC354" s="801"/>
      <c r="AD354" s="801"/>
      <c r="AE354" s="801"/>
      <c r="AF354" s="801"/>
      <c r="AG354" s="801"/>
      <c r="AH354" s="801"/>
      <c r="AI354" s="801"/>
      <c r="AJ354" s="801"/>
      <c r="AK354" s="801"/>
      <c r="AL354" s="801"/>
      <c r="AM354" s="801"/>
      <c r="AN354" s="801"/>
      <c r="AO354" s="801"/>
      <c r="AP354" s="801"/>
      <c r="AQ354" s="801"/>
      <c r="AR354" s="801"/>
      <c r="AS354" s="801"/>
      <c r="AT354" s="801"/>
      <c r="AU354" s="801"/>
      <c r="AV354" s="801"/>
      <c r="AZ354" s="504"/>
      <c r="BB354" s="506"/>
      <c r="BI354" s="472" t="s">
        <v>126</v>
      </c>
      <c r="BJ354" s="490"/>
      <c r="BN354" s="656"/>
      <c r="BO354" s="472" t="s">
        <v>250</v>
      </c>
      <c r="BP354" s="518" t="s">
        <v>550</v>
      </c>
      <c r="CU354" s="480"/>
      <c r="CV354" s="656"/>
      <c r="CW354" s="480"/>
      <c r="DS354" s="656"/>
      <c r="EV354" s="819">
        <f t="shared" si="167"/>
        <v>354</v>
      </c>
      <c r="EW354" s="819"/>
    </row>
    <row r="355" spans="1:153" s="478" customFormat="1" ht="4">
      <c r="A355" s="677" t="str">
        <f t="shared" ca="1" si="165"/>
        <v>D.1.355</v>
      </c>
      <c r="B355" s="677" t="str">
        <f t="shared" ca="1" si="166"/>
        <v>1.355</v>
      </c>
      <c r="C355" s="677" t="str">
        <f t="shared" si="173"/>
        <v>[355]</v>
      </c>
      <c r="D355" s="677">
        <f>ROW()</f>
        <v>355</v>
      </c>
      <c r="E355" s="528"/>
      <c r="F355" s="528"/>
      <c r="G355" s="528"/>
      <c r="H355" s="528"/>
      <c r="I355" s="527"/>
      <c r="J355" s="527"/>
      <c r="K355" s="527"/>
      <c r="L355" s="527"/>
      <c r="M355" s="527"/>
      <c r="N355" s="528"/>
      <c r="O355" s="871">
        <v>355</v>
      </c>
      <c r="P355" s="566"/>
      <c r="Q355" s="567"/>
      <c r="R355" s="888"/>
      <c r="S355" s="802"/>
      <c r="T355" s="882"/>
      <c r="U355" s="661"/>
      <c r="V355" s="661"/>
      <c r="W355" s="661"/>
      <c r="X355" s="661"/>
      <c r="Y355" s="661"/>
      <c r="Z355" s="661"/>
      <c r="AA355" s="661"/>
      <c r="AB355" s="675"/>
      <c r="AC355" s="675"/>
      <c r="AD355" s="675"/>
      <c r="AE355" s="675"/>
      <c r="AF355" s="675"/>
      <c r="AG355" s="675"/>
      <c r="AH355" s="675"/>
      <c r="AI355" s="675"/>
      <c r="AJ355" s="675"/>
      <c r="AK355" s="675"/>
      <c r="AL355" s="675"/>
      <c r="AM355" s="675"/>
      <c r="AN355" s="675"/>
      <c r="AO355" s="675"/>
      <c r="AP355" s="675"/>
      <c r="AQ355" s="675"/>
      <c r="AR355" s="675"/>
      <c r="AS355" s="675"/>
      <c r="AT355" s="675"/>
      <c r="AU355" s="675"/>
      <c r="AV355" s="675"/>
      <c r="AZ355" s="505"/>
      <c r="BB355" s="505"/>
      <c r="BI355" s="478" t="s">
        <v>126</v>
      </c>
      <c r="BJ355" s="489"/>
      <c r="BN355" s="661"/>
      <c r="CU355" s="479"/>
      <c r="CV355" s="661"/>
      <c r="CW355" s="479"/>
      <c r="DS355" s="661"/>
      <c r="EV355" s="818" t="str">
        <f t="shared" si="167"/>
        <v/>
      </c>
      <c r="EW355" s="818"/>
    </row>
    <row r="356" spans="1:153" s="475" customFormat="1" ht="13.5" customHeight="1">
      <c r="A356" s="654" t="str">
        <f t="shared" ca="1" si="165"/>
        <v>D.1.356</v>
      </c>
      <c r="B356" s="654" t="str">
        <f t="shared" ca="1" si="166"/>
        <v>1.356</v>
      </c>
      <c r="C356" s="654" t="str">
        <f t="shared" si="173"/>
        <v>[356]</v>
      </c>
      <c r="D356" s="654">
        <f>ROW()</f>
        <v>356</v>
      </c>
      <c r="E356" s="1129" t="str">
        <f>BP356</f>
        <v>Strom aus Abfallstoffen (fest)</v>
      </c>
      <c r="F356" s="1129"/>
      <c r="G356" s="1129"/>
      <c r="H356" s="1129"/>
      <c r="I356" s="1129"/>
      <c r="J356" s="559" t="s">
        <v>361</v>
      </c>
      <c r="K356" s="684">
        <f ca="1">INDIRECT($W$1&amp;U356)</f>
        <v>5912</v>
      </c>
      <c r="L356" s="485" t="str">
        <f ca="1">HYPERLINK($CK$1&amp;U356,$CE$1&amp;U356&amp;$CF$1)</f>
        <v>[357]</v>
      </c>
      <c r="M356" s="547">
        <f ca="1">INDIRECT($W$1&amp;W356)</f>
        <v>5912</v>
      </c>
      <c r="N356" s="533" t="str">
        <f ca="1">HYPERLINK($CK$1&amp;W356,$CE$1&amp;W356&amp;$CF$1)</f>
        <v>[358]</v>
      </c>
      <c r="O356" s="869">
        <v>356</v>
      </c>
      <c r="P356" s="570"/>
      <c r="Q356" s="583"/>
      <c r="R356" s="887"/>
      <c r="S356" s="784"/>
      <c r="T356" s="881"/>
      <c r="U356" s="672">
        <f>D357</f>
        <v>357</v>
      </c>
      <c r="V356" s="905" t="s">
        <v>126</v>
      </c>
      <c r="W356" s="672">
        <f>D358</f>
        <v>358</v>
      </c>
      <c r="X356" s="658"/>
      <c r="Y356" s="658"/>
      <c r="Z356" s="658"/>
      <c r="AA356" s="658"/>
      <c r="AB356" s="801"/>
      <c r="AC356" s="674"/>
      <c r="AD356" s="674"/>
      <c r="AE356" s="674"/>
      <c r="AF356" s="674"/>
      <c r="AG356" s="674"/>
      <c r="AH356" s="674"/>
      <c r="AI356" s="674"/>
      <c r="AJ356" s="674"/>
      <c r="AK356" s="674"/>
      <c r="AL356" s="674"/>
      <c r="AM356" s="674"/>
      <c r="AN356" s="674"/>
      <c r="AO356" s="674"/>
      <c r="AP356" s="674"/>
      <c r="AQ356" s="674"/>
      <c r="AR356" s="674"/>
      <c r="AS356" s="674"/>
      <c r="AT356" s="674"/>
      <c r="AU356" s="674"/>
      <c r="AV356" s="674"/>
      <c r="BI356" s="475" t="s">
        <v>126</v>
      </c>
      <c r="BJ356" s="492" t="str">
        <f>E356</f>
        <v>Strom aus Abfallstoffen (fest)</v>
      </c>
      <c r="BK356" s="486">
        <f ca="1">K356</f>
        <v>5912</v>
      </c>
      <c r="BL356" s="486">
        <f ca="1">M356</f>
        <v>5912</v>
      </c>
      <c r="BM356" s="472">
        <f>D356</f>
        <v>356</v>
      </c>
      <c r="BN356" s="658"/>
      <c r="BO356" s="475" t="s">
        <v>251</v>
      </c>
      <c r="BP356" s="521" t="s">
        <v>405</v>
      </c>
      <c r="CU356" s="476"/>
      <c r="CV356" s="658"/>
      <c r="CW356" s="518"/>
      <c r="CY356" s="472" t="e">
        <f t="shared" ref="CY356:DO356" ca="1" si="175">INDIRECT($CX$1&amp;CY$1&amp;$CW356)</f>
        <v>#REF!</v>
      </c>
      <c r="CZ356" s="472" t="e">
        <f t="shared" ca="1" si="175"/>
        <v>#REF!</v>
      </c>
      <c r="DA356" s="472" t="e">
        <f t="shared" ca="1" si="175"/>
        <v>#REF!</v>
      </c>
      <c r="DB356" s="472" t="e">
        <f t="shared" ca="1" si="175"/>
        <v>#REF!</v>
      </c>
      <c r="DC356" s="472" t="e">
        <f t="shared" ca="1" si="175"/>
        <v>#REF!</v>
      </c>
      <c r="DD356" s="472" t="e">
        <f t="shared" ca="1" si="175"/>
        <v>#REF!</v>
      </c>
      <c r="DE356" s="472" t="e">
        <f t="shared" ca="1" si="175"/>
        <v>#REF!</v>
      </c>
      <c r="DF356" s="472" t="e">
        <f t="shared" ca="1" si="175"/>
        <v>#REF!</v>
      </c>
      <c r="DG356" s="472" t="e">
        <f t="shared" ca="1" si="175"/>
        <v>#REF!</v>
      </c>
      <c r="DH356" s="472" t="e">
        <f t="shared" ca="1" si="175"/>
        <v>#REF!</v>
      </c>
      <c r="DI356" s="472" t="e">
        <f t="shared" ca="1" si="175"/>
        <v>#REF!</v>
      </c>
      <c r="DJ356" s="472" t="e">
        <f t="shared" ca="1" si="175"/>
        <v>#REF!</v>
      </c>
      <c r="DK356" s="472" t="e">
        <f t="shared" ca="1" si="175"/>
        <v>#REF!</v>
      </c>
      <c r="DL356" s="472" t="e">
        <f t="shared" ca="1" si="175"/>
        <v>#REF!</v>
      </c>
      <c r="DM356" s="472" t="e">
        <f t="shared" ca="1" si="175"/>
        <v>#REF!</v>
      </c>
      <c r="DN356" s="472" t="e">
        <f t="shared" ca="1" si="175"/>
        <v>#REF!</v>
      </c>
      <c r="DO356" s="472" t="e">
        <f t="shared" ca="1" si="175"/>
        <v>#REF!</v>
      </c>
      <c r="DP356" s="472"/>
      <c r="DS356" s="656"/>
      <c r="DV356" s="472"/>
      <c r="DW356" s="472"/>
      <c r="DX356" s="472"/>
      <c r="DY356" s="472"/>
      <c r="DZ356" s="472"/>
      <c r="EA356" s="472"/>
      <c r="EB356" s="472"/>
      <c r="EC356" s="472"/>
      <c r="ED356" s="472"/>
      <c r="EE356" s="472"/>
      <c r="EF356" s="472"/>
      <c r="EG356" s="472"/>
      <c r="EH356" s="472"/>
      <c r="EI356" s="472"/>
      <c r="EJ356" s="472"/>
      <c r="EK356" s="472"/>
      <c r="EV356" s="819">
        <f t="shared" si="167"/>
        <v>356</v>
      </c>
      <c r="EW356" s="819"/>
    </row>
    <row r="357" spans="1:153" s="472" customFormat="1" ht="26">
      <c r="A357" s="654" t="str">
        <f t="shared" ca="1" si="165"/>
        <v>D.1.357</v>
      </c>
      <c r="B357" s="654" t="str">
        <f t="shared" ca="1" si="166"/>
        <v>1.357</v>
      </c>
      <c r="C357" s="654" t="str">
        <f t="shared" si="173"/>
        <v>[357]</v>
      </c>
      <c r="D357" s="654">
        <f>ROW()</f>
        <v>357</v>
      </c>
      <c r="E357" s="1130" t="str">
        <f ca="1">CU357</f>
        <v xml:space="preserve">- STATUS-Ansatz: 5.912 GWh  Bruttostromerzeugung aus biogenem Anteil des Abfalls im Jahr 2016 gemäß BMWi [9.72] S. 8. </v>
      </c>
      <c r="F357" s="1130"/>
      <c r="G357" s="1130"/>
      <c r="H357" s="1130"/>
      <c r="I357" s="1130"/>
      <c r="J357" s="1130"/>
      <c r="K357" s="1130"/>
      <c r="L357" s="1130"/>
      <c r="M357" s="1130"/>
      <c r="N357" s="1131"/>
      <c r="O357" s="869">
        <v>357</v>
      </c>
      <c r="P357" s="573" t="str">
        <f ca="1">HYPERLINK(EK357,EJ357)</f>
        <v>9.72</v>
      </c>
      <c r="Q357" s="574" t="str">
        <f>Y357</f>
        <v>S. 8</v>
      </c>
      <c r="R357" s="852"/>
      <c r="S357" s="784"/>
      <c r="T357" s="864"/>
      <c r="U357" s="1023" t="str">
        <f ca="1">TEXT(AD357,"0.000")&amp;AE357&amp;" Bruttostromerzeugung aus biogenem Anteil des Abfalls im Jahr 2016 gemäß BMWi ["&amp;P357&amp;"] "&amp;Q357&amp;". "</f>
        <v xml:space="preserve">5.912 GWh  Bruttostromerzeugung aus biogenem Anteil des Abfalls im Jahr 2016 gemäß BMWi [9.72] S. 8. </v>
      </c>
      <c r="V357" s="905" t="s">
        <v>126</v>
      </c>
      <c r="W357" s="1024">
        <f ca="1">AK357</f>
        <v>5912</v>
      </c>
      <c r="X357" s="672">
        <f>'9.Quellen'!C72</f>
        <v>72</v>
      </c>
      <c r="Y357" s="672" t="s">
        <v>342</v>
      </c>
      <c r="Z357" s="1025"/>
      <c r="AA357" s="658"/>
      <c r="AB357" s="801"/>
      <c r="AC357" s="801"/>
      <c r="AD357" s="687">
        <v>5912</v>
      </c>
      <c r="AE357" s="801" t="s">
        <v>384</v>
      </c>
      <c r="AF357" s="776" t="str">
        <f ca="1">J34</f>
        <v>Verursacher-Prinzip</v>
      </c>
      <c r="AG357" s="687">
        <f>AE34</f>
        <v>82175684</v>
      </c>
      <c r="AH357" s="801" t="s">
        <v>548</v>
      </c>
      <c r="AI357" s="687">
        <f ca="1">K58</f>
        <v>82175684</v>
      </c>
      <c r="AJ357" s="801" t="s">
        <v>549</v>
      </c>
      <c r="AK357" s="801">
        <f ca="1">AD357*AG357/AI357</f>
        <v>5912</v>
      </c>
      <c r="AL357" s="801" t="s">
        <v>384</v>
      </c>
      <c r="AM357" s="801"/>
      <c r="AN357" s="801"/>
      <c r="AO357" s="801"/>
      <c r="AP357" s="801"/>
      <c r="AQ357" s="801"/>
      <c r="AR357" s="801"/>
      <c r="AS357" s="801"/>
      <c r="AT357" s="801"/>
      <c r="AU357" s="801"/>
      <c r="AV357" s="801"/>
      <c r="BF357" s="473"/>
      <c r="BI357" s="472" t="s">
        <v>126</v>
      </c>
      <c r="BJ357" s="490"/>
      <c r="BN357" s="656"/>
      <c r="BO357" s="472" t="s">
        <v>259</v>
      </c>
      <c r="CU357" s="480" t="str">
        <f ca="1">CG$1&amp;IF(U357="",BF357,U357)</f>
        <v xml:space="preserve">- STATUS-Ansatz: 5.912 GWh  Bruttostromerzeugung aus biogenem Anteil des Abfalls im Jahr 2016 gemäß BMWi [9.72] S. 8. </v>
      </c>
      <c r="CV357" s="656"/>
      <c r="CW357" s="480"/>
      <c r="DS357" s="656"/>
      <c r="DT357" s="518">
        <f>I_Basisdaten!A147</f>
        <v>147</v>
      </c>
      <c r="EJ357" s="472" t="str">
        <f ca="1">IF(X357=0,"",EJ$1&amp;X357)</f>
        <v>9.72</v>
      </c>
      <c r="EK357" s="472" t="str">
        <f ca="1">EK$1&amp;X357</f>
        <v>[D_Python.xlsx]9.Quellen!C72</v>
      </c>
      <c r="EV357" s="819">
        <f t="shared" ca="1" si="167"/>
        <v>357</v>
      </c>
      <c r="EW357" s="819"/>
    </row>
    <row r="358" spans="1:153" s="472" customFormat="1" ht="52">
      <c r="A358" s="654" t="str">
        <f t="shared" ca="1" si="165"/>
        <v>D.1.358</v>
      </c>
      <c r="B358" s="654" t="str">
        <f t="shared" ca="1" si="166"/>
        <v>1.358</v>
      </c>
      <c r="C358" s="654" t="str">
        <f t="shared" si="173"/>
        <v>[358]</v>
      </c>
      <c r="D358" s="654">
        <f>ROW()</f>
        <v>358</v>
      </c>
      <c r="E358" s="1125" t="str">
        <f t="shared" ref="E358" si="176">CU358</f>
        <v>- ZIEL-Ansatz: Beibehaltung des Statuswertes aufgrund einer aus heutiger Sicht schwer einschätzbaren Entwicklung. Auf der einen Seite ließe sich der Anteil energetischer Verwertung vermutlich noch erhöhen. Auf der anderen Seite könnte die weitere Optimierung von Müllvermeidung zu einer Senkung der energetisch verwertbaren Mengen führen.</v>
      </c>
      <c r="F358" s="1125"/>
      <c r="G358" s="1125"/>
      <c r="H358" s="1125"/>
      <c r="I358" s="1125"/>
      <c r="J358" s="1125"/>
      <c r="K358" s="1125"/>
      <c r="L358" s="1125"/>
      <c r="M358" s="1125"/>
      <c r="N358" s="1132"/>
      <c r="O358" s="869">
        <v>358</v>
      </c>
      <c r="P358" s="573" t="str">
        <f ca="1">HYPERLINK(EK358,EJ358)</f>
        <v/>
      </c>
      <c r="Q358" s="574" t="str">
        <f>Y358</f>
        <v xml:space="preserve"> </v>
      </c>
      <c r="R358" s="852"/>
      <c r="S358" s="784"/>
      <c r="T358" s="864"/>
      <c r="U358" s="1023" t="str">
        <f>"Beibehaltung des Statuswertes aufgrund einer aus heutiger Sicht schwer einschätzbaren Entwicklung. Auf der einen Seite ließe sich der Anteil energetischer Verwertung vermutlich noch erhöhen. "&amp;"Auf der anderen Seite könnte die weitere Optimierung von Müllvermeidung zu einer Senkung der energetisch verwertbaren Mengen führen."</f>
        <v>Beibehaltung des Statuswertes aufgrund einer aus heutiger Sicht schwer einschätzbaren Entwicklung. Auf der einen Seite ließe sich der Anteil energetischer Verwertung vermutlich noch erhöhen. Auf der anderen Seite könnte die weitere Optimierung von Müllvermeidung zu einer Senkung der energetisch verwertbaren Mengen führen.</v>
      </c>
      <c r="V358" s="905" t="s">
        <v>126</v>
      </c>
      <c r="W358" s="1024">
        <f ca="1">W357</f>
        <v>5912</v>
      </c>
      <c r="X358" s="672"/>
      <c r="Y358" s="672" t="s">
        <v>126</v>
      </c>
      <c r="Z358" s="1025"/>
      <c r="AA358" s="905"/>
      <c r="AB358" s="801"/>
      <c r="AC358" s="801"/>
      <c r="AD358" s="801"/>
      <c r="AE358" s="801"/>
      <c r="AF358" s="801"/>
      <c r="AG358" s="801"/>
      <c r="AH358" s="801"/>
      <c r="AI358" s="801"/>
      <c r="AJ358" s="801"/>
      <c r="AK358" s="801"/>
      <c r="AL358" s="801"/>
      <c r="AM358" s="801"/>
      <c r="AN358" s="801"/>
      <c r="AO358" s="801"/>
      <c r="AP358" s="801"/>
      <c r="AQ358" s="801"/>
      <c r="AR358" s="801"/>
      <c r="AS358" s="801"/>
      <c r="AT358" s="801"/>
      <c r="AU358" s="801"/>
      <c r="AV358" s="801"/>
      <c r="BF358" s="473"/>
      <c r="BI358" s="472" t="s">
        <v>126</v>
      </c>
      <c r="BJ358" s="490"/>
      <c r="BN358" s="656"/>
      <c r="BO358" s="472" t="s">
        <v>259</v>
      </c>
      <c r="CU358" s="480" t="str">
        <f>CH$1&amp;IF(U358="",BF358,U358)</f>
        <v>- ZIEL-Ansatz: Beibehaltung des Statuswertes aufgrund einer aus heutiger Sicht schwer einschätzbaren Entwicklung. Auf der einen Seite ließe sich der Anteil energetischer Verwertung vermutlich noch erhöhen. Auf der anderen Seite könnte die weitere Optimierung von Müllvermeidung zu einer Senkung der energetisch verwertbaren Mengen führen.</v>
      </c>
      <c r="CV358" s="656"/>
      <c r="CW358" s="480"/>
      <c r="DS358" s="656"/>
      <c r="DT358" s="518">
        <v>53</v>
      </c>
      <c r="EJ358" s="472" t="str">
        <f>IF(X358=0,"",EJ$1&amp;X358)</f>
        <v/>
      </c>
      <c r="EK358" s="472" t="str">
        <f ca="1">EK$1&amp;X358</f>
        <v>[D_Python.xlsx]9.Quellen!C</v>
      </c>
      <c r="EV358" s="819">
        <f t="shared" si="167"/>
        <v>358</v>
      </c>
      <c r="EW358" s="819"/>
    </row>
    <row r="359" spans="1:153" s="478" customFormat="1" ht="4">
      <c r="A359" s="677" t="str">
        <f t="shared" ca="1" si="165"/>
        <v>D.1.359</v>
      </c>
      <c r="B359" s="677" t="str">
        <f t="shared" ca="1" si="166"/>
        <v>1.359</v>
      </c>
      <c r="C359" s="677" t="str">
        <f t="shared" si="173"/>
        <v>[359]</v>
      </c>
      <c r="D359" s="677">
        <f>ROW()</f>
        <v>359</v>
      </c>
      <c r="E359" s="548"/>
      <c r="F359" s="548"/>
      <c r="G359" s="548"/>
      <c r="H359" s="548"/>
      <c r="I359" s="549"/>
      <c r="J359" s="549"/>
      <c r="K359" s="549"/>
      <c r="L359" s="549"/>
      <c r="M359" s="549"/>
      <c r="N359" s="548"/>
      <c r="O359" s="871">
        <v>359</v>
      </c>
      <c r="P359" s="575"/>
      <c r="Q359" s="576"/>
      <c r="R359" s="888"/>
      <c r="S359" s="802"/>
      <c r="T359" s="882"/>
      <c r="U359" s="661"/>
      <c r="V359" s="661"/>
      <c r="W359" s="661"/>
      <c r="X359" s="661"/>
      <c r="Y359" s="661"/>
      <c r="Z359" s="661"/>
      <c r="AA359" s="661"/>
      <c r="AB359" s="675"/>
      <c r="AC359" s="675"/>
      <c r="AD359" s="675"/>
      <c r="AE359" s="675"/>
      <c r="AF359" s="675"/>
      <c r="AG359" s="675"/>
      <c r="AH359" s="675"/>
      <c r="AI359" s="675"/>
      <c r="AJ359" s="675"/>
      <c r="AK359" s="675"/>
      <c r="AL359" s="675"/>
      <c r="AM359" s="675"/>
      <c r="AN359" s="675"/>
      <c r="AO359" s="675"/>
      <c r="AP359" s="675"/>
      <c r="AQ359" s="675"/>
      <c r="AR359" s="675"/>
      <c r="AS359" s="675"/>
      <c r="AT359" s="675"/>
      <c r="AU359" s="675"/>
      <c r="AV359" s="675"/>
      <c r="BI359" s="478" t="s">
        <v>126</v>
      </c>
      <c r="BJ359" s="489"/>
      <c r="BN359" s="661"/>
      <c r="CU359" s="479"/>
      <c r="CV359" s="661"/>
      <c r="CW359" s="479"/>
      <c r="DS359" s="661"/>
      <c r="EV359" s="818" t="str">
        <f t="shared" si="167"/>
        <v/>
      </c>
      <c r="EW359" s="818"/>
    </row>
    <row r="360" spans="1:153" s="475" customFormat="1" ht="13.5" customHeight="1">
      <c r="A360" s="654" t="str">
        <f t="shared" ca="1" si="165"/>
        <v>D.1.360</v>
      </c>
      <c r="B360" s="654" t="str">
        <f t="shared" ca="1" si="166"/>
        <v>1.360</v>
      </c>
      <c r="C360" s="654" t="str">
        <f t="shared" si="173"/>
        <v>[360]</v>
      </c>
      <c r="D360" s="654">
        <f>ROW()</f>
        <v>360</v>
      </c>
      <c r="E360" s="1129" t="str">
        <f>BP360</f>
        <v>Wärme aus  Abfallstoffen (fest)</v>
      </c>
      <c r="F360" s="1129"/>
      <c r="G360" s="1129"/>
      <c r="H360" s="1129"/>
      <c r="I360" s="1129"/>
      <c r="J360" s="559" t="s">
        <v>361</v>
      </c>
      <c r="K360" s="684">
        <f ca="1">INDIRECT($W$1&amp;U360)</f>
        <v>11933</v>
      </c>
      <c r="L360" s="485" t="str">
        <f ca="1">HYPERLINK($CK$1&amp;U360,$CE$1&amp;U360&amp;$CF$1)</f>
        <v>[361]</v>
      </c>
      <c r="M360" s="547">
        <f ca="1">INDIRECT($W$1&amp;W360)</f>
        <v>11933</v>
      </c>
      <c r="N360" s="533" t="str">
        <f ca="1">HYPERLINK($CK$1&amp;W360,$CE$1&amp;W360&amp;$CF$1)</f>
        <v>[362]</v>
      </c>
      <c r="O360" s="869">
        <v>360</v>
      </c>
      <c r="P360" s="570"/>
      <c r="Q360" s="583"/>
      <c r="R360" s="887"/>
      <c r="S360" s="784"/>
      <c r="T360" s="881"/>
      <c r="U360" s="672">
        <f>D361</f>
        <v>361</v>
      </c>
      <c r="V360" s="905" t="s">
        <v>126</v>
      </c>
      <c r="W360" s="672">
        <f>D362</f>
        <v>362</v>
      </c>
      <c r="X360" s="658"/>
      <c r="Y360" s="658"/>
      <c r="Z360" s="658"/>
      <c r="AA360" s="658"/>
      <c r="AB360" s="801"/>
      <c r="AC360" s="674"/>
      <c r="AD360" s="674"/>
      <c r="AE360" s="674"/>
      <c r="AF360" s="674"/>
      <c r="AG360" s="674"/>
      <c r="AH360" s="674"/>
      <c r="AI360" s="674"/>
      <c r="AJ360" s="674"/>
      <c r="AK360" s="674"/>
      <c r="AL360" s="674"/>
      <c r="AM360" s="674"/>
      <c r="AN360" s="674"/>
      <c r="AO360" s="674"/>
      <c r="AP360" s="674"/>
      <c r="AQ360" s="674"/>
      <c r="AR360" s="674"/>
      <c r="AS360" s="674"/>
      <c r="AT360" s="674"/>
      <c r="AU360" s="674"/>
      <c r="AV360" s="674"/>
      <c r="BI360" s="475" t="s">
        <v>126</v>
      </c>
      <c r="BJ360" s="492" t="str">
        <f>E360</f>
        <v>Wärme aus  Abfallstoffen (fest)</v>
      </c>
      <c r="BK360" s="486">
        <f ca="1">K360</f>
        <v>11933</v>
      </c>
      <c r="BL360" s="486">
        <f ca="1">M360</f>
        <v>11933</v>
      </c>
      <c r="BM360" s="472">
        <f>D360</f>
        <v>360</v>
      </c>
      <c r="BN360" s="658"/>
      <c r="BO360" s="475" t="s">
        <v>251</v>
      </c>
      <c r="BP360" s="521" t="s">
        <v>551</v>
      </c>
      <c r="CU360" s="476"/>
      <c r="CV360" s="658"/>
      <c r="CW360" s="518"/>
      <c r="CY360" s="472" t="e">
        <f t="shared" ref="CY360:DO360" ca="1" si="177">INDIRECT($CX$1&amp;CY$1&amp;$CW360)</f>
        <v>#REF!</v>
      </c>
      <c r="CZ360" s="472" t="e">
        <f t="shared" ca="1" si="177"/>
        <v>#REF!</v>
      </c>
      <c r="DA360" s="472" t="e">
        <f t="shared" ca="1" si="177"/>
        <v>#REF!</v>
      </c>
      <c r="DB360" s="472" t="e">
        <f t="shared" ca="1" si="177"/>
        <v>#REF!</v>
      </c>
      <c r="DC360" s="472" t="e">
        <f t="shared" ca="1" si="177"/>
        <v>#REF!</v>
      </c>
      <c r="DD360" s="472" t="e">
        <f t="shared" ca="1" si="177"/>
        <v>#REF!</v>
      </c>
      <c r="DE360" s="472" t="e">
        <f t="shared" ca="1" si="177"/>
        <v>#REF!</v>
      </c>
      <c r="DF360" s="472" t="e">
        <f t="shared" ca="1" si="177"/>
        <v>#REF!</v>
      </c>
      <c r="DG360" s="472" t="e">
        <f t="shared" ca="1" si="177"/>
        <v>#REF!</v>
      </c>
      <c r="DH360" s="472" t="e">
        <f t="shared" ca="1" si="177"/>
        <v>#REF!</v>
      </c>
      <c r="DI360" s="472" t="e">
        <f t="shared" ca="1" si="177"/>
        <v>#REF!</v>
      </c>
      <c r="DJ360" s="472" t="e">
        <f t="shared" ca="1" si="177"/>
        <v>#REF!</v>
      </c>
      <c r="DK360" s="472" t="e">
        <f t="shared" ca="1" si="177"/>
        <v>#REF!</v>
      </c>
      <c r="DL360" s="472" t="e">
        <f t="shared" ca="1" si="177"/>
        <v>#REF!</v>
      </c>
      <c r="DM360" s="472" t="e">
        <f t="shared" ca="1" si="177"/>
        <v>#REF!</v>
      </c>
      <c r="DN360" s="472" t="e">
        <f t="shared" ca="1" si="177"/>
        <v>#REF!</v>
      </c>
      <c r="DO360" s="472" t="e">
        <f t="shared" ca="1" si="177"/>
        <v>#REF!</v>
      </c>
      <c r="DP360" s="472"/>
      <c r="DS360" s="656"/>
      <c r="DV360" s="472"/>
      <c r="DW360" s="472"/>
      <c r="DX360" s="472"/>
      <c r="DY360" s="472"/>
      <c r="DZ360" s="472"/>
      <c r="EA360" s="472"/>
      <c r="EB360" s="472"/>
      <c r="EC360" s="472"/>
      <c r="ED360" s="472"/>
      <c r="EE360" s="472"/>
      <c r="EF360" s="472"/>
      <c r="EG360" s="472"/>
      <c r="EH360" s="472"/>
      <c r="EI360" s="472"/>
      <c r="EJ360" s="472"/>
      <c r="EK360" s="472"/>
      <c r="EV360" s="819">
        <f t="shared" si="167"/>
        <v>360</v>
      </c>
      <c r="EW360" s="819"/>
    </row>
    <row r="361" spans="1:153" s="472" customFormat="1" ht="26">
      <c r="A361" s="654" t="str">
        <f t="shared" ca="1" si="165"/>
        <v>D.1.361</v>
      </c>
      <c r="B361" s="654" t="str">
        <f t="shared" ca="1" si="166"/>
        <v>1.361</v>
      </c>
      <c r="C361" s="654" t="str">
        <f t="shared" si="173"/>
        <v>[361]</v>
      </c>
      <c r="D361" s="654">
        <f>ROW()</f>
        <v>361</v>
      </c>
      <c r="E361" s="1130" t="str">
        <f ca="1">CU361</f>
        <v xml:space="preserve">- STATUS-Ansatz: 11.933 GWh  Wärme (Endenergie) aus biogenen Abfallstoffen im Jahr 2016 gemäß BMWi [9.72] S. 13. </v>
      </c>
      <c r="F361" s="1130"/>
      <c r="G361" s="1130"/>
      <c r="H361" s="1130"/>
      <c r="I361" s="1130"/>
      <c r="J361" s="1130"/>
      <c r="K361" s="1130"/>
      <c r="L361" s="1130"/>
      <c r="M361" s="1130"/>
      <c r="N361" s="1131"/>
      <c r="O361" s="869">
        <v>361</v>
      </c>
      <c r="P361" s="573" t="str">
        <f ca="1">HYPERLINK(EK361,EJ361)</f>
        <v>9.72</v>
      </c>
      <c r="Q361" s="574" t="str">
        <f>Y361</f>
        <v>S. 13</v>
      </c>
      <c r="R361" s="852"/>
      <c r="S361" s="784"/>
      <c r="T361" s="864"/>
      <c r="U361" s="1023" t="str">
        <f ca="1">TEXT(AD361,"0.000")&amp;AE361&amp;" Wärme (Endenergie) aus biogenen Abfallstoffen im Jahr 2016 gemäß BMWi ["&amp;P361&amp;"] "&amp;Q361&amp;". "</f>
        <v xml:space="preserve">11.933 GWh  Wärme (Endenergie) aus biogenen Abfallstoffen im Jahr 2016 gemäß BMWi [9.72] S. 13. </v>
      </c>
      <c r="V361" s="905" t="s">
        <v>126</v>
      </c>
      <c r="W361" s="1024">
        <f ca="1">AK361</f>
        <v>11933</v>
      </c>
      <c r="X361" s="672">
        <f>'9.Quellen'!C72</f>
        <v>72</v>
      </c>
      <c r="Y361" s="672" t="s">
        <v>336</v>
      </c>
      <c r="Z361" s="1025"/>
      <c r="AA361" s="658"/>
      <c r="AB361" s="801"/>
      <c r="AC361" s="801"/>
      <c r="AD361" s="687">
        <v>11933</v>
      </c>
      <c r="AE361" s="801" t="s">
        <v>384</v>
      </c>
      <c r="AF361" s="776" t="str">
        <f ca="1">J34</f>
        <v>Verursacher-Prinzip</v>
      </c>
      <c r="AG361" s="687">
        <f>AE34</f>
        <v>82175684</v>
      </c>
      <c r="AH361" s="801" t="s">
        <v>548</v>
      </c>
      <c r="AI361" s="687">
        <f ca="1">K58</f>
        <v>82175684</v>
      </c>
      <c r="AJ361" s="801" t="s">
        <v>549</v>
      </c>
      <c r="AK361" s="801">
        <f ca="1">AD361*AG361/AI361</f>
        <v>11933</v>
      </c>
      <c r="AL361" s="801" t="s">
        <v>384</v>
      </c>
      <c r="AM361" s="801"/>
      <c r="AN361" s="801"/>
      <c r="AO361" s="801"/>
      <c r="AP361" s="801"/>
      <c r="AQ361" s="801"/>
      <c r="AR361" s="801"/>
      <c r="AS361" s="801"/>
      <c r="AT361" s="801"/>
      <c r="AU361" s="801"/>
      <c r="AV361" s="801"/>
      <c r="BF361" s="473"/>
      <c r="BI361" s="472" t="s">
        <v>126</v>
      </c>
      <c r="BJ361" s="490"/>
      <c r="BN361" s="656"/>
      <c r="BO361" s="472" t="s">
        <v>259</v>
      </c>
      <c r="CU361" s="480" t="str">
        <f ca="1">CG$1&amp;IF(U361="",BF361,U361)</f>
        <v xml:space="preserve">- STATUS-Ansatz: 11.933 GWh  Wärme (Endenergie) aus biogenen Abfallstoffen im Jahr 2016 gemäß BMWi [9.72] S. 13. </v>
      </c>
      <c r="CV361" s="656"/>
      <c r="CW361" s="480"/>
      <c r="DS361" s="656"/>
      <c r="DT361" s="518">
        <f>I_Basisdaten!A151</f>
        <v>151</v>
      </c>
      <c r="EJ361" s="472" t="str">
        <f ca="1">IF(X361=0,"",EJ$1&amp;X361)</f>
        <v>9.72</v>
      </c>
      <c r="EK361" s="472" t="str">
        <f ca="1">EK$1&amp;X361</f>
        <v>[D_Python.xlsx]9.Quellen!C72</v>
      </c>
      <c r="EV361" s="819">
        <f t="shared" ca="1" si="167"/>
        <v>361</v>
      </c>
      <c r="EW361" s="819"/>
    </row>
    <row r="362" spans="1:153" s="472" customFormat="1" ht="52">
      <c r="A362" s="654" t="str">
        <f t="shared" ca="1" si="165"/>
        <v>D.1.362</v>
      </c>
      <c r="B362" s="654" t="str">
        <f t="shared" ca="1" si="166"/>
        <v>1.362</v>
      </c>
      <c r="C362" s="654" t="str">
        <f t="shared" si="173"/>
        <v>[362]</v>
      </c>
      <c r="D362" s="654">
        <f>ROW()</f>
        <v>362</v>
      </c>
      <c r="E362" s="1125" t="str">
        <f t="shared" ref="E362" si="178">CU362</f>
        <v>- ZIEL-Ansatz: Beibehaltung des Statuswertes aufgrund einer aus heutiger Sicht schwer einschätzbaren Entwicklung. Auf der einen Seite ließe sich der Anteil energetischer Verwertung vermutlich noch erhöhen. Auf der anderen Seite könnte die weitere Optimierung von Müllvermeidung zu einer Senkung der energetisch verwertbaren Mengen führen.</v>
      </c>
      <c r="F362" s="1125"/>
      <c r="G362" s="1125"/>
      <c r="H362" s="1125"/>
      <c r="I362" s="1125"/>
      <c r="J362" s="1125"/>
      <c r="K362" s="1125"/>
      <c r="L362" s="1125"/>
      <c r="M362" s="1125"/>
      <c r="N362" s="1132"/>
      <c r="O362" s="869">
        <v>362</v>
      </c>
      <c r="P362" s="573" t="str">
        <f ca="1">HYPERLINK(EK362,EJ362)</f>
        <v/>
      </c>
      <c r="Q362" s="574" t="str">
        <f>Y362</f>
        <v xml:space="preserve"> </v>
      </c>
      <c r="R362" s="852"/>
      <c r="S362" s="784"/>
      <c r="T362" s="864"/>
      <c r="U362" s="1023" t="str">
        <f>"Beibehaltung des Statuswertes aufgrund einer aus heutiger Sicht schwer einschätzbaren Entwicklung. Auf der einen Seite ließe sich der Anteil energetischer Verwertung vermutlich noch erhöhen. "&amp;"Auf der anderen Seite könnte die weitere Optimierung von Müllvermeidung zu einer Senkung der energetisch verwertbaren Mengen führen."</f>
        <v>Beibehaltung des Statuswertes aufgrund einer aus heutiger Sicht schwer einschätzbaren Entwicklung. Auf der einen Seite ließe sich der Anteil energetischer Verwertung vermutlich noch erhöhen. Auf der anderen Seite könnte die weitere Optimierung von Müllvermeidung zu einer Senkung der energetisch verwertbaren Mengen führen.</v>
      </c>
      <c r="V362" s="905" t="s">
        <v>126</v>
      </c>
      <c r="W362" s="1024">
        <f ca="1">W361</f>
        <v>11933</v>
      </c>
      <c r="X362" s="672"/>
      <c r="Y362" s="672" t="s">
        <v>126</v>
      </c>
      <c r="Z362" s="1025"/>
      <c r="AA362" s="905"/>
      <c r="AB362" s="801"/>
      <c r="AC362" s="801"/>
      <c r="AD362" s="801"/>
      <c r="AE362" s="801"/>
      <c r="AF362" s="801"/>
      <c r="AG362" s="801"/>
      <c r="AH362" s="801"/>
      <c r="AI362" s="801"/>
      <c r="AJ362" s="801"/>
      <c r="AK362" s="801"/>
      <c r="AL362" s="801"/>
      <c r="AM362" s="801"/>
      <c r="AN362" s="801"/>
      <c r="AO362" s="801"/>
      <c r="AP362" s="801"/>
      <c r="AQ362" s="801"/>
      <c r="AR362" s="801"/>
      <c r="AS362" s="801"/>
      <c r="AT362" s="801"/>
      <c r="AU362" s="801"/>
      <c r="AV362" s="801"/>
      <c r="BF362" s="473"/>
      <c r="BI362" s="472" t="s">
        <v>126</v>
      </c>
      <c r="BJ362" s="490"/>
      <c r="BN362" s="656"/>
      <c r="BO362" s="472" t="s">
        <v>259</v>
      </c>
      <c r="CU362" s="480" t="str">
        <f>CH$1&amp;IF(U362="",BF362,U362)</f>
        <v>- ZIEL-Ansatz: Beibehaltung des Statuswertes aufgrund einer aus heutiger Sicht schwer einschätzbaren Entwicklung. Auf der einen Seite ließe sich der Anteil energetischer Verwertung vermutlich noch erhöhen. Auf der anderen Seite könnte die weitere Optimierung von Müllvermeidung zu einer Senkung der energetisch verwertbaren Mengen führen.</v>
      </c>
      <c r="CV362" s="656"/>
      <c r="CW362" s="480"/>
      <c r="DS362" s="656"/>
      <c r="DT362" s="518">
        <v>53</v>
      </c>
      <c r="EJ362" s="472" t="str">
        <f>IF(X362=0,"",EJ$1&amp;X362)</f>
        <v/>
      </c>
      <c r="EK362" s="472" t="str">
        <f ca="1">EK$1&amp;X362</f>
        <v>[D_Python.xlsx]9.Quellen!C</v>
      </c>
      <c r="EV362" s="819">
        <f t="shared" si="167"/>
        <v>362</v>
      </c>
      <c r="EW362" s="819"/>
    </row>
    <row r="363" spans="1:153" s="472" customFormat="1" ht="13">
      <c r="A363" s="654" t="str">
        <f t="shared" ca="1" si="165"/>
        <v>D.1.363</v>
      </c>
      <c r="B363" s="654" t="str">
        <f t="shared" ca="1" si="166"/>
        <v>1.363</v>
      </c>
      <c r="C363" s="654" t="str">
        <f t="shared" si="173"/>
        <v>[363]</v>
      </c>
      <c r="D363" s="654">
        <f>ROW()</f>
        <v>363</v>
      </c>
      <c r="E363" s="481" t="str">
        <f>BP363</f>
        <v>Biogas</v>
      </c>
      <c r="F363" s="482"/>
      <c r="G363" s="482"/>
      <c r="H363" s="482"/>
      <c r="I363" s="483"/>
      <c r="J363" s="484"/>
      <c r="K363" s="484"/>
      <c r="L363" s="484"/>
      <c r="M363" s="484"/>
      <c r="N363" s="532"/>
      <c r="O363" s="869">
        <v>363</v>
      </c>
      <c r="P363" s="568"/>
      <c r="Q363" s="569"/>
      <c r="R363" s="852"/>
      <c r="S363" s="804"/>
      <c r="T363" s="864"/>
      <c r="U363" s="905"/>
      <c r="V363" s="905"/>
      <c r="W363" s="905"/>
      <c r="X363" s="905"/>
      <c r="Y363" s="905"/>
      <c r="Z363" s="905"/>
      <c r="AA363" s="905"/>
      <c r="AB363" s="801"/>
      <c r="AC363" s="801"/>
      <c r="AD363" s="801">
        <f ca="1">SUM(AN363:AR363)/AH363%</f>
        <v>20.630008980848466</v>
      </c>
      <c r="AE363" s="801" t="s">
        <v>1047</v>
      </c>
      <c r="AF363" s="801">
        <f ca="1">(SUM(AN363:AQ363)+AT363)/AJ363%</f>
        <v>13.345507047408043</v>
      </c>
      <c r="AG363" s="801" t="s">
        <v>1048</v>
      </c>
      <c r="AH363" s="687">
        <f ca="1">K80</f>
        <v>11764144.6</v>
      </c>
      <c r="AI363" s="801" t="s">
        <v>289</v>
      </c>
      <c r="AJ363" s="687">
        <f ca="1">K75</f>
        <v>18263736</v>
      </c>
      <c r="AK363" s="801" t="s">
        <v>289</v>
      </c>
      <c r="AL363" s="687">
        <f ca="1">SUM(AN363:AR363)+AT363</f>
        <v>2447832.2624999997</v>
      </c>
      <c r="AM363" s="801"/>
      <c r="AN363" s="687">
        <f ca="1">(K365)</f>
        <v>1450000</v>
      </c>
      <c r="AO363" s="687">
        <f ca="1">+K445</f>
        <v>760000</v>
      </c>
      <c r="AP363" s="687">
        <f ca="1">+K494</f>
        <v>200000</v>
      </c>
      <c r="AQ363" s="834">
        <f ca="1">+K266</f>
        <v>6500</v>
      </c>
      <c r="AR363" s="687">
        <f ca="1">AT363*AS363</f>
        <v>10444.087500000001</v>
      </c>
      <c r="AS363" s="801">
        <v>0.5</v>
      </c>
      <c r="AT363" s="687">
        <f ca="1">+K129</f>
        <v>20888.175000000003</v>
      </c>
      <c r="AU363" s="801"/>
      <c r="AV363" s="801"/>
      <c r="AZ363" s="504"/>
      <c r="BB363" s="506"/>
      <c r="BI363" s="472" t="s">
        <v>126</v>
      </c>
      <c r="BJ363" s="490"/>
      <c r="BN363" s="656"/>
      <c r="BO363" s="472" t="s">
        <v>250</v>
      </c>
      <c r="BP363" s="518" t="s">
        <v>7</v>
      </c>
      <c r="CU363" s="480"/>
      <c r="CV363" s="656"/>
      <c r="CW363" s="480"/>
      <c r="DS363" s="656"/>
      <c r="EV363" s="819">
        <f t="shared" si="167"/>
        <v>363</v>
      </c>
      <c r="EW363" s="819"/>
    </row>
    <row r="364" spans="1:153" s="478" customFormat="1" ht="4">
      <c r="A364" s="677" t="str">
        <f t="shared" ca="1" si="165"/>
        <v>D.1.364</v>
      </c>
      <c r="B364" s="677" t="str">
        <f t="shared" ca="1" si="166"/>
        <v>1.364</v>
      </c>
      <c r="C364" s="677" t="str">
        <f t="shared" si="173"/>
        <v>[364]</v>
      </c>
      <c r="D364" s="677">
        <f>ROW()</f>
        <v>364</v>
      </c>
      <c r="E364" s="528"/>
      <c r="F364" s="528"/>
      <c r="G364" s="528"/>
      <c r="H364" s="528"/>
      <c r="I364" s="527"/>
      <c r="J364" s="527"/>
      <c r="K364" s="527"/>
      <c r="L364" s="527"/>
      <c r="M364" s="527"/>
      <c r="N364" s="528"/>
      <c r="O364" s="871">
        <v>364</v>
      </c>
      <c r="P364" s="566"/>
      <c r="Q364" s="567"/>
      <c r="R364" s="888"/>
      <c r="S364" s="802"/>
      <c r="T364" s="882"/>
      <c r="U364" s="661"/>
      <c r="V364" s="661"/>
      <c r="W364" s="661"/>
      <c r="X364" s="661"/>
      <c r="Y364" s="661"/>
      <c r="Z364" s="661"/>
      <c r="AA364" s="661"/>
      <c r="AB364" s="675"/>
      <c r="AC364" s="675"/>
      <c r="AD364" s="675"/>
      <c r="AE364" s="675"/>
      <c r="AF364" s="675"/>
      <c r="AG364" s="675"/>
      <c r="AH364" s="675"/>
      <c r="AI364" s="675"/>
      <c r="AJ364" s="675"/>
      <c r="AK364" s="675"/>
      <c r="AL364" s="675"/>
      <c r="AM364" s="675"/>
      <c r="AN364" s="675"/>
      <c r="AO364" s="675"/>
      <c r="AP364" s="675"/>
      <c r="AQ364" s="675"/>
      <c r="AR364" s="675"/>
      <c r="AS364" s="675"/>
      <c r="AT364" s="675"/>
      <c r="AU364" s="675"/>
      <c r="AV364" s="675"/>
      <c r="AZ364" s="505"/>
      <c r="BB364" s="505"/>
      <c r="BI364" s="478" t="s">
        <v>126</v>
      </c>
      <c r="BJ364" s="489"/>
      <c r="BN364" s="661"/>
      <c r="CU364" s="479"/>
      <c r="CV364" s="661"/>
      <c r="CW364" s="479"/>
      <c r="DS364" s="661"/>
      <c r="EV364" s="818" t="str">
        <f t="shared" si="167"/>
        <v/>
      </c>
      <c r="EW364" s="818"/>
    </row>
    <row r="365" spans="1:153" s="475" customFormat="1" ht="13.5" customHeight="1">
      <c r="A365" s="654" t="str">
        <f t="shared" ca="1" si="165"/>
        <v>D.1.365</v>
      </c>
      <c r="B365" s="654" t="str">
        <f t="shared" ca="1" si="166"/>
        <v>1.365</v>
      </c>
      <c r="C365" s="654" t="str">
        <f t="shared" si="173"/>
        <v>[365]</v>
      </c>
      <c r="D365" s="654">
        <f>ROW()</f>
        <v>365</v>
      </c>
      <c r="E365" s="1129" t="str">
        <f>BP365</f>
        <v>Biogas - NAWARO-Anbau</v>
      </c>
      <c r="F365" s="1129"/>
      <c r="G365" s="1129"/>
      <c r="H365" s="1129"/>
      <c r="I365" s="1129"/>
      <c r="J365" s="471" t="s">
        <v>272</v>
      </c>
      <c r="K365" s="546">
        <f ca="1">INDIRECT($W$1&amp;U365)</f>
        <v>1450000</v>
      </c>
      <c r="L365" s="485" t="str">
        <f ca="1">HYPERLINK($CK$1&amp;U365,$CE$1&amp;U365&amp;$CF$1)</f>
        <v>[366]</v>
      </c>
      <c r="M365" s="547">
        <f ca="1">INDIRECT($W$1&amp;W365)</f>
        <v>1601000</v>
      </c>
      <c r="N365" s="533" t="str">
        <f ca="1">HYPERLINK($CK$1&amp;W365,$CE$1&amp;W365&amp;$CF$1)</f>
        <v>[368]</v>
      </c>
      <c r="O365" s="869">
        <v>365</v>
      </c>
      <c r="P365" s="570"/>
      <c r="Q365" s="583"/>
      <c r="R365" s="852"/>
      <c r="S365" s="784"/>
      <c r="T365" s="864"/>
      <c r="U365" s="672">
        <f>D366</f>
        <v>366</v>
      </c>
      <c r="V365" s="905" t="s">
        <v>126</v>
      </c>
      <c r="W365" s="672">
        <f>D368</f>
        <v>368</v>
      </c>
      <c r="X365" s="658"/>
      <c r="Y365" s="658"/>
      <c r="Z365" s="658"/>
      <c r="AA365" s="658"/>
      <c r="AB365" s="801"/>
      <c r="AC365" s="801"/>
      <c r="AD365" s="862">
        <f>W81</f>
        <v>11764144.6</v>
      </c>
      <c r="AE365" s="674" t="s">
        <v>382</v>
      </c>
      <c r="AF365" s="674">
        <f>AD366/AD365%</f>
        <v>12.325588041479872</v>
      </c>
      <c r="AG365" s="674" t="s">
        <v>531</v>
      </c>
      <c r="AH365" s="862">
        <f>W76</f>
        <v>18263736</v>
      </c>
      <c r="AI365" s="674" t="s">
        <v>382</v>
      </c>
      <c r="AJ365" s="674">
        <f>AD366/AH365%</f>
        <v>7.9392299582078945</v>
      </c>
      <c r="AK365" s="674" t="s">
        <v>531</v>
      </c>
      <c r="AL365" s="674"/>
      <c r="AM365" s="674"/>
      <c r="AN365" s="674"/>
      <c r="AO365" s="674"/>
      <c r="AP365" s="674"/>
      <c r="AQ365" s="674"/>
      <c r="AR365" s="674"/>
      <c r="AS365" s="674"/>
      <c r="AT365" s="674">
        <f>AT366/AD365%</f>
        <v>9.9829935200171569</v>
      </c>
      <c r="AU365" s="674" t="s">
        <v>972</v>
      </c>
      <c r="AV365" s="674"/>
      <c r="AX365" s="475" t="s">
        <v>244</v>
      </c>
      <c r="AY365" s="500">
        <f ca="1">DA365</f>
        <v>260000</v>
      </c>
      <c r="AZ365" s="508" t="str">
        <f ca="1">HYPERLINK(DN365,DC365)</f>
        <v xml:space="preserve"> 41</v>
      </c>
      <c r="BA365" s="500">
        <f ca="1">DB365</f>
        <v>259999.99999999997</v>
      </c>
      <c r="BB365" s="508" t="str">
        <f ca="1">HYPERLINK(DO365,DD365)</f>
        <v xml:space="preserve"> 44</v>
      </c>
      <c r="BC365" s="475" t="str">
        <f ca="1">CY365&amp;" | "&amp;CZ365</f>
        <v>Energie-Pfl.
Biogas | 2.1.2 Für Biogasgewinnung in Zielregion genutzte Anbauflächen</v>
      </c>
      <c r="BI365" s="475" t="s">
        <v>126</v>
      </c>
      <c r="BJ365" s="492" t="str">
        <f>E365</f>
        <v>Biogas - NAWARO-Anbau</v>
      </c>
      <c r="BK365" s="486">
        <f ca="1">K365</f>
        <v>1450000</v>
      </c>
      <c r="BL365" s="486">
        <f ca="1">M365</f>
        <v>1601000</v>
      </c>
      <c r="BM365" s="472">
        <f>D365</f>
        <v>365</v>
      </c>
      <c r="BN365" s="658"/>
      <c r="BO365" s="475" t="s">
        <v>251</v>
      </c>
      <c r="BP365" s="521" t="s">
        <v>1018</v>
      </c>
      <c r="CU365" s="476"/>
      <c r="CV365" s="658"/>
      <c r="CW365" s="518">
        <v>28</v>
      </c>
      <c r="CY365" s="472" t="str">
        <f t="shared" ref="CY365:DO365" ca="1" si="179">INDIRECT($CX$1&amp;CY$1&amp;$CW365)</f>
        <v>Energie-Pfl.
Biogas</v>
      </c>
      <c r="CZ365" s="472" t="str">
        <f t="shared" ca="1" si="179"/>
        <v>2.1.2 Für Biogasgewinnung in Zielregion genutzte Anbauflächen</v>
      </c>
      <c r="DA365" s="472">
        <f t="shared" ca="1" si="179"/>
        <v>260000</v>
      </c>
      <c r="DB365" s="472">
        <f t="shared" ca="1" si="179"/>
        <v>259999.99999999997</v>
      </c>
      <c r="DC365" s="472" t="str">
        <f t="shared" ca="1" si="179"/>
        <v xml:space="preserve"> 41</v>
      </c>
      <c r="DD365" s="472" t="str">
        <f t="shared" ca="1" si="179"/>
        <v xml:space="preserve"> 44</v>
      </c>
      <c r="DE365" s="472" t="str">
        <f t="shared" ca="1" si="179"/>
        <v>EP23</v>
      </c>
      <c r="DF365" s="472" t="str">
        <f t="shared" ca="1" si="179"/>
        <v>EP45</v>
      </c>
      <c r="DG365" s="472" t="str">
        <f t="shared" ca="1" si="179"/>
        <v>EP</v>
      </c>
      <c r="DH365" s="472" t="str">
        <f t="shared" ca="1" si="179"/>
        <v>23</v>
      </c>
      <c r="DI365" s="472" t="str">
        <f t="shared" ca="1" si="179"/>
        <v>[EP.xls]TEXT!Z23S5</v>
      </c>
      <c r="DJ365" s="472" t="str">
        <f t="shared" ca="1" si="179"/>
        <v>EP</v>
      </c>
      <c r="DK365" s="472" t="str">
        <f t="shared" ca="1" si="179"/>
        <v>45</v>
      </c>
      <c r="DL365" s="472" t="str">
        <f t="shared" ca="1" si="179"/>
        <v>[EP.xls]TEXT!Z45S5</v>
      </c>
      <c r="DM365" s="472">
        <f t="shared" ca="1" si="179"/>
        <v>28</v>
      </c>
      <c r="DN365" s="472" t="str">
        <f t="shared" ca="1" si="179"/>
        <v>[Region.xls]PARAMETER!Z41S6</v>
      </c>
      <c r="DO365" s="472" t="str">
        <f t="shared" ca="1" si="179"/>
        <v>[Region.xls]PARAMETER!Z44S6</v>
      </c>
      <c r="DP365" s="472"/>
      <c r="DS365" s="656"/>
      <c r="DV365" s="472"/>
      <c r="DW365" s="472"/>
      <c r="DX365" s="472"/>
      <c r="DY365" s="472"/>
      <c r="DZ365" s="472"/>
      <c r="EA365" s="472"/>
      <c r="EB365" s="472"/>
      <c r="EC365" s="472"/>
      <c r="ED365" s="472"/>
      <c r="EE365" s="472"/>
      <c r="EF365" s="472"/>
      <c r="EG365" s="472"/>
      <c r="EH365" s="472"/>
      <c r="EI365" s="472"/>
      <c r="EJ365" s="472"/>
      <c r="EK365" s="472"/>
      <c r="EV365" s="819">
        <f t="shared" si="167"/>
        <v>365</v>
      </c>
      <c r="EW365" s="819"/>
    </row>
    <row r="366" spans="1:153" s="472" customFormat="1" ht="104">
      <c r="A366" s="654" t="str">
        <f t="shared" ca="1" si="165"/>
        <v>D.1.366</v>
      </c>
      <c r="B366" s="654" t="str">
        <f t="shared" ca="1" si="166"/>
        <v>1.366</v>
      </c>
      <c r="C366" s="654" t="str">
        <f t="shared" si="173"/>
        <v>[366]</v>
      </c>
      <c r="D366" s="654">
        <f>ROW()</f>
        <v>366</v>
      </c>
      <c r="E366" s="1130" t="str">
        <f ca="1">CU366</f>
        <v>- STATUS-Ansatz: Gemäß FNR [9.102], S. 11, lag die Anbaufläche nachwachsender Rohstoffe für Biogas im Jahr 2016 mit 1.450.000 ha bei 60 % der gesamten Energiepflanzen-Anbaufläche von 2.421.000 ha. Damit wurden 7,9 %  der Landwirtschaftsfläche [76] für Biogasgewinnung beansprucht. Auf die Ackerfläche [88] bezogen ergibt sich rechnerisch ein Anteil von 12,3 % . Allerdings wurde hier vereinfachend auch die durch Grassilage für Biogas beanspruchte Dauergrünlandfläche von 275.586 ha  einbezogen (von 66,6 Mio t FM  Substrateinsatz waren 12 %  entsprechend 8,0 Mio t FM Grassilage; bei einem Ertrag von 29 t FM/ha gemäß [9.102] S. 39 ergibt sich die genannte Fläche). Netto wird somit lediglich eine Ackerfläche von 1.174.414 ha  beansprucht, das entspricht einem Anteil von 10,0 %.</v>
      </c>
      <c r="F366" s="1130"/>
      <c r="G366" s="1130"/>
      <c r="H366" s="1130"/>
      <c r="I366" s="1130"/>
      <c r="J366" s="1130"/>
      <c r="K366" s="1130"/>
      <c r="L366" s="1130"/>
      <c r="M366" s="1130"/>
      <c r="N366" s="1131"/>
      <c r="O366" s="869">
        <v>366</v>
      </c>
      <c r="P366" s="573" t="str">
        <f ca="1">HYPERLINK(EK366,EJ366)</f>
        <v>9.102</v>
      </c>
      <c r="Q366" s="574" t="str">
        <f>Y366</f>
        <v>S. 11</v>
      </c>
      <c r="R366" s="852"/>
      <c r="S366" s="784"/>
      <c r="T366" s="864"/>
      <c r="U366" s="1023" t="str">
        <f ca="1">"Gemäß FNR ["&amp;P366&amp;"], "&amp;Q366&amp;", lag die Anbaufläche nachwachsender Rohstoffe für Biogas im Jahr 2016 mit "&amp;TEXT(AD366,"0.000")&amp;" ha bei "&amp;TEXT(AH366,"0")&amp;" % der gesamten Energiepflanzen-Anbaufläche von "&amp;TEXT(AF366,"0.000")&amp;" ha. Damit wurden "&amp;TEXT(AJ365,"0,0")&amp;AK365&amp;" der Landwirtschaftsfläche "&amp;C76&amp;" für Biogasgewinnung beansprucht. Auf die Ackerfläche "&amp;C88&amp;" bezogen ergibt sich rechnerisch ein Anteil von "&amp;TEXT(AF365,"0,0")&amp;AG365&amp;". Allerdings wurde hier vereinfachend auch die durch Grassilage für Biogas beanspruchte Dauergrünlandfläche von "&amp;TEXT(AR366,"0.000")&amp;AS366&amp;" einbezogen (von "&amp;AJ366&amp;AK366&amp;" Substrateinsatz waren "&amp;AL366&amp;AM366&amp;" entsprechend "&amp;TEXT(AN366,"0,0")&amp;AO366&amp;" Grassilage; bei einem Ertrag von "&amp;AP366&amp;AQ366&amp;" gemäß ["&amp;P366&amp;"] S. 39 ergibt sich die genannte Fläche). Netto wird somit lediglich eine Ackerfläche von "&amp;TEXT(AT366,"0.000")&amp;AU366&amp;" beansprucht, das entspricht einem Anteil von "&amp;TEXT(AT365,"0,0")&amp;AU365&amp;"."</f>
        <v>Gemäß FNR [9.102], S. 11, lag die Anbaufläche nachwachsender Rohstoffe für Biogas im Jahr 2016 mit 1.450.000 ha bei 60 % der gesamten Energiepflanzen-Anbaufläche von 2.421.000 ha. Damit wurden 7,9 %  der Landwirtschaftsfläche [76] für Biogasgewinnung beansprucht. Auf die Ackerfläche [88] bezogen ergibt sich rechnerisch ein Anteil von 12,3 % . Allerdings wurde hier vereinfachend auch die durch Grassilage für Biogas beanspruchte Dauergrünlandfläche von 275.586 ha  einbezogen (von 66,6 Mio t FM  Substrateinsatz waren 12 %  entsprechend 8,0 Mio t FM Grassilage; bei einem Ertrag von 29 t FM/ha gemäß [9.102] S. 39 ergibt sich die genannte Fläche). Netto wird somit lediglich eine Ackerfläche von 1.174.414 ha  beansprucht, das entspricht einem Anteil von 10,0 %.</v>
      </c>
      <c r="V366" s="905" t="s">
        <v>126</v>
      </c>
      <c r="W366" s="1024">
        <f>AD366</f>
        <v>1450000</v>
      </c>
      <c r="X366" s="672">
        <f>'9.Quellen'!C102</f>
        <v>102</v>
      </c>
      <c r="Y366" s="672" t="s">
        <v>437</v>
      </c>
      <c r="Z366" s="1025"/>
      <c r="AA366" s="658"/>
      <c r="AB366" s="801"/>
      <c r="AC366" s="801"/>
      <c r="AD366" s="687">
        <v>1450000</v>
      </c>
      <c r="AE366" s="801" t="s">
        <v>289</v>
      </c>
      <c r="AF366" s="687">
        <v>2421000</v>
      </c>
      <c r="AG366" s="801" t="s">
        <v>382</v>
      </c>
      <c r="AH366" s="845">
        <f>AD366/AF366%</f>
        <v>59.89260636100785</v>
      </c>
      <c r="AI366" s="845" t="s">
        <v>38</v>
      </c>
      <c r="AJ366" s="845">
        <v>66.599999999999994</v>
      </c>
      <c r="AK366" s="845" t="s">
        <v>1015</v>
      </c>
      <c r="AL366" s="801">
        <v>12</v>
      </c>
      <c r="AM366" s="801" t="s">
        <v>531</v>
      </c>
      <c r="AN366" s="801">
        <f>AJ366*AL366%</f>
        <v>7.9919999999999991</v>
      </c>
      <c r="AO366" s="801" t="s">
        <v>1016</v>
      </c>
      <c r="AP366" s="801">
        <v>29</v>
      </c>
      <c r="AQ366" s="801" t="s">
        <v>1017</v>
      </c>
      <c r="AR366" s="801">
        <f>AN366*1000000/AP366</f>
        <v>275586.20689655171</v>
      </c>
      <c r="AS366" s="801" t="s">
        <v>382</v>
      </c>
      <c r="AT366" s="687">
        <f>AD366-AR366</f>
        <v>1174413.7931034483</v>
      </c>
      <c r="AU366" s="801" t="s">
        <v>382</v>
      </c>
      <c r="AV366" s="801"/>
      <c r="BF366" s="473"/>
      <c r="BI366" s="472" t="s">
        <v>126</v>
      </c>
      <c r="BJ366" s="490"/>
      <c r="BN366" s="656"/>
      <c r="BO366" s="472" t="s">
        <v>259</v>
      </c>
      <c r="CU366" s="480" t="str">
        <f ca="1">CG$1&amp;IF(U366="",BF366,U366)</f>
        <v>- STATUS-Ansatz: Gemäß FNR [9.102], S. 11, lag die Anbaufläche nachwachsender Rohstoffe für Biogas im Jahr 2016 mit 1.450.000 ha bei 60 % der gesamten Energiepflanzen-Anbaufläche von 2.421.000 ha. Damit wurden 7,9 %  der Landwirtschaftsfläche [76] für Biogasgewinnung beansprucht. Auf die Ackerfläche [88] bezogen ergibt sich rechnerisch ein Anteil von 12,3 % . Allerdings wurde hier vereinfachend auch die durch Grassilage für Biogas beanspruchte Dauergrünlandfläche von 275.586 ha  einbezogen (von 66,6 Mio t FM  Substrateinsatz waren 12 %  entsprechend 8,0 Mio t FM Grassilage; bei einem Ertrag von 29 t FM/ha gemäß [9.102] S. 39 ergibt sich die genannte Fläche). Netto wird somit lediglich eine Ackerfläche von 1.174.414 ha  beansprucht, das entspricht einem Anteil von 10,0 %.</v>
      </c>
      <c r="CV366" s="656"/>
      <c r="CW366" s="480"/>
      <c r="DS366" s="656"/>
      <c r="DT366" s="518">
        <f>I_Basisdaten!A148</f>
        <v>148</v>
      </c>
      <c r="EJ366" s="472" t="str">
        <f ca="1">IF(X366=0,"",EJ$1&amp;X366)</f>
        <v>9.102</v>
      </c>
      <c r="EK366" s="472" t="str">
        <f ca="1">EK$1&amp;X366</f>
        <v>[D_Python.xlsx]9.Quellen!C102</v>
      </c>
      <c r="EV366" s="819">
        <f t="shared" ca="1" si="167"/>
        <v>366</v>
      </c>
      <c r="EW366" s="819"/>
    </row>
    <row r="367" spans="1:153" s="661" customFormat="1" ht="4">
      <c r="A367" s="677" t="str">
        <f t="shared" ca="1" si="165"/>
        <v>D.1.367</v>
      </c>
      <c r="B367" s="677" t="str">
        <f t="shared" ca="1" si="166"/>
        <v>1.367</v>
      </c>
      <c r="C367" s="677" t="str">
        <f t="shared" si="173"/>
        <v>[367]</v>
      </c>
      <c r="D367" s="677">
        <f>ROW()</f>
        <v>367</v>
      </c>
      <c r="E367" s="680"/>
      <c r="F367" s="680"/>
      <c r="G367" s="680"/>
      <c r="H367" s="680"/>
      <c r="I367" s="679"/>
      <c r="J367" s="679"/>
      <c r="K367" s="679"/>
      <c r="L367" s="679"/>
      <c r="M367" s="679"/>
      <c r="N367" s="680"/>
      <c r="O367" s="871">
        <v>367</v>
      </c>
      <c r="P367" s="688"/>
      <c r="Q367" s="689"/>
      <c r="R367" s="888"/>
      <c r="S367" s="802"/>
      <c r="T367" s="882"/>
      <c r="AB367" s="675"/>
      <c r="AC367" s="675"/>
      <c r="AD367" s="675"/>
      <c r="AE367" s="675"/>
      <c r="AF367" s="675"/>
      <c r="AG367" s="675"/>
      <c r="AH367" s="675"/>
      <c r="AI367" s="675"/>
      <c r="AJ367" s="675"/>
      <c r="AK367" s="675"/>
      <c r="AL367" s="675"/>
      <c r="AM367" s="675"/>
      <c r="AN367" s="675"/>
      <c r="AO367" s="675"/>
      <c r="AP367" s="675"/>
      <c r="AQ367" s="675"/>
      <c r="AR367" s="675"/>
      <c r="AS367" s="675"/>
      <c r="AT367" s="675"/>
      <c r="AU367" s="675"/>
      <c r="AV367" s="675"/>
      <c r="BI367" s="661" t="s">
        <v>126</v>
      </c>
      <c r="BJ367" s="665"/>
      <c r="CU367" s="662"/>
      <c r="CW367" s="662"/>
      <c r="EV367" s="818" t="str">
        <f t="shared" si="167"/>
        <v/>
      </c>
      <c r="EW367" s="818"/>
    </row>
    <row r="368" spans="1:153" s="472" customFormat="1" ht="78">
      <c r="A368" s="654" t="str">
        <f t="shared" ca="1" si="165"/>
        <v>D.1.368</v>
      </c>
      <c r="B368" s="654" t="str">
        <f t="shared" ca="1" si="166"/>
        <v>1.368</v>
      </c>
      <c r="C368" s="654" t="str">
        <f t="shared" si="173"/>
        <v>[368]</v>
      </c>
      <c r="D368" s="654">
        <f>ROW()</f>
        <v>368</v>
      </c>
      <c r="E368" s="1125" t="str">
        <f t="shared" ref="E368" ca="1" si="180">CU368</f>
        <v>- ZIEL-Ansatz: Innerhalb der Extrempositionen (bezüglich Anbau energetisch genutzter nachwachsender Rohstoffe) von einerseits der Leitstudie mit 22,5 % [369] der Landwirtschaftsfläche und andererseits THGND mit einem völligen Verzicht [370] geht der gewählte Ansatz vom Erhalt des Status Quo beim Anteil der energetisch beanspruchten Landwirtschaftsfläche von 13,3 % v. LF aus ([365][445][494][266][129][75]). Von 2.366.994 ha  resultierender Zielfäche bleibt nach Abzug der übrigen Nutzungen (Pflanzenöl, Ethanol, Kurzumtrieb, Freiflächen-PV) eine Anbaufläche für Biogas von 1.600.717 ha  entsprechend 9,0 %  der Landwirtschaftsfläche [75].</v>
      </c>
      <c r="F368" s="1125"/>
      <c r="G368" s="1125"/>
      <c r="H368" s="1125"/>
      <c r="I368" s="1125"/>
      <c r="J368" s="1125"/>
      <c r="K368" s="1125"/>
      <c r="L368" s="1125"/>
      <c r="M368" s="1125"/>
      <c r="N368" s="1132"/>
      <c r="O368" s="869">
        <v>368</v>
      </c>
      <c r="P368" s="573" t="str">
        <f ca="1">HYPERLINK(EK368,EJ368)</f>
        <v/>
      </c>
      <c r="Q368" s="574" t="str">
        <f>Y368</f>
        <v xml:space="preserve"> </v>
      </c>
      <c r="R368" s="852"/>
      <c r="S368" s="784"/>
      <c r="T368" s="864"/>
      <c r="U368" s="1086" t="str">
        <f ca="1">"Innerhalb der Extrempositionen (bezüglich Anbau energetisch genutzter nachwachsender Rohstoffe) von einerseits der Leitstudie mit "&amp;TEXT(AH369,"0,0")&amp;AI369&amp;C$369&amp;" der Landwirtschaftsfläche und andererseits THGND mit einem völligen Verzicht "&amp;C$370&amp;" geht der gewählte Ansatz vom Erhalt des Status Quo beim Anteil der energetisch beanspruchten Landwirtschaftsfläche von "&amp;TEXT(AD368,"0,0")&amp;AE368&amp;" aus ("&amp;C365&amp;C445&amp;C494&amp;C266&amp;C129&amp;C75&amp;"). Von "&amp;TEXT(AG368,"0.000")&amp;AH368&amp;" resultierender Zielfäche bleibt nach Abzug der übrigen Nutzungen (Pflanzenöl, Ethanol, Kurzumtrieb, Freiflächen-PV) eine Anbaufläche für Biogas von "&amp;TEXT(AI368,"0.000")&amp;" ha  entsprechend "&amp;TEXT(AR368,"0,0")&amp;AW369&amp;" der Landwirtschaftsfläche "&amp;C75&amp;"."</f>
        <v>Innerhalb der Extrempositionen (bezüglich Anbau energetisch genutzter nachwachsender Rohstoffe) von einerseits der Leitstudie mit 22,5 % [369] der Landwirtschaftsfläche und andererseits THGND mit einem völligen Verzicht [370] geht der gewählte Ansatz vom Erhalt des Status Quo beim Anteil der energetisch beanspruchten Landwirtschaftsfläche von 13,3 % v. LF aus ([365][445][494][266][129][75]). Von 2.366.994 ha  resultierender Zielfäche bleibt nach Abzug der übrigen Nutzungen (Pflanzenöl, Ethanol, Kurzumtrieb, Freiflächen-PV) eine Anbaufläche für Biogas von 1.600.717 ha  entsprechend 9,0 %  der Landwirtschaftsfläche [75].</v>
      </c>
      <c r="V368" s="905" t="s">
        <v>126</v>
      </c>
      <c r="W368" s="823">
        <f ca="1">AK368</f>
        <v>1601000</v>
      </c>
      <c r="X368" s="672"/>
      <c r="Y368" s="672" t="s">
        <v>126</v>
      </c>
      <c r="Z368" s="1025"/>
      <c r="AA368" s="905"/>
      <c r="AB368" s="801"/>
      <c r="AC368" s="1020"/>
      <c r="AD368" s="801">
        <f ca="1">AF363</f>
        <v>13.345507047408043</v>
      </c>
      <c r="AE368" s="801" t="str">
        <f>AG363</f>
        <v xml:space="preserve"> % v. LF</v>
      </c>
      <c r="AF368" s="687">
        <f ca="1">M75</f>
        <v>17736258.686981831</v>
      </c>
      <c r="AG368" s="687">
        <f ca="1">AF368*AD368%</f>
        <v>2366993.6530176816</v>
      </c>
      <c r="AH368" s="801" t="s">
        <v>382</v>
      </c>
      <c r="AI368" s="687">
        <f ca="1">AG368-SUM(AM368:AP368)</f>
        <v>1600717.4138839357</v>
      </c>
      <c r="AJ368" s="801" t="s">
        <v>382</v>
      </c>
      <c r="AK368" s="801">
        <f ca="1">ROUND(AI368/1000,0)*1000</f>
        <v>1601000</v>
      </c>
      <c r="AL368" s="801" t="s">
        <v>382</v>
      </c>
      <c r="AM368" s="687">
        <f ca="1">M445</f>
        <v>303000</v>
      </c>
      <c r="AN368" s="687">
        <f ca="1">M494</f>
        <v>0</v>
      </c>
      <c r="AO368" s="834">
        <f ca="1">M266</f>
        <v>6500</v>
      </c>
      <c r="AP368" s="687">
        <f ca="1">M129</f>
        <v>456776.23913374596</v>
      </c>
      <c r="AQ368" s="801"/>
      <c r="AR368" s="801">
        <f ca="1">AK368/AF368%</f>
        <v>9.0267064111729045</v>
      </c>
      <c r="AS368" s="801"/>
      <c r="AT368" s="801"/>
      <c r="AU368" s="801">
        <v>1624000</v>
      </c>
      <c r="AV368" s="801" t="s">
        <v>289</v>
      </c>
      <c r="BF368" s="473"/>
      <c r="BI368" s="472" t="s">
        <v>126</v>
      </c>
      <c r="BJ368" s="490"/>
      <c r="BN368" s="656"/>
      <c r="BO368" s="472" t="s">
        <v>259</v>
      </c>
      <c r="CU368" s="480" t="str">
        <f ca="1">CH$1&amp;IF(U368="",BF368,U368)</f>
        <v>- ZIEL-Ansatz: Innerhalb der Extrempositionen (bezüglich Anbau energetisch genutzter nachwachsender Rohstoffe) von einerseits der Leitstudie mit 22,5 % [369] der Landwirtschaftsfläche und andererseits THGND mit einem völligen Verzicht [370] geht der gewählte Ansatz vom Erhalt des Status Quo beim Anteil der energetisch beanspruchten Landwirtschaftsfläche von 13,3 % v. LF aus ([365][445][494][266][129][75]). Von 2.366.994 ha  resultierender Zielfäche bleibt nach Abzug der übrigen Nutzungen (Pflanzenöl, Ethanol, Kurzumtrieb, Freiflächen-PV) eine Anbaufläche für Biogas von 1.600.717 ha  entsprechend 9,0 %  der Landwirtschaftsfläche [75].</v>
      </c>
      <c r="CV368" s="656"/>
      <c r="CW368" s="480"/>
      <c r="DS368" s="656"/>
      <c r="DT368" s="518">
        <v>53</v>
      </c>
      <c r="EJ368" s="472" t="str">
        <f>IF(X368=0,"",EJ$1&amp;X368)</f>
        <v/>
      </c>
      <c r="EK368" s="472" t="str">
        <f ca="1">EK$1&amp;X368</f>
        <v>[D_Python.xlsx]9.Quellen!C</v>
      </c>
      <c r="EV368" s="819">
        <f t="shared" ca="1" si="167"/>
        <v>368</v>
      </c>
      <c r="EW368" s="819"/>
    </row>
    <row r="369" spans="1:153" s="656" customFormat="1" ht="39">
      <c r="A369" s="654" t="str">
        <f t="shared" ca="1" si="165"/>
        <v>D.1.369</v>
      </c>
      <c r="B369" s="654" t="str">
        <f t="shared" ca="1" si="166"/>
        <v>1.369</v>
      </c>
      <c r="C369" s="654" t="str">
        <f>CE$1&amp;D369&amp;CF$1</f>
        <v>[369]</v>
      </c>
      <c r="D369" s="654">
        <f>ROW()</f>
        <v>369</v>
      </c>
      <c r="E369" s="1125" t="str">
        <f ca="1">CU369</f>
        <v>Leitstudie 2011 [9.60], S. 6: "Das begrenzte Potenzial der energetischen Nutzung von Biomasse verlangt einen sehr ressourceneffizienten Umgang (..) An nutzbarer inländischer Landfläche zum nachhaltigen Anbau von Energiepflanzen werden 4,2 %angenommen (entsprechend 22,5 %  der Landwirtschaftsfläche)."</v>
      </c>
      <c r="F369" s="1125"/>
      <c r="G369" s="1125"/>
      <c r="H369" s="1125"/>
      <c r="I369" s="1125"/>
      <c r="J369" s="1125"/>
      <c r="K369" s="1125"/>
      <c r="L369" s="1125"/>
      <c r="M369" s="1125"/>
      <c r="N369" s="1132"/>
      <c r="O369" s="869">
        <v>369</v>
      </c>
      <c r="P369" s="691" t="str">
        <f ca="1">HYPERLINK(EK369,EJ369)</f>
        <v>9.60</v>
      </c>
      <c r="Q369" s="692" t="str">
        <f>Y369</f>
        <v>S. 6</v>
      </c>
      <c r="R369" s="852"/>
      <c r="S369" s="784"/>
      <c r="T369" s="864"/>
      <c r="U369" s="1023" t="str">
        <f ca="1">"Leitstudie 2011 ["&amp;P369&amp;"], "&amp;Q369&amp;": ""Das begrenzte Potenzial der energetischen Nutzung von Biomasse verlangt einen sehr ressourceneffizienten Umgang (..) An nutzbarer inländischer Landfläche zum nachhaltigen Anbau von Energiepflanzen werden "&amp;AD369&amp;AE369&amp;"angenommen (entsprechend "&amp;TEXT(AH369,"0,0")&amp;AI369&amp;" der Landwirtschaftsfläche)."""</f>
        <v>Leitstudie 2011 [9.60], S. 6: "Das begrenzte Potenzial der energetischen Nutzung von Biomasse verlangt einen sehr ressourceneffizienten Umgang (..) An nutzbarer inländischer Landfläche zum nachhaltigen Anbau von Energiepflanzen werden 4,2 %angenommen (entsprechend 22,5 %  der Landwirtschaftsfläche)."</v>
      </c>
      <c r="V369" s="905" t="s">
        <v>126</v>
      </c>
      <c r="W369" s="1025"/>
      <c r="X369" s="672">
        <f>'9.Quellen'!C60</f>
        <v>60</v>
      </c>
      <c r="Y369" s="672" t="s">
        <v>741</v>
      </c>
      <c r="Z369" s="1025"/>
      <c r="AA369" s="905"/>
      <c r="AB369" s="801"/>
      <c r="AC369" s="801"/>
      <c r="AD369" s="801">
        <v>4.2</v>
      </c>
      <c r="AE369" s="801" t="s">
        <v>972</v>
      </c>
      <c r="AF369" s="801">
        <v>18.7</v>
      </c>
      <c r="AG369" s="801" t="s">
        <v>743</v>
      </c>
      <c r="AH369" s="687">
        <f>AD369/AF369%</f>
        <v>22.459893048128343</v>
      </c>
      <c r="AI369" s="801" t="s">
        <v>531</v>
      </c>
      <c r="AJ369" s="801"/>
      <c r="AK369" s="801"/>
      <c r="AL369" s="801"/>
      <c r="AM369" s="801"/>
      <c r="AN369" s="801"/>
      <c r="AO369" s="801"/>
      <c r="AP369" s="801"/>
      <c r="AQ369" s="801"/>
      <c r="AR369" s="801"/>
      <c r="AS369" s="801"/>
      <c r="AT369" s="801">
        <v>0.5</v>
      </c>
      <c r="AU369" s="801"/>
      <c r="AV369" s="801"/>
      <c r="AW369" s="656" t="s">
        <v>531</v>
      </c>
      <c r="AX369" s="673" t="s">
        <v>835</v>
      </c>
      <c r="BF369" s="657" t="s">
        <v>126</v>
      </c>
      <c r="BI369" s="656" t="s">
        <v>126</v>
      </c>
      <c r="BJ369" s="666"/>
      <c r="BO369" s="656" t="s">
        <v>259</v>
      </c>
      <c r="BQ369" s="678" t="s">
        <v>271</v>
      </c>
      <c r="CU369" s="663" t="str">
        <f ca="1">IF(U369="",BF369,U369)</f>
        <v>Leitstudie 2011 [9.60], S. 6: "Das begrenzte Potenzial der energetischen Nutzung von Biomasse verlangt einen sehr ressourceneffizienten Umgang (..) An nutzbarer inländischer Landfläche zum nachhaltigen Anbau von Energiepflanzen werden 4,2 %angenommen (entsprechend 22,5 %  der Landwirtschaftsfläche)."</v>
      </c>
      <c r="CW369" s="663"/>
      <c r="EJ369" s="656" t="str">
        <f ca="1">IF(X369=0,"",EJ$1&amp;X369)</f>
        <v>9.60</v>
      </c>
      <c r="EK369" s="656" t="str">
        <f ca="1">EK$1&amp;X369</f>
        <v>[D_Python.xlsx]9.Quellen!C60</v>
      </c>
      <c r="EV369" s="819">
        <f t="shared" ca="1" si="167"/>
        <v>369</v>
      </c>
      <c r="EW369" s="819"/>
    </row>
    <row r="370" spans="1:153" s="656" customFormat="1" ht="78">
      <c r="A370" s="654" t="str">
        <f t="shared" ca="1" si="165"/>
        <v>D.1.370</v>
      </c>
      <c r="B370" s="654" t="str">
        <f t="shared" ca="1" si="166"/>
        <v>1.370</v>
      </c>
      <c r="C370" s="654" t="str">
        <f>CE$1&amp;D370&amp;CF$1</f>
        <v>[370]</v>
      </c>
      <c r="D370" s="654">
        <f>ROW()</f>
        <v>370</v>
      </c>
      <c r="E370" s="1125" t="str">
        <f ca="1">CU370</f>
        <v>"Treibhausgasneutrales Deutschland 2050" [9.249], S. 44: "Das Umweltbundesamt steht dem Anbau von Biomasse eigens zur energetischen Nutzung kritsich gegenüber, unter anderem aufgrund der zunehmenden Konkurrenz um fruchtbare Anbauflächen, der unverhältnismäßig hohen Flächenintensität der Energiegewinnung aus Anbaubiomasse im Vergleich mit anderen erneuerbaren Energiequellen und der sozioökonomisch problematischen Verknüpfung mit den Lebensmittelpreisen am Weltmarkt. Daher werden nachfolgend nur Potenziale aus biogenen Abfallstoffen berücksichtigt."</v>
      </c>
      <c r="F370" s="1125"/>
      <c r="G370" s="1125"/>
      <c r="H370" s="1125"/>
      <c r="I370" s="1125"/>
      <c r="J370" s="1125"/>
      <c r="K370" s="1125"/>
      <c r="L370" s="1125"/>
      <c r="M370" s="1125"/>
      <c r="N370" s="1132"/>
      <c r="O370" s="869">
        <v>370</v>
      </c>
      <c r="P370" s="691" t="str">
        <f ca="1">HYPERLINK(EK370,EJ370)</f>
        <v>9.249</v>
      </c>
      <c r="Q370" s="692" t="str">
        <f>Y370</f>
        <v>S. 44</v>
      </c>
      <c r="R370" s="852"/>
      <c r="S370" s="784"/>
      <c r="T370" s="864"/>
      <c r="U370" s="1023" t="str">
        <f ca="1">"""Treibhausgasneutrales Deutschland 2050"" ["&amp;P370&amp;"], "&amp;Q370&amp;": ""Das Umweltbundesamt steht dem Anbau von Biomasse eigens zur energetischen Nutzung kritsich gegenüber, unter anderem aufgrund der zunehmenden Konkurrenz um fruchtbare Anbauflächen, "&amp;"der unverhältnismäßig hohen Flächenintensität der Energiegewinnung aus Anbaubiomasse im Vergleich mit anderen erneuerbaren Energiequellen und der sozioökonomisch problematischen Verknüpfung mit den Lebensmittelpreisen am Weltmarkt. "&amp;"Daher werden nachfolgend nur Potenziale aus biogenen Abfallstoffen berücksichtigt."""</f>
        <v>"Treibhausgasneutrales Deutschland 2050" [9.249], S. 44: "Das Umweltbundesamt steht dem Anbau von Biomasse eigens zur energetischen Nutzung kritsich gegenüber, unter anderem aufgrund der zunehmenden Konkurrenz um fruchtbare Anbauflächen, der unverhältnismäßig hohen Flächenintensität der Energiegewinnung aus Anbaubiomasse im Vergleich mit anderen erneuerbaren Energiequellen und der sozioökonomisch problematischen Verknüpfung mit den Lebensmittelpreisen am Weltmarkt. Daher werden nachfolgend nur Potenziale aus biogenen Abfallstoffen berücksichtigt."</v>
      </c>
      <c r="V370" s="905" t="s">
        <v>126</v>
      </c>
      <c r="W370" s="1025"/>
      <c r="X370" s="672">
        <f>'9.Quellen'!C$249</f>
        <v>249</v>
      </c>
      <c r="Y370" s="672" t="s">
        <v>740</v>
      </c>
      <c r="Z370" s="1025"/>
      <c r="AA370" s="905"/>
      <c r="AB370" s="801"/>
      <c r="AC370" s="801"/>
      <c r="AD370" s="687"/>
      <c r="AE370" s="801"/>
      <c r="AF370" s="801"/>
      <c r="AG370" s="801"/>
      <c r="AH370" s="801"/>
      <c r="AI370" s="801"/>
      <c r="AJ370" s="801"/>
      <c r="AK370" s="801"/>
      <c r="AL370" s="801"/>
      <c r="AM370" s="801"/>
      <c r="AN370" s="801"/>
      <c r="AO370" s="801"/>
      <c r="AP370" s="801"/>
      <c r="AQ370" s="801"/>
      <c r="AR370" s="801"/>
      <c r="AS370" s="801"/>
      <c r="AT370" s="801"/>
      <c r="AU370" s="801"/>
      <c r="AV370" s="801"/>
      <c r="BF370" s="657" t="s">
        <v>126</v>
      </c>
      <c r="BI370" s="656" t="s">
        <v>126</v>
      </c>
      <c r="BJ370" s="666"/>
      <c r="BO370" s="656" t="s">
        <v>259</v>
      </c>
      <c r="BQ370" s="678" t="s">
        <v>271</v>
      </c>
      <c r="CU370" s="663" t="str">
        <f ca="1">IF(U370="",BF370,U370)</f>
        <v>"Treibhausgasneutrales Deutschland 2050" [9.249], S. 44: "Das Umweltbundesamt steht dem Anbau von Biomasse eigens zur energetischen Nutzung kritsich gegenüber, unter anderem aufgrund der zunehmenden Konkurrenz um fruchtbare Anbauflächen, der unverhältnismäßig hohen Flächenintensität der Energiegewinnung aus Anbaubiomasse im Vergleich mit anderen erneuerbaren Energiequellen und der sozioökonomisch problematischen Verknüpfung mit den Lebensmittelpreisen am Weltmarkt. Daher werden nachfolgend nur Potenziale aus biogenen Abfallstoffen berücksichtigt."</v>
      </c>
      <c r="CW370" s="663"/>
      <c r="EJ370" s="656" t="str">
        <f ca="1">IF(X370=0,"",EJ$1&amp;X370)</f>
        <v>9.249</v>
      </c>
      <c r="EK370" s="656" t="str">
        <f ca="1">EK$1&amp;X370</f>
        <v>[D_Python.xlsx]9.Quellen!C249</v>
      </c>
      <c r="EV370" s="819">
        <f t="shared" ca="1" si="167"/>
        <v>370</v>
      </c>
      <c r="EW370" s="819"/>
    </row>
    <row r="371" spans="1:153" s="656" customFormat="1" ht="65">
      <c r="A371" s="654" t="str">
        <f t="shared" ca="1" si="165"/>
        <v>D.1.371</v>
      </c>
      <c r="B371" s="654" t="str">
        <f t="shared" ca="1" si="166"/>
        <v>1.371</v>
      </c>
      <c r="C371" s="654" t="str">
        <f>CE$1&amp;D371&amp;CF$1</f>
        <v>[371]</v>
      </c>
      <c r="D371" s="654">
        <f>ROW()</f>
        <v>371</v>
      </c>
      <c r="E371" s="1125" t="str">
        <f ca="1">CU371</f>
        <v>Die komplexen Zusammenhänge zwischen Bioenergie-Anbaupotenzialen, Nahrungsmittelversorgung, Ernährungsgewohnheiten, Agrarimporten, Umweltgesichtspunkten, Nachhaltigkeit und die daraus resultierenden Entwicklungsperspektiven werden im Rahmen dieses Szenarios nicht näher betrachet, sie werden beispielsweise in der Studie des Umweltbundesamtes "Treibhausgasneutrales Deutschland 2050" [9.249], S. 291 ff., ausführlich behandelt.</v>
      </c>
      <c r="F371" s="1125"/>
      <c r="G371" s="1125"/>
      <c r="H371" s="1125"/>
      <c r="I371" s="1125"/>
      <c r="J371" s="1125"/>
      <c r="K371" s="1125"/>
      <c r="L371" s="1125"/>
      <c r="M371" s="1125"/>
      <c r="N371" s="1132"/>
      <c r="O371" s="869">
        <v>371</v>
      </c>
      <c r="P371" s="691" t="str">
        <f ca="1">HYPERLINK(EK371,EJ371)</f>
        <v>9.249</v>
      </c>
      <c r="Q371" s="692" t="str">
        <f>Y371</f>
        <v>S. 291 ff.</v>
      </c>
      <c r="R371" s="852"/>
      <c r="S371" s="784"/>
      <c r="T371" s="864"/>
      <c r="U371" s="1023" t="str">
        <f ca="1">"Die komplexen Zusammenhänge zwischen Bioenergie-Anbaupotenzialen, Nahrungsmittelversorgung, Ernährungsgewohnheiten, Agrarimporten, Umweltgesichtspunkten, Nachhaltigkeit "&amp;"und die daraus resultierenden Entwicklungsperspektiven werden im Rahmen dieses Szenarios nicht näher betrachet, "&amp;"sie werden beispielsweise in der Studie des Umweltbundesamtes ""Treibhausgasneutrales Deutschland 2050"" ["&amp;P371&amp;"], "&amp;Q371&amp;", ausführlich behandelt."</f>
        <v>Die komplexen Zusammenhänge zwischen Bioenergie-Anbaupotenzialen, Nahrungsmittelversorgung, Ernährungsgewohnheiten, Agrarimporten, Umweltgesichtspunkten, Nachhaltigkeit und die daraus resultierenden Entwicklungsperspektiven werden im Rahmen dieses Szenarios nicht näher betrachet, sie werden beispielsweise in der Studie des Umweltbundesamtes "Treibhausgasneutrales Deutschland 2050" [9.249], S. 291 ff., ausführlich behandelt.</v>
      </c>
      <c r="V371" s="905" t="s">
        <v>126</v>
      </c>
      <c r="W371" s="1025"/>
      <c r="X371" s="672">
        <f>'9.Quellen'!C249</f>
        <v>249</v>
      </c>
      <c r="Y371" s="672" t="s">
        <v>736</v>
      </c>
      <c r="Z371" s="1025"/>
      <c r="AA371" s="905"/>
      <c r="AB371" s="801"/>
      <c r="AC371" s="801"/>
      <c r="AD371" s="687"/>
      <c r="AE371" s="801"/>
      <c r="AF371" s="801"/>
      <c r="AG371" s="801"/>
      <c r="AH371" s="687"/>
      <c r="AI371" s="801"/>
      <c r="AJ371" s="801"/>
      <c r="AK371" s="801"/>
      <c r="AL371" s="801"/>
      <c r="AM371" s="801"/>
      <c r="AN371" s="801"/>
      <c r="AO371" s="801"/>
      <c r="AP371" s="801"/>
      <c r="AQ371" s="801"/>
      <c r="AR371" s="801"/>
      <c r="AS371" s="801"/>
      <c r="AT371" s="801"/>
      <c r="AU371" s="801"/>
      <c r="AV371" s="801"/>
      <c r="BF371" s="657" t="s">
        <v>126</v>
      </c>
      <c r="BI371" s="656" t="s">
        <v>126</v>
      </c>
      <c r="BJ371" s="666"/>
      <c r="BO371" s="656" t="s">
        <v>259</v>
      </c>
      <c r="BQ371" s="678" t="s">
        <v>271</v>
      </c>
      <c r="CU371" s="663" t="str">
        <f ca="1">IF(U371="",BF371,U371)</f>
        <v>Die komplexen Zusammenhänge zwischen Bioenergie-Anbaupotenzialen, Nahrungsmittelversorgung, Ernährungsgewohnheiten, Agrarimporten, Umweltgesichtspunkten, Nachhaltigkeit und die daraus resultierenden Entwicklungsperspektiven werden im Rahmen dieses Szenarios nicht näher betrachet, sie werden beispielsweise in der Studie des Umweltbundesamtes "Treibhausgasneutrales Deutschland 2050" [9.249], S. 291 ff., ausführlich behandelt.</v>
      </c>
      <c r="CW371" s="663"/>
      <c r="EJ371" s="656" t="str">
        <f ca="1">IF(X371=0,"",EJ$1&amp;X371)</f>
        <v>9.249</v>
      </c>
      <c r="EK371" s="656" t="str">
        <f ca="1">EK$1&amp;X371</f>
        <v>[D_Python.xlsx]9.Quellen!C249</v>
      </c>
      <c r="EV371" s="819">
        <f t="shared" ca="1" si="167"/>
        <v>371</v>
      </c>
      <c r="EW371" s="819"/>
    </row>
    <row r="372" spans="1:153" s="478" customFormat="1" ht="4">
      <c r="A372" s="677" t="str">
        <f t="shared" ca="1" si="165"/>
        <v>D.1.372</v>
      </c>
      <c r="B372" s="677" t="str">
        <f t="shared" ca="1" si="166"/>
        <v>1.372</v>
      </c>
      <c r="C372" s="677" t="str">
        <f t="shared" si="173"/>
        <v>[372]</v>
      </c>
      <c r="D372" s="677">
        <f>ROW()</f>
        <v>372</v>
      </c>
      <c r="E372" s="548"/>
      <c r="F372" s="548"/>
      <c r="G372" s="548"/>
      <c r="H372" s="548"/>
      <c r="I372" s="549"/>
      <c r="J372" s="549"/>
      <c r="K372" s="549"/>
      <c r="L372" s="549"/>
      <c r="M372" s="549"/>
      <c r="N372" s="548"/>
      <c r="O372" s="871">
        <v>372</v>
      </c>
      <c r="P372" s="575"/>
      <c r="Q372" s="576"/>
      <c r="R372" s="888"/>
      <c r="S372" s="802"/>
      <c r="T372" s="882"/>
      <c r="U372" s="661"/>
      <c r="V372" s="661"/>
      <c r="W372" s="661"/>
      <c r="X372" s="661"/>
      <c r="Y372" s="661"/>
      <c r="Z372" s="661"/>
      <c r="AA372" s="661"/>
      <c r="AB372" s="675"/>
      <c r="AC372" s="675"/>
      <c r="AD372" s="675"/>
      <c r="AE372" s="675"/>
      <c r="AF372" s="675"/>
      <c r="AG372" s="675"/>
      <c r="AH372" s="675"/>
      <c r="AI372" s="675"/>
      <c r="AJ372" s="675"/>
      <c r="AK372" s="675"/>
      <c r="AL372" s="675"/>
      <c r="AM372" s="675"/>
      <c r="AN372" s="675"/>
      <c r="AO372" s="675"/>
      <c r="AP372" s="675"/>
      <c r="AQ372" s="675"/>
      <c r="AR372" s="675"/>
      <c r="AS372" s="675"/>
      <c r="AT372" s="675"/>
      <c r="AU372" s="675"/>
      <c r="AV372" s="675"/>
      <c r="AZ372" s="505"/>
      <c r="BB372" s="505"/>
      <c r="BI372" s="478" t="s">
        <v>126</v>
      </c>
      <c r="BJ372" s="489"/>
      <c r="BN372" s="661"/>
      <c r="CU372" s="479"/>
      <c r="CV372" s="661"/>
      <c r="CW372" s="479"/>
      <c r="DS372" s="661"/>
      <c r="EV372" s="818" t="str">
        <f t="shared" si="167"/>
        <v/>
      </c>
      <c r="EW372" s="818"/>
    </row>
    <row r="373" spans="1:153" s="475" customFormat="1" ht="13.5" customHeight="1">
      <c r="A373" s="654" t="str">
        <f t="shared" ca="1" si="165"/>
        <v>D.1.373</v>
      </c>
      <c r="B373" s="654" t="str">
        <f t="shared" ca="1" si="166"/>
        <v>1.373</v>
      </c>
      <c r="C373" s="654" t="str">
        <f t="shared" si="173"/>
        <v>[373]</v>
      </c>
      <c r="D373" s="654">
        <f>ROW()</f>
        <v>373</v>
      </c>
      <c r="E373" s="1129" t="str">
        <f>BP373</f>
        <v>Biogas - Methanertrag</v>
      </c>
      <c r="F373" s="1129"/>
      <c r="G373" s="1129"/>
      <c r="H373" s="1129"/>
      <c r="I373" s="1129"/>
      <c r="J373" s="559" t="s">
        <v>280</v>
      </c>
      <c r="K373" s="557">
        <f ca="1">INDIRECT($W$1&amp;U373)</f>
        <v>51.57180883903775</v>
      </c>
      <c r="L373" s="485" t="str">
        <f ca="1">HYPERLINK($CK$1&amp;U373,$CE$1&amp;U373&amp;$CF$1)</f>
        <v>[374]</v>
      </c>
      <c r="M373" s="558">
        <f ca="1">INDIRECT($W$1&amp;W373)</f>
        <v>41.257447071230203</v>
      </c>
      <c r="N373" s="533" t="str">
        <f ca="1">HYPERLINK($CK$1&amp;W373,$CE$1&amp;W373&amp;$CF$1)</f>
        <v>[380]</v>
      </c>
      <c r="O373" s="869">
        <v>373</v>
      </c>
      <c r="P373" s="570"/>
      <c r="Q373" s="583"/>
      <c r="R373" s="852"/>
      <c r="S373" s="784"/>
      <c r="T373" s="864"/>
      <c r="U373" s="672">
        <f>D374</f>
        <v>374</v>
      </c>
      <c r="V373" s="905" t="s">
        <v>126</v>
      </c>
      <c r="W373" s="672">
        <f>D380</f>
        <v>380</v>
      </c>
      <c r="X373" s="658"/>
      <c r="Y373" s="658"/>
      <c r="Z373" s="658"/>
      <c r="AA373" s="658"/>
      <c r="AB373" s="801"/>
      <c r="AC373" s="801"/>
      <c r="AD373" s="674"/>
      <c r="AE373" s="674"/>
      <c r="AF373" s="674"/>
      <c r="AG373" s="674"/>
      <c r="AH373" s="674"/>
      <c r="AI373" s="674"/>
      <c r="AJ373" s="674"/>
      <c r="AK373" s="674"/>
      <c r="AL373" s="674"/>
      <c r="AM373" s="674"/>
      <c r="AN373" s="674"/>
      <c r="AO373" s="674"/>
      <c r="AP373" s="674"/>
      <c r="AQ373" s="674"/>
      <c r="AR373" s="674"/>
      <c r="AS373" s="674"/>
      <c r="AT373" s="674"/>
      <c r="AU373" s="674"/>
      <c r="AV373" s="674"/>
      <c r="AX373" s="475" t="s">
        <v>244</v>
      </c>
      <c r="AY373" s="500">
        <f ca="1">DA373</f>
        <v>41.6</v>
      </c>
      <c r="AZ373" s="508" t="str">
        <f ca="1">HYPERLINK(DN373,DC373)</f>
        <v xml:space="preserve"> 303</v>
      </c>
      <c r="BA373" s="500">
        <f ca="1">DB373</f>
        <v>25</v>
      </c>
      <c r="BB373" s="508" t="str">
        <f ca="1">HYPERLINK(DO373,DD373)</f>
        <v xml:space="preserve"> 304</v>
      </c>
      <c r="BC373" s="475" t="str">
        <f ca="1">CY373&amp;" | "&amp;CZ373</f>
        <v>Wärme | 1.1.2 Energieertrag Biogas direkt</v>
      </c>
      <c r="BI373" s="475" t="s">
        <v>126</v>
      </c>
      <c r="BJ373" s="492" t="str">
        <f>E373</f>
        <v>Biogas - Methanertrag</v>
      </c>
      <c r="BK373" s="486">
        <f ca="1">K373</f>
        <v>51.57180883903775</v>
      </c>
      <c r="BL373" s="486">
        <f ca="1">M373</f>
        <v>41.257447071230203</v>
      </c>
      <c r="BM373" s="472">
        <f>D373</f>
        <v>373</v>
      </c>
      <c r="BN373" s="658"/>
      <c r="BO373" s="475" t="s">
        <v>251</v>
      </c>
      <c r="BP373" s="521" t="s">
        <v>546</v>
      </c>
      <c r="CU373" s="476"/>
      <c r="CV373" s="658"/>
      <c r="CW373" s="518">
        <v>77</v>
      </c>
      <c r="CY373" s="472" t="str">
        <f t="shared" ref="CY373:DO373" ca="1" si="181">INDIRECT($CX$1&amp;CY$1&amp;$CW373)</f>
        <v>Wärme</v>
      </c>
      <c r="CZ373" s="472" t="str">
        <f t="shared" ca="1" si="181"/>
        <v>1.1.2 Energieertrag Biogas direkt</v>
      </c>
      <c r="DA373" s="472">
        <f t="shared" ca="1" si="181"/>
        <v>41.6</v>
      </c>
      <c r="DB373" s="472">
        <f t="shared" ca="1" si="181"/>
        <v>25</v>
      </c>
      <c r="DC373" s="472" t="str">
        <f t="shared" ca="1" si="181"/>
        <v xml:space="preserve"> 303</v>
      </c>
      <c r="DD373" s="472" t="str">
        <f t="shared" ca="1" si="181"/>
        <v xml:space="preserve"> 304</v>
      </c>
      <c r="DE373" s="472" t="str">
        <f t="shared" ca="1" si="181"/>
        <v>EP68</v>
      </c>
      <c r="DF373" s="472" t="str">
        <f t="shared" ca="1" si="181"/>
        <v>EP68</v>
      </c>
      <c r="DG373" s="472" t="str">
        <f t="shared" ca="1" si="181"/>
        <v>EP</v>
      </c>
      <c r="DH373" s="472" t="str">
        <f t="shared" ca="1" si="181"/>
        <v>68</v>
      </c>
      <c r="DI373" s="472" t="str">
        <f t="shared" ca="1" si="181"/>
        <v>[EP.xls]TEXT!Z68S5</v>
      </c>
      <c r="DJ373" s="472" t="str">
        <f t="shared" ca="1" si="181"/>
        <v>EP</v>
      </c>
      <c r="DK373" s="472" t="str">
        <f t="shared" ca="1" si="181"/>
        <v>68</v>
      </c>
      <c r="DL373" s="472" t="str">
        <f t="shared" ca="1" si="181"/>
        <v>[EP.xls]TEXT!Z68S5</v>
      </c>
      <c r="DM373" s="472">
        <f t="shared" ca="1" si="181"/>
        <v>77</v>
      </c>
      <c r="DN373" s="472" t="str">
        <f t="shared" ca="1" si="181"/>
        <v>[Region.xls]PARAMETER!Z303S6</v>
      </c>
      <c r="DO373" s="472" t="str">
        <f t="shared" ca="1" si="181"/>
        <v>[Region.xls]PARAMETER!Z304S6</v>
      </c>
      <c r="DP373" s="472"/>
      <c r="DS373" s="656"/>
      <c r="DV373" s="472"/>
      <c r="DW373" s="472"/>
      <c r="DX373" s="472"/>
      <c r="DY373" s="472"/>
      <c r="DZ373" s="472"/>
      <c r="EA373" s="472"/>
      <c r="EB373" s="472"/>
      <c r="EC373" s="472"/>
      <c r="ED373" s="472"/>
      <c r="EE373" s="472"/>
      <c r="EF373" s="472"/>
      <c r="EG373" s="472"/>
      <c r="EH373" s="472"/>
      <c r="EI373" s="472"/>
      <c r="EJ373" s="472"/>
      <c r="EK373" s="472"/>
      <c r="EV373" s="819">
        <f t="shared" si="167"/>
        <v>373</v>
      </c>
      <c r="EW373" s="819"/>
    </row>
    <row r="374" spans="1:153" s="472" customFormat="1" ht="26">
      <c r="A374" s="654" t="str">
        <f t="shared" ca="1" si="165"/>
        <v>D.1.374</v>
      </c>
      <c r="B374" s="654" t="str">
        <f t="shared" ca="1" si="166"/>
        <v>1.374</v>
      </c>
      <c r="C374" s="654" t="str">
        <f t="shared" si="173"/>
        <v>[374]</v>
      </c>
      <c r="D374" s="654">
        <f>ROW()</f>
        <v>374</v>
      </c>
      <c r="E374" s="1130" t="str">
        <f>CU374</f>
        <v>- STATUS-Ansatz: Resultiert aus dem Heizwert der 2016 erzeugten Biogasmenge aus Energiepflanzen von 74.779 GWh [375] bezogen auf die dafür beanspruchte Anbaufläche  von 1.450.000 ha [378].</v>
      </c>
      <c r="F374" s="1130"/>
      <c r="G374" s="1130"/>
      <c r="H374" s="1130"/>
      <c r="I374" s="1130"/>
      <c r="J374" s="1130"/>
      <c r="K374" s="1130"/>
      <c r="L374" s="1130"/>
      <c r="M374" s="1130"/>
      <c r="N374" s="1131"/>
      <c r="O374" s="869">
        <v>374</v>
      </c>
      <c r="P374" s="573" t="str">
        <f ca="1">HYPERLINK(EK374,EJ374)</f>
        <v/>
      </c>
      <c r="Q374" s="574" t="str">
        <f>Y374</f>
        <v xml:space="preserve"> </v>
      </c>
      <c r="R374" s="852"/>
      <c r="S374" s="784"/>
      <c r="T374" s="864"/>
      <c r="U374" s="1023" t="str">
        <f>"Resultiert aus dem Heizwert der 2016 erzeugten Biogasmenge aus Energiepflanzen von "&amp;TEXT(AD374,"0.000")&amp;AE374&amp;C375&amp;" bezogen auf die dafür beanspruchte Anbaufläche  von "&amp;TEXT(AF374,"0.000")&amp;AG374&amp;C378&amp;"."</f>
        <v>Resultiert aus dem Heizwert der 2016 erzeugten Biogasmenge aus Energiepflanzen von 74.779 GWh [375] bezogen auf die dafür beanspruchte Anbaufläche  von 1.450.000 ha [378].</v>
      </c>
      <c r="V374" s="905" t="s">
        <v>126</v>
      </c>
      <c r="W374" s="1034">
        <f>AH374</f>
        <v>51.57180883903775</v>
      </c>
      <c r="X374" s="672"/>
      <c r="Y374" s="672" t="s">
        <v>126</v>
      </c>
      <c r="Z374" s="1025"/>
      <c r="AA374" s="658"/>
      <c r="AB374" s="801"/>
      <c r="AC374" s="801"/>
      <c r="AD374" s="801">
        <f>AD375</f>
        <v>74779.122816604737</v>
      </c>
      <c r="AE374" s="801" t="str">
        <f>AE375</f>
        <v xml:space="preserve"> GWh </v>
      </c>
      <c r="AF374" s="801">
        <f>AD378</f>
        <v>1450000</v>
      </c>
      <c r="AG374" s="801" t="str">
        <f>AE378</f>
        <v xml:space="preserve"> ha </v>
      </c>
      <c r="AH374" s="801">
        <f>AD374*1000/AF374</f>
        <v>51.57180883903775</v>
      </c>
      <c r="AI374" s="801" t="s">
        <v>386</v>
      </c>
      <c r="AJ374" s="801"/>
      <c r="AK374" s="801"/>
      <c r="AL374" s="801"/>
      <c r="AM374" s="801"/>
      <c r="AN374" s="801"/>
      <c r="AO374" s="801"/>
      <c r="AP374" s="801"/>
      <c r="AQ374" s="801"/>
      <c r="AR374" s="801"/>
      <c r="AS374" s="801"/>
      <c r="AT374" s="801"/>
      <c r="AU374" s="801"/>
      <c r="AV374" s="801"/>
      <c r="BF374" s="473"/>
      <c r="BI374" s="472" t="s">
        <v>126</v>
      </c>
      <c r="BJ374" s="490"/>
      <c r="BN374" s="656"/>
      <c r="BO374" s="472" t="s">
        <v>259</v>
      </c>
      <c r="CU374" s="480" t="str">
        <f>CG$1&amp;IF(U374="",BF374,U374)</f>
        <v>- STATUS-Ansatz: Resultiert aus dem Heizwert der 2016 erzeugten Biogasmenge aus Energiepflanzen von 74.779 GWh [375] bezogen auf die dafür beanspruchte Anbaufläche  von 1.450.000 ha [378].</v>
      </c>
      <c r="CV374" s="656"/>
      <c r="CW374" s="480"/>
      <c r="DS374" s="656"/>
      <c r="DT374" s="518">
        <f>I_Basisdaten!A187</f>
        <v>187</v>
      </c>
      <c r="EJ374" s="472" t="str">
        <f>IF(X374=0,"",EJ$1&amp;X374)</f>
        <v/>
      </c>
      <c r="EK374" s="472" t="str">
        <f ca="1">EK$1&amp;X374</f>
        <v>[D_Python.xlsx]9.Quellen!C</v>
      </c>
      <c r="EV374" s="819">
        <f t="shared" si="167"/>
        <v>374</v>
      </c>
      <c r="EW374" s="819"/>
    </row>
    <row r="375" spans="1:153" s="656" customFormat="1" ht="39">
      <c r="A375" s="654" t="str">
        <f t="shared" ca="1" si="165"/>
        <v>D.1.375</v>
      </c>
      <c r="B375" s="654" t="str">
        <f t="shared" ca="1" si="166"/>
        <v>1.375</v>
      </c>
      <c r="C375" s="654" t="str">
        <f t="shared" si="173"/>
        <v>[375]</v>
      </c>
      <c r="D375" s="654">
        <f>ROW()</f>
        <v>375</v>
      </c>
      <c r="E375" s="1130" t="str">
        <f ca="1">CU375</f>
        <v>Einen Heizwert von 74.779 GWh  besaß die im Jahr 2016 praktisch vollständig verstromte Biogasmenge aus Energiepflanzenanbau (was auch auf das ins Gasnetz eingespeiste Biomethan zutrifft), resultierend aus der Stromerzeugung [376] und dem durchschnittlichen Verstromungs-Wirkungsgrad von 38%  gemäß [9.102] S. 39.</v>
      </c>
      <c r="F375" s="1130"/>
      <c r="G375" s="1130"/>
      <c r="H375" s="1130"/>
      <c r="I375" s="1130"/>
      <c r="J375" s="1130"/>
      <c r="K375" s="1130"/>
      <c r="L375" s="1130"/>
      <c r="M375" s="1130"/>
      <c r="N375" s="1131"/>
      <c r="O375" s="869">
        <v>375</v>
      </c>
      <c r="P375" s="691" t="str">
        <f ca="1">HYPERLINK(EK375,EJ375)</f>
        <v>9.102</v>
      </c>
      <c r="Q375" s="692" t="str">
        <f>Y375</f>
        <v>S. 39</v>
      </c>
      <c r="R375" s="852"/>
      <c r="S375" s="784"/>
      <c r="T375" s="864"/>
      <c r="U375" s="1033" t="str">
        <f ca="1">"Einen Heizwert von "&amp;TEXT(W375,"0.000")&amp;AE375&amp;" besaß die im Jahr 2016 praktisch vollständig verstromte Biogasmenge aus Energiepflanzenanbau (was auch auf das ins Gasnetz eingespeiste Biomethan zutrifft), resultierend aus der Stromerzeugung "&amp;C376&amp;" und dem durchschnittlichen Verstromungs-Wirkungsgrad von "&amp;AF375&amp;AG375&amp;" gemäß ["&amp;P375&amp;"] "&amp;Q375&amp;"."</f>
        <v>Einen Heizwert von 74.779 GWh  besaß die im Jahr 2016 praktisch vollständig verstromte Biogasmenge aus Energiepflanzenanbau (was auch auf das ins Gasnetz eingespeiste Biomethan zutrifft), resultierend aus der Stromerzeugung [376] und dem durchschnittlichen Verstromungs-Wirkungsgrad von 38%  gemäß [9.102] S. 39.</v>
      </c>
      <c r="V375" s="905" t="s">
        <v>126</v>
      </c>
      <c r="W375" s="1024">
        <f>AD375</f>
        <v>74779.122816604737</v>
      </c>
      <c r="X375" s="672">
        <f>'9.Quellen'!C102</f>
        <v>102</v>
      </c>
      <c r="Y375" s="672" t="s">
        <v>669</v>
      </c>
      <c r="Z375" s="1025"/>
      <c r="AA375" s="905"/>
      <c r="AB375" s="801"/>
      <c r="AC375" s="801"/>
      <c r="AD375" s="801">
        <f>AH375/AF375%</f>
        <v>74779.122816604737</v>
      </c>
      <c r="AE375" s="801" t="s">
        <v>384</v>
      </c>
      <c r="AF375" s="801">
        <v>38</v>
      </c>
      <c r="AG375" s="801" t="s">
        <v>835</v>
      </c>
      <c r="AH375" s="801">
        <f>AH376</f>
        <v>28416.0666703098</v>
      </c>
      <c r="AI375" s="801" t="str">
        <f>AI376</f>
        <v xml:space="preserve"> GWh </v>
      </c>
      <c r="AJ375" s="801"/>
      <c r="AK375" s="801"/>
      <c r="AL375" s="801"/>
      <c r="AM375" s="801"/>
      <c r="AN375" s="801"/>
      <c r="AO375" s="801"/>
      <c r="AP375" s="801"/>
      <c r="AQ375" s="801"/>
      <c r="AR375" s="801"/>
      <c r="AS375" s="801"/>
      <c r="AT375" s="801"/>
      <c r="AU375" s="801"/>
      <c r="AV375" s="801"/>
      <c r="BF375" s="657"/>
      <c r="BI375" s="656" t="s">
        <v>126</v>
      </c>
      <c r="BJ375" s="666"/>
      <c r="BO375" s="656" t="s">
        <v>252</v>
      </c>
      <c r="CU375" s="663" t="str">
        <f ca="1">IF(U375="",BF375,U375)</f>
        <v>Einen Heizwert von 74.779 GWh  besaß die im Jahr 2016 praktisch vollständig verstromte Biogasmenge aus Energiepflanzenanbau (was auch auf das ins Gasnetz eingespeiste Biomethan zutrifft), resultierend aus der Stromerzeugung [376] und dem durchschnittlichen Verstromungs-Wirkungsgrad von 38%  gemäß [9.102] S. 39.</v>
      </c>
      <c r="CW375" s="663"/>
      <c r="DT375" s="671"/>
      <c r="EJ375" s="656" t="str">
        <f ca="1">IF(X375=0,"",EJ$1&amp;X375)</f>
        <v>9.102</v>
      </c>
      <c r="EK375" s="656" t="str">
        <f ca="1">EK$1&amp;X375</f>
        <v>[D_Python.xlsx]9.Quellen!C102</v>
      </c>
      <c r="EV375" s="819">
        <f t="shared" ca="1" si="167"/>
        <v>375</v>
      </c>
      <c r="EW375" s="819"/>
    </row>
    <row r="376" spans="1:153" s="656" customFormat="1" ht="39">
      <c r="A376" s="654" t="str">
        <f t="shared" ca="1" si="165"/>
        <v>D.1.376</v>
      </c>
      <c r="B376" s="654" t="str">
        <f t="shared" ca="1" si="166"/>
        <v>1.376</v>
      </c>
      <c r="C376" s="654" t="str">
        <f t="shared" si="173"/>
        <v>[376]</v>
      </c>
      <c r="D376" s="654">
        <f>ROW()</f>
        <v>376</v>
      </c>
      <c r="E376" s="1130" t="str">
        <f ca="1">CU376</f>
        <v>28.416 GWh  Stromerzeugung aus Biogas entfallen auf nachwachsende Rohstoffe - resultierend aus der gesamten Stromerzeugung [377] und einem Leistungsanteil von 87,7% , wie er auf Basis [9.102] in [9.214]   abgeschätzt wurde.</v>
      </c>
      <c r="F376" s="1130"/>
      <c r="G376" s="1130"/>
      <c r="H376" s="1130"/>
      <c r="I376" s="1130"/>
      <c r="J376" s="1130"/>
      <c r="K376" s="1130"/>
      <c r="L376" s="1130"/>
      <c r="M376" s="1130"/>
      <c r="N376" s="1131"/>
      <c r="O376" s="869">
        <v>376</v>
      </c>
      <c r="P376" s="691" t="str">
        <f ca="1">HYPERLINK(EK376,EJ376)</f>
        <v>9.214</v>
      </c>
      <c r="Q376" s="692" t="str">
        <f>Y376</f>
        <v xml:space="preserve"> </v>
      </c>
      <c r="R376" s="852"/>
      <c r="S376" s="784"/>
      <c r="T376" s="864"/>
      <c r="U376" s="1033" t="str">
        <f ca="1">TEXT(W376,"0.000")&amp;AI376&amp;" Stromerzeugung aus Biogas entfallen auf nachwachsende Rohstoffe - resultierend aus der gesamten Stromerzeugung "&amp;C377&amp;" und einem Leistungsanteil von "&amp;TEXT(AD376,"0,0")&amp;AE376&amp;", wie er auf Basis ["&amp;P378&amp;"] in ["&amp;P376&amp;"] "&amp;Q376&amp;" abgeschätzt wurde."</f>
        <v>28.416 GWh  Stromerzeugung aus Biogas entfallen auf nachwachsende Rohstoffe - resultierend aus der gesamten Stromerzeugung [377] und einem Leistungsanteil von 87,7% , wie er auf Basis [9.102] in [9.214]   abgeschätzt wurde.</v>
      </c>
      <c r="V376" s="905" t="s">
        <v>126</v>
      </c>
      <c r="W376" s="1024">
        <f>AH376</f>
        <v>28416.0666703098</v>
      </c>
      <c r="X376" s="672">
        <f>'9.Quellen'!C214</f>
        <v>214</v>
      </c>
      <c r="Y376" s="672" t="s">
        <v>126</v>
      </c>
      <c r="Z376" s="1025"/>
      <c r="AA376" s="905"/>
      <c r="AB376" s="801"/>
      <c r="AC376" s="801"/>
      <c r="AD376" s="520">
        <v>87.66089070582585</v>
      </c>
      <c r="AE376" s="801" t="s">
        <v>835</v>
      </c>
      <c r="AF376" s="801">
        <f>AF377</f>
        <v>32415.9</v>
      </c>
      <c r="AG376" s="801" t="str">
        <f>AE377</f>
        <v xml:space="preserve"> GWh </v>
      </c>
      <c r="AH376" s="801">
        <f>AF376*AD376%</f>
        <v>28416.0666703098</v>
      </c>
      <c r="AI376" s="801" t="s">
        <v>384</v>
      </c>
      <c r="AJ376" s="801">
        <f>AF376-AH376</f>
        <v>3999.8333296902019</v>
      </c>
      <c r="AK376" s="801" t="str">
        <f>AI376</f>
        <v xml:space="preserve"> GWh </v>
      </c>
      <c r="AL376" s="801"/>
      <c r="AM376" s="801"/>
      <c r="AN376" s="801"/>
      <c r="AO376" s="801"/>
      <c r="AP376" s="801"/>
      <c r="AQ376" s="801"/>
      <c r="AR376" s="801"/>
      <c r="AS376" s="801"/>
      <c r="AT376" s="801"/>
      <c r="AU376" s="801"/>
      <c r="AV376" s="801"/>
      <c r="BF376" s="657"/>
      <c r="BI376" s="656" t="s">
        <v>126</v>
      </c>
      <c r="BJ376" s="666"/>
      <c r="BO376" s="656" t="s">
        <v>252</v>
      </c>
      <c r="CU376" s="663" t="str">
        <f ca="1">IF(U376="",BF376,U376)</f>
        <v>28.416 GWh  Stromerzeugung aus Biogas entfallen auf nachwachsende Rohstoffe - resultierend aus der gesamten Stromerzeugung [377] und einem Leistungsanteil von 87,7% , wie er auf Basis [9.102] in [9.214]   abgeschätzt wurde.</v>
      </c>
      <c r="CW376" s="663"/>
      <c r="DT376" s="671"/>
      <c r="EJ376" s="656" t="str">
        <f ca="1">IF(X376=0,"",EJ$1&amp;X376)</f>
        <v>9.214</v>
      </c>
      <c r="EK376" s="656" t="str">
        <f ca="1">EK$1&amp;X376</f>
        <v>[D_Python.xlsx]9.Quellen!C214</v>
      </c>
      <c r="EV376" s="819">
        <f t="shared" ca="1" si="167"/>
        <v>376</v>
      </c>
      <c r="EW376" s="819"/>
    </row>
    <row r="377" spans="1:153" s="656" customFormat="1" ht="26">
      <c r="A377" s="654" t="str">
        <f t="shared" ca="1" si="165"/>
        <v>D.1.377</v>
      </c>
      <c r="B377" s="654" t="str">
        <f t="shared" ca="1" si="166"/>
        <v>1.377</v>
      </c>
      <c r="C377" s="654" t="str">
        <f t="shared" si="173"/>
        <v>[377]</v>
      </c>
      <c r="D377" s="654">
        <f>ROW()</f>
        <v>377</v>
      </c>
      <c r="E377" s="1130" t="str">
        <f ca="1">CU377</f>
        <v>Dem Wert 32.416 GWh  für die Stromerzeugung aus Biogas in Deutschland gemäß [378]  wird der abweichenden Angabe von 31.750 GWh  gemäß [9.72] S. 8 der Vorzug gegeben.</v>
      </c>
      <c r="F377" s="1130"/>
      <c r="G377" s="1130"/>
      <c r="H377" s="1130"/>
      <c r="I377" s="1130"/>
      <c r="J377" s="1130"/>
      <c r="K377" s="1130"/>
      <c r="L377" s="1130"/>
      <c r="M377" s="1130"/>
      <c r="N377" s="1131"/>
      <c r="O377" s="869">
        <v>377</v>
      </c>
      <c r="P377" s="691" t="str">
        <f ca="1">HYPERLINK(EK377,EJ377)</f>
        <v>9.72</v>
      </c>
      <c r="Q377" s="692" t="str">
        <f>Y377</f>
        <v>S. 8</v>
      </c>
      <c r="R377" s="852"/>
      <c r="S377" s="784"/>
      <c r="T377" s="864"/>
      <c r="U377" s="1033" t="str">
        <f ca="1">"Dem Wert "&amp;TEXT(W377,"0.000")&amp;AG377&amp;" für die Stromerzeugung aus Biogas in Deutschland gemäß "&amp;C378&amp;"  wird der abweichenden Angabe von "&amp;TEXT(AD377,"0.000")&amp;AE377&amp;" gemäß ["&amp;P377&amp;"] "&amp;Q377&amp;" der Vorzug gegeben."</f>
        <v>Dem Wert 32.416 GWh  für die Stromerzeugung aus Biogas in Deutschland gemäß [378]  wird der abweichenden Angabe von 31.750 GWh  gemäß [9.72] S. 8 der Vorzug gegeben.</v>
      </c>
      <c r="V377" s="905" t="s">
        <v>126</v>
      </c>
      <c r="W377" s="1024">
        <f>AF377</f>
        <v>32415.9</v>
      </c>
      <c r="X377" s="672">
        <f>'9.Quellen'!C72</f>
        <v>72</v>
      </c>
      <c r="Y377" s="672" t="s">
        <v>342</v>
      </c>
      <c r="Z377" s="1025"/>
      <c r="AA377" s="905"/>
      <c r="AB377" s="801"/>
      <c r="AC377" s="801"/>
      <c r="AD377" s="687">
        <v>31750</v>
      </c>
      <c r="AE377" s="801" t="s">
        <v>384</v>
      </c>
      <c r="AF377" s="801">
        <f>AF378</f>
        <v>32415.9</v>
      </c>
      <c r="AG377" s="801" t="str">
        <f>AG378</f>
        <v xml:space="preserve"> GWh </v>
      </c>
      <c r="AH377" s="801"/>
      <c r="AI377" s="801"/>
      <c r="AJ377" s="801"/>
      <c r="AK377" s="801"/>
      <c r="AL377" s="801"/>
      <c r="AM377" s="801"/>
      <c r="AN377" s="801"/>
      <c r="AO377" s="801"/>
      <c r="AP377" s="801"/>
      <c r="AQ377" s="801"/>
      <c r="AR377" s="801"/>
      <c r="AS377" s="801"/>
      <c r="AT377" s="801"/>
      <c r="AU377" s="801"/>
      <c r="AV377" s="801"/>
      <c r="BF377" s="657"/>
      <c r="BI377" s="656" t="s">
        <v>126</v>
      </c>
      <c r="BJ377" s="666"/>
      <c r="BO377" s="656" t="s">
        <v>252</v>
      </c>
      <c r="CU377" s="663" t="str">
        <f ca="1">IF(U377="",BF377,U377)</f>
        <v>Dem Wert 32.416 GWh  für die Stromerzeugung aus Biogas in Deutschland gemäß [378]  wird der abweichenden Angabe von 31.750 GWh  gemäß [9.72] S. 8 der Vorzug gegeben.</v>
      </c>
      <c r="CW377" s="663"/>
      <c r="DT377" s="671"/>
      <c r="EJ377" s="656" t="str">
        <f ca="1">IF(X377=0,"",EJ$1&amp;X377)</f>
        <v>9.72</v>
      </c>
      <c r="EK377" s="656" t="str">
        <f ca="1">EK$1&amp;X377</f>
        <v>[D_Python.xlsx]9.Quellen!C72</v>
      </c>
      <c r="EV377" s="819">
        <f t="shared" ca="1" si="167"/>
        <v>377</v>
      </c>
      <c r="EW377" s="819"/>
    </row>
    <row r="378" spans="1:153" s="656" customFormat="1" ht="52">
      <c r="A378" s="654" t="str">
        <f t="shared" ca="1" si="165"/>
        <v>D.1.378</v>
      </c>
      <c r="B378" s="654" t="str">
        <f t="shared" ca="1" si="166"/>
        <v>1.378</v>
      </c>
      <c r="C378" s="654" t="str">
        <f t="shared" si="173"/>
        <v>[378]</v>
      </c>
      <c r="D378" s="654">
        <f>ROW()</f>
        <v>378</v>
      </c>
      <c r="E378" s="1130" t="str">
        <f ca="1">CU378</f>
        <v>Gemäß FNR [9.102], S. 11, lag die Anbaufläche nachwachsender Rohstoffe inklusive Grassilage von Dauergrünland für Biogas im Jahr 2016 bei 1.450.000 ha [366]. 
Die Stromerzeugung aus Biogas lag bei 32.416 GWh  (62,7 % Biogasanteil von 51,7 TWh Stromerzeugung aus Biomasse gemäß [9.102] S. 5).</v>
      </c>
      <c r="F378" s="1130"/>
      <c r="G378" s="1130"/>
      <c r="H378" s="1130"/>
      <c r="I378" s="1130"/>
      <c r="J378" s="1130"/>
      <c r="K378" s="1130"/>
      <c r="L378" s="1130"/>
      <c r="M378" s="1130"/>
      <c r="N378" s="1131"/>
      <c r="O378" s="869">
        <v>378</v>
      </c>
      <c r="P378" s="691" t="str">
        <f ca="1">HYPERLINK(EK378,EJ378)</f>
        <v>9.102</v>
      </c>
      <c r="Q378" s="692" t="str">
        <f>Y378</f>
        <v>S. 11</v>
      </c>
      <c r="R378" s="852"/>
      <c r="S378" s="784"/>
      <c r="T378" s="864"/>
      <c r="U378" s="1023" t="str">
        <f ca="1">"Gemäß FNR ["&amp;P378&amp;"], "&amp;Q378&amp;", lag die Anbaufläche nachwachsender Rohstoffe inklusive Grassilage von Dauergrünland für Biogas im Jahr 2016 bei "&amp;TEXT(AD378,"0.000")&amp;" ha "&amp;C366&amp;". 
Die Stromerzeugung aus Biogas lag bei "&amp;TEXT(AF378,"0.000")&amp;AG378&amp;" ("&amp;AJ378&amp;AK378&amp;" Biogasanteil von "&amp;AH378&amp;AI378&amp;" Stromerzeugung aus Biomasse gemäß ["&amp;P378&amp;"] S. 5)."</f>
        <v>Gemäß FNR [9.102], S. 11, lag die Anbaufläche nachwachsender Rohstoffe inklusive Grassilage von Dauergrünland für Biogas im Jahr 2016 bei 1.450.000 ha [366]. 
Die Stromerzeugung aus Biogas lag bei 32.416 GWh  (62,7 % Biogasanteil von 51,7 TWh Stromerzeugung aus Biomasse gemäß [9.102] S. 5).</v>
      </c>
      <c r="V378" s="905" t="s">
        <v>126</v>
      </c>
      <c r="W378" s="1024">
        <f>AD378</f>
        <v>1450000</v>
      </c>
      <c r="X378" s="672">
        <f>'9.Quellen'!C102</f>
        <v>102</v>
      </c>
      <c r="Y378" s="672" t="str">
        <f>Y366</f>
        <v>S. 11</v>
      </c>
      <c r="Z378" s="1025"/>
      <c r="AA378" s="905"/>
      <c r="AB378" s="801"/>
      <c r="AC378" s="801"/>
      <c r="AD378" s="687">
        <f>AD366</f>
        <v>1450000</v>
      </c>
      <c r="AE378" s="801" t="s">
        <v>382</v>
      </c>
      <c r="AF378" s="801">
        <f>AH378*1000*AJ378%</f>
        <v>32415.9</v>
      </c>
      <c r="AG378" s="801" t="s">
        <v>384</v>
      </c>
      <c r="AH378" s="801">
        <v>51.7</v>
      </c>
      <c r="AI378" s="801" t="s">
        <v>789</v>
      </c>
      <c r="AJ378" s="801">
        <v>62.7</v>
      </c>
      <c r="AK378" s="801" t="s">
        <v>972</v>
      </c>
      <c r="AL378" s="801">
        <v>341000</v>
      </c>
      <c r="AM378" s="801" t="s">
        <v>382</v>
      </c>
      <c r="AN378" s="801">
        <v>82.1</v>
      </c>
      <c r="AO378" s="801" t="s">
        <v>835</v>
      </c>
      <c r="AP378" s="801"/>
      <c r="AQ378" s="801"/>
      <c r="AR378" s="801"/>
      <c r="AS378" s="801"/>
      <c r="AT378" s="801"/>
      <c r="AU378" s="801"/>
      <c r="AV378" s="801"/>
      <c r="BF378" s="657"/>
      <c r="BI378" s="656" t="s">
        <v>126</v>
      </c>
      <c r="BJ378" s="666"/>
      <c r="BO378" s="656" t="s">
        <v>252</v>
      </c>
      <c r="CU378" s="663" t="str">
        <f ca="1">IF(U378="",BF378,U378)</f>
        <v>Gemäß FNR [9.102], S. 11, lag die Anbaufläche nachwachsender Rohstoffe inklusive Grassilage von Dauergrünland für Biogas im Jahr 2016 bei 1.450.000 ha [366]. 
Die Stromerzeugung aus Biogas lag bei 32.416 GWh  (62,7 % Biogasanteil von 51,7 TWh Stromerzeugung aus Biomasse gemäß [9.102] S. 5).</v>
      </c>
      <c r="CW378" s="663"/>
      <c r="DT378" s="671"/>
      <c r="EJ378" s="656" t="str">
        <f ca="1">IF(X378=0,"",EJ$1&amp;X378)</f>
        <v>9.102</v>
      </c>
      <c r="EK378" s="656" t="str">
        <f ca="1">EK$1&amp;X378</f>
        <v>[D_Python.xlsx]9.Quellen!C102</v>
      </c>
      <c r="EV378" s="819">
        <f t="shared" ca="1" si="167"/>
        <v>378</v>
      </c>
      <c r="EW378" s="819"/>
    </row>
    <row r="379" spans="1:153" s="661" customFormat="1" ht="4">
      <c r="A379" s="677" t="str">
        <f t="shared" ca="1" si="165"/>
        <v>D.1.379</v>
      </c>
      <c r="B379" s="677" t="str">
        <f t="shared" ca="1" si="166"/>
        <v>1.379</v>
      </c>
      <c r="C379" s="677" t="str">
        <f t="shared" si="173"/>
        <v>[379]</v>
      </c>
      <c r="D379" s="677">
        <f>ROW()</f>
        <v>379</v>
      </c>
      <c r="E379" s="680"/>
      <c r="F379" s="680"/>
      <c r="G379" s="680"/>
      <c r="H379" s="680"/>
      <c r="I379" s="679"/>
      <c r="J379" s="679"/>
      <c r="K379" s="679"/>
      <c r="L379" s="679"/>
      <c r="M379" s="679"/>
      <c r="N379" s="680"/>
      <c r="O379" s="871">
        <v>379</v>
      </c>
      <c r="P379" s="688"/>
      <c r="Q379" s="689"/>
      <c r="R379" s="888"/>
      <c r="S379" s="802"/>
      <c r="T379" s="882"/>
      <c r="AB379" s="675"/>
      <c r="AC379" s="675"/>
      <c r="AD379" s="675"/>
      <c r="AE379" s="675"/>
      <c r="AF379" s="675"/>
      <c r="AG379" s="675"/>
      <c r="AH379" s="675"/>
      <c r="AI379" s="675"/>
      <c r="AJ379" s="675"/>
      <c r="AK379" s="675"/>
      <c r="AL379" s="675"/>
      <c r="AM379" s="675"/>
      <c r="AN379" s="675"/>
      <c r="AO379" s="675"/>
      <c r="AP379" s="675"/>
      <c r="AQ379" s="675"/>
      <c r="AR379" s="675"/>
      <c r="AS379" s="675"/>
      <c r="AT379" s="675"/>
      <c r="AU379" s="675"/>
      <c r="AV379" s="675"/>
      <c r="BI379" s="661" t="s">
        <v>126</v>
      </c>
      <c r="BJ379" s="665"/>
      <c r="CU379" s="662"/>
      <c r="CW379" s="662"/>
      <c r="EV379" s="818" t="str">
        <f t="shared" si="167"/>
        <v/>
      </c>
      <c r="EW379" s="818"/>
    </row>
    <row r="380" spans="1:153" s="472" customFormat="1" ht="52">
      <c r="A380" s="654" t="str">
        <f t="shared" ca="1" si="165"/>
        <v>D.1.380</v>
      </c>
      <c r="B380" s="654" t="str">
        <f t="shared" ca="1" si="166"/>
        <v>1.380</v>
      </c>
      <c r="C380" s="654" t="str">
        <f t="shared" si="173"/>
        <v>[380]</v>
      </c>
      <c r="D380" s="654">
        <f>ROW()</f>
        <v>380</v>
      </c>
      <c r="E380" s="1125" t="str">
        <f t="shared" ref="E380" si="182">CU380</f>
        <v>- ZIEL-Ansatz: 41,3 MWh/ha/a entsprechend 80 % vom Status resultieren aus dem Versuch einer Abwägung der steigernden Einflüsse [381] und der senkenden Einflüsse [382] auf den Methanertrag, die aus heutiger Sicht nur umrisshaft erkennbar sind.
Dies erscheint wegen der Unsicherheiten als optimistischer Ansatz.</v>
      </c>
      <c r="F380" s="1125"/>
      <c r="G380" s="1125"/>
      <c r="H380" s="1125"/>
      <c r="I380" s="1125"/>
      <c r="J380" s="1125"/>
      <c r="K380" s="1125"/>
      <c r="L380" s="1125"/>
      <c r="M380" s="1125"/>
      <c r="N380" s="1132"/>
      <c r="O380" s="869">
        <v>380</v>
      </c>
      <c r="P380" s="573" t="str">
        <f ca="1">HYPERLINK(EK380,EJ380)</f>
        <v/>
      </c>
      <c r="Q380" s="574" t="str">
        <f>Y380</f>
        <v xml:space="preserve"> </v>
      </c>
      <c r="R380" s="852"/>
      <c r="S380" s="784"/>
      <c r="T380" s="864"/>
      <c r="U380" s="1023" t="str">
        <f>TEXT(W380,"0,0")&amp;" MWh/ha/a entsprechend "&amp;AF380&amp;" % vom Status resultieren aus dem Versuch einer Abwägung der steigernden Einflüsse "&amp;C381&amp;" und der senkenden Einflüsse "&amp;C382&amp;" auf den Methanertrag, die aus heutiger Sicht nur umrisshaft erkennbar sind.
Dies erscheint wegen der Unsicherheiten als optimistischer Ansatz."</f>
        <v>41,3 MWh/ha/a entsprechend 80 % vom Status resultieren aus dem Versuch einer Abwägung der steigernden Einflüsse [381] und der senkenden Einflüsse [382] auf den Methanertrag, die aus heutiger Sicht nur umrisshaft erkennbar sind.
Dies erscheint wegen der Unsicherheiten als optimistischer Ansatz.</v>
      </c>
      <c r="V380" s="905" t="s">
        <v>126</v>
      </c>
      <c r="W380" s="1034">
        <f>AH380</f>
        <v>41.257447071230203</v>
      </c>
      <c r="X380" s="672"/>
      <c r="Y380" s="672" t="s">
        <v>126</v>
      </c>
      <c r="Z380" s="1025"/>
      <c r="AA380" s="905"/>
      <c r="AB380" s="801"/>
      <c r="AC380" s="1020"/>
      <c r="AD380" s="801">
        <f>AH374</f>
        <v>51.57180883903775</v>
      </c>
      <c r="AE380" s="801" t="str">
        <f>AI374</f>
        <v xml:space="preserve"> MWh/ha/a</v>
      </c>
      <c r="AF380" s="801">
        <v>80</v>
      </c>
      <c r="AG380" s="801" t="s">
        <v>835</v>
      </c>
      <c r="AH380" s="801">
        <f>AD380*AF380%</f>
        <v>41.257447071230203</v>
      </c>
      <c r="AI380" s="801" t="s">
        <v>410</v>
      </c>
      <c r="AJ380" s="801"/>
      <c r="AK380" s="801"/>
      <c r="AL380" s="801"/>
      <c r="AM380" s="801"/>
      <c r="AN380" s="801"/>
      <c r="AO380" s="801"/>
      <c r="AP380" s="801"/>
      <c r="AQ380" s="801"/>
      <c r="AR380" s="801"/>
      <c r="AS380" s="801"/>
      <c r="AT380" s="801"/>
      <c r="AU380" s="801"/>
      <c r="AV380" s="801"/>
      <c r="BF380" s="473"/>
      <c r="BI380" s="472" t="s">
        <v>126</v>
      </c>
      <c r="BJ380" s="490"/>
      <c r="BN380" s="656"/>
      <c r="BO380" s="472" t="s">
        <v>259</v>
      </c>
      <c r="CU380" s="480" t="str">
        <f>CH$1&amp;IF(U380="",BF380,U380)</f>
        <v>- ZIEL-Ansatz: 41,3 MWh/ha/a entsprechend 80 % vom Status resultieren aus dem Versuch einer Abwägung der steigernden Einflüsse [381] und der senkenden Einflüsse [382] auf den Methanertrag, die aus heutiger Sicht nur umrisshaft erkennbar sind.
Dies erscheint wegen der Unsicherheiten als optimistischer Ansatz.</v>
      </c>
      <c r="CV380" s="656"/>
      <c r="CW380" s="480"/>
      <c r="DS380" s="656"/>
      <c r="DT380" s="518">
        <v>53</v>
      </c>
      <c r="EJ380" s="472" t="str">
        <f>IF(X380=0,"",EJ$1&amp;X380)</f>
        <v/>
      </c>
      <c r="EK380" s="472" t="str">
        <f ca="1">EK$1&amp;X380</f>
        <v>[D_Python.xlsx]9.Quellen!C</v>
      </c>
      <c r="EV380" s="819">
        <f t="shared" si="167"/>
        <v>380</v>
      </c>
      <c r="EW380" s="819"/>
    </row>
    <row r="381" spans="1:153" s="656" customFormat="1" ht="26">
      <c r="A381" s="654" t="str">
        <f t="shared" ca="1" si="165"/>
        <v>D.1.381</v>
      </c>
      <c r="B381" s="654" t="str">
        <f t="shared" ca="1" si="166"/>
        <v>1.381</v>
      </c>
      <c r="C381" s="654" t="str">
        <f t="shared" si="173"/>
        <v>[381]</v>
      </c>
      <c r="D381" s="654">
        <f>ROW()</f>
        <v>381</v>
      </c>
      <c r="E381" s="1125" t="str">
        <f>CU381</f>
        <v>Steigernde Einflüsse sind nur noch in geringem Umfang zu erwarten:  Weitere Optimierung von Sorten, Ackerbau und Gärprozess, ausgehend von einem bereits hohen erreichten Standard.</v>
      </c>
      <c r="F381" s="1125"/>
      <c r="G381" s="1125"/>
      <c r="H381" s="1125"/>
      <c r="I381" s="1125"/>
      <c r="J381" s="1125"/>
      <c r="K381" s="1125"/>
      <c r="L381" s="1125"/>
      <c r="M381" s="1125"/>
      <c r="N381" s="1132"/>
      <c r="O381" s="869">
        <v>381</v>
      </c>
      <c r="P381" s="691" t="str">
        <f ca="1">HYPERLINK(EK381,EJ381)</f>
        <v/>
      </c>
      <c r="Q381" s="692" t="str">
        <f>Y381</f>
        <v xml:space="preserve"> </v>
      </c>
      <c r="R381" s="852"/>
      <c r="S381" s="784"/>
      <c r="T381" s="864"/>
      <c r="U381" s="1033" t="str">
        <f>"Steigernde Einflüsse sind nur noch in geringem Umfang zu erwarten:  Weitere Optimierung von Sorten, Ackerbau und Gärprozess, ausgehend von einem bereits hohen erreichten Standard."</f>
        <v>Steigernde Einflüsse sind nur noch in geringem Umfang zu erwarten:  Weitere Optimierung von Sorten, Ackerbau und Gärprozess, ausgehend von einem bereits hohen erreichten Standard.</v>
      </c>
      <c r="V381" s="905" t="s">
        <v>126</v>
      </c>
      <c r="W381" s="1024"/>
      <c r="X381" s="672"/>
      <c r="Y381" s="672" t="s">
        <v>126</v>
      </c>
      <c r="Z381" s="1025"/>
      <c r="AA381" s="905"/>
      <c r="AB381" s="801"/>
      <c r="AC381" s="801"/>
      <c r="AD381" s="801"/>
      <c r="AE381" s="801"/>
      <c r="AF381" s="801"/>
      <c r="AG381" s="801"/>
      <c r="AH381" s="801"/>
      <c r="AI381" s="801"/>
      <c r="AJ381" s="801"/>
      <c r="AK381" s="801"/>
      <c r="AL381" s="801"/>
      <c r="AM381" s="801"/>
      <c r="AN381" s="801"/>
      <c r="AO381" s="801"/>
      <c r="AP381" s="801"/>
      <c r="AQ381" s="801"/>
      <c r="AR381" s="801"/>
      <c r="AS381" s="801"/>
      <c r="AT381" s="801"/>
      <c r="AU381" s="801"/>
      <c r="AV381" s="801"/>
      <c r="BF381" s="657"/>
      <c r="BI381" s="656" t="s">
        <v>126</v>
      </c>
      <c r="BJ381" s="666"/>
      <c r="BO381" s="656" t="s">
        <v>252</v>
      </c>
      <c r="CU381" s="663" t="str">
        <f>IF(U381="",BF381,U381)</f>
        <v>Steigernde Einflüsse sind nur noch in geringem Umfang zu erwarten:  Weitere Optimierung von Sorten, Ackerbau und Gärprozess, ausgehend von einem bereits hohen erreichten Standard.</v>
      </c>
      <c r="CW381" s="663"/>
      <c r="DT381" s="671"/>
      <c r="EJ381" s="656" t="str">
        <f>IF(X381=0,"",EJ$1&amp;X381)</f>
        <v/>
      </c>
      <c r="EK381" s="656" t="str">
        <f ca="1">EK$1&amp;X381</f>
        <v>[D_Python.xlsx]9.Quellen!C</v>
      </c>
      <c r="EV381" s="819">
        <f t="shared" si="167"/>
        <v>381</v>
      </c>
      <c r="EW381" s="819"/>
    </row>
    <row r="382" spans="1:153" s="656" customFormat="1" ht="78">
      <c r="A382" s="654" t="str">
        <f t="shared" ca="1" si="165"/>
        <v>D.1.382</v>
      </c>
      <c r="B382" s="654" t="str">
        <f t="shared" ca="1" si="166"/>
        <v>1.382</v>
      </c>
      <c r="C382" s="654" t="str">
        <f t="shared" si="173"/>
        <v>[382]</v>
      </c>
      <c r="D382" s="654">
        <f>ROW()</f>
        <v>382</v>
      </c>
      <c r="E382" s="1125" t="str">
        <f ca="1">CU382</f>
        <v xml:space="preserve">Senkende Einflüsse könnten dagegen in erheblichem Umfang wirksam werden: Optimierung hinsichtlich Bodenerosion, Humusgehalt, Ökolandbau, Biodiversität, Artenschutz. Als idealtypischer Ansatz erscheinen aus heutiger Sicht beispielsweise Wildpflanzen als Biogassubstrat. Die bundesweite Feldforschung durch die bayrische Landesanstalt für Wein- und Gartenbau lässt ein hohes Problemlösungspotenzial zum Ziel einer zukunftsfähigen Wirtschaftsweise bereits erkennen [9.45].  Durch die damit verbundene Extensivierung liegen die heute erreichbaren Methanerträge allerdings erst bei knapp der Hälfte von Mais [9.45] S. 24.  </v>
      </c>
      <c r="F382" s="1125"/>
      <c r="G382" s="1125"/>
      <c r="H382" s="1125"/>
      <c r="I382" s="1125"/>
      <c r="J382" s="1125"/>
      <c r="K382" s="1125"/>
      <c r="L382" s="1125"/>
      <c r="M382" s="1125"/>
      <c r="N382" s="1132"/>
      <c r="O382" s="869">
        <v>382</v>
      </c>
      <c r="P382" s="691" t="str">
        <f ca="1">HYPERLINK(EK382,EJ382)</f>
        <v>9.45</v>
      </c>
      <c r="Q382" s="692" t="str">
        <f>Y382</f>
        <v>S. 24</v>
      </c>
      <c r="R382" s="852"/>
      <c r="S382" s="784"/>
      <c r="T382" s="864"/>
      <c r="U382" s="1033" t="str">
        <f ca="1">"Senkende Einflüsse könnten dagegen in erheblichem Umfang wirksam werden: Optimierung hinsichtlich Bodenerosion, Humusgehalt, Ökolandbau, Biodiversität, Artenschutz. "&amp;"Als idealtypischer Ansatz erscheinen aus heutiger Sicht beispielsweise Wildpflanzen als Biogassubstrat."&amp;" Die bundesweite Feldforschung durch die bayrische Landesanstalt für Wein- und Gartenbau lässt ein hohes Problemlösungspotenzial zum Ziel einer zukunftsfähigen Wirtschaftsweise bereits erkennen ["&amp;P382&amp;"].  Durch die damit verbundene Extensivierung liegen die heute erreichbaren Methanerträge allerdings erst bei knapp der Hälfte von Mais ["&amp;P382&amp;"] "&amp;Q382&amp;".  "</f>
        <v xml:space="preserve">Senkende Einflüsse könnten dagegen in erheblichem Umfang wirksam werden: Optimierung hinsichtlich Bodenerosion, Humusgehalt, Ökolandbau, Biodiversität, Artenschutz. Als idealtypischer Ansatz erscheinen aus heutiger Sicht beispielsweise Wildpflanzen als Biogassubstrat. Die bundesweite Feldforschung durch die bayrische Landesanstalt für Wein- und Gartenbau lässt ein hohes Problemlösungspotenzial zum Ziel einer zukunftsfähigen Wirtschaftsweise bereits erkennen [9.45].  Durch die damit verbundene Extensivierung liegen die heute erreichbaren Methanerträge allerdings erst bei knapp der Hälfte von Mais [9.45] S. 24.  </v>
      </c>
      <c r="V382" s="905" t="s">
        <v>126</v>
      </c>
      <c r="W382" s="1024"/>
      <c r="X382" s="672">
        <f>'9.Quellen'!C45</f>
        <v>45</v>
      </c>
      <c r="Y382" s="672" t="s">
        <v>545</v>
      </c>
      <c r="Z382" s="1025"/>
      <c r="AA382" s="905"/>
      <c r="AB382" s="801"/>
      <c r="AC382" s="801"/>
      <c r="AD382" s="801"/>
      <c r="AE382" s="801"/>
      <c r="AF382" s="801"/>
      <c r="AG382" s="801"/>
      <c r="AH382" s="801"/>
      <c r="AI382" s="801"/>
      <c r="AJ382" s="801"/>
      <c r="AK382" s="801"/>
      <c r="AL382" s="801"/>
      <c r="AM382" s="801"/>
      <c r="AN382" s="801"/>
      <c r="AO382" s="801"/>
      <c r="AP382" s="801"/>
      <c r="AQ382" s="801"/>
      <c r="AR382" s="801"/>
      <c r="AS382" s="801"/>
      <c r="AT382" s="801"/>
      <c r="AU382" s="801"/>
      <c r="AV382" s="801"/>
      <c r="BF382" s="657"/>
      <c r="BI382" s="656" t="s">
        <v>126</v>
      </c>
      <c r="BJ382" s="666"/>
      <c r="BO382" s="656" t="s">
        <v>252</v>
      </c>
      <c r="CU382" s="663" t="str">
        <f ca="1">IF(U382="",BF382,U382)</f>
        <v xml:space="preserve">Senkende Einflüsse könnten dagegen in erheblichem Umfang wirksam werden: Optimierung hinsichtlich Bodenerosion, Humusgehalt, Ökolandbau, Biodiversität, Artenschutz. Als idealtypischer Ansatz erscheinen aus heutiger Sicht beispielsweise Wildpflanzen als Biogassubstrat. Die bundesweite Feldforschung durch die bayrische Landesanstalt für Wein- und Gartenbau lässt ein hohes Problemlösungspotenzial zum Ziel einer zukunftsfähigen Wirtschaftsweise bereits erkennen [9.45].  Durch die damit verbundene Extensivierung liegen die heute erreichbaren Methanerträge allerdings erst bei knapp der Hälfte von Mais [9.45] S. 24.  </v>
      </c>
      <c r="CW382" s="663"/>
      <c r="DT382" s="671"/>
      <c r="EJ382" s="656" t="str">
        <f ca="1">IF(X382=0,"",EJ$1&amp;X382)</f>
        <v>9.45</v>
      </c>
      <c r="EK382" s="656" t="str">
        <f ca="1">EK$1&amp;X382</f>
        <v>[D_Python.xlsx]9.Quellen!C45</v>
      </c>
      <c r="EV382" s="819">
        <f t="shared" ca="1" si="167"/>
        <v>382</v>
      </c>
      <c r="EW382" s="819"/>
    </row>
    <row r="383" spans="1:153" s="478" customFormat="1" ht="4">
      <c r="A383" s="677" t="str">
        <f t="shared" ca="1" si="165"/>
        <v>D.1.383</v>
      </c>
      <c r="B383" s="677" t="str">
        <f t="shared" ca="1" si="166"/>
        <v>1.383</v>
      </c>
      <c r="C383" s="677" t="str">
        <f t="shared" si="173"/>
        <v>[383]</v>
      </c>
      <c r="D383" s="677">
        <f>ROW()</f>
        <v>383</v>
      </c>
      <c r="E383" s="548"/>
      <c r="F383" s="548"/>
      <c r="G383" s="548"/>
      <c r="H383" s="548"/>
      <c r="I383" s="549"/>
      <c r="J383" s="549"/>
      <c r="K383" s="549"/>
      <c r="L383" s="549"/>
      <c r="M383" s="549"/>
      <c r="N383" s="548"/>
      <c r="O383" s="871">
        <v>383</v>
      </c>
      <c r="P383" s="575"/>
      <c r="Q383" s="576"/>
      <c r="R383" s="888"/>
      <c r="S383" s="802"/>
      <c r="T383" s="882"/>
      <c r="U383" s="661"/>
      <c r="V383" s="661"/>
      <c r="W383" s="661"/>
      <c r="X383" s="661"/>
      <c r="Y383" s="661"/>
      <c r="Z383" s="661"/>
      <c r="AA383" s="661"/>
      <c r="AB383" s="675"/>
      <c r="AC383" s="675"/>
      <c r="AD383" s="675"/>
      <c r="AE383" s="675"/>
      <c r="AF383" s="675"/>
      <c r="AG383" s="675"/>
      <c r="AH383" s="675"/>
      <c r="AI383" s="675"/>
      <c r="AJ383" s="675"/>
      <c r="AK383" s="675"/>
      <c r="AL383" s="675"/>
      <c r="AM383" s="675"/>
      <c r="AN383" s="675"/>
      <c r="AO383" s="675"/>
      <c r="AP383" s="675"/>
      <c r="AQ383" s="675"/>
      <c r="AR383" s="675"/>
      <c r="AS383" s="675"/>
      <c r="AT383" s="675"/>
      <c r="AU383" s="675"/>
      <c r="AV383" s="675"/>
      <c r="AZ383" s="505"/>
      <c r="BB383" s="505"/>
      <c r="BI383" s="478" t="s">
        <v>126</v>
      </c>
      <c r="BJ383" s="489"/>
      <c r="BN383" s="661"/>
      <c r="CU383" s="479"/>
      <c r="CV383" s="661"/>
      <c r="CW383" s="479"/>
      <c r="DS383" s="661"/>
      <c r="EV383" s="818" t="str">
        <f t="shared" si="167"/>
        <v/>
      </c>
      <c r="EW383" s="818"/>
    </row>
    <row r="384" spans="1:153" s="658" customFormat="1" ht="13.5" customHeight="1">
      <c r="A384" s="654" t="str">
        <f t="shared" ca="1" si="165"/>
        <v>D.1.384</v>
      </c>
      <c r="B384" s="654" t="str">
        <f t="shared" ca="1" si="166"/>
        <v>1.384</v>
      </c>
      <c r="C384" s="654" t="str">
        <f t="shared" si="173"/>
        <v>[384]</v>
      </c>
      <c r="D384" s="654">
        <f>ROW()</f>
        <v>384</v>
      </c>
      <c r="E384" s="1129" t="str">
        <f>BP384</f>
        <v>Biogas aus Abfall-/Reststoffverwertung</v>
      </c>
      <c r="F384" s="1129"/>
      <c r="G384" s="1129"/>
      <c r="H384" s="1129"/>
      <c r="I384" s="1129"/>
      <c r="J384" s="655" t="s">
        <v>361</v>
      </c>
      <c r="K384" s="684">
        <f ca="1">INDIRECT($W$1&amp;U384)</f>
        <v>15039.473684210527</v>
      </c>
      <c r="L384" s="485" t="str">
        <f ca="1">HYPERLINK($CK$1&amp;U384,$CE$1&amp;U384&amp;$CF$1)</f>
        <v>[385]</v>
      </c>
      <c r="M384" s="547">
        <f ca="1">INDIRECT($W$1&amp;W384)</f>
        <v>30078.947368421053</v>
      </c>
      <c r="N384" s="681" t="str">
        <f ca="1">HYPERLINK($CK$1&amp;W384,$CE$1&amp;W384&amp;$CF$1)</f>
        <v>[388]</v>
      </c>
      <c r="O384" s="869">
        <v>384</v>
      </c>
      <c r="P384" s="690"/>
      <c r="Q384" s="695"/>
      <c r="R384" s="852"/>
      <c r="S384" s="784"/>
      <c r="T384" s="864"/>
      <c r="U384" s="672">
        <f>D385</f>
        <v>385</v>
      </c>
      <c r="V384" s="905" t="s">
        <v>126</v>
      </c>
      <c r="W384" s="672">
        <f>D388</f>
        <v>388</v>
      </c>
      <c r="AB384" s="801"/>
      <c r="AC384" s="801"/>
      <c r="AD384" s="674"/>
      <c r="AE384" s="674"/>
      <c r="AF384" s="674"/>
      <c r="AG384" s="674"/>
      <c r="AH384" s="674"/>
      <c r="AI384" s="674"/>
      <c r="AJ384" s="674"/>
      <c r="AK384" s="674"/>
      <c r="AL384" s="674"/>
      <c r="AM384" s="674"/>
      <c r="AN384" s="674"/>
      <c r="AO384" s="674"/>
      <c r="AP384" s="674"/>
      <c r="AQ384" s="674"/>
      <c r="AR384" s="674"/>
      <c r="AS384" s="674"/>
      <c r="AT384" s="674"/>
      <c r="AU384" s="674"/>
      <c r="AV384" s="674"/>
      <c r="AW384" s="674"/>
      <c r="AX384" s="674"/>
      <c r="AY384" s="674"/>
      <c r="AZ384" s="674"/>
      <c r="BA384" s="674"/>
      <c r="BB384" s="674"/>
      <c r="BC384" s="674"/>
      <c r="BD384" s="674"/>
      <c r="BE384" s="674"/>
      <c r="BF384" s="674"/>
      <c r="BG384" s="674"/>
      <c r="BH384" s="674"/>
      <c r="BI384" s="658" t="s">
        <v>126</v>
      </c>
      <c r="BJ384" s="667" t="str">
        <f>E384</f>
        <v>Biogas aus Abfall-/Reststoffverwertung</v>
      </c>
      <c r="BK384" s="664">
        <f ca="1">K384</f>
        <v>15039.473684210527</v>
      </c>
      <c r="BL384" s="664">
        <f ca="1">M384</f>
        <v>30078.947368421053</v>
      </c>
      <c r="BM384" s="656">
        <f>D384</f>
        <v>384</v>
      </c>
      <c r="BO384" s="658" t="s">
        <v>251</v>
      </c>
      <c r="BP384" s="676" t="s">
        <v>524</v>
      </c>
      <c r="CU384" s="659"/>
      <c r="DS384" s="656"/>
      <c r="DV384" s="656"/>
      <c r="DW384" s="656"/>
      <c r="DX384" s="656"/>
      <c r="DY384" s="656"/>
      <c r="DZ384" s="656"/>
      <c r="EA384" s="656"/>
      <c r="EB384" s="656"/>
      <c r="EC384" s="656"/>
      <c r="ED384" s="656"/>
      <c r="EE384" s="656"/>
      <c r="EF384" s="656"/>
      <c r="EG384" s="656"/>
      <c r="EH384" s="656"/>
      <c r="EI384" s="656"/>
      <c r="EJ384" s="656"/>
      <c r="EK384" s="656"/>
      <c r="EV384" s="819">
        <f t="shared" si="167"/>
        <v>384</v>
      </c>
      <c r="EW384" s="819"/>
    </row>
    <row r="385" spans="1:153" s="656" customFormat="1" ht="52">
      <c r="A385" s="654" t="str">
        <f t="shared" ca="1" si="165"/>
        <v>D.1.385</v>
      </c>
      <c r="B385" s="654" t="str">
        <f t="shared" ca="1" si="166"/>
        <v>1.385</v>
      </c>
      <c r="C385" s="654" t="str">
        <f t="shared" si="173"/>
        <v>[385]</v>
      </c>
      <c r="D385" s="654">
        <f>ROW()</f>
        <v>385</v>
      </c>
      <c r="E385" s="1130" t="str">
        <f ca="1">CU385</f>
        <v>- STATUS-Ansatz: Einen Heizwert von 15.039 GWh  besaß die im Jahr 2013 praktisch vollständig verstromte Biogasmenge aus Landwirtschaftlichen Reststoffen und Bioabfällen (was auch auf das ins Gasnetz eingespeiste Biomethan zutrifft), resultierend aus der Stromerzeugung [386] und einem durchschnittlichen Verstromungs-Wirkungsgrad von 38%  gemäß [9.99] S. 37.</v>
      </c>
      <c r="F385" s="1130"/>
      <c r="G385" s="1130"/>
      <c r="H385" s="1130"/>
      <c r="I385" s="1130"/>
      <c r="J385" s="1130"/>
      <c r="K385" s="1130"/>
      <c r="L385" s="1130"/>
      <c r="M385" s="1130"/>
      <c r="N385" s="1131"/>
      <c r="O385" s="869">
        <v>385</v>
      </c>
      <c r="P385" s="691" t="str">
        <f ca="1">HYPERLINK(EK385,EJ385)</f>
        <v>9.99</v>
      </c>
      <c r="Q385" s="692" t="str">
        <f>Y385</f>
        <v>S. 37</v>
      </c>
      <c r="R385" s="852"/>
      <c r="S385" s="784"/>
      <c r="T385" s="864"/>
      <c r="U385" s="1023" t="str">
        <f ca="1">"Einen Heizwert von "&amp;TEXT(W385,"0.000")&amp;AE385&amp;" besaß die im Jahr 2013 praktisch vollständig verstromte Biogasmenge aus Landwirtschaftlichen Reststoffen und Bioabfällen (was auch auf das ins Gasnetz eingespeiste Biomethan zutrifft), resultierend aus der Stromerzeugung "&amp;C386&amp;" und einem durchschnittlichen Verstromungs-Wirkungsgrad von "&amp;AF385&amp;AG385&amp;" gemäß ["&amp;P385&amp;"] "&amp;Q385&amp;"."</f>
        <v>Einen Heizwert von 15.039 GWh  besaß die im Jahr 2013 praktisch vollständig verstromte Biogasmenge aus Landwirtschaftlichen Reststoffen und Bioabfällen (was auch auf das ins Gasnetz eingespeiste Biomethan zutrifft), resultierend aus der Stromerzeugung [386] und einem durchschnittlichen Verstromungs-Wirkungsgrad von 38%  gemäß [9.99] S. 37.</v>
      </c>
      <c r="V385" s="905" t="s">
        <v>126</v>
      </c>
      <c r="W385" s="1024">
        <f>AD385</f>
        <v>15039.473684210527</v>
      </c>
      <c r="X385" s="672">
        <f>'9.Quellen'!C99</f>
        <v>99</v>
      </c>
      <c r="Y385" s="672" t="s">
        <v>529</v>
      </c>
      <c r="Z385" s="1025"/>
      <c r="AA385" s="658"/>
      <c r="AB385" s="801"/>
      <c r="AC385" s="801"/>
      <c r="AD385" s="801">
        <f>AH385/AF385%</f>
        <v>15039.473684210527</v>
      </c>
      <c r="AE385" s="801" t="s">
        <v>384</v>
      </c>
      <c r="AF385" s="801">
        <v>38</v>
      </c>
      <c r="AG385" s="801" t="s">
        <v>835</v>
      </c>
      <c r="AH385" s="801">
        <f>AU386</f>
        <v>5715</v>
      </c>
      <c r="AI385" s="801" t="str">
        <f>AV386</f>
        <v xml:space="preserve"> GWh </v>
      </c>
      <c r="AJ385" s="801"/>
      <c r="AK385" s="801"/>
      <c r="AL385" s="801"/>
      <c r="AM385" s="801"/>
      <c r="AN385" s="801"/>
      <c r="AO385" s="801"/>
      <c r="AP385" s="801"/>
      <c r="AQ385" s="801"/>
      <c r="AR385" s="801"/>
      <c r="AS385" s="801"/>
      <c r="AT385" s="801"/>
      <c r="AU385" s="801"/>
      <c r="AV385" s="801"/>
      <c r="AW385" s="673"/>
      <c r="AX385" s="673"/>
      <c r="AY385" s="673"/>
      <c r="AZ385" s="673"/>
      <c r="BA385" s="673"/>
      <c r="BB385" s="673"/>
      <c r="BC385" s="673"/>
      <c r="BD385" s="673"/>
      <c r="BE385" s="673"/>
      <c r="BF385" s="673"/>
      <c r="BG385" s="673"/>
      <c r="BH385" s="673"/>
      <c r="BI385" s="656" t="s">
        <v>126</v>
      </c>
      <c r="BJ385" s="666"/>
      <c r="BO385" s="656" t="s">
        <v>259</v>
      </c>
      <c r="CU385" s="663" t="str">
        <f ca="1">CG$1&amp;IF(U385="",BF385,U385)</f>
        <v>- STATUS-Ansatz: Einen Heizwert von 15.039 GWh  besaß die im Jahr 2013 praktisch vollständig verstromte Biogasmenge aus Landwirtschaftlichen Reststoffen und Bioabfällen (was auch auf das ins Gasnetz eingespeiste Biomethan zutrifft), resultierend aus der Stromerzeugung [386] und einem durchschnittlichen Verstromungs-Wirkungsgrad von 38%  gemäß [9.99] S. 37.</v>
      </c>
      <c r="DT385" s="671">
        <f>I_Basisdaten!A160</f>
        <v>160</v>
      </c>
      <c r="EJ385" s="656" t="str">
        <f ca="1">IF(X385=0,"",EJ$1&amp;X385)</f>
        <v>9.99</v>
      </c>
      <c r="EK385" s="656" t="str">
        <f ca="1">EK$1&amp;X385</f>
        <v>[D_Python.xlsx]9.Quellen!C99</v>
      </c>
      <c r="EV385" s="819">
        <f t="shared" ca="1" si="167"/>
        <v>385</v>
      </c>
      <c r="EW385" s="819"/>
    </row>
    <row r="386" spans="1:153" s="656" customFormat="1" ht="39">
      <c r="A386" s="654" t="str">
        <f t="shared" ca="1" si="165"/>
        <v>D.1.386</v>
      </c>
      <c r="B386" s="654" t="str">
        <f t="shared" ca="1" si="166"/>
        <v>1.386</v>
      </c>
      <c r="C386" s="654" t="str">
        <f t="shared" si="173"/>
        <v>[386]</v>
      </c>
      <c r="D386" s="654">
        <f>ROW()</f>
        <v>386</v>
      </c>
      <c r="E386" s="1130" t="str">
        <f ca="1">CU386</f>
        <v>4.000 GWh  Stromerzeugung aus Biogas entfallen auf die Verwertung von Landwirtschaftlichen Reststoffen (Gülle, Festmist, Gärreste) und Bioabfällen (Fette, Flotate, organische Abfälle) mit einem Leistungsanteil von 12,3 % gemäß [9.214]  , bezogen auf die  gesamte Stromerzeugung aus Biogas [376] .</v>
      </c>
      <c r="F386" s="1130"/>
      <c r="G386" s="1130"/>
      <c r="H386" s="1130"/>
      <c r="I386" s="1130"/>
      <c r="J386" s="1130"/>
      <c r="K386" s="1130"/>
      <c r="L386" s="1130"/>
      <c r="M386" s="1130"/>
      <c r="N386" s="1131"/>
      <c r="O386" s="869">
        <v>386</v>
      </c>
      <c r="P386" s="691" t="str">
        <f ca="1">HYPERLINK(EK386,EJ386)</f>
        <v>9.214</v>
      </c>
      <c r="Q386" s="692" t="str">
        <f>Y386</f>
        <v xml:space="preserve"> </v>
      </c>
      <c r="R386" s="852"/>
      <c r="S386" s="784"/>
      <c r="T386" s="864"/>
      <c r="U386" s="1033" t="str">
        <f ca="1">TEXT(W386,"0.000")&amp;AI386&amp;" Stromerzeugung aus Biogas entfallen auf die Verwertung von Landwirtschaftlichen Reststoffen (Gülle, Festmist, Gärreste) und Bioabfällen (Fette, Flotate, organische Abfälle) mit einem Leistungsanteil von "&amp;TEXT(AD386,"0,0")&amp;AE386&amp;" gemäß ["&amp;P386&amp;"] "&amp;Q386&amp;", bezogen auf die  gesamte Stromerzeugung aus Biogas "&amp;C376&amp;" ."</f>
        <v>4.000 GWh  Stromerzeugung aus Biogas entfallen auf die Verwertung von Landwirtschaftlichen Reststoffen (Gülle, Festmist, Gärreste) und Bioabfällen (Fette, Flotate, organische Abfälle) mit einem Leistungsanteil von 12,3 % gemäß [9.214]  , bezogen auf die  gesamte Stromerzeugung aus Biogas [376] .</v>
      </c>
      <c r="V386" s="905" t="s">
        <v>126</v>
      </c>
      <c r="W386" s="1034">
        <f>AH386</f>
        <v>3999.8333296901983</v>
      </c>
      <c r="X386" s="672">
        <f>'9.Quellen'!C214</f>
        <v>214</v>
      </c>
      <c r="Y386" s="672" t="s">
        <v>126</v>
      </c>
      <c r="Z386" s="1025"/>
      <c r="AA386" s="905"/>
      <c r="AB386" s="801"/>
      <c r="AC386" s="801"/>
      <c r="AD386" s="801">
        <f>100-AD376</f>
        <v>12.33910929417415</v>
      </c>
      <c r="AE386" s="801" t="s">
        <v>972</v>
      </c>
      <c r="AF386" s="801">
        <f>AF376</f>
        <v>32415.9</v>
      </c>
      <c r="AG386" s="801" t="str">
        <f>AG376</f>
        <v xml:space="preserve"> GWh </v>
      </c>
      <c r="AH386" s="801">
        <f>AF386*AD386%</f>
        <v>3999.8333296901983</v>
      </c>
      <c r="AI386" s="801" t="s">
        <v>384</v>
      </c>
      <c r="AJ386" s="801"/>
      <c r="AK386" s="801"/>
      <c r="AL386" s="801"/>
      <c r="AM386" s="844">
        <v>11</v>
      </c>
      <c r="AN386" s="844" t="s">
        <v>835</v>
      </c>
      <c r="AO386" s="844">
        <v>7</v>
      </c>
      <c r="AP386" s="844" t="s">
        <v>835</v>
      </c>
      <c r="AQ386" s="844">
        <f>AM386+AO386</f>
        <v>18</v>
      </c>
      <c r="AR386" s="844" t="s">
        <v>835</v>
      </c>
      <c r="AS386" s="844">
        <f>AD377</f>
        <v>31750</v>
      </c>
      <c r="AT386" s="844" t="str">
        <f>AE377</f>
        <v xml:space="preserve"> GWh </v>
      </c>
      <c r="AU386" s="844">
        <f>AS386*AQ386%</f>
        <v>5715</v>
      </c>
      <c r="AV386" s="844" t="s">
        <v>384</v>
      </c>
      <c r="BF386" s="657"/>
      <c r="BI386" s="656" t="s">
        <v>126</v>
      </c>
      <c r="BJ386" s="666"/>
      <c r="BO386" s="656" t="s">
        <v>252</v>
      </c>
      <c r="CU386" s="663" t="str">
        <f ca="1">IF(U386="",BF386,U386)</f>
        <v>4.000 GWh  Stromerzeugung aus Biogas entfallen auf die Verwertung von Landwirtschaftlichen Reststoffen (Gülle, Festmist, Gärreste) und Bioabfällen (Fette, Flotate, organische Abfälle) mit einem Leistungsanteil von 12,3 % gemäß [9.214]  , bezogen auf die  gesamte Stromerzeugung aus Biogas [376] .</v>
      </c>
      <c r="CW386" s="663"/>
      <c r="DT386" s="671"/>
      <c r="EJ386" s="656" t="str">
        <f ca="1">IF(X386=0,"",EJ$1&amp;X386)</f>
        <v>9.214</v>
      </c>
      <c r="EK386" s="656" t="str">
        <f ca="1">EK$1&amp;X386</f>
        <v>[D_Python.xlsx]9.Quellen!C214</v>
      </c>
      <c r="EV386" s="819">
        <f t="shared" ca="1" si="167"/>
        <v>386</v>
      </c>
      <c r="EW386" s="819"/>
    </row>
    <row r="387" spans="1:153" s="661" customFormat="1" ht="4">
      <c r="A387" s="677" t="str">
        <f t="shared" ca="1" si="165"/>
        <v>D.1.387</v>
      </c>
      <c r="B387" s="677" t="str">
        <f t="shared" ca="1" si="166"/>
        <v>1.387</v>
      </c>
      <c r="C387" s="677" t="str">
        <f t="shared" si="173"/>
        <v>[387]</v>
      </c>
      <c r="D387" s="677">
        <f>ROW()</f>
        <v>387</v>
      </c>
      <c r="E387" s="680"/>
      <c r="F387" s="680"/>
      <c r="G387" s="680"/>
      <c r="H387" s="680"/>
      <c r="I387" s="679"/>
      <c r="J387" s="679"/>
      <c r="K387" s="679"/>
      <c r="L387" s="679"/>
      <c r="M387" s="679"/>
      <c r="N387" s="680"/>
      <c r="O387" s="871">
        <v>387</v>
      </c>
      <c r="P387" s="688"/>
      <c r="Q387" s="689"/>
      <c r="R387" s="890"/>
      <c r="S387" s="802"/>
      <c r="T387" s="882"/>
      <c r="AB387" s="675"/>
      <c r="AC387" s="675"/>
      <c r="AD387" s="675"/>
      <c r="AE387" s="675"/>
      <c r="AF387" s="675"/>
      <c r="AG387" s="675"/>
      <c r="AH387" s="675"/>
      <c r="AI387" s="675"/>
      <c r="AJ387" s="675"/>
      <c r="AK387" s="675"/>
      <c r="AL387" s="675"/>
      <c r="AM387" s="675"/>
      <c r="AN387" s="675"/>
      <c r="AO387" s="675"/>
      <c r="AP387" s="675"/>
      <c r="AQ387" s="675"/>
      <c r="AR387" s="675"/>
      <c r="AS387" s="675"/>
      <c r="AT387" s="675"/>
      <c r="AU387" s="675"/>
      <c r="AV387" s="675"/>
      <c r="AW387" s="675"/>
      <c r="AX387" s="675"/>
      <c r="AY387" s="675"/>
      <c r="AZ387" s="675"/>
      <c r="BA387" s="675"/>
      <c r="BB387" s="675"/>
      <c r="BC387" s="675"/>
      <c r="BD387" s="675"/>
      <c r="BE387" s="675"/>
      <c r="BF387" s="675"/>
      <c r="BG387" s="675"/>
      <c r="BH387" s="675"/>
      <c r="BI387" s="661" t="s">
        <v>126</v>
      </c>
      <c r="BJ387" s="665"/>
      <c r="CU387" s="662"/>
      <c r="EV387" s="818" t="str">
        <f t="shared" si="167"/>
        <v/>
      </c>
      <c r="EW387" s="818"/>
    </row>
    <row r="388" spans="1:153" s="656" customFormat="1" ht="52">
      <c r="A388" s="654" t="str">
        <f t="shared" ca="1" si="165"/>
        <v>D.1.388</v>
      </c>
      <c r="B388" s="654" t="str">
        <f t="shared" ca="1" si="166"/>
        <v>1.388</v>
      </c>
      <c r="C388" s="654" t="str">
        <f t="shared" si="173"/>
        <v>[388]</v>
      </c>
      <c r="D388" s="654">
        <f>ROW()</f>
        <v>388</v>
      </c>
      <c r="E388" s="1125" t="str">
        <f t="shared" ref="E388" si="183">CU388</f>
        <v xml:space="preserve">- ZIEL-Ansatz: Aus einer Studie, die von einer Verdoppelung der Biogasproduktion aus Wirtschaftsdünger bis 2030 ausgeht [389], wird die Erhöhung um 100%  auf 30.079 GWh/a übernommen. Der Ansatz erscheint wegen erheblicher Unwägbarkeiten allerdings eher optimistisch, beispielsweise bezüglich der Verfügbarkeit von Gülle und Mist aufgrund veränderter Bedingungen bei der Fleischproduktion. </v>
      </c>
      <c r="F388" s="1125"/>
      <c r="G388" s="1125"/>
      <c r="H388" s="1125"/>
      <c r="I388" s="1125"/>
      <c r="J388" s="1125"/>
      <c r="K388" s="1125"/>
      <c r="L388" s="1125"/>
      <c r="M388" s="1125"/>
      <c r="N388" s="1132"/>
      <c r="O388" s="869">
        <v>388</v>
      </c>
      <c r="P388" s="691" t="str">
        <f ca="1">HYPERLINK(EK388,EJ388)</f>
        <v/>
      </c>
      <c r="Q388" s="692" t="str">
        <f>Y388</f>
        <v xml:space="preserve"> </v>
      </c>
      <c r="R388" s="852"/>
      <c r="S388" s="784"/>
      <c r="T388" s="864"/>
      <c r="U388" s="1023" t="str">
        <f>"Aus einer Studie, die von einer Verdoppelung der Biogasproduktion aus Wirtschaftsdünger bis 2030 ausgeht "&amp;C389&amp;", wird die Erhöhung um "&amp;AF388&amp;AG388&amp;" auf "&amp;TEXT(W388,"0.000")&amp;" GWh/a übernommen. Der Ansatz erscheint wegen erheblicher Unwägbarkeiten allerdings eher optimistisch, beispielsweise bezüglich der Verfügbarkeit von Gülle und Mist aufgrund veränderter Bedingungen bei der Fleischproduktion. "</f>
        <v xml:space="preserve">Aus einer Studie, die von einer Verdoppelung der Biogasproduktion aus Wirtschaftsdünger bis 2030 ausgeht [389], wird die Erhöhung um 100%  auf 30.079 GWh/a übernommen. Der Ansatz erscheint wegen erheblicher Unwägbarkeiten allerdings eher optimistisch, beispielsweise bezüglich der Verfügbarkeit von Gülle und Mist aufgrund veränderter Bedingungen bei der Fleischproduktion. </v>
      </c>
      <c r="V388" s="905" t="s">
        <v>126</v>
      </c>
      <c r="W388" s="1024">
        <f>AH388</f>
        <v>30078.947368421053</v>
      </c>
      <c r="X388" s="672"/>
      <c r="Y388" s="672" t="s">
        <v>126</v>
      </c>
      <c r="Z388" s="1025"/>
      <c r="AA388" s="905"/>
      <c r="AB388" s="801"/>
      <c r="AC388" s="801"/>
      <c r="AD388" s="801">
        <f>AD385</f>
        <v>15039.473684210527</v>
      </c>
      <c r="AE388" s="801" t="str">
        <f>AE385</f>
        <v xml:space="preserve"> GWh </v>
      </c>
      <c r="AF388" s="801">
        <v>100</v>
      </c>
      <c r="AG388" s="801" t="s">
        <v>835</v>
      </c>
      <c r="AH388" s="801">
        <f>AD388*(1+AF388%)</f>
        <v>30078.947368421053</v>
      </c>
      <c r="AI388" s="801" t="str">
        <f>AE388</f>
        <v xml:space="preserve"> GWh </v>
      </c>
      <c r="AJ388" s="801"/>
      <c r="AK388" s="801"/>
      <c r="AL388" s="801"/>
      <c r="AM388" s="801"/>
      <c r="AN388" s="801"/>
      <c r="AO388" s="801"/>
      <c r="AP388" s="801"/>
      <c r="AQ388" s="801"/>
      <c r="AR388" s="801"/>
      <c r="AS388" s="801"/>
      <c r="AT388" s="801"/>
      <c r="AU388" s="801"/>
      <c r="AV388" s="801"/>
      <c r="AW388" s="673"/>
      <c r="AX388" s="673"/>
      <c r="AY388" s="673"/>
      <c r="AZ388" s="673"/>
      <c r="BA388" s="673"/>
      <c r="BB388" s="673"/>
      <c r="BC388" s="673"/>
      <c r="BD388" s="673"/>
      <c r="BE388" s="673"/>
      <c r="BF388" s="673"/>
      <c r="BG388" s="673"/>
      <c r="BH388" s="673"/>
      <c r="BI388" s="656" t="s">
        <v>126</v>
      </c>
      <c r="BJ388" s="666"/>
      <c r="BO388" s="656" t="s">
        <v>259</v>
      </c>
      <c r="CU388" s="663" t="str">
        <f>CH$1&amp;IF(U388="",BF388,U388)</f>
        <v xml:space="preserve">- ZIEL-Ansatz: Aus einer Studie, die von einer Verdoppelung der Biogasproduktion aus Wirtschaftsdünger bis 2030 ausgeht [389], wird die Erhöhung um 100%  auf 30.079 GWh/a übernommen. Der Ansatz erscheint wegen erheblicher Unwägbarkeiten allerdings eher optimistisch, beispielsweise bezüglich der Verfügbarkeit von Gülle und Mist aufgrund veränderter Bedingungen bei der Fleischproduktion. </v>
      </c>
      <c r="DT388" s="671">
        <v>53</v>
      </c>
      <c r="EJ388" s="656" t="str">
        <f>IF(X388=0,"",EJ$1&amp;X388)</f>
        <v/>
      </c>
      <c r="EK388" s="656" t="str">
        <f ca="1">EK$1&amp;X388</f>
        <v>[D_Python.xlsx]9.Quellen!C</v>
      </c>
      <c r="EV388" s="819">
        <f t="shared" si="167"/>
        <v>388</v>
      </c>
      <c r="EW388" s="819"/>
    </row>
    <row r="389" spans="1:153" s="656" customFormat="1" ht="65">
      <c r="A389" s="654" t="str">
        <f t="shared" ca="1" si="165"/>
        <v>D.1.389</v>
      </c>
      <c r="B389" s="654" t="str">
        <f t="shared" ca="1" si="166"/>
        <v>1.389</v>
      </c>
      <c r="C389" s="654" t="str">
        <f t="shared" si="173"/>
        <v>[389]</v>
      </c>
      <c r="D389" s="654">
        <f>ROW()</f>
        <v>389</v>
      </c>
      <c r="E389" s="1125" t="str">
        <f>CU389</f>
        <v>Studie von Airbus zur nachhaltigen Biokerosin-Produktion auf Basis von Biogas: "…wird aufgrund der Auswirkungen der Verordnung über das Inverkehrbringen und Befördern von Wirtschaftsdünger und der Niedersächsischen Verordnung über Meldepflichten in Bezug auf Wirtschaftsdünger annähernd eine Verdoppelung des heutigen Werts von 30% erwartet. Während heute 14% des Bioabfallaufkommens ernergetisch genutzt wird, ist nach Ende der Nutzungsdauer bestehender Kompostierungsanlagen eine Erhöhung auf 20 bzw. 30% anzunehmen."</v>
      </c>
      <c r="F389" s="1125"/>
      <c r="G389" s="1125"/>
      <c r="H389" s="1125"/>
      <c r="I389" s="1125"/>
      <c r="J389" s="1125"/>
      <c r="K389" s="1125"/>
      <c r="L389" s="1125"/>
      <c r="M389" s="1125"/>
      <c r="N389" s="1132"/>
      <c r="O389" s="869">
        <v>389</v>
      </c>
      <c r="P389" s="691" t="str">
        <f ca="1">HYPERLINK(EK389,EJ389)</f>
        <v>9.37</v>
      </c>
      <c r="Q389" s="692" t="str">
        <f>Y389</f>
        <v>S. 38</v>
      </c>
      <c r="R389" s="852"/>
      <c r="S389" s="784"/>
      <c r="T389" s="864"/>
      <c r="U389" s="1033" t="str">
        <f>"Studie von Airbus zur nachhaltigen Biokerosin-Produktion auf Basis von Biogas: "&amp;"""…wird aufgrund der Auswirkungen der Verordnung über das Inverkehrbringen und Befördern von Wirtschaftsdünger und der Niedersächsischen Verordnung über Meldepflichten in Bezug auf Wirtschaftsdünger "&amp;"annähernd eine Verdoppelung des heutigen Werts von 30% erwartet. Während heute 14% des Bioabfallaufkommens ernergetisch genutzt wird, "&amp;"ist nach Ende der Nutzungsdauer bestehender Kompostierungsanlagen eine Erhöhung auf 20 bzw. 30% anzunehmen."""</f>
        <v>Studie von Airbus zur nachhaltigen Biokerosin-Produktion auf Basis von Biogas: "…wird aufgrund der Auswirkungen der Verordnung über das Inverkehrbringen und Befördern von Wirtschaftsdünger und der Niedersächsischen Verordnung über Meldepflichten in Bezug auf Wirtschaftsdünger annähernd eine Verdoppelung des heutigen Werts von 30% erwartet. Während heute 14% des Bioabfallaufkommens ernergetisch genutzt wird, ist nach Ende der Nutzungsdauer bestehender Kompostierungsanlagen eine Erhöhung auf 20 bzw. 30% anzunehmen."</v>
      </c>
      <c r="V389" s="905" t="s">
        <v>126</v>
      </c>
      <c r="W389" s="1024"/>
      <c r="X389" s="672">
        <f>'9.Quellen'!C37</f>
        <v>37</v>
      </c>
      <c r="Y389" s="672" t="s">
        <v>359</v>
      </c>
      <c r="Z389" s="1025"/>
      <c r="AA389" s="905"/>
      <c r="AB389" s="801"/>
      <c r="AC389" s="801"/>
      <c r="AD389" s="801"/>
      <c r="AE389" s="801"/>
      <c r="AF389" s="801"/>
      <c r="AG389" s="801"/>
      <c r="AH389" s="801"/>
      <c r="AI389" s="801"/>
      <c r="AJ389" s="801"/>
      <c r="AK389" s="801"/>
      <c r="AL389" s="801"/>
      <c r="AM389" s="801"/>
      <c r="AN389" s="801"/>
      <c r="AO389" s="801"/>
      <c r="AP389" s="801"/>
      <c r="AQ389" s="801"/>
      <c r="AR389" s="801"/>
      <c r="AS389" s="801"/>
      <c r="AT389" s="801"/>
      <c r="AU389" s="801"/>
      <c r="AV389" s="801"/>
      <c r="BF389" s="657"/>
      <c r="BI389" s="656" t="s">
        <v>126</v>
      </c>
      <c r="BJ389" s="666"/>
      <c r="BO389" s="656" t="s">
        <v>252</v>
      </c>
      <c r="CU389" s="663" t="str">
        <f>IF(U389="",BF389,U389)</f>
        <v>Studie von Airbus zur nachhaltigen Biokerosin-Produktion auf Basis von Biogas: "…wird aufgrund der Auswirkungen der Verordnung über das Inverkehrbringen und Befördern von Wirtschaftsdünger und der Niedersächsischen Verordnung über Meldepflichten in Bezug auf Wirtschaftsdünger annähernd eine Verdoppelung des heutigen Werts von 30% erwartet. Während heute 14% des Bioabfallaufkommens ernergetisch genutzt wird, ist nach Ende der Nutzungsdauer bestehender Kompostierungsanlagen eine Erhöhung auf 20 bzw. 30% anzunehmen."</v>
      </c>
      <c r="CW389" s="663"/>
      <c r="DT389" s="671"/>
      <c r="EJ389" s="656" t="str">
        <f ca="1">IF(X389=0,"",EJ$1&amp;X389)</f>
        <v>9.37</v>
      </c>
      <c r="EK389" s="656" t="str">
        <f ca="1">EK$1&amp;X389</f>
        <v>[D_Python.xlsx]9.Quellen!C37</v>
      </c>
      <c r="EV389" s="819">
        <f t="shared" si="167"/>
        <v>389</v>
      </c>
      <c r="EW389" s="819"/>
    </row>
    <row r="390" spans="1:153" s="661" customFormat="1" ht="4">
      <c r="A390" s="677" t="str">
        <f t="shared" ca="1" si="165"/>
        <v>D.1.390</v>
      </c>
      <c r="B390" s="677" t="str">
        <f t="shared" ca="1" si="166"/>
        <v>1.390</v>
      </c>
      <c r="C390" s="677" t="str">
        <f t="shared" si="173"/>
        <v>[390]</v>
      </c>
      <c r="D390" s="677">
        <f>ROW()</f>
        <v>390</v>
      </c>
      <c r="E390" s="685"/>
      <c r="F390" s="685"/>
      <c r="G390" s="685"/>
      <c r="H390" s="685"/>
      <c r="I390" s="686"/>
      <c r="J390" s="686"/>
      <c r="K390" s="686"/>
      <c r="L390" s="686"/>
      <c r="M390" s="686"/>
      <c r="N390" s="685"/>
      <c r="O390" s="871">
        <v>390</v>
      </c>
      <c r="P390" s="693"/>
      <c r="Q390" s="694"/>
      <c r="R390" s="888"/>
      <c r="S390" s="802"/>
      <c r="T390" s="882"/>
      <c r="AB390" s="675"/>
      <c r="AC390" s="675"/>
      <c r="AD390" s="675"/>
      <c r="AE390" s="675"/>
      <c r="AF390" s="675"/>
      <c r="AG390" s="675"/>
      <c r="AH390" s="675"/>
      <c r="AI390" s="675"/>
      <c r="AJ390" s="675"/>
      <c r="AK390" s="675"/>
      <c r="AL390" s="675"/>
      <c r="AM390" s="675"/>
      <c r="AN390" s="675"/>
      <c r="AO390" s="675"/>
      <c r="AP390" s="675"/>
      <c r="AQ390" s="675"/>
      <c r="AR390" s="675"/>
      <c r="AS390" s="675"/>
      <c r="AT390" s="675"/>
      <c r="AU390" s="675"/>
      <c r="AV390" s="675"/>
      <c r="AW390" s="675"/>
      <c r="AX390" s="675"/>
      <c r="AY390" s="675"/>
      <c r="AZ390" s="675"/>
      <c r="BA390" s="675"/>
      <c r="BB390" s="675"/>
      <c r="BC390" s="675"/>
      <c r="BD390" s="675"/>
      <c r="BE390" s="675"/>
      <c r="BF390" s="675"/>
      <c r="BG390" s="675"/>
      <c r="BH390" s="675"/>
      <c r="BI390" s="661" t="s">
        <v>126</v>
      </c>
      <c r="BJ390" s="665"/>
      <c r="CU390" s="662"/>
      <c r="EV390" s="818" t="str">
        <f t="shared" si="167"/>
        <v/>
      </c>
      <c r="EW390" s="818"/>
    </row>
    <row r="391" spans="1:153" s="658" customFormat="1" ht="13.5" customHeight="1">
      <c r="A391" s="654" t="str">
        <f t="shared" ca="1" si="165"/>
        <v>D.1.391</v>
      </c>
      <c r="B391" s="654" t="str">
        <f t="shared" ca="1" si="166"/>
        <v>1.391</v>
      </c>
      <c r="C391" s="654" t="str">
        <f t="shared" si="173"/>
        <v>[391]</v>
      </c>
      <c r="D391" s="654">
        <f>ROW()</f>
        <v>391</v>
      </c>
      <c r="E391" s="1129" t="str">
        <f>BP391</f>
        <v>Gase aus Deponien und Kläranlagen</v>
      </c>
      <c r="F391" s="1129"/>
      <c r="G391" s="1129"/>
      <c r="H391" s="1129"/>
      <c r="I391" s="1129"/>
      <c r="J391" s="655" t="s">
        <v>361</v>
      </c>
      <c r="K391" s="684">
        <f ca="1">INDIRECT($W$1&amp;U391)</f>
        <v>4752.6315789473692</v>
      </c>
      <c r="L391" s="485" t="str">
        <f ca="1">HYPERLINK($CK$1&amp;U391,$CE$1&amp;U391&amp;$CF$1)</f>
        <v>[392]</v>
      </c>
      <c r="M391" s="547">
        <f ca="1">INDIRECT($W$1&amp;W391)</f>
        <v>4752.6315789473692</v>
      </c>
      <c r="N391" s="681" t="str">
        <f ca="1">HYPERLINK($CK$1&amp;W391,$CE$1&amp;W391&amp;$CF$1)</f>
        <v>[395]</v>
      </c>
      <c r="O391" s="874">
        <v>391</v>
      </c>
      <c r="P391" s="690"/>
      <c r="Q391" s="695"/>
      <c r="R391" s="852"/>
      <c r="S391" s="784"/>
      <c r="T391" s="864"/>
      <c r="U391" s="672">
        <f>D392</f>
        <v>392</v>
      </c>
      <c r="V391" s="905" t="s">
        <v>126</v>
      </c>
      <c r="W391" s="672">
        <f>D395</f>
        <v>395</v>
      </c>
      <c r="AB391" s="801"/>
      <c r="AC391" s="801"/>
      <c r="AD391" s="674"/>
      <c r="AE391" s="674"/>
      <c r="AF391" s="674"/>
      <c r="AG391" s="674"/>
      <c r="AH391" s="674"/>
      <c r="AI391" s="674"/>
      <c r="AJ391" s="674"/>
      <c r="AK391" s="674"/>
      <c r="AL391" s="674"/>
      <c r="AM391" s="674"/>
      <c r="AN391" s="674"/>
      <c r="AO391" s="674"/>
      <c r="AP391" s="674"/>
      <c r="AQ391" s="674"/>
      <c r="AR391" s="674"/>
      <c r="AS391" s="674"/>
      <c r="AT391" s="674"/>
      <c r="AU391" s="674"/>
      <c r="AV391" s="674"/>
      <c r="AW391" s="674"/>
      <c r="AX391" s="674"/>
      <c r="AY391" s="674"/>
      <c r="AZ391" s="674"/>
      <c r="BA391" s="674"/>
      <c r="BB391" s="674"/>
      <c r="BC391" s="674"/>
      <c r="BD391" s="674"/>
      <c r="BE391" s="674"/>
      <c r="BF391" s="674"/>
      <c r="BG391" s="674"/>
      <c r="BH391" s="674"/>
      <c r="BI391" s="658" t="s">
        <v>126</v>
      </c>
      <c r="BJ391" s="667" t="str">
        <f>E391</f>
        <v>Gase aus Deponien und Kläranlagen</v>
      </c>
      <c r="BK391" s="664">
        <f ca="1">K391</f>
        <v>4752.6315789473692</v>
      </c>
      <c r="BL391" s="664">
        <f ca="1">M391</f>
        <v>4752.6315789473692</v>
      </c>
      <c r="BM391" s="656">
        <f>D391</f>
        <v>391</v>
      </c>
      <c r="BO391" s="658" t="s">
        <v>251</v>
      </c>
      <c r="BP391" s="676" t="s">
        <v>535</v>
      </c>
      <c r="CU391" s="659"/>
      <c r="DS391" s="656"/>
      <c r="DV391" s="656"/>
      <c r="DW391" s="656"/>
      <c r="DX391" s="656"/>
      <c r="DY391" s="656"/>
      <c r="DZ391" s="656"/>
      <c r="EA391" s="656"/>
      <c r="EB391" s="656"/>
      <c r="EC391" s="656"/>
      <c r="ED391" s="656"/>
      <c r="EE391" s="656"/>
      <c r="EF391" s="656"/>
      <c r="EG391" s="656"/>
      <c r="EH391" s="656"/>
      <c r="EI391" s="656"/>
      <c r="EJ391" s="656"/>
      <c r="EK391" s="656"/>
      <c r="EV391" s="819">
        <f t="shared" si="167"/>
        <v>391</v>
      </c>
      <c r="EW391" s="819"/>
    </row>
    <row r="392" spans="1:153" s="656" customFormat="1" ht="39">
      <c r="A392" s="654" t="str">
        <f t="shared" ca="1" si="165"/>
        <v>D.1.392</v>
      </c>
      <c r="B392" s="654" t="str">
        <f t="shared" ca="1" si="166"/>
        <v>1.392</v>
      </c>
      <c r="C392" s="654" t="str">
        <f t="shared" si="173"/>
        <v>[392]</v>
      </c>
      <c r="D392" s="654">
        <f>ROW()</f>
        <v>392</v>
      </c>
      <c r="E392" s="1130" t="str">
        <f ca="1">CU392</f>
        <v>- STATUS-Ansatz: Einen Heizwert von 4753 GWh  besaß die im Jahr 2016 praktisch vollständig verstromte Gasmenge aus Deponien und Kläranlagen, resultierend aus der Stromerzeugung [393] und einem durchschnittlichen Verstromungs-Wirkungsgrad von 38%  gemäß [9.102] S. 37.</v>
      </c>
      <c r="F392" s="1130"/>
      <c r="G392" s="1130"/>
      <c r="H392" s="1130"/>
      <c r="I392" s="1130"/>
      <c r="J392" s="1130"/>
      <c r="K392" s="1130"/>
      <c r="L392" s="1130"/>
      <c r="M392" s="1130"/>
      <c r="N392" s="1131"/>
      <c r="O392" s="869">
        <v>392</v>
      </c>
      <c r="P392" s="691" t="str">
        <f ca="1">HYPERLINK(EK392,EJ392)</f>
        <v>9.102</v>
      </c>
      <c r="Q392" s="692" t="str">
        <f>Y392</f>
        <v>S. 37</v>
      </c>
      <c r="R392" s="852"/>
      <c r="S392" s="784"/>
      <c r="T392" s="864"/>
      <c r="U392" s="1023" t="str">
        <f ca="1">"Einen Heizwert von "&amp;TEXT(W392,"0")&amp;AE392&amp;" besaß die im Jahr 2016 praktisch vollständig verstromte Gasmenge aus Deponien und Kläranlagen, resultierend aus der Stromerzeugung "&amp;C393&amp;" und einem durchschnittlichen Verstromungs-Wirkungsgrad von "&amp;AF392&amp;AG392&amp;" gemäß ["&amp;P392&amp;"] "&amp;Q392&amp;"."</f>
        <v>Einen Heizwert von 4753 GWh  besaß die im Jahr 2016 praktisch vollständig verstromte Gasmenge aus Deponien und Kläranlagen, resultierend aus der Stromerzeugung [393] und einem durchschnittlichen Verstromungs-Wirkungsgrad von 38%  gemäß [9.102] S. 37.</v>
      </c>
      <c r="V392" s="905" t="s">
        <v>126</v>
      </c>
      <c r="W392" s="1024">
        <f>AD392</f>
        <v>4752.6315789473692</v>
      </c>
      <c r="X392" s="672">
        <f>'9.Quellen'!C102</f>
        <v>102</v>
      </c>
      <c r="Y392" s="672" t="s">
        <v>529</v>
      </c>
      <c r="Z392" s="1025"/>
      <c r="AA392" s="658"/>
      <c r="AB392" s="801"/>
      <c r="AC392" s="801"/>
      <c r="AD392" s="801">
        <f>AH392/AF392%</f>
        <v>4752.6315789473692</v>
      </c>
      <c r="AE392" s="801" t="s">
        <v>384</v>
      </c>
      <c r="AF392" s="801">
        <v>38</v>
      </c>
      <c r="AG392" s="801" t="s">
        <v>835</v>
      </c>
      <c r="AH392" s="801">
        <f>AH393</f>
        <v>1806.0000000000002</v>
      </c>
      <c r="AI392" s="801" t="str">
        <f>AP393</f>
        <v xml:space="preserve"> GWh </v>
      </c>
      <c r="AJ392" s="801"/>
      <c r="AK392" s="801"/>
      <c r="AL392" s="801"/>
      <c r="AM392" s="801"/>
      <c r="AN392" s="801"/>
      <c r="AO392" s="801"/>
      <c r="AP392" s="801"/>
      <c r="AQ392" s="801"/>
      <c r="AR392" s="801"/>
      <c r="AS392" s="801"/>
      <c r="AT392" s="801"/>
      <c r="AU392" s="801"/>
      <c r="AV392" s="801"/>
      <c r="BF392" s="657"/>
      <c r="BI392" s="656" t="s">
        <v>126</v>
      </c>
      <c r="BJ392" s="666"/>
      <c r="BO392" s="656" t="s">
        <v>259</v>
      </c>
      <c r="CU392" s="663" t="str">
        <f ca="1">CG$1&amp;IF(U392="",BF392,U392)</f>
        <v>- STATUS-Ansatz: Einen Heizwert von 4753 GWh  besaß die im Jahr 2016 praktisch vollständig verstromte Gasmenge aus Deponien und Kläranlagen, resultierend aus der Stromerzeugung [393] und einem durchschnittlichen Verstromungs-Wirkungsgrad von 38%  gemäß [9.102] S. 37.</v>
      </c>
      <c r="CW392" s="663"/>
      <c r="DT392" s="671">
        <f>I_Basisdaten!A165</f>
        <v>165</v>
      </c>
      <c r="EJ392" s="656" t="str">
        <f ca="1">IF(X392=0,"",EJ$1&amp;X392)</f>
        <v>9.102</v>
      </c>
      <c r="EK392" s="656" t="str">
        <f ca="1">EK$1&amp;X392</f>
        <v>[D_Python.xlsx]9.Quellen!C102</v>
      </c>
      <c r="EV392" s="819">
        <f t="shared" ca="1" si="167"/>
        <v>392</v>
      </c>
      <c r="EW392" s="819"/>
    </row>
    <row r="393" spans="1:153" s="656" customFormat="1" ht="26">
      <c r="A393" s="654" t="str">
        <f t="shared" ca="1" si="165"/>
        <v>D.1.393</v>
      </c>
      <c r="B393" s="654" t="str">
        <f t="shared" ca="1" si="166"/>
        <v>1.393</v>
      </c>
      <c r="C393" s="654" t="str">
        <f t="shared" si="173"/>
        <v>[393]</v>
      </c>
      <c r="D393" s="654">
        <f>ROW()</f>
        <v>393</v>
      </c>
      <c r="E393" s="1130" t="str">
        <f ca="1">CU393</f>
        <v xml:space="preserve">1806 GWh Stromerzeugung aus Deponie- und Klärgasen im Jahr 2016 resultieren aus 3,5 %  Anteil an der gesamten Stromerzeugung aus Biomasse von 51,6 TWh gemäß  [9.102], S. 5. </v>
      </c>
      <c r="F393" s="1130"/>
      <c r="G393" s="1130"/>
      <c r="H393" s="1130"/>
      <c r="I393" s="1130"/>
      <c r="J393" s="1130"/>
      <c r="K393" s="1130"/>
      <c r="L393" s="1130"/>
      <c r="M393" s="1130"/>
      <c r="N393" s="1131"/>
      <c r="O393" s="869">
        <v>393</v>
      </c>
      <c r="P393" s="863" t="str">
        <f ca="1">HYPERLINK(EK393,EJ393)</f>
        <v>9.102</v>
      </c>
      <c r="Q393" s="692" t="str">
        <f>Y393</f>
        <v>S. 5</v>
      </c>
      <c r="R393" s="852"/>
      <c r="S393" s="784"/>
      <c r="T393" s="864"/>
      <c r="U393" s="1023" t="str">
        <f ca="1">TEXT(AH393,"0")&amp;AI393&amp;"Stromerzeugung aus Deponie- und Klärgasen im Jahr 2016 resultieren aus "&amp;AF393&amp;AG393&amp;" Anteil an der gesamten Stromerzeugung aus Biomasse von "&amp;AD393&amp;AE393&amp;" gemäß "&amp;'9.Quellen'!E91&amp;" ["&amp;P393&amp;"], "&amp;Q393&amp;". "</f>
        <v xml:space="preserve">1806 GWh Stromerzeugung aus Deponie- und Klärgasen im Jahr 2016 resultieren aus 3,5 %  Anteil an der gesamten Stromerzeugung aus Biomasse von 51,6 TWh gemäß  [9.102], S. 5. </v>
      </c>
      <c r="V393" s="905" t="s">
        <v>126</v>
      </c>
      <c r="W393" s="1024">
        <f>AH393</f>
        <v>1806.0000000000002</v>
      </c>
      <c r="X393" s="672">
        <f>'9.Quellen'!C102</f>
        <v>102</v>
      </c>
      <c r="Y393" s="672" t="s">
        <v>1019</v>
      </c>
      <c r="Z393" s="1025"/>
      <c r="AA393" s="905"/>
      <c r="AB393" s="801"/>
      <c r="AC393" s="801"/>
      <c r="AD393" s="801">
        <f>51.6</f>
        <v>51.6</v>
      </c>
      <c r="AE393" s="801" t="s">
        <v>789</v>
      </c>
      <c r="AF393" s="801">
        <v>3.5</v>
      </c>
      <c r="AG393" s="801" t="s">
        <v>531</v>
      </c>
      <c r="AH393" s="801">
        <f>AD393*AF393%*1000</f>
        <v>1806.0000000000002</v>
      </c>
      <c r="AI393" s="801" t="s">
        <v>384</v>
      </c>
      <c r="AJ393" s="801"/>
      <c r="AK393" s="801"/>
      <c r="AL393" s="801"/>
      <c r="AM393" s="801">
        <v>65781798</v>
      </c>
      <c r="AN393" s="801" t="s">
        <v>536</v>
      </c>
      <c r="AO393" s="801">
        <f>AM393/1000000</f>
        <v>65.781797999999995</v>
      </c>
      <c r="AP393" s="801" t="s">
        <v>384</v>
      </c>
      <c r="AQ393" s="801"/>
      <c r="AR393" s="801"/>
      <c r="AS393" s="801"/>
      <c r="AT393" s="801"/>
      <c r="AU393" s="801"/>
      <c r="AV393" s="801"/>
      <c r="BF393" s="657"/>
      <c r="BI393" s="656" t="s">
        <v>126</v>
      </c>
      <c r="BJ393" s="666"/>
      <c r="BO393" s="656" t="s">
        <v>252</v>
      </c>
      <c r="CU393" s="663" t="str">
        <f ca="1">IF(U393="",BF393,U393)</f>
        <v xml:space="preserve">1806 GWh Stromerzeugung aus Deponie- und Klärgasen im Jahr 2016 resultieren aus 3,5 %  Anteil an der gesamten Stromerzeugung aus Biomasse von 51,6 TWh gemäß  [9.102], S. 5. </v>
      </c>
      <c r="CW393" s="663"/>
      <c r="DT393" s="671"/>
      <c r="EJ393" s="656" t="str">
        <f ca="1">IF(X393=0,"",EJ$1&amp;X393)</f>
        <v>9.102</v>
      </c>
      <c r="EK393" s="656" t="str">
        <f ca="1">EK$1&amp;X393</f>
        <v>[D_Python.xlsx]9.Quellen!C102</v>
      </c>
      <c r="EV393" s="819">
        <f t="shared" ca="1" si="167"/>
        <v>393</v>
      </c>
      <c r="EW393" s="819"/>
    </row>
    <row r="394" spans="1:153" s="661" customFormat="1" ht="4">
      <c r="A394" s="677" t="str">
        <f t="shared" ca="1" si="165"/>
        <v>D.1.394</v>
      </c>
      <c r="B394" s="677" t="str">
        <f t="shared" ca="1" si="166"/>
        <v>1.394</v>
      </c>
      <c r="C394" s="677" t="str">
        <f t="shared" si="173"/>
        <v>[394]</v>
      </c>
      <c r="D394" s="677">
        <f>ROW()</f>
        <v>394</v>
      </c>
      <c r="E394" s="680"/>
      <c r="F394" s="680"/>
      <c r="G394" s="680"/>
      <c r="H394" s="680"/>
      <c r="I394" s="679"/>
      <c r="J394" s="679"/>
      <c r="K394" s="679"/>
      <c r="L394" s="679"/>
      <c r="M394" s="679"/>
      <c r="N394" s="680"/>
      <c r="O394" s="871">
        <v>394</v>
      </c>
      <c r="P394" s="688"/>
      <c r="Q394" s="689"/>
      <c r="R394" s="888"/>
      <c r="S394" s="802"/>
      <c r="T394" s="882"/>
      <c r="AB394" s="675"/>
      <c r="AC394" s="675"/>
      <c r="AD394" s="675"/>
      <c r="AE394" s="675"/>
      <c r="AF394" s="675"/>
      <c r="AG394" s="675"/>
      <c r="AH394" s="675"/>
      <c r="AI394" s="675"/>
      <c r="AJ394" s="675"/>
      <c r="AK394" s="675"/>
      <c r="AL394" s="675"/>
      <c r="AM394" s="675"/>
      <c r="AN394" s="675"/>
      <c r="AO394" s="675"/>
      <c r="AP394" s="675"/>
      <c r="AQ394" s="675"/>
      <c r="AR394" s="675"/>
      <c r="AS394" s="675"/>
      <c r="AT394" s="675"/>
      <c r="AU394" s="675"/>
      <c r="AV394" s="675"/>
      <c r="BI394" s="661" t="s">
        <v>126</v>
      </c>
      <c r="BJ394" s="665"/>
      <c r="CU394" s="662"/>
      <c r="CW394" s="662"/>
      <c r="EV394" s="818" t="str">
        <f t="shared" si="167"/>
        <v/>
      </c>
      <c r="EW394" s="818"/>
    </row>
    <row r="395" spans="1:153" s="656" customFormat="1" ht="26">
      <c r="A395" s="654" t="str">
        <f t="shared" ca="1" si="165"/>
        <v>D.1.395</v>
      </c>
      <c r="B395" s="654" t="str">
        <f t="shared" ca="1" si="166"/>
        <v>1.395</v>
      </c>
      <c r="C395" s="654" t="str">
        <f t="shared" si="173"/>
        <v>[395]</v>
      </c>
      <c r="D395" s="654">
        <f>ROW()</f>
        <v>395</v>
      </c>
      <c r="E395" s="1125" t="str">
        <f t="shared" ref="E395" si="184">CU395</f>
        <v>- ZIEL-Ansatz: Es erscheint als unwahrscheinlich, das der heute vernachlässigbare Anteil an der Energieversorgung um Größenordnungen gesteigert werden kann. Daher wurde hier vereinfachend der Statuswert fortgeschrieben.</v>
      </c>
      <c r="F395" s="1125"/>
      <c r="G395" s="1125"/>
      <c r="H395" s="1125"/>
      <c r="I395" s="1125"/>
      <c r="J395" s="1125"/>
      <c r="K395" s="1125"/>
      <c r="L395" s="1125"/>
      <c r="M395" s="1125"/>
      <c r="N395" s="1132"/>
      <c r="O395" s="869">
        <v>395</v>
      </c>
      <c r="P395" s="691" t="str">
        <f ca="1">HYPERLINK(EK395,EJ395)</f>
        <v/>
      </c>
      <c r="Q395" s="692" t="str">
        <f>Y395</f>
        <v xml:space="preserve"> </v>
      </c>
      <c r="R395" s="852"/>
      <c r="S395" s="784"/>
      <c r="T395" s="864"/>
      <c r="U395" s="1023" t="s">
        <v>812</v>
      </c>
      <c r="V395" s="905" t="s">
        <v>126</v>
      </c>
      <c r="W395" s="1024">
        <f>W392</f>
        <v>4752.6315789473692</v>
      </c>
      <c r="X395" s="672"/>
      <c r="Y395" s="672" t="s">
        <v>126</v>
      </c>
      <c r="Z395" s="1025"/>
      <c r="AA395" s="905"/>
      <c r="AB395" s="801"/>
      <c r="AC395" s="801"/>
      <c r="AD395" s="801"/>
      <c r="AE395" s="801"/>
      <c r="AF395" s="801"/>
      <c r="AG395" s="801"/>
      <c r="AH395" s="801"/>
      <c r="AI395" s="801"/>
      <c r="AJ395" s="801"/>
      <c r="AK395" s="801"/>
      <c r="AL395" s="801"/>
      <c r="AM395" s="801"/>
      <c r="AN395" s="801"/>
      <c r="AO395" s="801"/>
      <c r="AP395" s="801"/>
      <c r="AQ395" s="801"/>
      <c r="AR395" s="801"/>
      <c r="AS395" s="801"/>
      <c r="AT395" s="801"/>
      <c r="AU395" s="801"/>
      <c r="AV395" s="801"/>
      <c r="BF395" s="657"/>
      <c r="BI395" s="656" t="s">
        <v>126</v>
      </c>
      <c r="BJ395" s="666"/>
      <c r="BO395" s="656" t="s">
        <v>259</v>
      </c>
      <c r="CU395" s="663" t="str">
        <f>CH$1&amp;IF(U395="",BF395,U395)</f>
        <v>- ZIEL-Ansatz: Es erscheint als unwahrscheinlich, das der heute vernachlässigbare Anteil an der Energieversorgung um Größenordnungen gesteigert werden kann. Daher wurde hier vereinfachend der Statuswert fortgeschrieben.</v>
      </c>
      <c r="CW395" s="663"/>
      <c r="DT395" s="671">
        <v>53</v>
      </c>
      <c r="EJ395" s="656" t="str">
        <f>IF(X395=0,"",EJ$1&amp;X395)</f>
        <v/>
      </c>
      <c r="EK395" s="656" t="str">
        <f ca="1">EK$1&amp;X395</f>
        <v>[D_Python.xlsx]9.Quellen!C</v>
      </c>
      <c r="EV395" s="819">
        <f t="shared" si="167"/>
        <v>395</v>
      </c>
      <c r="EW395" s="819"/>
    </row>
    <row r="396" spans="1:153" s="661" customFormat="1" ht="4">
      <c r="A396" s="677" t="str">
        <f t="shared" ca="1" si="165"/>
        <v>D.1.396</v>
      </c>
      <c r="B396" s="677" t="str">
        <f t="shared" ca="1" si="166"/>
        <v>1.396</v>
      </c>
      <c r="C396" s="677" t="str">
        <f t="shared" si="173"/>
        <v>[396]</v>
      </c>
      <c r="D396" s="677">
        <f>ROW()</f>
        <v>396</v>
      </c>
      <c r="E396" s="685"/>
      <c r="F396" s="685"/>
      <c r="G396" s="685"/>
      <c r="H396" s="685"/>
      <c r="I396" s="686"/>
      <c r="J396" s="686"/>
      <c r="K396" s="686"/>
      <c r="L396" s="686"/>
      <c r="M396" s="686"/>
      <c r="N396" s="685"/>
      <c r="O396" s="871">
        <v>396</v>
      </c>
      <c r="P396" s="693"/>
      <c r="Q396" s="694"/>
      <c r="R396" s="888"/>
      <c r="S396" s="802"/>
      <c r="T396" s="882"/>
      <c r="AB396" s="675"/>
      <c r="AC396" s="675"/>
      <c r="AD396" s="675"/>
      <c r="AE396" s="675"/>
      <c r="AF396" s="675"/>
      <c r="AG396" s="675"/>
      <c r="AH396" s="675"/>
      <c r="AI396" s="675"/>
      <c r="AJ396" s="675"/>
      <c r="AK396" s="675"/>
      <c r="AL396" s="675"/>
      <c r="AM396" s="675"/>
      <c r="AN396" s="675"/>
      <c r="AO396" s="675"/>
      <c r="AP396" s="675"/>
      <c r="AQ396" s="675"/>
      <c r="AR396" s="675"/>
      <c r="AS396" s="675"/>
      <c r="AT396" s="675"/>
      <c r="AU396" s="675"/>
      <c r="AV396" s="675"/>
      <c r="AZ396" s="669"/>
      <c r="BB396" s="669"/>
      <c r="BI396" s="661" t="s">
        <v>126</v>
      </c>
      <c r="BJ396" s="665"/>
      <c r="CU396" s="662"/>
      <c r="CW396" s="662"/>
      <c r="EV396" s="818" t="str">
        <f t="shared" si="167"/>
        <v/>
      </c>
      <c r="EW396" s="818"/>
    </row>
    <row r="397" spans="1:153" s="658" customFormat="1" ht="13.5" customHeight="1">
      <c r="A397" s="654" t="str">
        <f t="shared" ca="1" si="165"/>
        <v>D.1.397</v>
      </c>
      <c r="B397" s="654" t="str">
        <f t="shared" ca="1" si="166"/>
        <v>1.397</v>
      </c>
      <c r="C397" s="654" t="str">
        <f t="shared" si="173"/>
        <v>[397]</v>
      </c>
      <c r="D397" s="654">
        <f>ROW()</f>
        <v>397</v>
      </c>
      <c r="E397" s="1129" t="str">
        <f>BP397</f>
        <v>Biogas-Anteil für Prozesswärme</v>
      </c>
      <c r="F397" s="1129"/>
      <c r="G397" s="1129"/>
      <c r="H397" s="1129"/>
      <c r="I397" s="1129"/>
      <c r="J397" s="655" t="s">
        <v>38</v>
      </c>
      <c r="K397" s="557">
        <f ca="1">INDIRECT($W$1&amp;U397)</f>
        <v>0</v>
      </c>
      <c r="L397" s="485" t="str">
        <f ca="1">HYPERLINK($CK$1&amp;U397,$CE$1&amp;U397&amp;$CF$1)</f>
        <v>[398]</v>
      </c>
      <c r="M397" s="558">
        <f ca="1">INDIRECT($W$1&amp;W397)</f>
        <v>24.454737735064811</v>
      </c>
      <c r="N397" s="681" t="str">
        <f ca="1">HYPERLINK($CK$1&amp;W397,$CE$1&amp;W397&amp;$CF$1)</f>
        <v>[400]</v>
      </c>
      <c r="O397" s="869">
        <v>397</v>
      </c>
      <c r="P397" s="690"/>
      <c r="Q397" s="695"/>
      <c r="R397" s="852"/>
      <c r="S397" s="784"/>
      <c r="T397" s="864"/>
      <c r="U397" s="672">
        <f>D398</f>
        <v>398</v>
      </c>
      <c r="V397" s="905" t="s">
        <v>126</v>
      </c>
      <c r="W397" s="672">
        <f>D400</f>
        <v>400</v>
      </c>
      <c r="AB397" s="801"/>
      <c r="AC397" s="801"/>
      <c r="AD397" s="674"/>
      <c r="AE397" s="674"/>
      <c r="AF397" s="674"/>
      <c r="AG397" s="674"/>
      <c r="AH397" s="674"/>
      <c r="AI397" s="674"/>
      <c r="AJ397" s="674"/>
      <c r="AK397" s="674"/>
      <c r="AL397" s="674"/>
      <c r="AM397" s="674"/>
      <c r="AN397" s="674"/>
      <c r="AO397" s="674"/>
      <c r="AP397" s="674"/>
      <c r="AQ397" s="674"/>
      <c r="AR397" s="674"/>
      <c r="AS397" s="674"/>
      <c r="AT397" s="674"/>
      <c r="AU397" s="674"/>
      <c r="AV397" s="674"/>
      <c r="AX397" s="658" t="s">
        <v>244</v>
      </c>
      <c r="AY397" s="668">
        <f ca="1">DA397</f>
        <v>0</v>
      </c>
      <c r="AZ397" s="670" t="str">
        <f ca="1">HYPERLINK(DN397,DC397)</f>
        <v xml:space="preserve"> 299</v>
      </c>
      <c r="BA397" s="668">
        <f ca="1">DB397</f>
        <v>0</v>
      </c>
      <c r="BB397" s="670" t="str">
        <f ca="1">HYPERLINK(DO397,DD397)</f>
        <v xml:space="preserve"> 300</v>
      </c>
      <c r="BC397" s="658" t="str">
        <f ca="1">CY397&amp;" | "&amp;CZ397</f>
        <v>Biogas direkt
 für Prozesse | 1.1.1 Nutz-Anteil Biogas direkt  = Anteil an der Energiepflanzen-Anbaufläche</v>
      </c>
      <c r="BI397" s="658" t="s">
        <v>126</v>
      </c>
      <c r="BJ397" s="667" t="str">
        <f>E397</f>
        <v>Biogas-Anteil für Prozesswärme</v>
      </c>
      <c r="BK397" s="664">
        <f ca="1">K397</f>
        <v>0</v>
      </c>
      <c r="BL397" s="664">
        <f ca="1">M397</f>
        <v>24.454737735064811</v>
      </c>
      <c r="BM397" s="656">
        <f>D397</f>
        <v>397</v>
      </c>
      <c r="BO397" s="658" t="s">
        <v>251</v>
      </c>
      <c r="BP397" s="676" t="s">
        <v>525</v>
      </c>
      <c r="CU397" s="659"/>
      <c r="CW397" s="671">
        <v>76</v>
      </c>
      <c r="CY397" s="656" t="str">
        <f t="shared" ref="CY397:DO397" ca="1" si="185">INDIRECT($CX$1&amp;CY$1&amp;$CW397)</f>
        <v>Biogas direkt
 für Prozesse</v>
      </c>
      <c r="CZ397" s="656" t="str">
        <f t="shared" ca="1" si="185"/>
        <v>1.1.1 Nutz-Anteil Biogas direkt  = Anteil an der Energiepflanzen-Anbaufläche</v>
      </c>
      <c r="DA397" s="656">
        <f t="shared" ca="1" si="185"/>
        <v>0</v>
      </c>
      <c r="DB397" s="656">
        <f t="shared" ca="1" si="185"/>
        <v>0</v>
      </c>
      <c r="DC397" s="656" t="str">
        <f t="shared" ca="1" si="185"/>
        <v xml:space="preserve"> 299</v>
      </c>
      <c r="DD397" s="656" t="str">
        <f t="shared" ca="1" si="185"/>
        <v xml:space="preserve"> 300</v>
      </c>
      <c r="DE397" s="656" t="str">
        <f t="shared" ca="1" si="185"/>
        <v>EP80</v>
      </c>
      <c r="DF397" s="656" t="str">
        <f t="shared" ca="1" si="185"/>
        <v>EP79</v>
      </c>
      <c r="DG397" s="656" t="str">
        <f t="shared" ca="1" si="185"/>
        <v>EP</v>
      </c>
      <c r="DH397" s="656" t="str">
        <f t="shared" ca="1" si="185"/>
        <v>80</v>
      </c>
      <c r="DI397" s="656" t="str">
        <f t="shared" ca="1" si="185"/>
        <v>[EP.xls]TEXT!Z80S5</v>
      </c>
      <c r="DJ397" s="656" t="str">
        <f t="shared" ca="1" si="185"/>
        <v>EP</v>
      </c>
      <c r="DK397" s="656" t="str">
        <f t="shared" ca="1" si="185"/>
        <v>79</v>
      </c>
      <c r="DL397" s="656" t="str">
        <f t="shared" ca="1" si="185"/>
        <v>[EP.xls]TEXT!Z79S5</v>
      </c>
      <c r="DM397" s="656">
        <f t="shared" ca="1" si="185"/>
        <v>76</v>
      </c>
      <c r="DN397" s="656" t="str">
        <f t="shared" ca="1" si="185"/>
        <v>[Region.xls]PARAMETER!Z299S6</v>
      </c>
      <c r="DO397" s="656" t="str">
        <f t="shared" ca="1" si="185"/>
        <v>[Region.xls]PARAMETER!Z300S6</v>
      </c>
      <c r="DP397" s="656"/>
      <c r="DS397" s="656"/>
      <c r="DV397" s="656"/>
      <c r="DW397" s="656"/>
      <c r="DX397" s="656"/>
      <c r="DY397" s="656"/>
      <c r="DZ397" s="656"/>
      <c r="EA397" s="656"/>
      <c r="EB397" s="656"/>
      <c r="EC397" s="656"/>
      <c r="ED397" s="656"/>
      <c r="EE397" s="656"/>
      <c r="EF397" s="656"/>
      <c r="EG397" s="656"/>
      <c r="EH397" s="656"/>
      <c r="EI397" s="656"/>
      <c r="EJ397" s="656"/>
      <c r="EK397" s="656"/>
      <c r="EV397" s="819">
        <f t="shared" si="167"/>
        <v>397</v>
      </c>
      <c r="EW397" s="819"/>
    </row>
    <row r="398" spans="1:153" s="656" customFormat="1" ht="78">
      <c r="A398" s="654" t="str">
        <f t="shared" ca="1" si="165"/>
        <v>D.1.398</v>
      </c>
      <c r="B398" s="654" t="str">
        <f t="shared" ca="1" si="166"/>
        <v>1.398</v>
      </c>
      <c r="C398" s="654" t="str">
        <f t="shared" si="173"/>
        <v>[398]</v>
      </c>
      <c r="D398" s="654">
        <f>ROW()</f>
        <v>398</v>
      </c>
      <c r="E398" s="1130" t="str">
        <f ca="1">CU398</f>
        <v xml:space="preserve">- STATUS-Ansatz: Es liegt die Vermutung nahe, dass Biogas für die Erzeugung von Prozesswärme bisher keine nennenswerte Rolle spielt: Die Wärmebereitstellung aus gasförmigen Brennstoffen liegt mit 17.482 GWh (10,4 %  von 168,1 TWh  Wärmebereitstellung aus erneuerbaren Energien 2016 gemäß [9.102] S. 6), bei einem Bruchteil der eigentlich nutzbaren Abwärme, die bei der  Stromerzeugung von 32.416 GWh anfällt. Es ist anzunehmen, dass es sich bei der angegebenen Wärmebereitstellung größtenteils um Verstromungsabwärme mit Temperaturen unterhalb 100°C handelt und damit die Temperaturanforderungen von Prozesswärme nicht erfüllt. </v>
      </c>
      <c r="F398" s="1130"/>
      <c r="G398" s="1130"/>
      <c r="H398" s="1130"/>
      <c r="I398" s="1130"/>
      <c r="J398" s="1130"/>
      <c r="K398" s="1130"/>
      <c r="L398" s="1130"/>
      <c r="M398" s="1130"/>
      <c r="N398" s="1131"/>
      <c r="O398" s="869">
        <v>398</v>
      </c>
      <c r="P398" s="691" t="str">
        <f ca="1">HYPERLINK(EK398,EJ398)</f>
        <v>9.102</v>
      </c>
      <c r="Q398" s="692" t="str">
        <f>Y398</f>
        <v>S. 6</v>
      </c>
      <c r="R398" s="852"/>
      <c r="S398" s="784"/>
      <c r="T398" s="864"/>
      <c r="U398" s="1023" t="str">
        <f ca="1">"Es liegt die Vermutung nahe, dass Biogas für die Erzeugung von Prozesswärme bisher keine nennenswerte Rolle spielt: Die Wärmebereitstellung aus gasförmigen Brennstoffen liegt mit "&amp;TEXT(AH398,"0.000")&amp;AI398&amp;" ("&amp;AF398&amp;AG398&amp;" von "&amp;AD398&amp;AE398&amp;" Wärmebereitstellung aus erneuerbaren Energien 2016 gemäß ["&amp;P398&amp;"] "&amp;Q398&amp;"), bei einem Bruchteil der eigentlich nutzbaren Abwärme, die bei der  Stromerzeugung von "&amp;TEXT(AJ398,"0.000")&amp;AK398&amp;" anfällt. Es ist anzunehmen, dass es sich bei der angegebenen Wärmebereitstellung größtenteils um Verstromungsabwärme mit Temperaturen unterhalb 100°C handelt und damit die Temperaturanforderungen von Prozesswärme nicht erfüllt. "</f>
        <v xml:space="preserve">Es liegt die Vermutung nahe, dass Biogas für die Erzeugung von Prozesswärme bisher keine nennenswerte Rolle spielt: Die Wärmebereitstellung aus gasförmigen Brennstoffen liegt mit 17.482 GWh (10,4 %  von 168,1 TWh  Wärmebereitstellung aus erneuerbaren Energien 2016 gemäß [9.102] S. 6), bei einem Bruchteil der eigentlich nutzbaren Abwärme, die bei der  Stromerzeugung von 32.416 GWh anfällt. Es ist anzunehmen, dass es sich bei der angegebenen Wärmebereitstellung größtenteils um Verstromungsabwärme mit Temperaturen unterhalb 100°C handelt und damit die Temperaturanforderungen von Prozesswärme nicht erfüllt. </v>
      </c>
      <c r="V398" s="905" t="s">
        <v>126</v>
      </c>
      <c r="W398" s="1024">
        <f ca="1">AY397</f>
        <v>0</v>
      </c>
      <c r="X398" s="672">
        <f>'9.Quellen'!C102</f>
        <v>102</v>
      </c>
      <c r="Y398" s="672" t="s">
        <v>741</v>
      </c>
      <c r="Z398" s="1025"/>
      <c r="AA398" s="658"/>
      <c r="AB398" s="801"/>
      <c r="AC398" s="801"/>
      <c r="AD398" s="801">
        <v>168.1</v>
      </c>
      <c r="AE398" s="801" t="s">
        <v>624</v>
      </c>
      <c r="AF398" s="801">
        <v>10.4</v>
      </c>
      <c r="AG398" s="801" t="s">
        <v>531</v>
      </c>
      <c r="AH398" s="801">
        <f>AD398*1000*AF398%</f>
        <v>17482.400000000001</v>
      </c>
      <c r="AI398" s="801" t="s">
        <v>325</v>
      </c>
      <c r="AJ398" s="801">
        <f>AF378</f>
        <v>32415.9</v>
      </c>
      <c r="AK398" s="801" t="s">
        <v>325</v>
      </c>
      <c r="AL398" s="801"/>
      <c r="AM398" s="801"/>
      <c r="AN398" s="801"/>
      <c r="AO398" s="801"/>
      <c r="AP398" s="801"/>
      <c r="AQ398" s="801"/>
      <c r="AR398" s="801"/>
      <c r="AS398" s="801"/>
      <c r="AT398" s="801"/>
      <c r="AU398" s="801"/>
      <c r="AV398" s="801"/>
      <c r="BF398" s="657"/>
      <c r="BI398" s="656" t="s">
        <v>126</v>
      </c>
      <c r="BJ398" s="666"/>
      <c r="BO398" s="656" t="s">
        <v>259</v>
      </c>
      <c r="CU398" s="663" t="str">
        <f ca="1">CG$1&amp;IF(U398="",BF398,U398)</f>
        <v xml:space="preserve">- STATUS-Ansatz: Es liegt die Vermutung nahe, dass Biogas für die Erzeugung von Prozesswärme bisher keine nennenswerte Rolle spielt: Die Wärmebereitstellung aus gasförmigen Brennstoffen liegt mit 17.482 GWh (10,4 %  von 168,1 TWh  Wärmebereitstellung aus erneuerbaren Energien 2016 gemäß [9.102] S. 6), bei einem Bruchteil der eigentlich nutzbaren Abwärme, die bei der  Stromerzeugung von 32.416 GWh anfällt. Es ist anzunehmen, dass es sich bei der angegebenen Wärmebereitstellung größtenteils um Verstromungsabwärme mit Temperaturen unterhalb 100°C handelt und damit die Temperaturanforderungen von Prozesswärme nicht erfüllt. </v>
      </c>
      <c r="CW398" s="663"/>
      <c r="DT398" s="671">
        <f>I_Basisdaten!A167</f>
        <v>167</v>
      </c>
      <c r="EJ398" s="656" t="str">
        <f ca="1">IF(X398=0,"",EJ$1&amp;X398)</f>
        <v>9.102</v>
      </c>
      <c r="EK398" s="656" t="str">
        <f ca="1">EK$1&amp;X398</f>
        <v>[D_Python.xlsx]9.Quellen!C102</v>
      </c>
      <c r="EV398" s="819">
        <f t="shared" ca="1" si="167"/>
        <v>398</v>
      </c>
      <c r="EW398" s="819"/>
    </row>
    <row r="399" spans="1:153" s="661" customFormat="1" ht="4">
      <c r="A399" s="677" t="str">
        <f t="shared" ref="A399:A462" ca="1" si="186">BT$1&amp;D399</f>
        <v>D.1.399</v>
      </c>
      <c r="B399" s="677" t="str">
        <f t="shared" ref="B399:B462" ca="1" si="187">BW$1&amp;D399</f>
        <v>1.399</v>
      </c>
      <c r="C399" s="677" t="str">
        <f t="shared" si="173"/>
        <v>[399]</v>
      </c>
      <c r="D399" s="677">
        <f>ROW()</f>
        <v>399</v>
      </c>
      <c r="E399" s="680"/>
      <c r="F399" s="680"/>
      <c r="G399" s="680"/>
      <c r="H399" s="680"/>
      <c r="I399" s="679"/>
      <c r="J399" s="679"/>
      <c r="K399" s="679"/>
      <c r="L399" s="679"/>
      <c r="M399" s="679"/>
      <c r="N399" s="680"/>
      <c r="O399" s="871">
        <v>399</v>
      </c>
      <c r="P399" s="688"/>
      <c r="Q399" s="689"/>
      <c r="R399" s="888"/>
      <c r="S399" s="802"/>
      <c r="T399" s="882"/>
      <c r="AB399" s="675"/>
      <c r="AC399" s="675"/>
      <c r="AD399" s="675"/>
      <c r="AE399" s="675"/>
      <c r="AF399" s="675"/>
      <c r="AG399" s="675"/>
      <c r="AH399" s="675"/>
      <c r="AI399" s="675"/>
      <c r="AJ399" s="675"/>
      <c r="AK399" s="675"/>
      <c r="AL399" s="675"/>
      <c r="AM399" s="675"/>
      <c r="AN399" s="675"/>
      <c r="AO399" s="675"/>
      <c r="AP399" s="675"/>
      <c r="AQ399" s="675"/>
      <c r="AR399" s="675"/>
      <c r="AS399" s="675"/>
      <c r="AT399" s="675"/>
      <c r="AU399" s="675"/>
      <c r="AV399" s="675"/>
      <c r="BI399" s="661" t="s">
        <v>126</v>
      </c>
      <c r="BJ399" s="665"/>
      <c r="CU399" s="662"/>
      <c r="CW399" s="662"/>
      <c r="EV399" s="818" t="str">
        <f t="shared" ref="EV399:EV462" si="188">IF(U399&amp;BP399="","",D399)</f>
        <v/>
      </c>
      <c r="EW399" s="818"/>
    </row>
    <row r="400" spans="1:153" s="656" customFormat="1" ht="39">
      <c r="A400" s="654" t="str">
        <f t="shared" ca="1" si="186"/>
        <v>D.1.400</v>
      </c>
      <c r="B400" s="654" t="str">
        <f t="shared" ca="1" si="187"/>
        <v>1.400</v>
      </c>
      <c r="C400" s="654" t="str">
        <f t="shared" si="173"/>
        <v>[400]</v>
      </c>
      <c r="D400" s="654">
        <f>ROW()</f>
        <v>400</v>
      </c>
      <c r="E400" s="1125" t="str">
        <f t="shared" ref="E400" si="189">CU400</f>
        <v xml:space="preserve">- ZIEL-Ansatz: (Bei Abweichungen gilt Abgleichergebnis in _S.xlsx) Etwas über ein Drittel des Biogases wird für Prozesswärme zur Substitution fossiler Brennstoffe verwendet, der größere Teil aber für die mobilen Anwendungen, da die Substitution der fossilen Brennstoffe dort höchst anspruchsvoll ist.  </v>
      </c>
      <c r="F400" s="1125"/>
      <c r="G400" s="1125"/>
      <c r="H400" s="1125"/>
      <c r="I400" s="1125"/>
      <c r="J400" s="1125"/>
      <c r="K400" s="1125"/>
      <c r="L400" s="1125"/>
      <c r="M400" s="1125"/>
      <c r="N400" s="1132"/>
      <c r="O400" s="869">
        <v>400</v>
      </c>
      <c r="P400" s="691" t="str">
        <f ca="1">HYPERLINK(EK400,EJ400)</f>
        <v/>
      </c>
      <c r="Q400" s="692" t="str">
        <f>Y400</f>
        <v xml:space="preserve"> </v>
      </c>
      <c r="R400" s="852"/>
      <c r="S400" s="808"/>
      <c r="T400" s="864"/>
      <c r="U400" s="1023" t="str">
        <f>"(Bei Abweichungen gilt Abgleichergebnis in _S.xlsx) "&amp;"Etwas über ein Drittel des Biogases wird für Prozesswärme zur Substitution fossiler Brennstoffe verwendet, der größere Teil aber für die mobilen Anwendungen, da die Substitution der fossilen Brennstoffe dort höchst anspruchsvoll ist.  "</f>
        <v xml:space="preserve">(Bei Abweichungen gilt Abgleichergebnis in _S.xlsx) Etwas über ein Drittel des Biogases wird für Prozesswärme zur Substitution fossiler Brennstoffe verwendet, der größere Teil aber für die mobilen Anwendungen, da die Substitution der fossilen Brennstoffe dort höchst anspruchsvoll ist.  </v>
      </c>
      <c r="V400" s="905" t="s">
        <v>126</v>
      </c>
      <c r="W400" s="1034">
        <v>24.454737735064811</v>
      </c>
      <c r="X400" s="672"/>
      <c r="Y400" s="672" t="s">
        <v>126</v>
      </c>
      <c r="Z400" s="1025"/>
      <c r="AA400" s="905"/>
      <c r="AB400" s="801"/>
      <c r="AC400" s="801"/>
      <c r="AD400" s="801"/>
      <c r="AE400" s="801"/>
      <c r="AF400" s="801"/>
      <c r="AG400" s="801"/>
      <c r="AH400" s="801"/>
      <c r="AI400" s="801"/>
      <c r="AJ400" s="801"/>
      <c r="AK400" s="801"/>
      <c r="AL400" s="801"/>
      <c r="AM400" s="801"/>
      <c r="AN400" s="801"/>
      <c r="AO400" s="801"/>
      <c r="AP400" s="801"/>
      <c r="AQ400" s="801"/>
      <c r="AR400" s="801"/>
      <c r="AS400" s="801"/>
      <c r="AT400" s="801"/>
      <c r="AU400" s="801"/>
      <c r="AV400" s="801"/>
      <c r="BF400" s="657"/>
      <c r="BI400" s="656" t="s">
        <v>126</v>
      </c>
      <c r="BJ400" s="666"/>
      <c r="BO400" s="656" t="s">
        <v>259</v>
      </c>
      <c r="CU400" s="663" t="str">
        <f>CH$1&amp;IF(U400="",BF400,U400)</f>
        <v xml:space="preserve">- ZIEL-Ansatz: (Bei Abweichungen gilt Abgleichergebnis in _S.xlsx) Etwas über ein Drittel des Biogases wird für Prozesswärme zur Substitution fossiler Brennstoffe verwendet, der größere Teil aber für die mobilen Anwendungen, da die Substitution der fossilen Brennstoffe dort höchst anspruchsvoll ist.  </v>
      </c>
      <c r="CW400" s="663"/>
      <c r="DT400" s="671">
        <v>53</v>
      </c>
      <c r="EJ400" s="656" t="str">
        <f>IF(X400=0,"",EJ$1&amp;X400)</f>
        <v/>
      </c>
      <c r="EK400" s="656" t="str">
        <f ca="1">EK$1&amp;X400</f>
        <v>[D_Python.xlsx]9.Quellen!C</v>
      </c>
      <c r="EV400" s="819">
        <f t="shared" si="188"/>
        <v>400</v>
      </c>
      <c r="EW400" s="819"/>
    </row>
    <row r="401" spans="1:153" s="661" customFormat="1" ht="4">
      <c r="A401" s="677" t="str">
        <f t="shared" ca="1" si="186"/>
        <v>D.1.401</v>
      </c>
      <c r="B401" s="677" t="str">
        <f t="shared" ca="1" si="187"/>
        <v>1.401</v>
      </c>
      <c r="C401" s="677" t="str">
        <f t="shared" si="173"/>
        <v>[401]</v>
      </c>
      <c r="D401" s="677">
        <f>ROW()</f>
        <v>401</v>
      </c>
      <c r="E401" s="685"/>
      <c r="F401" s="685"/>
      <c r="G401" s="685"/>
      <c r="H401" s="685"/>
      <c r="I401" s="686"/>
      <c r="J401" s="686"/>
      <c r="K401" s="686"/>
      <c r="L401" s="686"/>
      <c r="M401" s="686"/>
      <c r="N401" s="685"/>
      <c r="O401" s="871">
        <v>401</v>
      </c>
      <c r="P401" s="693"/>
      <c r="Q401" s="694"/>
      <c r="R401" s="888"/>
      <c r="S401" s="802"/>
      <c r="T401" s="882"/>
      <c r="AB401" s="675"/>
      <c r="AC401" s="675"/>
      <c r="AD401" s="675"/>
      <c r="AE401" s="675"/>
      <c r="AF401" s="675"/>
      <c r="AG401" s="675"/>
      <c r="AH401" s="675"/>
      <c r="AI401" s="675"/>
      <c r="AJ401" s="675"/>
      <c r="AK401" s="675"/>
      <c r="AL401" s="675"/>
      <c r="AM401" s="675"/>
      <c r="AN401" s="675"/>
      <c r="AO401" s="675"/>
      <c r="AP401" s="675"/>
      <c r="AQ401" s="675"/>
      <c r="AR401" s="675"/>
      <c r="AS401" s="675"/>
      <c r="AT401" s="675"/>
      <c r="AU401" s="675"/>
      <c r="AV401" s="675"/>
      <c r="AZ401" s="669"/>
      <c r="BB401" s="669"/>
      <c r="BI401" s="661" t="s">
        <v>126</v>
      </c>
      <c r="BJ401" s="665"/>
      <c r="CU401" s="662"/>
      <c r="CW401" s="662"/>
      <c r="EV401" s="818" t="str">
        <f t="shared" si="188"/>
        <v/>
      </c>
      <c r="EW401" s="818"/>
    </row>
    <row r="402" spans="1:153" s="475" customFormat="1" ht="13.5" customHeight="1">
      <c r="A402" s="654" t="str">
        <f t="shared" ca="1" si="186"/>
        <v>D.1.402</v>
      </c>
      <c r="B402" s="654" t="str">
        <f t="shared" ca="1" si="187"/>
        <v>1.402</v>
      </c>
      <c r="C402" s="654" t="str">
        <f t="shared" si="173"/>
        <v>[402]</v>
      </c>
      <c r="D402" s="654">
        <f>ROW()</f>
        <v>402</v>
      </c>
      <c r="E402" s="1129" t="str">
        <f>BP402</f>
        <v>Biogas-Anteil für Verstromung</v>
      </c>
      <c r="F402" s="1129"/>
      <c r="G402" s="1129"/>
      <c r="H402" s="1129"/>
      <c r="I402" s="1129"/>
      <c r="J402" s="471" t="s">
        <v>38</v>
      </c>
      <c r="K402" s="557">
        <f ca="1">INDIRECT($W$1&amp;U402)</f>
        <v>99.568135395389547</v>
      </c>
      <c r="L402" s="485" t="str">
        <f ca="1">HYPERLINK($CK$1&amp;U402,$CE$1&amp;U402&amp;$CF$1)</f>
        <v>[403]</v>
      </c>
      <c r="M402" s="558">
        <f ca="1">INDIRECT($W$1&amp;W402)</f>
        <v>0</v>
      </c>
      <c r="N402" s="533" t="str">
        <f ca="1">HYPERLINK($CK$1&amp;W402,$CE$1&amp;W402&amp;$CF$1)</f>
        <v>[405]</v>
      </c>
      <c r="O402" s="869">
        <v>402</v>
      </c>
      <c r="P402" s="570"/>
      <c r="Q402" s="583"/>
      <c r="R402" s="852"/>
      <c r="S402" s="784"/>
      <c r="T402" s="864"/>
      <c r="U402" s="672">
        <f>D403</f>
        <v>403</v>
      </c>
      <c r="V402" s="905" t="s">
        <v>126</v>
      </c>
      <c r="W402" s="672">
        <f>D405</f>
        <v>405</v>
      </c>
      <c r="X402" s="658"/>
      <c r="Y402" s="658"/>
      <c r="Z402" s="658"/>
      <c r="AA402" s="658"/>
      <c r="AB402" s="801"/>
      <c r="AC402" s="801"/>
      <c r="AD402" s="674"/>
      <c r="AE402" s="674"/>
      <c r="AF402" s="674"/>
      <c r="AG402" s="674"/>
      <c r="AH402" s="674"/>
      <c r="AI402" s="674"/>
      <c r="AJ402" s="674"/>
      <c r="AK402" s="674"/>
      <c r="AL402" s="674"/>
      <c r="AM402" s="674"/>
      <c r="AN402" s="674"/>
      <c r="AO402" s="674"/>
      <c r="AP402" s="674"/>
      <c r="AQ402" s="674"/>
      <c r="AR402" s="674"/>
      <c r="AS402" s="674"/>
      <c r="AT402" s="674"/>
      <c r="AU402" s="674"/>
      <c r="AV402" s="674"/>
      <c r="AX402" s="475" t="s">
        <v>244</v>
      </c>
      <c r="AY402" s="500">
        <f ca="1">DA402</f>
        <v>130.5</v>
      </c>
      <c r="AZ402" s="508" t="str">
        <f ca="1">HYPERLINK(DN402,DC402)</f>
        <v xml:space="preserve"> 307</v>
      </c>
      <c r="BA402" s="500">
        <f ca="1">DB402</f>
        <v>0</v>
      </c>
      <c r="BB402" s="508" t="str">
        <f ca="1">HYPERLINK(DO402,DD402)</f>
        <v xml:space="preserve"> 308</v>
      </c>
      <c r="BC402" s="475" t="str">
        <f ca="1">CY402&amp;" | "&amp;CZ402</f>
        <v>0 | 1.2.1 Nutz-Anteil Biogasverstromung  = Anteil an der Energiepflanzen-Anbaufläche</v>
      </c>
      <c r="BI402" s="475" t="s">
        <v>126</v>
      </c>
      <c r="BJ402" s="492" t="str">
        <f>E402</f>
        <v>Biogas-Anteil für Verstromung</v>
      </c>
      <c r="BK402" s="486">
        <f ca="1">K402</f>
        <v>99.568135395389547</v>
      </c>
      <c r="BL402" s="486">
        <f ca="1">M402</f>
        <v>0</v>
      </c>
      <c r="BM402" s="472">
        <f>D402</f>
        <v>402</v>
      </c>
      <c r="BN402" s="658"/>
      <c r="BO402" s="475" t="s">
        <v>251</v>
      </c>
      <c r="BP402" s="521" t="s">
        <v>526</v>
      </c>
      <c r="CU402" s="476"/>
      <c r="CV402" s="658"/>
      <c r="CW402" s="518">
        <v>78</v>
      </c>
      <c r="CY402" s="472">
        <f t="shared" ref="CY402:DO402" ca="1" si="190">INDIRECT($CX$1&amp;CY$1&amp;$CW402)</f>
        <v>0</v>
      </c>
      <c r="CZ402" s="472" t="str">
        <f t="shared" ca="1" si="190"/>
        <v>1.2.1 Nutz-Anteil Biogasverstromung  = Anteil an der Energiepflanzen-Anbaufläche</v>
      </c>
      <c r="DA402" s="472">
        <f t="shared" ca="1" si="190"/>
        <v>130.5</v>
      </c>
      <c r="DB402" s="472">
        <f t="shared" ca="1" si="190"/>
        <v>0</v>
      </c>
      <c r="DC402" s="472" t="str">
        <f t="shared" ca="1" si="190"/>
        <v xml:space="preserve"> 307</v>
      </c>
      <c r="DD402" s="472" t="str">
        <f t="shared" ca="1" si="190"/>
        <v xml:space="preserve"> 308</v>
      </c>
      <c r="DE402" s="472" t="str">
        <f t="shared" ca="1" si="190"/>
        <v>EP80</v>
      </c>
      <c r="DF402" s="472" t="str">
        <f t="shared" ca="1" si="190"/>
        <v>EP79</v>
      </c>
      <c r="DG402" s="472" t="str">
        <f t="shared" ca="1" si="190"/>
        <v>EP</v>
      </c>
      <c r="DH402" s="472" t="str">
        <f t="shared" ca="1" si="190"/>
        <v>80</v>
      </c>
      <c r="DI402" s="472" t="str">
        <f t="shared" ca="1" si="190"/>
        <v>[EP.xls]TEXT!Z80S5</v>
      </c>
      <c r="DJ402" s="472" t="str">
        <f t="shared" ca="1" si="190"/>
        <v>EP</v>
      </c>
      <c r="DK402" s="472" t="str">
        <f t="shared" ca="1" si="190"/>
        <v>79</v>
      </c>
      <c r="DL402" s="472" t="str">
        <f t="shared" ca="1" si="190"/>
        <v>[EP.xls]TEXT!Z79S5</v>
      </c>
      <c r="DM402" s="472">
        <f t="shared" ca="1" si="190"/>
        <v>78</v>
      </c>
      <c r="DN402" s="472" t="str">
        <f t="shared" ca="1" si="190"/>
        <v>[Region.xls]PARAMETER!Z307S6</v>
      </c>
      <c r="DO402" s="472" t="str">
        <f t="shared" ca="1" si="190"/>
        <v>[Region.xls]PARAMETER!Z308S6</v>
      </c>
      <c r="DP402" s="472"/>
      <c r="DS402" s="656"/>
      <c r="DV402" s="472"/>
      <c r="DW402" s="472"/>
      <c r="DX402" s="472"/>
      <c r="DY402" s="472"/>
      <c r="DZ402" s="472"/>
      <c r="EA402" s="472"/>
      <c r="EB402" s="472"/>
      <c r="EC402" s="472"/>
      <c r="ED402" s="472"/>
      <c r="EE402" s="472"/>
      <c r="EF402" s="472"/>
      <c r="EG402" s="472"/>
      <c r="EH402" s="472"/>
      <c r="EI402" s="472"/>
      <c r="EJ402" s="472"/>
      <c r="EK402" s="472"/>
      <c r="EV402" s="819">
        <f t="shared" si="188"/>
        <v>402</v>
      </c>
      <c r="EW402" s="819"/>
    </row>
    <row r="403" spans="1:153" s="472" customFormat="1" ht="26">
      <c r="A403" s="654" t="str">
        <f t="shared" ca="1" si="186"/>
        <v>D.1.403</v>
      </c>
      <c r="B403" s="654" t="str">
        <f t="shared" ca="1" si="187"/>
        <v>1.403</v>
      </c>
      <c r="C403" s="654" t="str">
        <f t="shared" si="173"/>
        <v>[403]</v>
      </c>
      <c r="D403" s="654">
        <f>ROW()</f>
        <v>403</v>
      </c>
      <c r="E403" s="1130" t="str">
        <f>CU403</f>
        <v>- STATUS-Ansatz: Bis auf einen kleinen Verwendungs-Anteil als Kraftstoff [419] wurde das gesamte Biogas einschließlich Deponie- und Klärgase in Deutschland 2016 für Verstromung verwendet.</v>
      </c>
      <c r="F403" s="1130"/>
      <c r="G403" s="1130"/>
      <c r="H403" s="1130"/>
      <c r="I403" s="1130"/>
      <c r="J403" s="1130"/>
      <c r="K403" s="1130"/>
      <c r="L403" s="1130"/>
      <c r="M403" s="1130"/>
      <c r="N403" s="1131"/>
      <c r="O403" s="869">
        <v>403</v>
      </c>
      <c r="P403" s="573" t="str">
        <f ca="1">HYPERLINK(EK403,EJ403)</f>
        <v/>
      </c>
      <c r="Q403" s="574" t="str">
        <f>Y403</f>
        <v xml:space="preserve"> </v>
      </c>
      <c r="R403" s="852"/>
      <c r="S403" s="784"/>
      <c r="T403" s="864"/>
      <c r="U403" s="1023" t="str">
        <f>"Bis auf einen kleinen Verwendungs-Anteil als Kraftstoff "&amp;C419&amp;" wurde das gesamte Biogas einschließlich Deponie- und Klärgase in Deutschland 2016 für Verstromung verwendet."</f>
        <v>Bis auf einen kleinen Verwendungs-Anteil als Kraftstoff [419] wurde das gesamte Biogas einschließlich Deponie- und Klärgase in Deutschland 2016 für Verstromung verwendet.</v>
      </c>
      <c r="V403" s="905" t="s">
        <v>126</v>
      </c>
      <c r="W403" s="1024">
        <f ca="1">AH403</f>
        <v>99.568135395389547</v>
      </c>
      <c r="X403" s="672"/>
      <c r="Y403" s="672" t="s">
        <v>126</v>
      </c>
      <c r="Z403" s="1025"/>
      <c r="AA403" s="658"/>
      <c r="AB403" s="801"/>
      <c r="AC403" s="801"/>
      <c r="AD403" s="687">
        <f ca="1">W398</f>
        <v>0</v>
      </c>
      <c r="AE403" s="801" t="s">
        <v>838</v>
      </c>
      <c r="AF403" s="801">
        <f>AL421</f>
        <v>0.43186460461044646</v>
      </c>
      <c r="AG403" s="801" t="s">
        <v>541</v>
      </c>
      <c r="AH403" s="687">
        <f ca="1">100-AD403-AF403</f>
        <v>99.568135395389547</v>
      </c>
      <c r="AI403" s="801"/>
      <c r="AJ403" s="801"/>
      <c r="AK403" s="801"/>
      <c r="AL403" s="801"/>
      <c r="AM403" s="801"/>
      <c r="AN403" s="801"/>
      <c r="AO403" s="801"/>
      <c r="AP403" s="801"/>
      <c r="AQ403" s="801"/>
      <c r="AR403" s="801"/>
      <c r="AS403" s="801"/>
      <c r="AT403" s="801"/>
      <c r="AU403" s="801"/>
      <c r="AV403" s="801"/>
      <c r="BF403" s="473"/>
      <c r="BI403" s="472" t="s">
        <v>126</v>
      </c>
      <c r="BJ403" s="490"/>
      <c r="BN403" s="656"/>
      <c r="BO403" s="472" t="s">
        <v>259</v>
      </c>
      <c r="CU403" s="480" t="str">
        <f>CG$1&amp;IF(U403="",BF403,U403)</f>
        <v>- STATUS-Ansatz: Bis auf einen kleinen Verwendungs-Anteil als Kraftstoff [419] wurde das gesamte Biogas einschließlich Deponie- und Klärgase in Deutschland 2016 für Verstromung verwendet.</v>
      </c>
      <c r="CV403" s="656"/>
      <c r="CW403" s="480"/>
      <c r="DS403" s="656"/>
      <c r="DT403" s="518">
        <f>I_Basisdaten!A167</f>
        <v>167</v>
      </c>
      <c r="EJ403" s="472" t="str">
        <f>IF(X403=0,"",EJ$1&amp;X403)</f>
        <v/>
      </c>
      <c r="EK403" s="472" t="str">
        <f ca="1">EK$1&amp;X403</f>
        <v>[D_Python.xlsx]9.Quellen!C</v>
      </c>
      <c r="EV403" s="819">
        <f t="shared" si="188"/>
        <v>403</v>
      </c>
      <c r="EW403" s="819"/>
    </row>
    <row r="404" spans="1:153" s="661" customFormat="1" ht="4">
      <c r="A404" s="677" t="str">
        <f t="shared" ca="1" si="186"/>
        <v>D.1.404</v>
      </c>
      <c r="B404" s="677" t="str">
        <f t="shared" ca="1" si="187"/>
        <v>1.404</v>
      </c>
      <c r="C404" s="677" t="str">
        <f t="shared" si="173"/>
        <v>[404]</v>
      </c>
      <c r="D404" s="677">
        <f>ROW()</f>
        <v>404</v>
      </c>
      <c r="E404" s="680"/>
      <c r="F404" s="680"/>
      <c r="G404" s="680"/>
      <c r="H404" s="680"/>
      <c r="I404" s="679"/>
      <c r="J404" s="679"/>
      <c r="K404" s="679"/>
      <c r="L404" s="679"/>
      <c r="M404" s="679"/>
      <c r="N404" s="680"/>
      <c r="O404" s="871">
        <v>404</v>
      </c>
      <c r="P404" s="688"/>
      <c r="Q404" s="689"/>
      <c r="R404" s="888"/>
      <c r="S404" s="802"/>
      <c r="T404" s="882"/>
      <c r="AB404" s="675"/>
      <c r="AC404" s="675"/>
      <c r="AD404" s="675"/>
      <c r="AE404" s="675"/>
      <c r="AF404" s="675"/>
      <c r="AG404" s="675"/>
      <c r="AH404" s="675"/>
      <c r="AI404" s="675"/>
      <c r="AJ404" s="675"/>
      <c r="AK404" s="675"/>
      <c r="AL404" s="675"/>
      <c r="AM404" s="675"/>
      <c r="AN404" s="675"/>
      <c r="AO404" s="675"/>
      <c r="AP404" s="675"/>
      <c r="AQ404" s="675"/>
      <c r="AR404" s="675"/>
      <c r="AS404" s="675"/>
      <c r="AT404" s="675"/>
      <c r="AU404" s="675"/>
      <c r="AV404" s="675"/>
      <c r="BI404" s="661" t="s">
        <v>126</v>
      </c>
      <c r="BJ404" s="665"/>
      <c r="CU404" s="662"/>
      <c r="CW404" s="662"/>
      <c r="EV404" s="818" t="str">
        <f t="shared" si="188"/>
        <v/>
      </c>
      <c r="EW404" s="818"/>
    </row>
    <row r="405" spans="1:153" s="472" customFormat="1" ht="52">
      <c r="A405" s="654" t="str">
        <f t="shared" ca="1" si="186"/>
        <v>D.1.405</v>
      </c>
      <c r="B405" s="654" t="str">
        <f t="shared" ca="1" si="187"/>
        <v>1.405</v>
      </c>
      <c r="C405" s="654" t="str">
        <f t="shared" si="173"/>
        <v>[405]</v>
      </c>
      <c r="D405" s="654">
        <f>ROW()</f>
        <v>405</v>
      </c>
      <c r="E405" s="1125" t="str">
        <f>CU405</f>
        <v>- ZIEL-Ansatz: Auf die Verstromung von Biogas wird zugunsten der Mobilen Anwendungen verzichtet. Mit dem begrenzten Brennstoffangebot könnte nur ein geringer Beitrag zur Stromversorgung geleistet werden, selbst bei Einsatz in Regelkraftwerken.  Dafür ist Biogas von großem Wert zur Substitution fossiler Kraftstoffe und Brennstoffe im Prozesswärmebereich.</v>
      </c>
      <c r="F405" s="1125"/>
      <c r="G405" s="1125"/>
      <c r="H405" s="1125"/>
      <c r="I405" s="1125"/>
      <c r="J405" s="1125"/>
      <c r="K405" s="1125"/>
      <c r="L405" s="1125"/>
      <c r="M405" s="1125"/>
      <c r="N405" s="1132"/>
      <c r="O405" s="869">
        <v>405</v>
      </c>
      <c r="P405" s="573" t="str">
        <f ca="1">HYPERLINK(EK405,EJ405)</f>
        <v/>
      </c>
      <c r="Q405" s="574" t="str">
        <f>Y405</f>
        <v xml:space="preserve"> </v>
      </c>
      <c r="R405" s="852"/>
      <c r="S405" s="784"/>
      <c r="T405" s="864"/>
      <c r="U405" s="1023" t="str">
        <f>"Auf die Verstromung von Biogas wird zugunsten der Mobilen Anwendungen verzichtet. "&amp;"Mit dem begrenzten Brennstoffangebot könnte nur ein geringer Beitrag zur Stromversorgung geleistet werden, selbst bei Einsatz in Regelkraftwerken.  "&amp;"Dafür ist Biogas von großem Wert zur Substitution fossiler Kraftstoffe und Brennstoffe im Prozesswärmebereich."</f>
        <v>Auf die Verstromung von Biogas wird zugunsten der Mobilen Anwendungen verzichtet. Mit dem begrenzten Brennstoffangebot könnte nur ein geringer Beitrag zur Stromversorgung geleistet werden, selbst bei Einsatz in Regelkraftwerken.  Dafür ist Biogas von großem Wert zur Substitution fossiler Kraftstoffe und Brennstoffe im Prozesswärmebereich.</v>
      </c>
      <c r="V405" s="905" t="s">
        <v>126</v>
      </c>
      <c r="W405" s="1024">
        <f ca="1">BA402</f>
        <v>0</v>
      </c>
      <c r="X405" s="672"/>
      <c r="Y405" s="672" t="s">
        <v>126</v>
      </c>
      <c r="Z405" s="1025"/>
      <c r="AA405" s="905"/>
      <c r="AB405" s="801"/>
      <c r="AC405" s="801"/>
      <c r="AD405" s="801"/>
      <c r="AE405" s="801"/>
      <c r="AF405" s="801"/>
      <c r="AG405" s="801"/>
      <c r="AH405" s="801"/>
      <c r="AI405" s="801"/>
      <c r="AJ405" s="801"/>
      <c r="AK405" s="801"/>
      <c r="AL405" s="801"/>
      <c r="AM405" s="801"/>
      <c r="AN405" s="801"/>
      <c r="AO405" s="801"/>
      <c r="AP405" s="801"/>
      <c r="AQ405" s="801"/>
      <c r="AR405" s="801"/>
      <c r="AS405" s="801"/>
      <c r="AT405" s="801"/>
      <c r="AU405" s="801"/>
      <c r="AV405" s="801"/>
      <c r="BF405" s="473"/>
      <c r="BI405" s="472" t="s">
        <v>126</v>
      </c>
      <c r="BJ405" s="490"/>
      <c r="BN405" s="656"/>
      <c r="BO405" s="472" t="s">
        <v>259</v>
      </c>
      <c r="CU405" s="480" t="str">
        <f>CH$1&amp;IF(U405="",BF405,U405)</f>
        <v>- ZIEL-Ansatz: Auf die Verstromung von Biogas wird zugunsten der Mobilen Anwendungen verzichtet. Mit dem begrenzten Brennstoffangebot könnte nur ein geringer Beitrag zur Stromversorgung geleistet werden, selbst bei Einsatz in Regelkraftwerken.  Dafür ist Biogas von großem Wert zur Substitution fossiler Kraftstoffe und Brennstoffe im Prozesswärmebereich.</v>
      </c>
      <c r="CV405" s="656"/>
      <c r="CW405" s="480"/>
      <c r="DS405" s="656"/>
      <c r="DT405" s="518">
        <v>53</v>
      </c>
      <c r="EJ405" s="472" t="str">
        <f>IF(X405=0,"",EJ$1&amp;X405)</f>
        <v/>
      </c>
      <c r="EK405" s="472" t="str">
        <f ca="1">EK$1&amp;X405</f>
        <v>[D_Python.xlsx]9.Quellen!C</v>
      </c>
      <c r="EV405" s="819">
        <f t="shared" si="188"/>
        <v>405</v>
      </c>
      <c r="EW405" s="819"/>
    </row>
    <row r="406" spans="1:153" s="478" customFormat="1" ht="4">
      <c r="A406" s="677" t="str">
        <f t="shared" ca="1" si="186"/>
        <v>D.1.406</v>
      </c>
      <c r="B406" s="677" t="str">
        <f t="shared" ca="1" si="187"/>
        <v>1.406</v>
      </c>
      <c r="C406" s="677" t="str">
        <f t="shared" si="173"/>
        <v>[406]</v>
      </c>
      <c r="D406" s="677">
        <f>ROW()</f>
        <v>406</v>
      </c>
      <c r="E406" s="548"/>
      <c r="F406" s="548"/>
      <c r="G406" s="548"/>
      <c r="H406" s="548"/>
      <c r="I406" s="549"/>
      <c r="J406" s="549"/>
      <c r="K406" s="549"/>
      <c r="L406" s="549"/>
      <c r="M406" s="549"/>
      <c r="N406" s="548"/>
      <c r="O406" s="871">
        <v>406</v>
      </c>
      <c r="P406" s="575"/>
      <c r="Q406" s="576"/>
      <c r="R406" s="888"/>
      <c r="S406" s="802"/>
      <c r="T406" s="882"/>
      <c r="U406" s="661"/>
      <c r="V406" s="661"/>
      <c r="W406" s="661"/>
      <c r="X406" s="661"/>
      <c r="Y406" s="661"/>
      <c r="Z406" s="661"/>
      <c r="AA406" s="661"/>
      <c r="AB406" s="675"/>
      <c r="AC406" s="675"/>
      <c r="AD406" s="675"/>
      <c r="AE406" s="675"/>
      <c r="AF406" s="675"/>
      <c r="AG406" s="675"/>
      <c r="AH406" s="675"/>
      <c r="AI406" s="675"/>
      <c r="AJ406" s="675"/>
      <c r="AK406" s="675"/>
      <c r="AL406" s="675"/>
      <c r="AM406" s="675"/>
      <c r="AN406" s="675"/>
      <c r="AO406" s="675"/>
      <c r="AP406" s="675"/>
      <c r="AQ406" s="675"/>
      <c r="AR406" s="675"/>
      <c r="AS406" s="675"/>
      <c r="AT406" s="675"/>
      <c r="AU406" s="675"/>
      <c r="AV406" s="675"/>
      <c r="AZ406" s="505"/>
      <c r="BB406" s="505"/>
      <c r="BI406" s="478" t="s">
        <v>126</v>
      </c>
      <c r="BJ406" s="489"/>
      <c r="BN406" s="661"/>
      <c r="CU406" s="479"/>
      <c r="CV406" s="661"/>
      <c r="CW406" s="479"/>
      <c r="DS406" s="661"/>
      <c r="EV406" s="818" t="str">
        <f t="shared" si="188"/>
        <v/>
      </c>
      <c r="EW406" s="818"/>
    </row>
    <row r="407" spans="1:153" s="475" customFormat="1" ht="13.5" customHeight="1">
      <c r="A407" s="654" t="str">
        <f t="shared" ca="1" si="186"/>
        <v>D.1.407</v>
      </c>
      <c r="B407" s="654" t="str">
        <f t="shared" ca="1" si="187"/>
        <v>1.407</v>
      </c>
      <c r="C407" s="654" t="str">
        <f t="shared" si="173"/>
        <v>[407]</v>
      </c>
      <c r="D407" s="654">
        <f>ROW()</f>
        <v>407</v>
      </c>
      <c r="E407" s="1129" t="str">
        <f>BP407</f>
        <v>Biogasverstromung - Nutzungsgrad</v>
      </c>
      <c r="F407" s="1129"/>
      <c r="G407" s="1129"/>
      <c r="H407" s="1129"/>
      <c r="I407" s="1129"/>
      <c r="J407" s="559" t="s">
        <v>38</v>
      </c>
      <c r="K407" s="557">
        <f ca="1">INDIRECT($W$1&amp;U407)</f>
        <v>38</v>
      </c>
      <c r="L407" s="485" t="str">
        <f ca="1">HYPERLINK($CK$1&amp;U407,$CE$1&amp;U407&amp;$CF$1)</f>
        <v>[408]</v>
      </c>
      <c r="M407" s="558">
        <f ca="1">INDIRECT($W$1&amp;W407)</f>
        <v>45</v>
      </c>
      <c r="N407" s="533" t="str">
        <f ca="1">HYPERLINK($CK$1&amp;W407,$CE$1&amp;W407&amp;$CF$1)</f>
        <v>[410]</v>
      </c>
      <c r="O407" s="869">
        <v>407</v>
      </c>
      <c r="P407" s="570"/>
      <c r="Q407" s="583"/>
      <c r="R407" s="852"/>
      <c r="S407" s="784"/>
      <c r="T407" s="864"/>
      <c r="U407" s="672">
        <f>D408</f>
        <v>408</v>
      </c>
      <c r="V407" s="905" t="s">
        <v>126</v>
      </c>
      <c r="W407" s="672">
        <f>D410</f>
        <v>410</v>
      </c>
      <c r="X407" s="658"/>
      <c r="Y407" s="658"/>
      <c r="Z407" s="658"/>
      <c r="AA407" s="658"/>
      <c r="AB407" s="801"/>
      <c r="AC407" s="801"/>
      <c r="AD407" s="674"/>
      <c r="AE407" s="674"/>
      <c r="AF407" s="674"/>
      <c r="AG407" s="674"/>
      <c r="AH407" s="674"/>
      <c r="AI407" s="674"/>
      <c r="AJ407" s="674"/>
      <c r="AK407" s="674"/>
      <c r="AL407" s="674"/>
      <c r="AM407" s="674"/>
      <c r="AN407" s="674"/>
      <c r="AO407" s="674"/>
      <c r="AP407" s="674"/>
      <c r="AQ407" s="674"/>
      <c r="AR407" s="674"/>
      <c r="AS407" s="674"/>
      <c r="AT407" s="674"/>
      <c r="AU407" s="674"/>
      <c r="AV407" s="674"/>
      <c r="AX407" s="475" t="s">
        <v>244</v>
      </c>
      <c r="AY407" s="500">
        <f ca="1">DA407</f>
        <v>18.572418572418574</v>
      </c>
      <c r="AZ407" s="508" t="str">
        <f ca="1">HYPERLINK(DN407,DC407)</f>
        <v xml:space="preserve"> 311</v>
      </c>
      <c r="BA407" s="500">
        <f ca="1">DB407</f>
        <v>9.2862092862092869</v>
      </c>
      <c r="BB407" s="508" t="str">
        <f ca="1">HYPERLINK(DO407,DD407)</f>
        <v xml:space="preserve"> 312</v>
      </c>
      <c r="BC407" s="475" t="str">
        <f ca="1">CY407&amp;" | "&amp;CZ407</f>
        <v>Strom | 1.2.2.1 Energieertrag Strom aus Biogas</v>
      </c>
      <c r="BI407" s="475" t="s">
        <v>126</v>
      </c>
      <c r="BJ407" s="492" t="str">
        <f>E407</f>
        <v>Biogasverstromung - Nutzungsgrad</v>
      </c>
      <c r="BK407" s="486">
        <f ca="1">K407</f>
        <v>38</v>
      </c>
      <c r="BL407" s="486">
        <f ca="1">M407</f>
        <v>45</v>
      </c>
      <c r="BM407" s="472">
        <f>D407</f>
        <v>407</v>
      </c>
      <c r="BN407" s="658"/>
      <c r="BO407" s="475" t="s">
        <v>251</v>
      </c>
      <c r="BP407" s="521" t="s">
        <v>527</v>
      </c>
      <c r="CU407" s="476"/>
      <c r="CV407" s="658"/>
      <c r="CW407" s="518">
        <v>79</v>
      </c>
      <c r="CY407" s="472" t="str">
        <f t="shared" ref="CY407:DO407" ca="1" si="191">INDIRECT($CX$1&amp;CY$1&amp;$CW407)</f>
        <v>Strom</v>
      </c>
      <c r="CZ407" s="472" t="str">
        <f t="shared" ca="1" si="191"/>
        <v>1.2.2.1 Energieertrag Strom aus Biogas</v>
      </c>
      <c r="DA407" s="472">
        <f t="shared" ca="1" si="191"/>
        <v>18.572418572418574</v>
      </c>
      <c r="DB407" s="472">
        <f t="shared" ca="1" si="191"/>
        <v>9.2862092862092869</v>
      </c>
      <c r="DC407" s="472" t="str">
        <f t="shared" ca="1" si="191"/>
        <v xml:space="preserve"> 311</v>
      </c>
      <c r="DD407" s="472" t="str">
        <f t="shared" ca="1" si="191"/>
        <v xml:space="preserve"> 312</v>
      </c>
      <c r="DE407" s="472" t="str">
        <f t="shared" ca="1" si="191"/>
        <v>EP72</v>
      </c>
      <c r="DF407" s="472" t="str">
        <f t="shared" ca="1" si="191"/>
        <v>EP73</v>
      </c>
      <c r="DG407" s="472" t="str">
        <f t="shared" ca="1" si="191"/>
        <v>EP</v>
      </c>
      <c r="DH407" s="472" t="str">
        <f t="shared" ca="1" si="191"/>
        <v>72</v>
      </c>
      <c r="DI407" s="472" t="str">
        <f t="shared" ca="1" si="191"/>
        <v>[EP.xls]TEXT!Z72S5</v>
      </c>
      <c r="DJ407" s="472" t="str">
        <f t="shared" ca="1" si="191"/>
        <v>EP</v>
      </c>
      <c r="DK407" s="472" t="str">
        <f t="shared" ca="1" si="191"/>
        <v>73</v>
      </c>
      <c r="DL407" s="472" t="str">
        <f t="shared" ca="1" si="191"/>
        <v>[EP.xls]TEXT!Z73S5</v>
      </c>
      <c r="DM407" s="472">
        <f t="shared" ca="1" si="191"/>
        <v>79</v>
      </c>
      <c r="DN407" s="472" t="str">
        <f t="shared" ca="1" si="191"/>
        <v>[Region.xls]PARAMETER!Z311S6</v>
      </c>
      <c r="DO407" s="472" t="str">
        <f t="shared" ca="1" si="191"/>
        <v>[Region.xls]PARAMETER!Z312S6</v>
      </c>
      <c r="DP407" s="472"/>
      <c r="DS407" s="656"/>
      <c r="DV407" s="472"/>
      <c r="DW407" s="472"/>
      <c r="DX407" s="472"/>
      <c r="DY407" s="472"/>
      <c r="DZ407" s="472"/>
      <c r="EA407" s="472"/>
      <c r="EB407" s="472"/>
      <c r="EC407" s="472"/>
      <c r="ED407" s="472"/>
      <c r="EE407" s="472"/>
      <c r="EF407" s="472"/>
      <c r="EG407" s="472"/>
      <c r="EH407" s="472"/>
      <c r="EI407" s="472"/>
      <c r="EJ407" s="472"/>
      <c r="EK407" s="472"/>
      <c r="EV407" s="819">
        <f t="shared" si="188"/>
        <v>407</v>
      </c>
      <c r="EW407" s="819"/>
    </row>
    <row r="408" spans="1:153" s="472" customFormat="1">
      <c r="A408" s="654" t="str">
        <f t="shared" ca="1" si="186"/>
        <v>D.1.408</v>
      </c>
      <c r="B408" s="654" t="str">
        <f t="shared" ca="1" si="187"/>
        <v>1.408</v>
      </c>
      <c r="C408" s="654" t="str">
        <f t="shared" si="173"/>
        <v>[408]</v>
      </c>
      <c r="D408" s="654">
        <f>ROW()</f>
        <v>408</v>
      </c>
      <c r="E408" s="1130" t="str">
        <f ca="1">CU408</f>
        <v>- STATUS-Ansatz: Aktueller Durchschnittswert des deutschen Anlagenbestandes 2016 gemäß FNR [9.102] S. 39.</v>
      </c>
      <c r="F408" s="1130"/>
      <c r="G408" s="1130"/>
      <c r="H408" s="1130"/>
      <c r="I408" s="1130"/>
      <c r="J408" s="1130"/>
      <c r="K408" s="1130"/>
      <c r="L408" s="1130"/>
      <c r="M408" s="1130"/>
      <c r="N408" s="1131"/>
      <c r="O408" s="869">
        <v>408</v>
      </c>
      <c r="P408" s="573" t="str">
        <f ca="1">HYPERLINK(EK408,EJ408)</f>
        <v>9.102</v>
      </c>
      <c r="Q408" s="574" t="str">
        <f>Y408</f>
        <v>S. 39</v>
      </c>
      <c r="R408" s="852"/>
      <c r="S408" s="784"/>
      <c r="T408" s="864"/>
      <c r="U408" s="1023" t="str">
        <f ca="1">"Aktueller Durchschnittswert des deutschen Anlagenbestandes 2016 gemäß "&amp;'9.Quellen'!E99&amp;" ["&amp;'1.'!P408&amp;"] "&amp;Q408&amp;"."</f>
        <v>Aktueller Durchschnittswert des deutschen Anlagenbestandes 2016 gemäß FNR [9.102] S. 39.</v>
      </c>
      <c r="V408" s="905" t="s">
        <v>126</v>
      </c>
      <c r="W408" s="1024">
        <v>38</v>
      </c>
      <c r="X408" s="672">
        <f>'9.Quellen'!C102</f>
        <v>102</v>
      </c>
      <c r="Y408" s="672" t="s">
        <v>669</v>
      </c>
      <c r="Z408" s="1025"/>
      <c r="AA408" s="658"/>
      <c r="AB408" s="801"/>
      <c r="AC408" s="801"/>
      <c r="AD408" s="801"/>
      <c r="AE408" s="801"/>
      <c r="AF408" s="801"/>
      <c r="AG408" s="801"/>
      <c r="AH408" s="801"/>
      <c r="AI408" s="801"/>
      <c r="AJ408" s="801"/>
      <c r="AK408" s="801"/>
      <c r="AL408" s="801"/>
      <c r="AM408" s="801"/>
      <c r="AN408" s="801"/>
      <c r="AO408" s="801"/>
      <c r="AP408" s="801"/>
      <c r="AQ408" s="801"/>
      <c r="AR408" s="801"/>
      <c r="AS408" s="801"/>
      <c r="AT408" s="801"/>
      <c r="AU408" s="801"/>
      <c r="AV408" s="801"/>
      <c r="BF408" s="473"/>
      <c r="BI408" s="472" t="s">
        <v>126</v>
      </c>
      <c r="BJ408" s="490"/>
      <c r="BN408" s="656"/>
      <c r="BO408" s="472" t="s">
        <v>259</v>
      </c>
      <c r="CU408" s="480" t="str">
        <f ca="1">CG$1&amp;IF(U408="",BF408,U408)</f>
        <v>- STATUS-Ansatz: Aktueller Durchschnittswert des deutschen Anlagenbestandes 2016 gemäß FNR [9.102] S. 39.</v>
      </c>
      <c r="CV408" s="656"/>
      <c r="CW408" s="480"/>
      <c r="DS408" s="656"/>
      <c r="DT408" s="518">
        <f>I_Basisdaten!A167</f>
        <v>167</v>
      </c>
      <c r="EJ408" s="472" t="str">
        <f ca="1">IF(X408=0,"",EJ$1&amp;X408)</f>
        <v>9.102</v>
      </c>
      <c r="EK408" s="472" t="str">
        <f ca="1">EK$1&amp;X408</f>
        <v>[D_Python.xlsx]9.Quellen!C102</v>
      </c>
      <c r="EV408" s="819">
        <f t="shared" ca="1" si="188"/>
        <v>408</v>
      </c>
      <c r="EW408" s="819"/>
    </row>
    <row r="409" spans="1:153" s="661" customFormat="1" ht="4">
      <c r="A409" s="677" t="str">
        <f t="shared" ca="1" si="186"/>
        <v>D.1.409</v>
      </c>
      <c r="B409" s="677" t="str">
        <f t="shared" ca="1" si="187"/>
        <v>1.409</v>
      </c>
      <c r="C409" s="677" t="str">
        <f t="shared" si="173"/>
        <v>[409]</v>
      </c>
      <c r="D409" s="677">
        <f>ROW()</f>
        <v>409</v>
      </c>
      <c r="E409" s="680"/>
      <c r="F409" s="680"/>
      <c r="G409" s="680"/>
      <c r="H409" s="680"/>
      <c r="I409" s="679"/>
      <c r="J409" s="679"/>
      <c r="K409" s="679"/>
      <c r="L409" s="679"/>
      <c r="M409" s="679"/>
      <c r="N409" s="680"/>
      <c r="O409" s="871">
        <v>409</v>
      </c>
      <c r="P409" s="688"/>
      <c r="Q409" s="689"/>
      <c r="R409" s="888"/>
      <c r="S409" s="802"/>
      <c r="T409" s="882"/>
      <c r="AB409" s="675"/>
      <c r="AC409" s="675"/>
      <c r="AD409" s="675"/>
      <c r="AE409" s="675"/>
      <c r="AF409" s="675"/>
      <c r="AG409" s="675"/>
      <c r="AH409" s="675"/>
      <c r="AI409" s="675"/>
      <c r="AJ409" s="675"/>
      <c r="AK409" s="675"/>
      <c r="AL409" s="675"/>
      <c r="AM409" s="675"/>
      <c r="AN409" s="675"/>
      <c r="AO409" s="675"/>
      <c r="AP409" s="675"/>
      <c r="AQ409" s="675"/>
      <c r="AR409" s="675"/>
      <c r="AS409" s="675"/>
      <c r="AT409" s="675"/>
      <c r="AU409" s="675"/>
      <c r="AV409" s="675"/>
      <c r="BI409" s="661" t="s">
        <v>126</v>
      </c>
      <c r="BJ409" s="665"/>
      <c r="CU409" s="662"/>
      <c r="CW409" s="662"/>
      <c r="EV409" s="818" t="str">
        <f t="shared" si="188"/>
        <v/>
      </c>
      <c r="EW409" s="818"/>
    </row>
    <row r="410" spans="1:153" s="472" customFormat="1" ht="26">
      <c r="A410" s="654" t="str">
        <f t="shared" ca="1" si="186"/>
        <v>D.1.410</v>
      </c>
      <c r="B410" s="654" t="str">
        <f t="shared" ca="1" si="187"/>
        <v>1.410</v>
      </c>
      <c r="C410" s="654" t="str">
        <f t="shared" si="173"/>
        <v>[410]</v>
      </c>
      <c r="D410" s="654">
        <f>ROW()</f>
        <v>410</v>
      </c>
      <c r="E410" s="1125" t="str">
        <f t="shared" ref="E410" ca="1" si="192">CU410</f>
        <v>- ZIEL-Ansatz: Orientiert am oberen Ende der Bandbreite heutiger elektrischer Wirkungsgrade von Biogas-BHKWs zwischen 28-47% gemäß FNR [9.99] S. 47.</v>
      </c>
      <c r="F410" s="1125"/>
      <c r="G410" s="1125"/>
      <c r="H410" s="1125"/>
      <c r="I410" s="1125"/>
      <c r="J410" s="1125"/>
      <c r="K410" s="1125"/>
      <c r="L410" s="1125"/>
      <c r="M410" s="1125"/>
      <c r="N410" s="1132"/>
      <c r="O410" s="869">
        <v>410</v>
      </c>
      <c r="P410" s="573" t="str">
        <f ca="1">HYPERLINK(EK410,EJ410)</f>
        <v>9.99</v>
      </c>
      <c r="Q410" s="574" t="str">
        <f>Y410</f>
        <v>S. 47</v>
      </c>
      <c r="R410" s="852"/>
      <c r="S410" s="784"/>
      <c r="T410" s="864"/>
      <c r="U410" s="1023" t="str">
        <f ca="1">"Orientiert am oberen Ende der Bandbreite heutiger elektrischer Wirkungsgrade von Biogas-BHKWs zwischen 28-47% gemäß "&amp;'9.Quellen'!E99&amp;" ["&amp;'1.'!P410&amp;"] "&amp;Q410&amp;"."</f>
        <v>Orientiert am oberen Ende der Bandbreite heutiger elektrischer Wirkungsgrade von Biogas-BHKWs zwischen 28-47% gemäß FNR [9.99] S. 47.</v>
      </c>
      <c r="V410" s="905" t="s">
        <v>126</v>
      </c>
      <c r="W410" s="1024">
        <v>45</v>
      </c>
      <c r="X410" s="672">
        <f>'9.Quellen'!C99</f>
        <v>99</v>
      </c>
      <c r="Y410" s="672" t="s">
        <v>500</v>
      </c>
      <c r="Z410" s="1025"/>
      <c r="AA410" s="905"/>
      <c r="AB410" s="801"/>
      <c r="AC410" s="801"/>
      <c r="AD410" s="801"/>
      <c r="AE410" s="801"/>
      <c r="AF410" s="801"/>
      <c r="AG410" s="801"/>
      <c r="AH410" s="801"/>
      <c r="AI410" s="801"/>
      <c r="AJ410" s="801"/>
      <c r="AK410" s="801"/>
      <c r="AL410" s="801"/>
      <c r="AM410" s="801"/>
      <c r="AN410" s="801"/>
      <c r="AO410" s="801"/>
      <c r="AP410" s="801"/>
      <c r="AQ410" s="801"/>
      <c r="AR410" s="801"/>
      <c r="AS410" s="801"/>
      <c r="AT410" s="801"/>
      <c r="AU410" s="801"/>
      <c r="AV410" s="801"/>
      <c r="BF410" s="473"/>
      <c r="BI410" s="472" t="s">
        <v>126</v>
      </c>
      <c r="BJ410" s="490"/>
      <c r="BN410" s="656"/>
      <c r="BO410" s="472" t="s">
        <v>259</v>
      </c>
      <c r="CU410" s="480" t="str">
        <f ca="1">CH$1&amp;IF(U410="",BF410,U410)</f>
        <v>- ZIEL-Ansatz: Orientiert am oberen Ende der Bandbreite heutiger elektrischer Wirkungsgrade von Biogas-BHKWs zwischen 28-47% gemäß FNR [9.99] S. 47.</v>
      </c>
      <c r="CV410" s="656"/>
      <c r="CW410" s="480"/>
      <c r="DS410" s="656"/>
      <c r="DT410" s="518">
        <v>53</v>
      </c>
      <c r="EJ410" s="472" t="str">
        <f ca="1">IF(X410=0,"",EJ$1&amp;X410)</f>
        <v>9.99</v>
      </c>
      <c r="EK410" s="472" t="str">
        <f ca="1">EK$1&amp;X410</f>
        <v>[D_Python.xlsx]9.Quellen!C99</v>
      </c>
      <c r="EV410" s="819">
        <f t="shared" ca="1" si="188"/>
        <v>410</v>
      </c>
      <c r="EW410" s="819"/>
    </row>
    <row r="411" spans="1:153" s="478" customFormat="1" ht="4">
      <c r="A411" s="677" t="str">
        <f t="shared" ca="1" si="186"/>
        <v>D.1.411</v>
      </c>
      <c r="B411" s="677" t="str">
        <f t="shared" ca="1" si="187"/>
        <v>1.411</v>
      </c>
      <c r="C411" s="677" t="str">
        <f t="shared" si="173"/>
        <v>[411]</v>
      </c>
      <c r="D411" s="677">
        <f>ROW()</f>
        <v>411</v>
      </c>
      <c r="E411" s="548"/>
      <c r="F411" s="548"/>
      <c r="G411" s="548"/>
      <c r="H411" s="548"/>
      <c r="I411" s="549"/>
      <c r="J411" s="549"/>
      <c r="K411" s="549"/>
      <c r="L411" s="549"/>
      <c r="M411" s="549"/>
      <c r="N411" s="548"/>
      <c r="O411" s="871">
        <v>411</v>
      </c>
      <c r="P411" s="575"/>
      <c r="Q411" s="576"/>
      <c r="R411" s="888"/>
      <c r="S411" s="802"/>
      <c r="T411" s="882"/>
      <c r="U411" s="661"/>
      <c r="V411" s="661"/>
      <c r="W411" s="661"/>
      <c r="X411" s="661"/>
      <c r="Y411" s="661"/>
      <c r="Z411" s="661"/>
      <c r="AA411" s="661"/>
      <c r="AB411" s="675"/>
      <c r="AC411" s="675"/>
      <c r="AD411" s="675"/>
      <c r="AE411" s="675"/>
      <c r="AF411" s="675"/>
      <c r="AG411" s="675"/>
      <c r="AH411" s="675"/>
      <c r="AI411" s="675"/>
      <c r="AJ411" s="675"/>
      <c r="AK411" s="675"/>
      <c r="AL411" s="675"/>
      <c r="AM411" s="675"/>
      <c r="AN411" s="675"/>
      <c r="AO411" s="675"/>
      <c r="AP411" s="675"/>
      <c r="AQ411" s="675"/>
      <c r="AR411" s="675"/>
      <c r="AS411" s="675"/>
      <c r="AT411" s="675"/>
      <c r="AU411" s="675"/>
      <c r="AV411" s="675"/>
      <c r="AZ411" s="505"/>
      <c r="BB411" s="505"/>
      <c r="BI411" s="478" t="s">
        <v>126</v>
      </c>
      <c r="BJ411" s="489"/>
      <c r="BN411" s="661"/>
      <c r="CU411" s="479"/>
      <c r="CV411" s="661"/>
      <c r="CW411" s="479"/>
      <c r="DS411" s="661"/>
      <c r="EV411" s="818" t="str">
        <f t="shared" si="188"/>
        <v/>
      </c>
      <c r="EW411" s="818"/>
    </row>
    <row r="412" spans="1:153" s="475" customFormat="1" ht="13.5" customHeight="1">
      <c r="A412" s="654" t="str">
        <f t="shared" ca="1" si="186"/>
        <v>D.1.412</v>
      </c>
      <c r="B412" s="654" t="str">
        <f t="shared" ca="1" si="187"/>
        <v>1.412</v>
      </c>
      <c r="C412" s="654" t="str">
        <f t="shared" si="173"/>
        <v>[412]</v>
      </c>
      <c r="D412" s="654">
        <f>ROW()</f>
        <v>412</v>
      </c>
      <c r="E412" s="1129" t="str">
        <f>BP412</f>
        <v>Biogasverstr. - Nutzungsgrad KWK-Abwärme effektiv</v>
      </c>
      <c r="F412" s="1129"/>
      <c r="G412" s="1129"/>
      <c r="H412" s="1129"/>
      <c r="I412" s="1129"/>
      <c r="J412" s="559" t="s">
        <v>38</v>
      </c>
      <c r="K412" s="557">
        <f ca="1">INDIRECT($W$1&amp;U412)</f>
        <v>19.41245810431332</v>
      </c>
      <c r="L412" s="485" t="str">
        <f ca="1">HYPERLINK($CK$1&amp;U412,$CE$1&amp;U412&amp;$CF$1)</f>
        <v>[413]</v>
      </c>
      <c r="M412" s="558">
        <f ca="1">INDIRECT($W$1&amp;W412)</f>
        <v>25</v>
      </c>
      <c r="N412" s="533" t="str">
        <f ca="1">HYPERLINK($CK$1&amp;W412,$CE$1&amp;W412&amp;$CF$1)</f>
        <v>[417]</v>
      </c>
      <c r="O412" s="869">
        <v>412</v>
      </c>
      <c r="P412" s="570"/>
      <c r="Q412" s="583"/>
      <c r="R412" s="852"/>
      <c r="S412" s="784"/>
      <c r="T412" s="864"/>
      <c r="U412" s="672">
        <f>D413</f>
        <v>413</v>
      </c>
      <c r="V412" s="905" t="s">
        <v>126</v>
      </c>
      <c r="W412" s="672">
        <f>D417</f>
        <v>417</v>
      </c>
      <c r="X412" s="658"/>
      <c r="Y412" s="658"/>
      <c r="Z412" s="658"/>
      <c r="AA412" s="658"/>
      <c r="AB412" s="801"/>
      <c r="AC412" s="801"/>
      <c r="AD412" s="674"/>
      <c r="AE412" s="674"/>
      <c r="AF412" s="674"/>
      <c r="AG412" s="674"/>
      <c r="AH412" s="674"/>
      <c r="AI412" s="674"/>
      <c r="AJ412" s="674"/>
      <c r="AK412" s="674"/>
      <c r="AL412" s="674"/>
      <c r="AM412" s="674"/>
      <c r="AN412" s="674"/>
      <c r="AO412" s="674"/>
      <c r="AP412" s="674"/>
      <c r="AQ412" s="674"/>
      <c r="AR412" s="674"/>
      <c r="AS412" s="674"/>
      <c r="AT412" s="674"/>
      <c r="AU412" s="674"/>
      <c r="AV412" s="674"/>
      <c r="AX412" s="475" t="s">
        <v>244</v>
      </c>
      <c r="AY412" s="500">
        <f ca="1">DA412</f>
        <v>9.061542932510676</v>
      </c>
      <c r="AZ412" s="508" t="str">
        <f ca="1">HYPERLINK(DN412,DC412)</f>
        <v xml:space="preserve"> 315</v>
      </c>
      <c r="BA412" s="500">
        <f ca="1">DB412</f>
        <v>4.530771466255338</v>
      </c>
      <c r="BB412" s="508" t="str">
        <f ca="1">HYPERLINK(DO412,DD412)</f>
        <v xml:space="preserve"> 316</v>
      </c>
      <c r="BC412" s="475" t="str">
        <f ca="1">CY412&amp;" | "&amp;CZ412</f>
        <v>Wärme | 1.2.2.2 Energieertrag Nutzwärme aus Biogas-Verstromung</v>
      </c>
      <c r="BI412" s="475" t="s">
        <v>126</v>
      </c>
      <c r="BJ412" s="492" t="str">
        <f>E412</f>
        <v>Biogasverstr. - Nutzungsgrad KWK-Abwärme effektiv</v>
      </c>
      <c r="BK412" s="486">
        <f ca="1">K412</f>
        <v>19.41245810431332</v>
      </c>
      <c r="BL412" s="486">
        <f ca="1">M412</f>
        <v>25</v>
      </c>
      <c r="BM412" s="472">
        <f>D412</f>
        <v>412</v>
      </c>
      <c r="BN412" s="658"/>
      <c r="BO412" s="475" t="s">
        <v>251</v>
      </c>
      <c r="BP412" s="521" t="s">
        <v>557</v>
      </c>
      <c r="CU412" s="476"/>
      <c r="CV412" s="658"/>
      <c r="CW412" s="518">
        <v>80</v>
      </c>
      <c r="CY412" s="472" t="str">
        <f t="shared" ref="CY412:DO412" ca="1" si="193">INDIRECT($CX$1&amp;CY$1&amp;$CW412)</f>
        <v>Wärme</v>
      </c>
      <c r="CZ412" s="472" t="str">
        <f t="shared" ca="1" si="193"/>
        <v>1.2.2.2 Energieertrag Nutzwärme aus Biogas-Verstromung</v>
      </c>
      <c r="DA412" s="472">
        <f t="shared" ca="1" si="193"/>
        <v>9.061542932510676</v>
      </c>
      <c r="DB412" s="472">
        <f t="shared" ca="1" si="193"/>
        <v>4.530771466255338</v>
      </c>
      <c r="DC412" s="472" t="str">
        <f t="shared" ca="1" si="193"/>
        <v xml:space="preserve"> 315</v>
      </c>
      <c r="DD412" s="472" t="str">
        <f t="shared" ca="1" si="193"/>
        <v xml:space="preserve"> 316</v>
      </c>
      <c r="DE412" s="472" t="str">
        <f t="shared" ca="1" si="193"/>
        <v>EP72</v>
      </c>
      <c r="DF412" s="472" t="str">
        <f t="shared" ca="1" si="193"/>
        <v>EP73</v>
      </c>
      <c r="DG412" s="472" t="str">
        <f t="shared" ca="1" si="193"/>
        <v>EP</v>
      </c>
      <c r="DH412" s="472" t="str">
        <f t="shared" ca="1" si="193"/>
        <v>72</v>
      </c>
      <c r="DI412" s="472" t="str">
        <f t="shared" ca="1" si="193"/>
        <v>[EP.xls]TEXT!Z72S5</v>
      </c>
      <c r="DJ412" s="472" t="str">
        <f t="shared" ca="1" si="193"/>
        <v>EP</v>
      </c>
      <c r="DK412" s="472" t="str">
        <f t="shared" ca="1" si="193"/>
        <v>73</v>
      </c>
      <c r="DL412" s="472" t="str">
        <f t="shared" ca="1" si="193"/>
        <v>[EP.xls]TEXT!Z73S5</v>
      </c>
      <c r="DM412" s="472">
        <f t="shared" ca="1" si="193"/>
        <v>80</v>
      </c>
      <c r="DN412" s="472" t="str">
        <f t="shared" ca="1" si="193"/>
        <v>[Region.xls]PARAMETER!Z315S6</v>
      </c>
      <c r="DO412" s="472" t="str">
        <f t="shared" ca="1" si="193"/>
        <v>[Region.xls]PARAMETER!Z316S6</v>
      </c>
      <c r="DP412" s="472"/>
      <c r="DS412" s="656"/>
      <c r="DV412" s="472"/>
      <c r="DW412" s="472"/>
      <c r="DX412" s="472"/>
      <c r="DY412" s="472"/>
      <c r="DZ412" s="472"/>
      <c r="EA412" s="472"/>
      <c r="EB412" s="472"/>
      <c r="EC412" s="472"/>
      <c r="ED412" s="472"/>
      <c r="EE412" s="472"/>
      <c r="EF412" s="472"/>
      <c r="EG412" s="472"/>
      <c r="EH412" s="472"/>
      <c r="EI412" s="472"/>
      <c r="EJ412" s="472"/>
      <c r="EK412" s="472"/>
      <c r="EV412" s="819">
        <f t="shared" si="188"/>
        <v>412</v>
      </c>
      <c r="EW412" s="819"/>
    </row>
    <row r="413" spans="1:153" s="472" customFormat="1" ht="65">
      <c r="A413" s="654" t="str">
        <f t="shared" ca="1" si="186"/>
        <v>D.1.413</v>
      </c>
      <c r="B413" s="654" t="str">
        <f t="shared" ca="1" si="187"/>
        <v>1.413</v>
      </c>
      <c r="C413" s="654" t="str">
        <f t="shared" si="173"/>
        <v>[413]</v>
      </c>
      <c r="D413" s="654">
        <f>ROW()</f>
        <v>413</v>
      </c>
      <c r="E413" s="1130" t="str">
        <f ca="1">CU413</f>
        <v>- STATUS-Ansatz: Der bei der Biogas-Verstromung tatsächlich genutzte Teil der anfallenden Abwärme [414] relativ zum Heizwert des zur Verstromung eingesetzten Biogases [415] (vereinfachend wird hier von der Nutzung als Gebäudewärme ausgegangen). Wegen Eigenverbrauch der Biogaserzeugung und örtlicher/zeitlicher Nichtübereinstimmung von Wärmeangebot und Wärmebedarf liegt der Wert erheblich unter dem thermischen Wirkungsgrad der Blockheizkraftwerke von 34-55% gemäß [9.102] S. 46.</v>
      </c>
      <c r="F413" s="1130"/>
      <c r="G413" s="1130"/>
      <c r="H413" s="1130"/>
      <c r="I413" s="1130"/>
      <c r="J413" s="1130"/>
      <c r="K413" s="1130"/>
      <c r="L413" s="1130"/>
      <c r="M413" s="1130"/>
      <c r="N413" s="1131"/>
      <c r="O413" s="869">
        <v>413</v>
      </c>
      <c r="P413" s="573" t="str">
        <f ca="1">HYPERLINK(EK413,EJ413)</f>
        <v>9.102</v>
      </c>
      <c r="Q413" s="574" t="str">
        <f>Y413</f>
        <v>S. 46</v>
      </c>
      <c r="R413" s="852"/>
      <c r="S413" s="784"/>
      <c r="T413" s="864"/>
      <c r="U413" s="1023" t="str">
        <f ca="1">"Der bei der Biogas-Verstromung tatsächlich genutzte Teil der anfallenden Abwärme "&amp;C414&amp;" relativ zum Heizwert des zur Verstromung eingesetzten Biogases "&amp;C415&amp;" (vereinfachend wird hier von der Nutzung als Gebäudewärme ausgegangen). "&amp;"Wegen Eigenverbrauch der Biogaserzeugung und örtlicher/zeitlicher Nichtübereinstimmung von Wärmeangebot und Wärmebedarf liegt der Wert erheblich unter dem thermischen Wirkungsgrad der Blockheizkraftwerke von 34-55% gemäß ["&amp;P413&amp;"] "&amp;Q413&amp;"."</f>
        <v>Der bei der Biogas-Verstromung tatsächlich genutzte Teil der anfallenden Abwärme [414] relativ zum Heizwert des zur Verstromung eingesetzten Biogases [415] (vereinfachend wird hier von der Nutzung als Gebäudewärme ausgegangen). Wegen Eigenverbrauch der Biogaserzeugung und örtlicher/zeitlicher Nichtübereinstimmung von Wärmeangebot und Wärmebedarf liegt der Wert erheblich unter dem thermischen Wirkungsgrad der Blockheizkraftwerke von 34-55% gemäß [9.102] S. 46.</v>
      </c>
      <c r="V413" s="905" t="s">
        <v>126</v>
      </c>
      <c r="W413" s="1034">
        <f>W414/W415%</f>
        <v>19.41245810431332</v>
      </c>
      <c r="X413" s="672">
        <f>'9.Quellen'!C102</f>
        <v>102</v>
      </c>
      <c r="Y413" s="672" t="s">
        <v>1021</v>
      </c>
      <c r="Z413" s="1025"/>
      <c r="AA413" s="658"/>
      <c r="AB413" s="801"/>
      <c r="AC413" s="801"/>
      <c r="AD413" s="801"/>
      <c r="AE413" s="801"/>
      <c r="AF413" s="801"/>
      <c r="AG413" s="801"/>
      <c r="AH413" s="801"/>
      <c r="AI413" s="801"/>
      <c r="AJ413" s="801"/>
      <c r="AK413" s="801"/>
      <c r="AL413" s="801"/>
      <c r="AM413" s="801"/>
      <c r="AN413" s="801"/>
      <c r="AO413" s="801"/>
      <c r="AP413" s="801"/>
      <c r="AQ413" s="801"/>
      <c r="AR413" s="801"/>
      <c r="AS413" s="801"/>
      <c r="AT413" s="801"/>
      <c r="AU413" s="801"/>
      <c r="AV413" s="801"/>
      <c r="BF413" s="473"/>
      <c r="BI413" s="472" t="s">
        <v>126</v>
      </c>
      <c r="BJ413" s="490"/>
      <c r="BN413" s="656"/>
      <c r="BO413" s="472" t="s">
        <v>259</v>
      </c>
      <c r="CU413" s="480" t="str">
        <f ca="1">CG$1&amp;IF(U413="",BF413,U413)</f>
        <v>- STATUS-Ansatz: Der bei der Biogas-Verstromung tatsächlich genutzte Teil der anfallenden Abwärme [414] relativ zum Heizwert des zur Verstromung eingesetzten Biogases [415] (vereinfachend wird hier von der Nutzung als Gebäudewärme ausgegangen). Wegen Eigenverbrauch der Biogaserzeugung und örtlicher/zeitlicher Nichtübereinstimmung von Wärmeangebot und Wärmebedarf liegt der Wert erheblich unter dem thermischen Wirkungsgrad der Blockheizkraftwerke von 34-55% gemäß [9.102] S. 46.</v>
      </c>
      <c r="CV413" s="656"/>
      <c r="CW413" s="480"/>
      <c r="DS413" s="656"/>
      <c r="DT413" s="518">
        <f>I_Basisdaten!A171</f>
        <v>171</v>
      </c>
      <c r="EJ413" s="472" t="str">
        <f ca="1">IF(X413=0,"",EJ$1&amp;X413)</f>
        <v>9.102</v>
      </c>
      <c r="EK413" s="472" t="str">
        <f ca="1">EK$1&amp;X413</f>
        <v>[D_Python.xlsx]9.Quellen!C102</v>
      </c>
      <c r="EV413" s="819">
        <f t="shared" ca="1" si="188"/>
        <v>413</v>
      </c>
      <c r="EW413" s="819"/>
    </row>
    <row r="414" spans="1:153" s="656" customFormat="1" ht="26">
      <c r="A414" s="654" t="str">
        <f t="shared" ca="1" si="186"/>
        <v>D.1.414</v>
      </c>
      <c r="B414" s="654" t="str">
        <f t="shared" ca="1" si="187"/>
        <v>1.414</v>
      </c>
      <c r="C414" s="654" t="str">
        <f t="shared" si="173"/>
        <v>[414]</v>
      </c>
      <c r="D414" s="654">
        <f>ROW()</f>
        <v>414</v>
      </c>
      <c r="E414" s="1130" t="str">
        <f ca="1">CU414</f>
        <v xml:space="preserve">17482 GWh Wärme wurde 2016 aus Biogas bereitgestellt  gemäß [9.102] S. 40. Es ist anzunehmen, dass es sich dabei praktisch vollständig um über Kraft-Wärme-Kopplung genutzte Abwärme aus der Biogasverstromung handelt. </v>
      </c>
      <c r="F414" s="1130"/>
      <c r="G414" s="1130"/>
      <c r="H414" s="1130"/>
      <c r="I414" s="1130"/>
      <c r="J414" s="1130"/>
      <c r="K414" s="1130"/>
      <c r="L414" s="1130"/>
      <c r="M414" s="1130"/>
      <c r="N414" s="1131"/>
      <c r="O414" s="869">
        <v>414</v>
      </c>
      <c r="P414" s="691" t="str">
        <f ca="1">HYPERLINK(EK414,EJ414)</f>
        <v>9.102</v>
      </c>
      <c r="Q414" s="692" t="str">
        <f>Y414</f>
        <v>S. 40</v>
      </c>
      <c r="R414" s="852"/>
      <c r="S414" s="784"/>
      <c r="T414" s="864"/>
      <c r="U414" s="1023" t="str">
        <f ca="1">TEXT(W414,"0")&amp;" GWh Wärme wurde 2016 aus Biogas bereitgestellt  gemäß ["&amp;P414&amp;"] "&amp;Q414&amp;". Es ist anzunehmen, dass es sich dabei praktisch vollständig um über Kraft-Wärme-Kopplung genutzte Abwärme aus der Biogasverstromung handelt. "</f>
        <v xml:space="preserve">17482 GWh Wärme wurde 2016 aus Biogas bereitgestellt  gemäß [9.102] S. 40. Es ist anzunehmen, dass es sich dabei praktisch vollständig um über Kraft-Wärme-Kopplung genutzte Abwärme aus der Biogasverstromung handelt. </v>
      </c>
      <c r="V414" s="905" t="s">
        <v>126</v>
      </c>
      <c r="W414" s="1024">
        <f>AJ414</f>
        <v>17482.400000000001</v>
      </c>
      <c r="X414" s="672">
        <f>'9.Quellen'!C102</f>
        <v>102</v>
      </c>
      <c r="Y414" s="672" t="s">
        <v>1020</v>
      </c>
      <c r="Z414" s="1025"/>
      <c r="AA414" s="905"/>
      <c r="AB414" s="801"/>
      <c r="AC414" s="801"/>
      <c r="AD414" s="801">
        <v>17347</v>
      </c>
      <c r="AE414" s="801" t="s">
        <v>384</v>
      </c>
      <c r="AF414" s="844">
        <v>168.1</v>
      </c>
      <c r="AG414" s="844" t="s">
        <v>624</v>
      </c>
      <c r="AH414" s="844">
        <v>10.4</v>
      </c>
      <c r="AI414" s="844" t="s">
        <v>531</v>
      </c>
      <c r="AJ414" s="844">
        <f>AF414*1000*AH414%</f>
        <v>17482.400000000001</v>
      </c>
      <c r="AK414" s="844" t="s">
        <v>325</v>
      </c>
      <c r="AL414" s="844"/>
      <c r="AM414" s="801"/>
      <c r="AN414" s="801"/>
      <c r="AO414" s="801"/>
      <c r="AP414" s="801"/>
      <c r="AQ414" s="801"/>
      <c r="AR414" s="801"/>
      <c r="AS414" s="801"/>
      <c r="AT414" s="801"/>
      <c r="AU414" s="801"/>
      <c r="AV414" s="801"/>
      <c r="BF414" s="657"/>
      <c r="BI414" s="656" t="s">
        <v>126</v>
      </c>
      <c r="BJ414" s="666"/>
      <c r="BO414" s="656" t="s">
        <v>252</v>
      </c>
      <c r="CU414" s="663" t="str">
        <f ca="1">IF(U414="",BF414,U414)</f>
        <v xml:space="preserve">17482 GWh Wärme wurde 2016 aus Biogas bereitgestellt  gemäß [9.102] S. 40. Es ist anzunehmen, dass es sich dabei praktisch vollständig um über Kraft-Wärme-Kopplung genutzte Abwärme aus der Biogasverstromung handelt. </v>
      </c>
      <c r="CW414" s="663"/>
      <c r="DT414" s="671"/>
      <c r="EJ414" s="656" t="str">
        <f ca="1">IF(X414=0,"",EJ$1&amp;X414)</f>
        <v>9.102</v>
      </c>
      <c r="EK414" s="656" t="str">
        <f ca="1">EK$1&amp;X414</f>
        <v>[D_Python.xlsx]9.Quellen!C102</v>
      </c>
      <c r="EV414" s="819">
        <f t="shared" ca="1" si="188"/>
        <v>414</v>
      </c>
      <c r="EW414" s="819"/>
    </row>
    <row r="415" spans="1:153" s="656" customFormat="1" ht="39">
      <c r="A415" s="654" t="str">
        <f t="shared" ca="1" si="186"/>
        <v>D.1.415</v>
      </c>
      <c r="B415" s="654" t="str">
        <f t="shared" ca="1" si="187"/>
        <v>1.415</v>
      </c>
      <c r="C415" s="654" t="str">
        <f t="shared" si="173"/>
        <v>[415]</v>
      </c>
      <c r="D415" s="654">
        <f>ROW()</f>
        <v>415</v>
      </c>
      <c r="E415" s="1130" t="str">
        <f>CU415</f>
        <v xml:space="preserve">90.058 GWh  Biogas und Deponie- und Klärgas im Jahr 2016,  resultierend  aus 85.305 GWh  Biogas (32.416 GWh  Strom aus Biogasverstromung [377] bei einem Wirkungsgrad von 38% [408]) plus Deponie-/KLärgasen von 4753 GWh [392]. </v>
      </c>
      <c r="F415" s="1130"/>
      <c r="G415" s="1130"/>
      <c r="H415" s="1130"/>
      <c r="I415" s="1130"/>
      <c r="J415" s="1130"/>
      <c r="K415" s="1130"/>
      <c r="L415" s="1130"/>
      <c r="M415" s="1130"/>
      <c r="N415" s="1131"/>
      <c r="O415" s="869">
        <v>415</v>
      </c>
      <c r="P415" s="691" t="str">
        <f ca="1">HYPERLINK(EK415,EJ415)</f>
        <v/>
      </c>
      <c r="Q415" s="692" t="str">
        <f>Y415</f>
        <v xml:space="preserve"> </v>
      </c>
      <c r="R415" s="852"/>
      <c r="S415" s="784"/>
      <c r="T415" s="864"/>
      <c r="U415" s="1023" t="str">
        <f>TEXT(W415,"0.000")&amp;AM415&amp;" Biogas und Deponie- und Klärgas im Jahr 2016,  resultierend  aus "&amp;TEXT(AH415,"0.000")&amp;AI415&amp;" Biogas ("&amp;TEXT(AD415,"0.000")&amp;AE415&amp;" Strom aus Biogasverstromung "&amp;C377&amp;" bei einem Wirkungsgrad von "&amp;AF415&amp;AG415&amp;C408&amp;") plus Deponie-/KLärgasen von "&amp;TEXT(AJ415,"0")&amp;AK415&amp;C392&amp;". "</f>
        <v xml:space="preserve">90.058 GWh  Biogas und Deponie- und Klärgas im Jahr 2016,  resultierend  aus 85.305 GWh  Biogas (32.416 GWh  Strom aus Biogasverstromung [377] bei einem Wirkungsgrad von 38% [408]) plus Deponie-/KLärgasen von 4753 GWh [392]. </v>
      </c>
      <c r="V415" s="905" t="s">
        <v>126</v>
      </c>
      <c r="W415" s="1024">
        <f>AL415</f>
        <v>90057.631578947374</v>
      </c>
      <c r="X415" s="672"/>
      <c r="Y415" s="672" t="s">
        <v>126</v>
      </c>
      <c r="Z415" s="1025"/>
      <c r="AA415" s="905"/>
      <c r="AB415" s="801"/>
      <c r="AC415" s="801"/>
      <c r="AD415" s="687">
        <f>W377</f>
        <v>32415.9</v>
      </c>
      <c r="AE415" s="801" t="s">
        <v>384</v>
      </c>
      <c r="AF415" s="687">
        <f>W408</f>
        <v>38</v>
      </c>
      <c r="AG415" s="801" t="s">
        <v>835</v>
      </c>
      <c r="AH415" s="801">
        <f>AD415/AF415%</f>
        <v>85305</v>
      </c>
      <c r="AI415" s="801" t="s">
        <v>384</v>
      </c>
      <c r="AJ415" s="687">
        <f>W392</f>
        <v>4752.6315789473692</v>
      </c>
      <c r="AK415" s="801" t="s">
        <v>384</v>
      </c>
      <c r="AL415" s="687">
        <f>AH415+AJ415</f>
        <v>90057.631578947374</v>
      </c>
      <c r="AM415" s="801" t="s">
        <v>384</v>
      </c>
      <c r="AN415" s="801"/>
      <c r="AO415" s="801"/>
      <c r="AP415" s="801"/>
      <c r="AQ415" s="801"/>
      <c r="AR415" s="801"/>
      <c r="AS415" s="801"/>
      <c r="AT415" s="801"/>
      <c r="AU415" s="801"/>
      <c r="AV415" s="801"/>
      <c r="BF415" s="657"/>
      <c r="BI415" s="656" t="s">
        <v>126</v>
      </c>
      <c r="BJ415" s="666"/>
      <c r="BO415" s="656" t="s">
        <v>252</v>
      </c>
      <c r="CU415" s="663" t="str">
        <f>IF(U415="",BF415,U415)</f>
        <v xml:space="preserve">90.058 GWh  Biogas und Deponie- und Klärgas im Jahr 2016,  resultierend  aus 85.305 GWh  Biogas (32.416 GWh  Strom aus Biogasverstromung [377] bei einem Wirkungsgrad von 38% [408]) plus Deponie-/KLärgasen von 4753 GWh [392]. </v>
      </c>
      <c r="CW415" s="663"/>
      <c r="DT415" s="671"/>
      <c r="EJ415" s="656" t="str">
        <f>IF(X415=0,"",EJ$1&amp;X415)</f>
        <v/>
      </c>
      <c r="EK415" s="656" t="str">
        <f ca="1">EK$1&amp;X415</f>
        <v>[D_Python.xlsx]9.Quellen!C</v>
      </c>
      <c r="EV415" s="819">
        <f t="shared" si="188"/>
        <v>415</v>
      </c>
      <c r="EW415" s="819"/>
    </row>
    <row r="416" spans="1:153" s="661" customFormat="1" ht="4">
      <c r="A416" s="677" t="str">
        <f t="shared" ca="1" si="186"/>
        <v>D.1.416</v>
      </c>
      <c r="B416" s="677" t="str">
        <f t="shared" ca="1" si="187"/>
        <v>1.416</v>
      </c>
      <c r="C416" s="677" t="str">
        <f t="shared" si="173"/>
        <v>[416]</v>
      </c>
      <c r="D416" s="677">
        <f>ROW()</f>
        <v>416</v>
      </c>
      <c r="E416" s="680"/>
      <c r="F416" s="680"/>
      <c r="G416" s="680"/>
      <c r="H416" s="680"/>
      <c r="I416" s="679"/>
      <c r="J416" s="679"/>
      <c r="K416" s="679"/>
      <c r="L416" s="679"/>
      <c r="M416" s="679"/>
      <c r="N416" s="680"/>
      <c r="O416" s="871">
        <v>416</v>
      </c>
      <c r="P416" s="688"/>
      <c r="Q416" s="689"/>
      <c r="R416" s="888"/>
      <c r="S416" s="802"/>
      <c r="T416" s="882"/>
      <c r="AB416" s="675"/>
      <c r="AC416" s="675"/>
      <c r="AD416" s="675"/>
      <c r="AE416" s="675"/>
      <c r="AF416" s="675"/>
      <c r="AG416" s="675"/>
      <c r="AH416" s="675"/>
      <c r="AI416" s="675"/>
      <c r="AJ416" s="675"/>
      <c r="AK416" s="675"/>
      <c r="AL416" s="675"/>
      <c r="AM416" s="675"/>
      <c r="AN416" s="675"/>
      <c r="AO416" s="675"/>
      <c r="AP416" s="675"/>
      <c r="AQ416" s="675"/>
      <c r="AR416" s="675"/>
      <c r="AS416" s="675"/>
      <c r="AT416" s="675"/>
      <c r="AU416" s="675"/>
      <c r="AV416" s="675"/>
      <c r="BI416" s="661" t="s">
        <v>126</v>
      </c>
      <c r="BJ416" s="665"/>
      <c r="CU416" s="662"/>
      <c r="CW416" s="662"/>
      <c r="EV416" s="818" t="str">
        <f t="shared" si="188"/>
        <v/>
      </c>
      <c r="EW416" s="818"/>
    </row>
    <row r="417" spans="1:153" s="472" customFormat="1" ht="65">
      <c r="A417" s="654" t="str">
        <f t="shared" ca="1" si="186"/>
        <v>D.1.417</v>
      </c>
      <c r="B417" s="654" t="str">
        <f t="shared" ca="1" si="187"/>
        <v>1.417</v>
      </c>
      <c r="C417" s="654" t="str">
        <f t="shared" si="173"/>
        <v>[417]</v>
      </c>
      <c r="D417" s="654">
        <f>ROW()</f>
        <v>417</v>
      </c>
      <c r="E417" s="1125" t="str">
        <f t="shared" ref="E417" si="194">CU417</f>
        <v>- ZIEL-Ansatz: Leichte Erhöhung gegenüber dem Status, resultierend aus folgender Überlegung: Beispielsweise durch erhöhte Anzahl von Satelliten-BHKW an Orten mit Wärmeabnahme lässt sich die Abwärmenutzung steigern. Bei verstärkt intermittierender BHKW-Betriebsführung zum Ausgleich von Strommangelphasen wird allerdings die zeitliche Übereinstimmung von Wärme-Angebot und -Bedarf weiter zurückgehen bzw. verlustbehaftete Wärmespeicherung erforderlich machen.</v>
      </c>
      <c r="F417" s="1125"/>
      <c r="G417" s="1125"/>
      <c r="H417" s="1125"/>
      <c r="I417" s="1125"/>
      <c r="J417" s="1125"/>
      <c r="K417" s="1125"/>
      <c r="L417" s="1125"/>
      <c r="M417" s="1125"/>
      <c r="N417" s="1132"/>
      <c r="O417" s="869">
        <v>417</v>
      </c>
      <c r="P417" s="573" t="str">
        <f ca="1">HYPERLINK(EK417,EJ417)</f>
        <v/>
      </c>
      <c r="Q417" s="574" t="str">
        <f>Y417</f>
        <v xml:space="preserve"> </v>
      </c>
      <c r="R417" s="852"/>
      <c r="S417" s="784"/>
      <c r="T417" s="864"/>
      <c r="U417" s="1023" t="str">
        <f>"Leichte Erhöhung gegenüber dem Status, resultierend aus folgender Überlegung: Beispielsweise durch erhöhte Anzahl von Satelliten-BHKW an Orten mit Wärmeabnahme lässt sich die Abwärmenutzung steigern. "&amp;"Bei verstärkt intermittierender BHKW-Betriebsführung zum Ausgleich von Strommangelphasen wird allerdings die zeitliche Übereinstimmung von Wärme-Angebot und -Bedarf weiter zurückgehen "&amp;"bzw. verlustbehaftete Wärmespeicherung erforderlich machen."</f>
        <v>Leichte Erhöhung gegenüber dem Status, resultierend aus folgender Überlegung: Beispielsweise durch erhöhte Anzahl von Satelliten-BHKW an Orten mit Wärmeabnahme lässt sich die Abwärmenutzung steigern. Bei verstärkt intermittierender BHKW-Betriebsführung zum Ausgleich von Strommangelphasen wird allerdings die zeitliche Übereinstimmung von Wärme-Angebot und -Bedarf weiter zurückgehen bzw. verlustbehaftete Wärmespeicherung erforderlich machen.</v>
      </c>
      <c r="V417" s="905" t="s">
        <v>126</v>
      </c>
      <c r="W417" s="1024">
        <v>25</v>
      </c>
      <c r="X417" s="672"/>
      <c r="Y417" s="672" t="s">
        <v>126</v>
      </c>
      <c r="Z417" s="1025"/>
      <c r="AA417" s="905"/>
      <c r="AB417" s="801"/>
      <c r="AC417" s="801"/>
      <c r="AD417" s="801"/>
      <c r="AE417" s="801"/>
      <c r="AF417" s="801"/>
      <c r="AG417" s="801"/>
      <c r="AH417" s="801"/>
      <c r="AI417" s="801"/>
      <c r="AJ417" s="801"/>
      <c r="AK417" s="801"/>
      <c r="AL417" s="801"/>
      <c r="AM417" s="801"/>
      <c r="AN417" s="801"/>
      <c r="AO417" s="801"/>
      <c r="AP417" s="801"/>
      <c r="AQ417" s="801"/>
      <c r="AR417" s="801"/>
      <c r="AS417" s="801"/>
      <c r="AT417" s="801"/>
      <c r="AU417" s="801"/>
      <c r="AV417" s="801"/>
      <c r="BF417" s="473"/>
      <c r="BI417" s="472" t="s">
        <v>126</v>
      </c>
      <c r="BJ417" s="490"/>
      <c r="BN417" s="656"/>
      <c r="BO417" s="472" t="s">
        <v>259</v>
      </c>
      <c r="CU417" s="480" t="str">
        <f>CH$1&amp;IF(U417="",BF417,U417)</f>
        <v>- ZIEL-Ansatz: Leichte Erhöhung gegenüber dem Status, resultierend aus folgender Überlegung: Beispielsweise durch erhöhte Anzahl von Satelliten-BHKW an Orten mit Wärmeabnahme lässt sich die Abwärmenutzung steigern. Bei verstärkt intermittierender BHKW-Betriebsführung zum Ausgleich von Strommangelphasen wird allerdings die zeitliche Übereinstimmung von Wärme-Angebot und -Bedarf weiter zurückgehen bzw. verlustbehaftete Wärmespeicherung erforderlich machen.</v>
      </c>
      <c r="CV417" s="656"/>
      <c r="CW417" s="480"/>
      <c r="DS417" s="656"/>
      <c r="DT417" s="518">
        <v>53</v>
      </c>
      <c r="EJ417" s="472" t="str">
        <f>IF(X417=0,"",EJ$1&amp;X417)</f>
        <v/>
      </c>
      <c r="EK417" s="472" t="str">
        <f ca="1">EK$1&amp;X417</f>
        <v>[D_Python.xlsx]9.Quellen!C</v>
      </c>
      <c r="EV417" s="819">
        <f t="shared" si="188"/>
        <v>417</v>
      </c>
      <c r="EW417" s="819"/>
    </row>
    <row r="418" spans="1:153" s="478" customFormat="1" ht="4">
      <c r="A418" s="677" t="str">
        <f t="shared" ca="1" si="186"/>
        <v>D.1.418</v>
      </c>
      <c r="B418" s="677" t="str">
        <f t="shared" ca="1" si="187"/>
        <v>1.418</v>
      </c>
      <c r="C418" s="677" t="str">
        <f t="shared" si="173"/>
        <v>[418]</v>
      </c>
      <c r="D418" s="677">
        <f>ROW()</f>
        <v>418</v>
      </c>
      <c r="E418" s="548"/>
      <c r="F418" s="548"/>
      <c r="G418" s="548"/>
      <c r="H418" s="548"/>
      <c r="I418" s="549"/>
      <c r="J418" s="549"/>
      <c r="K418" s="549"/>
      <c r="L418" s="549"/>
      <c r="M418" s="549"/>
      <c r="N418" s="548"/>
      <c r="O418" s="871">
        <v>418</v>
      </c>
      <c r="P418" s="575"/>
      <c r="Q418" s="576"/>
      <c r="R418" s="888"/>
      <c r="S418" s="802"/>
      <c r="T418" s="882"/>
      <c r="U418" s="661"/>
      <c r="V418" s="661"/>
      <c r="W418" s="661"/>
      <c r="X418" s="661"/>
      <c r="Y418" s="661"/>
      <c r="Z418" s="661"/>
      <c r="AA418" s="661"/>
      <c r="AB418" s="675"/>
      <c r="AC418" s="675"/>
      <c r="AD418" s="675"/>
      <c r="AE418" s="675"/>
      <c r="AF418" s="675"/>
      <c r="AG418" s="675"/>
      <c r="AH418" s="675"/>
      <c r="AI418" s="675"/>
      <c r="AJ418" s="675"/>
      <c r="AK418" s="675"/>
      <c r="AL418" s="675"/>
      <c r="AM418" s="675"/>
      <c r="AN418" s="675"/>
      <c r="AO418" s="675"/>
      <c r="AP418" s="675"/>
      <c r="AQ418" s="675"/>
      <c r="AR418" s="675"/>
      <c r="AS418" s="675"/>
      <c r="AT418" s="675"/>
      <c r="AU418" s="675"/>
      <c r="AV418" s="675"/>
      <c r="AZ418" s="505"/>
      <c r="BB418" s="505"/>
      <c r="BI418" s="478" t="s">
        <v>126</v>
      </c>
      <c r="BJ418" s="489"/>
      <c r="BN418" s="661"/>
      <c r="CU418" s="479"/>
      <c r="CV418" s="661"/>
      <c r="CW418" s="479"/>
      <c r="DS418" s="661"/>
      <c r="EV418" s="818" t="str">
        <f t="shared" si="188"/>
        <v/>
      </c>
      <c r="EW418" s="818"/>
    </row>
    <row r="419" spans="1:153" s="475" customFormat="1" ht="13.5" customHeight="1">
      <c r="A419" s="654" t="str">
        <f t="shared" ca="1" si="186"/>
        <v>D.1.419</v>
      </c>
      <c r="B419" s="654" t="str">
        <f t="shared" ca="1" si="187"/>
        <v>1.419</v>
      </c>
      <c r="C419" s="654" t="str">
        <f t="shared" ref="C419:C496" si="195">CE$1&amp;D419&amp;CF$1</f>
        <v>[419]</v>
      </c>
      <c r="D419" s="654">
        <f>ROW()</f>
        <v>419</v>
      </c>
      <c r="E419" s="1129" t="str">
        <f>BP419</f>
        <v>Biogas-Anteil als Biomethan für Mobile Antriebe</v>
      </c>
      <c r="F419" s="1129"/>
      <c r="G419" s="1129"/>
      <c r="H419" s="1129"/>
      <c r="I419" s="1129"/>
      <c r="J419" s="471" t="s">
        <v>38</v>
      </c>
      <c r="K419" s="557">
        <f ca="1">INDIRECT($W$1&amp;U419)</f>
        <v>0.43186460461044646</v>
      </c>
      <c r="L419" s="485" t="str">
        <f ca="1">HYPERLINK($CK$1&amp;U419,$CE$1&amp;U419&amp;$CF$1)</f>
        <v>[420]</v>
      </c>
      <c r="M419" s="558">
        <v>73.8</v>
      </c>
      <c r="N419" s="533" t="str">
        <f ca="1">HYPERLINK($CK$1&amp;W419,$CE$1&amp;W419&amp;$CF$1)</f>
        <v>[422]</v>
      </c>
      <c r="O419" s="869">
        <v>419</v>
      </c>
      <c r="P419" s="570"/>
      <c r="Q419" s="583"/>
      <c r="R419" s="852"/>
      <c r="S419" s="784"/>
      <c r="T419" s="864"/>
      <c r="U419" s="672">
        <f>D420</f>
        <v>420</v>
      </c>
      <c r="V419" s="905" t="s">
        <v>126</v>
      </c>
      <c r="W419" s="672">
        <f>D422</f>
        <v>422</v>
      </c>
      <c r="X419" s="658"/>
      <c r="Y419" s="658"/>
      <c r="Z419" s="658"/>
      <c r="AA419" s="658"/>
      <c r="AB419" s="801"/>
      <c r="AC419" s="801"/>
      <c r="AD419" s="674"/>
      <c r="AE419" s="674"/>
      <c r="AF419" s="674"/>
      <c r="AG419" s="674"/>
      <c r="AH419" s="674"/>
      <c r="AI419" s="674"/>
      <c r="AJ419" s="674"/>
      <c r="AK419" s="674"/>
      <c r="AL419" s="674"/>
      <c r="AM419" s="674"/>
      <c r="AN419" s="674"/>
      <c r="AO419" s="674"/>
      <c r="AP419" s="674"/>
      <c r="AQ419" s="674"/>
      <c r="AR419" s="674"/>
      <c r="AS419" s="674"/>
      <c r="AT419" s="674"/>
      <c r="AU419" s="674"/>
      <c r="AV419" s="674"/>
      <c r="AX419" s="475" t="s">
        <v>244</v>
      </c>
      <c r="AY419" s="500">
        <f ca="1">DA419</f>
        <v>0.3344139493893995</v>
      </c>
      <c r="AZ419" s="508" t="str">
        <f ca="1">HYPERLINK(DN419,DC419)</f>
        <v xml:space="preserve"> 319</v>
      </c>
      <c r="BA419" s="500">
        <f ca="1">DB419</f>
        <v>130.83441394938939</v>
      </c>
      <c r="BB419" s="508" t="str">
        <f ca="1">HYPERLINK(DO419,DD419)</f>
        <v xml:space="preserve"> 320</v>
      </c>
      <c r="BC419" s="475" t="str">
        <f ca="1">CY419&amp;" | "&amp;CZ419</f>
        <v>0 | 1.3.1 Nutz-Anteil Biogas komprimiert  = Anteil an der Energiepflanzen-Anbaufläche</v>
      </c>
      <c r="BI419" s="475" t="s">
        <v>126</v>
      </c>
      <c r="BJ419" s="492" t="str">
        <f>E419</f>
        <v>Biogas-Anteil als Biomethan für Mobile Antriebe</v>
      </c>
      <c r="BK419" s="486">
        <f ca="1">K419</f>
        <v>0.43186460461044646</v>
      </c>
      <c r="BL419" s="486">
        <f>M419</f>
        <v>73.8</v>
      </c>
      <c r="BM419" s="472">
        <f>D419</f>
        <v>419</v>
      </c>
      <c r="BN419" s="658"/>
      <c r="BO419" s="475" t="s">
        <v>251</v>
      </c>
      <c r="BP419" s="521" t="s">
        <v>715</v>
      </c>
      <c r="CU419" s="476"/>
      <c r="CV419" s="658"/>
      <c r="CW419" s="518">
        <v>81</v>
      </c>
      <c r="CY419" s="472">
        <f t="shared" ref="CY419:DO419" ca="1" si="196">INDIRECT($CX$1&amp;CY$1&amp;$CW419)</f>
        <v>0</v>
      </c>
      <c r="CZ419" s="472" t="str">
        <f t="shared" ca="1" si="196"/>
        <v>1.3.1 Nutz-Anteil Biogas komprimiert  = Anteil an der Energiepflanzen-Anbaufläche</v>
      </c>
      <c r="DA419" s="472">
        <f t="shared" ca="1" si="196"/>
        <v>0.3344139493893995</v>
      </c>
      <c r="DB419" s="472">
        <f t="shared" ca="1" si="196"/>
        <v>130.83441394938939</v>
      </c>
      <c r="DC419" s="472" t="str">
        <f t="shared" ca="1" si="196"/>
        <v xml:space="preserve"> 319</v>
      </c>
      <c r="DD419" s="472" t="str">
        <f t="shared" ca="1" si="196"/>
        <v xml:space="preserve"> 320</v>
      </c>
      <c r="DE419" s="472" t="str">
        <f t="shared" ca="1" si="196"/>
        <v>EP80</v>
      </c>
      <c r="DF419" s="472" t="str">
        <f t="shared" ca="1" si="196"/>
        <v>EP79</v>
      </c>
      <c r="DG419" s="472" t="str">
        <f t="shared" ca="1" si="196"/>
        <v>EP</v>
      </c>
      <c r="DH419" s="472" t="str">
        <f t="shared" ca="1" si="196"/>
        <v>80</v>
      </c>
      <c r="DI419" s="472" t="str">
        <f t="shared" ca="1" si="196"/>
        <v>[EP.xls]TEXT!Z80S5</v>
      </c>
      <c r="DJ419" s="472" t="str">
        <f t="shared" ca="1" si="196"/>
        <v>EP</v>
      </c>
      <c r="DK419" s="472" t="str">
        <f t="shared" ca="1" si="196"/>
        <v>79</v>
      </c>
      <c r="DL419" s="472" t="str">
        <f t="shared" ca="1" si="196"/>
        <v>[EP.xls]TEXT!Z79S5</v>
      </c>
      <c r="DM419" s="472">
        <f t="shared" ca="1" si="196"/>
        <v>81</v>
      </c>
      <c r="DN419" s="472" t="str">
        <f t="shared" ca="1" si="196"/>
        <v>[Region.xls]PARAMETER!Z319S6</v>
      </c>
      <c r="DO419" s="472" t="str">
        <f t="shared" ca="1" si="196"/>
        <v>[Region.xls]PARAMETER!Z320S6</v>
      </c>
      <c r="DP419" s="472"/>
      <c r="DS419" s="656"/>
      <c r="DV419" s="472"/>
      <c r="DW419" s="472"/>
      <c r="DX419" s="472"/>
      <c r="DY419" s="472"/>
      <c r="DZ419" s="472"/>
      <c r="EA419" s="472"/>
      <c r="EB419" s="472"/>
      <c r="EC419" s="472"/>
      <c r="ED419" s="472"/>
      <c r="EE419" s="472"/>
      <c r="EF419" s="472"/>
      <c r="EG419" s="472"/>
      <c r="EH419" s="472"/>
      <c r="EI419" s="472"/>
      <c r="EJ419" s="472"/>
      <c r="EK419" s="472"/>
      <c r="EV419" s="819">
        <f t="shared" si="188"/>
        <v>419</v>
      </c>
      <c r="EW419" s="819"/>
    </row>
    <row r="420" spans="1:153" s="472" customFormat="1">
      <c r="A420" s="654" t="str">
        <f t="shared" ca="1" si="186"/>
        <v>D.1.420</v>
      </c>
      <c r="B420" s="654" t="str">
        <f t="shared" ca="1" si="187"/>
        <v>1.420</v>
      </c>
      <c r="C420" s="654" t="str">
        <f t="shared" si="195"/>
        <v>[420]</v>
      </c>
      <c r="D420" s="654">
        <f>ROW()</f>
        <v>420</v>
      </c>
      <c r="E420" s="1130" t="str">
        <f>CU420</f>
        <v>- STATUS-Ansatz: Gemäß [421]:</v>
      </c>
      <c r="F420" s="1130"/>
      <c r="G420" s="1130"/>
      <c r="H420" s="1130"/>
      <c r="I420" s="1130"/>
      <c r="J420" s="1130"/>
      <c r="K420" s="1130"/>
      <c r="L420" s="1130"/>
      <c r="M420" s="1130"/>
      <c r="N420" s="1131"/>
      <c r="O420" s="869">
        <v>420</v>
      </c>
      <c r="P420" s="573" t="str">
        <f ca="1">HYPERLINK(EK420,EJ420)</f>
        <v/>
      </c>
      <c r="Q420" s="574" t="str">
        <f>Y420</f>
        <v xml:space="preserve"> </v>
      </c>
      <c r="R420" s="852"/>
      <c r="S420" s="784"/>
      <c r="T420" s="864"/>
      <c r="U420" s="1023" t="str">
        <f>"Gemäß "&amp;C421&amp;":"</f>
        <v>Gemäß [421]:</v>
      </c>
      <c r="V420" s="905" t="s">
        <v>126</v>
      </c>
      <c r="W420" s="1034">
        <f>AL421</f>
        <v>0.43186460461044646</v>
      </c>
      <c r="X420" s="672"/>
      <c r="Y420" s="672" t="s">
        <v>126</v>
      </c>
      <c r="Z420" s="1025"/>
      <c r="AA420" s="658"/>
      <c r="AB420" s="801"/>
      <c r="AC420" s="801"/>
      <c r="AD420" s="801"/>
      <c r="AE420" s="801"/>
      <c r="AF420" s="801"/>
      <c r="AG420" s="801"/>
      <c r="AH420" s="801"/>
      <c r="AI420" s="801"/>
      <c r="AJ420" s="801"/>
      <c r="AK420" s="801"/>
      <c r="AL420" s="801"/>
      <c r="AM420" s="801"/>
      <c r="AN420" s="801"/>
      <c r="AO420" s="801"/>
      <c r="AP420" s="801"/>
      <c r="AQ420" s="801"/>
      <c r="AR420" s="801"/>
      <c r="AS420" s="801"/>
      <c r="AT420" s="801"/>
      <c r="AU420" s="801"/>
      <c r="AV420" s="801"/>
      <c r="BF420" s="473"/>
      <c r="BI420" s="472" t="s">
        <v>126</v>
      </c>
      <c r="BJ420" s="490"/>
      <c r="BN420" s="656"/>
      <c r="BO420" s="472" t="s">
        <v>259</v>
      </c>
      <c r="CU420" s="480" t="str">
        <f>CG$1&amp;IF(U420="",BF420,U420)</f>
        <v>- STATUS-Ansatz: Gemäß [421]:</v>
      </c>
      <c r="CV420" s="656"/>
      <c r="CW420" s="480"/>
      <c r="DS420" s="656"/>
      <c r="DT420" s="518">
        <f>I_Basisdaten!A159</f>
        <v>159</v>
      </c>
      <c r="EJ420" s="472" t="str">
        <f>IF(X420=0,"",EJ$1&amp;X420)</f>
        <v/>
      </c>
      <c r="EK420" s="472" t="str">
        <f ca="1">EK$1&amp;X420</f>
        <v>[D_Python.xlsx]9.Quellen!C</v>
      </c>
      <c r="EV420" s="819">
        <f t="shared" si="188"/>
        <v>420</v>
      </c>
      <c r="EW420" s="819"/>
    </row>
    <row r="421" spans="1:153" s="656" customFormat="1" ht="40" thickBot="1">
      <c r="A421" s="654" t="str">
        <f t="shared" ca="1" si="186"/>
        <v>D.1.421</v>
      </c>
      <c r="B421" s="654" t="str">
        <f t="shared" ca="1" si="187"/>
        <v>1.421</v>
      </c>
      <c r="C421" s="654" t="str">
        <f t="shared" si="195"/>
        <v>[421]</v>
      </c>
      <c r="D421" s="654">
        <f>ROW()</f>
        <v>421</v>
      </c>
      <c r="E421" s="1130" t="str">
        <f ca="1">CU421</f>
        <v xml:space="preserve">0,4%  der gesamten Biogaserzeugung in Deutschland 2016 wurden im Verkehrssektor als Kraftstoff verwendet, resultierend aus dem Verhältnis von 370 GWh  im Verkehrssektor gemäß  [9.72], S. 17, zu 85.305 GWh  für die Verstromung (mit 32.416 GWh  Stromerzeugung [377] und 38%  Verstromungswirkungsgrad [375]). </v>
      </c>
      <c r="F421" s="1130"/>
      <c r="G421" s="1130"/>
      <c r="H421" s="1130"/>
      <c r="I421" s="1130"/>
      <c r="J421" s="1130"/>
      <c r="K421" s="1130"/>
      <c r="L421" s="1130"/>
      <c r="M421" s="1130"/>
      <c r="N421" s="1131"/>
      <c r="O421" s="869">
        <v>421</v>
      </c>
      <c r="P421" s="691" t="str">
        <f ca="1">HYPERLINK(EK421,EJ421)</f>
        <v>9.72</v>
      </c>
      <c r="Q421" s="692" t="str">
        <f>Y421</f>
        <v>S. 17</v>
      </c>
      <c r="R421" s="852"/>
      <c r="S421" s="784"/>
      <c r="T421" s="864"/>
      <c r="U421" s="1023" t="str">
        <f ca="1">TEXT(AL421,"0,0")&amp;AM421&amp;" der gesamten Biogaserzeugung in Deutschland 2016 wurden im Verkehrssektor als Kraftstoff verwendet, resultierend aus dem Verhältnis von "&amp;AD421&amp;AE421&amp;" im Verkehrssektor gemäß "&amp;'9.Quellen'!E161&amp;" ["&amp;P421&amp;"], "&amp;Q421&amp;", zu "&amp;TEXT(AJ421,"0.000")&amp;AK421&amp;" für die Verstromung (mit "&amp;TEXT(AF421,"0.000")&amp;AG421&amp;" Stromerzeugung "&amp;C377&amp;" und "&amp;AH421&amp;AI421&amp;" Verstromungswirkungsgrad "&amp;C375&amp;"). "</f>
        <v xml:space="preserve">0,4%  der gesamten Biogaserzeugung in Deutschland 2016 wurden im Verkehrssektor als Kraftstoff verwendet, resultierend aus dem Verhältnis von 370 GWh  im Verkehrssektor gemäß  [9.72], S. 17, zu 85.305 GWh  für die Verstromung (mit 32.416 GWh  Stromerzeugung [377] und 38%  Verstromungswirkungsgrad [375]). </v>
      </c>
      <c r="V421" s="905" t="s">
        <v>126</v>
      </c>
      <c r="W421" s="1087"/>
      <c r="X421" s="672">
        <f>'9.Quellen'!C72</f>
        <v>72</v>
      </c>
      <c r="Y421" s="672" t="s">
        <v>540</v>
      </c>
      <c r="Z421" s="1025"/>
      <c r="AA421" s="905"/>
      <c r="AB421" s="801"/>
      <c r="AC421" s="801"/>
      <c r="AD421" s="801">
        <v>370</v>
      </c>
      <c r="AE421" s="801" t="s">
        <v>384</v>
      </c>
      <c r="AF421" s="801">
        <f>AF377</f>
        <v>32415.9</v>
      </c>
      <c r="AG421" s="801" t="s">
        <v>384</v>
      </c>
      <c r="AH421" s="801">
        <f>AF375</f>
        <v>38</v>
      </c>
      <c r="AI421" s="801" t="s">
        <v>835</v>
      </c>
      <c r="AJ421" s="801">
        <f>AF421/AH421%</f>
        <v>85305</v>
      </c>
      <c r="AK421" s="801" t="s">
        <v>384</v>
      </c>
      <c r="AL421" s="801">
        <f>AD421/(AD421+AJ421)%</f>
        <v>0.43186460461044646</v>
      </c>
      <c r="AM421" s="801" t="s">
        <v>835</v>
      </c>
      <c r="AN421" s="801"/>
      <c r="AO421" s="801"/>
      <c r="AP421" s="801"/>
      <c r="AQ421" s="801"/>
      <c r="AR421" s="801"/>
      <c r="AS421" s="801"/>
      <c r="AT421" s="801"/>
      <c r="AU421" s="801"/>
      <c r="AV421" s="801"/>
      <c r="BF421" s="657"/>
      <c r="BI421" s="656" t="s">
        <v>126</v>
      </c>
      <c r="BJ421" s="666"/>
      <c r="BO421" s="656" t="s">
        <v>252</v>
      </c>
      <c r="CU421" s="663" t="str">
        <f ca="1">IF(U421="",BF421,U421)</f>
        <v xml:space="preserve">0,4%  der gesamten Biogaserzeugung in Deutschland 2016 wurden im Verkehrssektor als Kraftstoff verwendet, resultierend aus dem Verhältnis von 370 GWh  im Verkehrssektor gemäß  [9.72], S. 17, zu 85.305 GWh  für die Verstromung (mit 32.416 GWh  Stromerzeugung [377] und 38%  Verstromungswirkungsgrad [375]). </v>
      </c>
      <c r="CW421" s="663"/>
      <c r="DT421" s="671"/>
      <c r="EJ421" s="656" t="str">
        <f ca="1">IF(X421=0,"",EJ$1&amp;X421)</f>
        <v>9.72</v>
      </c>
      <c r="EK421" s="656" t="str">
        <f ca="1">EK$1&amp;X421</f>
        <v>[D_Python.xlsx]9.Quellen!C72</v>
      </c>
      <c r="EV421" s="819">
        <f t="shared" ca="1" si="188"/>
        <v>421</v>
      </c>
      <c r="EW421" s="819"/>
    </row>
    <row r="422" spans="1:153" s="472" customFormat="1" ht="40" thickBot="1">
      <c r="A422" s="654" t="str">
        <f t="shared" ca="1" si="186"/>
        <v>D.1.422</v>
      </c>
      <c r="B422" s="654" t="str">
        <f t="shared" ca="1" si="187"/>
        <v>1.422</v>
      </c>
      <c r="C422" s="654" t="str">
        <f t="shared" si="195"/>
        <v>[422]</v>
      </c>
      <c r="D422" s="654">
        <f>ROW()</f>
        <v>422</v>
      </c>
      <c r="E422" s="1125" t="str">
        <f t="shared" ref="E422" si="197">CU422</f>
        <v>- ZIEL-Ansatz: (Bei Abweichungen gilt Abgleichergebnis in _S.xlsx) Biogas ist vorrangig zur Kraftstofferzeugung für die mobilen Anwendungen vorgesehen (vor allem Güterverkehr), da hier die Substitution der fossilen Kraftstoffe besonders anspruchsvoll ist.</v>
      </c>
      <c r="F422" s="1125"/>
      <c r="G422" s="1125"/>
      <c r="H422" s="1125"/>
      <c r="I422" s="1125"/>
      <c r="J422" s="1125"/>
      <c r="K422" s="1125"/>
      <c r="L422" s="1125"/>
      <c r="M422" s="1125"/>
      <c r="N422" s="1132"/>
      <c r="O422" s="869">
        <v>422</v>
      </c>
      <c r="P422" s="573" t="str">
        <f ca="1">HYPERLINK(EK422,EJ422)</f>
        <v/>
      </c>
      <c r="Q422" s="574" t="str">
        <f>Y422</f>
        <v xml:space="preserve"> </v>
      </c>
      <c r="R422" s="852"/>
      <c r="S422" s="784"/>
      <c r="T422" s="864"/>
      <c r="U422" s="1023" t="str">
        <f>"(Bei Abweichungen gilt Abgleichergebnis in _S.xlsx) Biogas ist vorrangig zur Kraftstofferzeugung für die mobilen Anwendungen vorgesehen (vor allem Güterverkehr), da hier die Substitution der fossilen Kraftstoffe besonders anspruchsvoll ist."</f>
        <v>(Bei Abweichungen gilt Abgleichergebnis in _S.xlsx) Biogas ist vorrangig zur Kraftstofferzeugung für die mobilen Anwendungen vorgesehen (vor allem Güterverkehr), da hier die Substitution der fossilen Kraftstoffe besonders anspruchsvoll ist.</v>
      </c>
      <c r="V422" s="905" t="s">
        <v>126</v>
      </c>
      <c r="W422" s="1088">
        <v>73.760630940062555</v>
      </c>
      <c r="X422" s="865"/>
      <c r="Y422" s="672" t="s">
        <v>126</v>
      </c>
      <c r="Z422" s="1025"/>
      <c r="AA422" s="905"/>
      <c r="AB422" s="801"/>
      <c r="AC422" s="1020"/>
      <c r="AD422" s="562"/>
      <c r="AE422" s="801"/>
      <c r="AF422" s="801"/>
      <c r="AG422" s="801"/>
      <c r="AH422" s="801"/>
      <c r="AI422" s="801"/>
      <c r="AJ422" s="801"/>
      <c r="AK422" s="801"/>
      <c r="AL422" s="801"/>
      <c r="AM422" s="801"/>
      <c r="AN422" s="801"/>
      <c r="AO422" s="801"/>
      <c r="AP422" s="801"/>
      <c r="AQ422" s="801"/>
      <c r="AR422" s="801"/>
      <c r="AS422" s="801"/>
      <c r="AT422" s="801"/>
      <c r="AU422" s="801"/>
      <c r="AV422" s="801"/>
      <c r="BF422" s="473"/>
      <c r="BI422" s="472" t="s">
        <v>126</v>
      </c>
      <c r="BJ422" s="490"/>
      <c r="BN422" s="656"/>
      <c r="BO422" s="472" t="s">
        <v>259</v>
      </c>
      <c r="CU422" s="480" t="str">
        <f>CH$1&amp;IF(U422="",BF422,U422)</f>
        <v>- ZIEL-Ansatz: (Bei Abweichungen gilt Abgleichergebnis in _S.xlsx) Biogas ist vorrangig zur Kraftstofferzeugung für die mobilen Anwendungen vorgesehen (vor allem Güterverkehr), da hier die Substitution der fossilen Kraftstoffe besonders anspruchsvoll ist.</v>
      </c>
      <c r="CV422" s="656"/>
      <c r="CW422" s="480"/>
      <c r="DS422" s="656"/>
      <c r="DT422" s="518">
        <v>53</v>
      </c>
      <c r="EJ422" s="472" t="str">
        <f>IF(X422=0,"",EJ$1&amp;X422)</f>
        <v/>
      </c>
      <c r="EK422" s="472" t="str">
        <f ca="1">EK$1&amp;X422</f>
        <v>[D_Python.xlsx]9.Quellen!C</v>
      </c>
      <c r="EV422" s="819">
        <f t="shared" si="188"/>
        <v>422</v>
      </c>
      <c r="EW422" s="819"/>
    </row>
    <row r="423" spans="1:153" s="478" customFormat="1" ht="4">
      <c r="A423" s="677" t="str">
        <f t="shared" ca="1" si="186"/>
        <v>D.1.423</v>
      </c>
      <c r="B423" s="677" t="str">
        <f t="shared" ca="1" si="187"/>
        <v>1.423</v>
      </c>
      <c r="C423" s="677" t="str">
        <f t="shared" si="195"/>
        <v>[423]</v>
      </c>
      <c r="D423" s="677">
        <f>ROW()</f>
        <v>423</v>
      </c>
      <c r="E423" s="548"/>
      <c r="F423" s="548"/>
      <c r="G423" s="548"/>
      <c r="H423" s="548"/>
      <c r="I423" s="549"/>
      <c r="J423" s="549"/>
      <c r="K423" s="549"/>
      <c r="L423" s="549"/>
      <c r="M423" s="549"/>
      <c r="N423" s="548"/>
      <c r="O423" s="871">
        <v>423</v>
      </c>
      <c r="P423" s="575"/>
      <c r="Q423" s="576"/>
      <c r="R423" s="888"/>
      <c r="S423" s="802"/>
      <c r="T423" s="882"/>
      <c r="U423" s="661"/>
      <c r="V423" s="661"/>
      <c r="W423" s="661"/>
      <c r="X423" s="661"/>
      <c r="Y423" s="661"/>
      <c r="Z423" s="661"/>
      <c r="AA423" s="661"/>
      <c r="AB423" s="675"/>
      <c r="AC423" s="675"/>
      <c r="AD423" s="675"/>
      <c r="AE423" s="675"/>
      <c r="AF423" s="675"/>
      <c r="AG423" s="675"/>
      <c r="AH423" s="675"/>
      <c r="AI423" s="675"/>
      <c r="AJ423" s="675"/>
      <c r="AK423" s="675"/>
      <c r="AL423" s="675"/>
      <c r="AM423" s="675"/>
      <c r="AN423" s="675"/>
      <c r="AO423" s="675"/>
      <c r="AP423" s="675"/>
      <c r="AQ423" s="675"/>
      <c r="AR423" s="675"/>
      <c r="AS423" s="675"/>
      <c r="AT423" s="675"/>
      <c r="AU423" s="675"/>
      <c r="AV423" s="675"/>
      <c r="AZ423" s="505"/>
      <c r="BB423" s="505"/>
      <c r="BI423" s="478" t="s">
        <v>126</v>
      </c>
      <c r="BJ423" s="489"/>
      <c r="BN423" s="661"/>
      <c r="CU423" s="479"/>
      <c r="CV423" s="661"/>
      <c r="CW423" s="479"/>
      <c r="DS423" s="661"/>
      <c r="EV423" s="818" t="str">
        <f t="shared" si="188"/>
        <v/>
      </c>
      <c r="EW423" s="818"/>
    </row>
    <row r="424" spans="1:153" s="475" customFormat="1" ht="13.5" customHeight="1">
      <c r="A424" s="654" t="str">
        <f t="shared" ca="1" si="186"/>
        <v>D.1.424</v>
      </c>
      <c r="B424" s="654" t="str">
        <f t="shared" ca="1" si="187"/>
        <v>1.424</v>
      </c>
      <c r="C424" s="654" t="str">
        <f t="shared" si="195"/>
        <v>[424]</v>
      </c>
      <c r="D424" s="654">
        <f>ROW()</f>
        <v>424</v>
      </c>
      <c r="E424" s="1129" t="str">
        <f>BP424</f>
        <v>Biogas zu Biomethan-Kraftstoff - Nutzungsgrad</v>
      </c>
      <c r="F424" s="1129"/>
      <c r="G424" s="1129"/>
      <c r="H424" s="1129"/>
      <c r="I424" s="1129"/>
      <c r="J424" s="559" t="s">
        <v>38</v>
      </c>
      <c r="K424" s="557">
        <f ca="1">INDIRECT($W$1&amp;U424)</f>
        <v>94</v>
      </c>
      <c r="L424" s="485" t="str">
        <f ca="1">HYPERLINK($CK$1&amp;U424,$CE$1&amp;U424&amp;$CF$1)</f>
        <v>[425]</v>
      </c>
      <c r="M424" s="558">
        <f ca="1">INDIRECT($W$1&amp;W424)</f>
        <v>94</v>
      </c>
      <c r="N424" s="533" t="str">
        <f ca="1">HYPERLINK($CK$1&amp;W424,$CE$1&amp;W424&amp;$CF$1)</f>
        <v>[428]</v>
      </c>
      <c r="O424" s="869">
        <v>424</v>
      </c>
      <c r="P424" s="570"/>
      <c r="Q424" s="583"/>
      <c r="R424" s="852"/>
      <c r="S424" s="784"/>
      <c r="T424" s="864"/>
      <c r="U424" s="672">
        <f>D425</f>
        <v>425</v>
      </c>
      <c r="V424" s="905" t="s">
        <v>126</v>
      </c>
      <c r="W424" s="672">
        <f>D428</f>
        <v>428</v>
      </c>
      <c r="X424" s="658"/>
      <c r="Y424" s="658"/>
      <c r="Z424" s="658"/>
      <c r="AA424" s="658"/>
      <c r="AB424" s="801"/>
      <c r="AC424" s="801"/>
      <c r="AD424" s="674"/>
      <c r="AE424" s="674"/>
      <c r="AF424" s="674"/>
      <c r="AG424" s="674"/>
      <c r="AH424" s="674"/>
      <c r="AI424" s="674"/>
      <c r="AJ424" s="674"/>
      <c r="AK424" s="674"/>
      <c r="AL424" s="674"/>
      <c r="AM424" s="674"/>
      <c r="AN424" s="674"/>
      <c r="AO424" s="674"/>
      <c r="AP424" s="674"/>
      <c r="AQ424" s="674"/>
      <c r="AR424" s="674"/>
      <c r="AS424" s="674"/>
      <c r="AT424" s="674"/>
      <c r="AU424" s="674"/>
      <c r="AV424" s="674"/>
      <c r="AX424" s="475" t="s">
        <v>244</v>
      </c>
      <c r="AY424" s="500">
        <f ca="1">DA424</f>
        <v>39.103999999999999</v>
      </c>
      <c r="AZ424" s="508" t="str">
        <f ca="1">HYPERLINK(DN424,DC424)</f>
        <v xml:space="preserve"> 323</v>
      </c>
      <c r="BA424" s="500">
        <f ca="1">DB424</f>
        <v>19.552</v>
      </c>
      <c r="BB424" s="508" t="str">
        <f ca="1">HYPERLINK(DO424,DD424)</f>
        <v xml:space="preserve"> 324</v>
      </c>
      <c r="BC424" s="475" t="str">
        <f ca="1">CY424&amp;" | "&amp;CZ424</f>
        <v>Biogas | 1.3.2 Energieertrag Biogas komprimiert</v>
      </c>
      <c r="BI424" s="475" t="s">
        <v>126</v>
      </c>
      <c r="BJ424" s="492" t="str">
        <f>E424</f>
        <v>Biogas zu Biomethan-Kraftstoff - Nutzungsgrad</v>
      </c>
      <c r="BK424" s="486">
        <f ca="1">K424</f>
        <v>94</v>
      </c>
      <c r="BL424" s="486">
        <f ca="1">M424</f>
        <v>94</v>
      </c>
      <c r="BM424" s="472">
        <f>D424</f>
        <v>424</v>
      </c>
      <c r="BN424" s="658"/>
      <c r="BO424" s="475" t="s">
        <v>251</v>
      </c>
      <c r="BP424" s="521" t="s">
        <v>716</v>
      </c>
      <c r="CU424" s="476"/>
      <c r="CV424" s="658"/>
      <c r="CW424" s="518">
        <v>82</v>
      </c>
      <c r="CY424" s="472" t="str">
        <f t="shared" ref="CY424:DO424" ca="1" si="198">INDIRECT($CX$1&amp;CY$1&amp;$CW424)</f>
        <v>Biogas</v>
      </c>
      <c r="CZ424" s="472" t="str">
        <f t="shared" ca="1" si="198"/>
        <v>1.3.2 Energieertrag Biogas komprimiert</v>
      </c>
      <c r="DA424" s="472">
        <f t="shared" ca="1" si="198"/>
        <v>39.103999999999999</v>
      </c>
      <c r="DB424" s="472">
        <f t="shared" ca="1" si="198"/>
        <v>19.552</v>
      </c>
      <c r="DC424" s="472" t="str">
        <f t="shared" ca="1" si="198"/>
        <v xml:space="preserve"> 323</v>
      </c>
      <c r="DD424" s="472" t="str">
        <f t="shared" ca="1" si="198"/>
        <v xml:space="preserve"> 324</v>
      </c>
      <c r="DE424" s="472" t="str">
        <f t="shared" ca="1" si="198"/>
        <v>EP76</v>
      </c>
      <c r="DF424" s="472" t="str">
        <f t="shared" ca="1" si="198"/>
        <v>EP76</v>
      </c>
      <c r="DG424" s="472" t="str">
        <f t="shared" ca="1" si="198"/>
        <v>EP</v>
      </c>
      <c r="DH424" s="472" t="str">
        <f t="shared" ca="1" si="198"/>
        <v>76</v>
      </c>
      <c r="DI424" s="472" t="str">
        <f t="shared" ca="1" si="198"/>
        <v>[EP.xls]TEXT!Z76S5</v>
      </c>
      <c r="DJ424" s="472" t="str">
        <f t="shared" ca="1" si="198"/>
        <v>EP</v>
      </c>
      <c r="DK424" s="472" t="str">
        <f t="shared" ca="1" si="198"/>
        <v>76</v>
      </c>
      <c r="DL424" s="472" t="str">
        <f t="shared" ca="1" si="198"/>
        <v>[EP.xls]TEXT!Z76S5</v>
      </c>
      <c r="DM424" s="472">
        <f t="shared" ca="1" si="198"/>
        <v>82</v>
      </c>
      <c r="DN424" s="472" t="str">
        <f t="shared" ca="1" si="198"/>
        <v>[Region.xls]PARAMETER!Z323S6</v>
      </c>
      <c r="DO424" s="472" t="str">
        <f t="shared" ca="1" si="198"/>
        <v>[Region.xls]PARAMETER!Z324S6</v>
      </c>
      <c r="DP424" s="472"/>
      <c r="DS424" s="656"/>
      <c r="DV424" s="472"/>
      <c r="DW424" s="472"/>
      <c r="DX424" s="472"/>
      <c r="DY424" s="472"/>
      <c r="DZ424" s="472"/>
      <c r="EA424" s="472"/>
      <c r="EB424" s="472"/>
      <c r="EC424" s="472"/>
      <c r="ED424" s="472"/>
      <c r="EE424" s="472"/>
      <c r="EF424" s="472"/>
      <c r="EG424" s="472"/>
      <c r="EH424" s="472"/>
      <c r="EI424" s="472"/>
      <c r="EJ424" s="472"/>
      <c r="EK424" s="472"/>
      <c r="EV424" s="819">
        <f t="shared" si="188"/>
        <v>424</v>
      </c>
      <c r="EW424" s="819"/>
    </row>
    <row r="425" spans="1:153" s="472" customFormat="1" ht="15" customHeight="1">
      <c r="A425" s="654" t="str">
        <f t="shared" ca="1" si="186"/>
        <v>D.1.425</v>
      </c>
      <c r="B425" s="654" t="str">
        <f t="shared" ca="1" si="187"/>
        <v>1.425</v>
      </c>
      <c r="C425" s="654" t="str">
        <f t="shared" si="195"/>
        <v>[425]</v>
      </c>
      <c r="D425" s="654">
        <f>ROW()</f>
        <v>425</v>
      </c>
      <c r="E425" s="1130" t="str">
        <f>CU425</f>
        <v>- STATUS-Ansatz: Annahme gemäß [426].</v>
      </c>
      <c r="F425" s="1130"/>
      <c r="G425" s="1130"/>
      <c r="H425" s="1130"/>
      <c r="I425" s="1130"/>
      <c r="J425" s="1130"/>
      <c r="K425" s="1130"/>
      <c r="L425" s="1130"/>
      <c r="M425" s="1130"/>
      <c r="N425" s="1131"/>
      <c r="O425" s="869">
        <v>425</v>
      </c>
      <c r="P425" s="573" t="str">
        <f ca="1">HYPERLINK(EK425,EJ425)</f>
        <v/>
      </c>
      <c r="Q425" s="574" t="str">
        <f>Y425</f>
        <v xml:space="preserve"> </v>
      </c>
      <c r="R425" s="852"/>
      <c r="S425" s="784"/>
      <c r="T425" s="864"/>
      <c r="U425" s="1023" t="str">
        <f>"Annahme gemäß "&amp;C426&amp;"."</f>
        <v>Annahme gemäß [426].</v>
      </c>
      <c r="V425" s="905" t="s">
        <v>126</v>
      </c>
      <c r="W425" s="1024">
        <f>100-6</f>
        <v>94</v>
      </c>
      <c r="X425" s="672"/>
      <c r="Y425" s="672" t="s">
        <v>126</v>
      </c>
      <c r="Z425" s="1025"/>
      <c r="AA425" s="658"/>
      <c r="AB425" s="801"/>
      <c r="AC425" s="801"/>
      <c r="AD425" s="801"/>
      <c r="AE425" s="801"/>
      <c r="AF425" s="801"/>
      <c r="AG425" s="801"/>
      <c r="AH425" s="801"/>
      <c r="AI425" s="801"/>
      <c r="AJ425" s="801"/>
      <c r="AK425" s="801"/>
      <c r="AL425" s="801"/>
      <c r="AM425" s="801"/>
      <c r="AN425" s="801"/>
      <c r="AO425" s="801"/>
      <c r="AP425" s="801"/>
      <c r="AQ425" s="801"/>
      <c r="AR425" s="801"/>
      <c r="AS425" s="801"/>
      <c r="AT425" s="801"/>
      <c r="AU425" s="801"/>
      <c r="AV425" s="801"/>
      <c r="BF425" s="473"/>
      <c r="BI425" s="472" t="s">
        <v>126</v>
      </c>
      <c r="BJ425" s="490"/>
      <c r="BN425" s="656"/>
      <c r="BO425" s="472" t="s">
        <v>259</v>
      </c>
      <c r="CU425" s="480" t="str">
        <f>CG$1&amp;IF(U425="",BF425,U425)</f>
        <v>- STATUS-Ansatz: Annahme gemäß [426].</v>
      </c>
      <c r="CV425" s="656"/>
      <c r="CW425" s="480"/>
      <c r="DS425" s="656"/>
      <c r="DT425" s="518">
        <f>I_Basisdaten!A159</f>
        <v>159</v>
      </c>
      <c r="EJ425" s="472" t="str">
        <f>IF(X425=0,"",EJ$1&amp;X425)</f>
        <v/>
      </c>
      <c r="EK425" s="472" t="str">
        <f ca="1">EK$1&amp;X425</f>
        <v>[D_Python.xlsx]9.Quellen!C</v>
      </c>
      <c r="EV425" s="819">
        <f t="shared" si="188"/>
        <v>425</v>
      </c>
      <c r="EW425" s="819"/>
    </row>
    <row r="426" spans="1:153" s="656" customFormat="1" ht="26">
      <c r="A426" s="654" t="str">
        <f t="shared" ca="1" si="186"/>
        <v>D.1.426</v>
      </c>
      <c r="B426" s="654" t="str">
        <f t="shared" ca="1" si="187"/>
        <v>1.426</v>
      </c>
      <c r="C426" s="654" t="str">
        <f t="shared" si="195"/>
        <v>[426]</v>
      </c>
      <c r="D426" s="654">
        <f>ROW()</f>
        <v>426</v>
      </c>
      <c r="E426" s="1130" t="str">
        <f ca="1">CU426</f>
        <v xml:space="preserve">Verluste bei Aufbereitung und Hochdruckverdichtung zur Verwendung von Biogas als Kraftstoff: 5% bis 7% gemäß [9.247]. </v>
      </c>
      <c r="F426" s="1130"/>
      <c r="G426" s="1130"/>
      <c r="H426" s="1130"/>
      <c r="I426" s="1130"/>
      <c r="J426" s="1130"/>
      <c r="K426" s="1130"/>
      <c r="L426" s="1130"/>
      <c r="M426" s="1130"/>
      <c r="N426" s="1131"/>
      <c r="O426" s="869">
        <v>426</v>
      </c>
      <c r="P426" s="691" t="str">
        <f ca="1">HYPERLINK(EK426,EJ426)</f>
        <v>9.247</v>
      </c>
      <c r="Q426" s="692" t="str">
        <f>Y426</f>
        <v xml:space="preserve"> </v>
      </c>
      <c r="R426" s="852"/>
      <c r="S426" s="784"/>
      <c r="T426" s="864"/>
      <c r="U426" s="1023" t="str">
        <f ca="1">"Verluste bei Aufbereitung und Hochdruckverdichtung zur Verwendung von Biogas als Kraftstoff: 5% bis 7% gemäß ["&amp;P426&amp;"]. "</f>
        <v xml:space="preserve">Verluste bei Aufbereitung und Hochdruckverdichtung zur Verwendung von Biogas als Kraftstoff: 5% bis 7% gemäß [9.247]. </v>
      </c>
      <c r="V426" s="905" t="s">
        <v>126</v>
      </c>
      <c r="W426" s="1024"/>
      <c r="X426" s="672">
        <f>'9.Quellen'!C247</f>
        <v>247</v>
      </c>
      <c r="Y426" s="672" t="s">
        <v>126</v>
      </c>
      <c r="Z426" s="1025"/>
      <c r="AA426" s="905"/>
      <c r="AB426" s="801"/>
      <c r="AC426" s="801"/>
      <c r="AD426" s="801">
        <v>450</v>
      </c>
      <c r="AE426" s="801" t="s">
        <v>384</v>
      </c>
      <c r="AF426" s="801">
        <v>27180</v>
      </c>
      <c r="AG426" s="801" t="s">
        <v>384</v>
      </c>
      <c r="AH426" s="801">
        <v>38</v>
      </c>
      <c r="AI426" s="801" t="s">
        <v>835</v>
      </c>
      <c r="AJ426" s="801">
        <f>AF426/AH426%</f>
        <v>71526.31578947368</v>
      </c>
      <c r="AK426" s="801" t="s">
        <v>384</v>
      </c>
      <c r="AL426" s="801">
        <f>AD426/(AD426+AJ426)%</f>
        <v>0.62520565975649889</v>
      </c>
      <c r="AM426" s="801" t="s">
        <v>835</v>
      </c>
      <c r="AN426" s="801"/>
      <c r="AO426" s="801"/>
      <c r="AP426" s="801"/>
      <c r="AQ426" s="801"/>
      <c r="AR426" s="801"/>
      <c r="AS426" s="801"/>
      <c r="AT426" s="801"/>
      <c r="AU426" s="801"/>
      <c r="AV426" s="801"/>
      <c r="BF426" s="657"/>
      <c r="BI426" s="656" t="s">
        <v>126</v>
      </c>
      <c r="BJ426" s="666"/>
      <c r="BO426" s="656" t="s">
        <v>252</v>
      </c>
      <c r="CU426" s="663" t="str">
        <f ca="1">IF(U426="",BF426,U426)</f>
        <v xml:space="preserve">Verluste bei Aufbereitung und Hochdruckverdichtung zur Verwendung von Biogas als Kraftstoff: 5% bis 7% gemäß [9.247]. </v>
      </c>
      <c r="CW426" s="663"/>
      <c r="DT426" s="671"/>
      <c r="EJ426" s="656" t="str">
        <f ca="1">IF(X426=0,"",EJ$1&amp;X426)</f>
        <v>9.247</v>
      </c>
      <c r="EK426" s="656" t="str">
        <f ca="1">EK$1&amp;X426</f>
        <v>[D_Python.xlsx]9.Quellen!C247</v>
      </c>
      <c r="EV426" s="819">
        <f t="shared" ca="1" si="188"/>
        <v>426</v>
      </c>
      <c r="EW426" s="819"/>
    </row>
    <row r="427" spans="1:153" s="661" customFormat="1" ht="4">
      <c r="A427" s="677" t="str">
        <f t="shared" ca="1" si="186"/>
        <v>D.1.427</v>
      </c>
      <c r="B427" s="677" t="str">
        <f t="shared" ca="1" si="187"/>
        <v>1.427</v>
      </c>
      <c r="C427" s="677" t="str">
        <f t="shared" si="195"/>
        <v>[427]</v>
      </c>
      <c r="D427" s="677">
        <f>ROW()</f>
        <v>427</v>
      </c>
      <c r="E427" s="680"/>
      <c r="F427" s="680"/>
      <c r="G427" s="680"/>
      <c r="H427" s="680"/>
      <c r="I427" s="679"/>
      <c r="J427" s="679"/>
      <c r="K427" s="679"/>
      <c r="L427" s="679"/>
      <c r="M427" s="679"/>
      <c r="N427" s="680"/>
      <c r="O427" s="871">
        <v>427</v>
      </c>
      <c r="P427" s="688"/>
      <c r="Q427" s="689"/>
      <c r="R427" s="888"/>
      <c r="S427" s="802"/>
      <c r="T427" s="882"/>
      <c r="AB427" s="675"/>
      <c r="AC427" s="675"/>
      <c r="AD427" s="675"/>
      <c r="AE427" s="675"/>
      <c r="AF427" s="675"/>
      <c r="AG427" s="675"/>
      <c r="AH427" s="675"/>
      <c r="AI427" s="675"/>
      <c r="AJ427" s="675"/>
      <c r="AK427" s="675"/>
      <c r="AL427" s="675"/>
      <c r="AM427" s="675"/>
      <c r="AN427" s="675"/>
      <c r="AO427" s="675"/>
      <c r="AP427" s="675"/>
      <c r="AQ427" s="675"/>
      <c r="AR427" s="675"/>
      <c r="AS427" s="675"/>
      <c r="AT427" s="675"/>
      <c r="AU427" s="675"/>
      <c r="AV427" s="675"/>
      <c r="BI427" s="661" t="s">
        <v>126</v>
      </c>
      <c r="BJ427" s="665"/>
      <c r="CU427" s="662"/>
      <c r="CW427" s="662"/>
      <c r="EV427" s="818" t="str">
        <f t="shared" si="188"/>
        <v/>
      </c>
      <c r="EW427" s="818"/>
    </row>
    <row r="428" spans="1:153" s="472" customFormat="1" ht="39">
      <c r="A428" s="654" t="str">
        <f t="shared" ca="1" si="186"/>
        <v>D.1.428</v>
      </c>
      <c r="B428" s="654" t="str">
        <f t="shared" ca="1" si="187"/>
        <v>1.428</v>
      </c>
      <c r="C428" s="654" t="str">
        <f t="shared" si="195"/>
        <v>[428]</v>
      </c>
      <c r="D428" s="654">
        <f>ROW()</f>
        <v>428</v>
      </c>
      <c r="E428" s="1125" t="str">
        <f t="shared" ref="E428" si="199">CU428</f>
        <v>- ZIEL-Ansatz: Wegen der verlustarmen Bereitstellung von hochkomprimiertem Biomethan wird dies für mobile Anwendungen am Boden vorgesehen, wo es problemlos handhabbar ist. Der heutige Nutzungsgrad [426] wird auch für die Zukunft angenommen.</v>
      </c>
      <c r="F428" s="1125"/>
      <c r="G428" s="1125"/>
      <c r="H428" s="1125"/>
      <c r="I428" s="1125"/>
      <c r="J428" s="1125"/>
      <c r="K428" s="1125"/>
      <c r="L428" s="1125"/>
      <c r="M428" s="1125"/>
      <c r="N428" s="1132"/>
      <c r="O428" s="869">
        <v>428</v>
      </c>
      <c r="P428" s="573" t="str">
        <f ca="1">HYPERLINK(EK428,EJ428)</f>
        <v/>
      </c>
      <c r="Q428" s="574" t="str">
        <f>Y428</f>
        <v xml:space="preserve"> </v>
      </c>
      <c r="R428" s="852"/>
      <c r="S428" s="784"/>
      <c r="T428" s="864"/>
      <c r="U428" s="1023" t="str">
        <f>"Wegen der verlustarmen Bereitstellung von hochkomprimiertem Biomethan wird dies für mobile Anwendungen am Boden vorgesehen, wo es problemlos handhabbar ist. Der heutige Nutzungsgrad "&amp;C426&amp;" wird auch für die Zukunft angenommen."</f>
        <v>Wegen der verlustarmen Bereitstellung von hochkomprimiertem Biomethan wird dies für mobile Anwendungen am Boden vorgesehen, wo es problemlos handhabbar ist. Der heutige Nutzungsgrad [426] wird auch für die Zukunft angenommen.</v>
      </c>
      <c r="V428" s="905" t="s">
        <v>126</v>
      </c>
      <c r="W428" s="1024">
        <f>W425</f>
        <v>94</v>
      </c>
      <c r="X428" s="672"/>
      <c r="Y428" s="672" t="s">
        <v>126</v>
      </c>
      <c r="Z428" s="1025"/>
      <c r="AA428" s="905"/>
      <c r="AB428" s="801"/>
      <c r="AC428" s="801"/>
      <c r="AD428" s="801"/>
      <c r="AE428" s="801"/>
      <c r="AF428" s="801"/>
      <c r="AG428" s="801"/>
      <c r="AH428" s="801"/>
      <c r="AI428" s="801"/>
      <c r="AJ428" s="801"/>
      <c r="AK428" s="801"/>
      <c r="AL428" s="801"/>
      <c r="AM428" s="801"/>
      <c r="AN428" s="801"/>
      <c r="AO428" s="801"/>
      <c r="AP428" s="801"/>
      <c r="AQ428" s="801"/>
      <c r="AR428" s="801"/>
      <c r="AS428" s="801"/>
      <c r="AT428" s="801"/>
      <c r="AU428" s="801"/>
      <c r="AV428" s="801"/>
      <c r="BF428" s="473"/>
      <c r="BI428" s="472" t="s">
        <v>126</v>
      </c>
      <c r="BJ428" s="490"/>
      <c r="BN428" s="656"/>
      <c r="BO428" s="472" t="s">
        <v>259</v>
      </c>
      <c r="CU428" s="480" t="str">
        <f>CH$1&amp;IF(U428="",BF428,U428)</f>
        <v>- ZIEL-Ansatz: Wegen der verlustarmen Bereitstellung von hochkomprimiertem Biomethan wird dies für mobile Anwendungen am Boden vorgesehen, wo es problemlos handhabbar ist. Der heutige Nutzungsgrad [426] wird auch für die Zukunft angenommen.</v>
      </c>
      <c r="CV428" s="656"/>
      <c r="CW428" s="480"/>
      <c r="DS428" s="656"/>
      <c r="DT428" s="518">
        <v>53</v>
      </c>
      <c r="EJ428" s="472" t="str">
        <f>IF(X428=0,"",EJ$1&amp;X428)</f>
        <v/>
      </c>
      <c r="EK428" s="472" t="str">
        <f ca="1">EK$1&amp;X428</f>
        <v>[D_Python.xlsx]9.Quellen!C</v>
      </c>
      <c r="EV428" s="819">
        <f t="shared" si="188"/>
        <v>428</v>
      </c>
      <c r="EW428" s="819"/>
    </row>
    <row r="429" spans="1:153" s="656" customFormat="1" ht="3" customHeight="1">
      <c r="A429" s="654" t="str">
        <f t="shared" ca="1" si="186"/>
        <v>D.1.429</v>
      </c>
      <c r="B429" s="654" t="str">
        <f t="shared" ca="1" si="187"/>
        <v>1.429</v>
      </c>
      <c r="C429" s="654" t="str">
        <f t="shared" si="195"/>
        <v>[429]</v>
      </c>
      <c r="D429" s="654">
        <f>ROW()</f>
        <v>429</v>
      </c>
      <c r="E429" s="1125">
        <f>CU429</f>
        <v>0</v>
      </c>
      <c r="F429" s="1125"/>
      <c r="G429" s="1125"/>
      <c r="H429" s="1125"/>
      <c r="I429" s="1125"/>
      <c r="J429" s="1125"/>
      <c r="K429" s="1125"/>
      <c r="L429" s="1125"/>
      <c r="M429" s="1125"/>
      <c r="N429" s="1132"/>
      <c r="O429" s="869">
        <v>429</v>
      </c>
      <c r="P429" s="691" t="str">
        <f ca="1">HYPERLINK(EK429,EJ429)</f>
        <v/>
      </c>
      <c r="Q429" s="692" t="str">
        <f>Y429</f>
        <v xml:space="preserve"> </v>
      </c>
      <c r="R429" s="852"/>
      <c r="S429" s="784"/>
      <c r="T429" s="864"/>
      <c r="U429" s="1023"/>
      <c r="V429" s="905" t="s">
        <v>126</v>
      </c>
      <c r="W429" s="1024"/>
      <c r="X429" s="672"/>
      <c r="Y429" s="672" t="s">
        <v>126</v>
      </c>
      <c r="Z429" s="1025"/>
      <c r="AA429" s="905"/>
      <c r="AB429" s="801"/>
      <c r="AC429" s="801"/>
      <c r="AD429" s="801">
        <v>45</v>
      </c>
      <c r="AE429" s="801" t="s">
        <v>835</v>
      </c>
      <c r="AF429" s="801"/>
      <c r="AG429" s="801"/>
      <c r="AH429" s="801"/>
      <c r="AI429" s="801"/>
      <c r="AJ429" s="801"/>
      <c r="AK429" s="801"/>
      <c r="AL429" s="801"/>
      <c r="AM429" s="801"/>
      <c r="AN429" s="801"/>
      <c r="AO429" s="801"/>
      <c r="AP429" s="801"/>
      <c r="AQ429" s="801"/>
      <c r="AR429" s="801"/>
      <c r="AS429" s="801"/>
      <c r="AT429" s="801"/>
      <c r="AU429" s="801"/>
      <c r="AV429" s="801"/>
      <c r="BF429" s="657"/>
      <c r="BI429" s="656" t="s">
        <v>126</v>
      </c>
      <c r="BJ429" s="666"/>
      <c r="BO429" s="656" t="s">
        <v>252</v>
      </c>
      <c r="CU429" s="663">
        <f>IF(U429="",BF429,U429)</f>
        <v>0</v>
      </c>
      <c r="CW429" s="663"/>
      <c r="DT429" s="671"/>
      <c r="EJ429" s="656" t="str">
        <f>IF(X429=0,"",EJ$1&amp;X429)</f>
        <v/>
      </c>
      <c r="EK429" s="656" t="str">
        <f ca="1">EK$1&amp;X429</f>
        <v>[D_Python.xlsx]9.Quellen!C</v>
      </c>
      <c r="EV429" s="819" t="str">
        <f t="shared" si="188"/>
        <v/>
      </c>
      <c r="EW429" s="819"/>
    </row>
    <row r="430" spans="1:153" s="661" customFormat="1" ht="4">
      <c r="A430" s="677" t="str">
        <f t="shared" ca="1" si="186"/>
        <v>D.1.430</v>
      </c>
      <c r="B430" s="677" t="str">
        <f t="shared" ca="1" si="187"/>
        <v>1.430</v>
      </c>
      <c r="C430" s="677" t="str">
        <f t="shared" si="195"/>
        <v>[430]</v>
      </c>
      <c r="D430" s="677">
        <f>ROW()</f>
        <v>430</v>
      </c>
      <c r="E430" s="685"/>
      <c r="F430" s="685"/>
      <c r="G430" s="685"/>
      <c r="H430" s="685"/>
      <c r="I430" s="686"/>
      <c r="J430" s="686"/>
      <c r="K430" s="686"/>
      <c r="L430" s="686"/>
      <c r="M430" s="686"/>
      <c r="N430" s="685"/>
      <c r="O430" s="871">
        <v>430</v>
      </c>
      <c r="P430" s="693"/>
      <c r="Q430" s="694"/>
      <c r="R430" s="888"/>
      <c r="S430" s="802"/>
      <c r="T430" s="882"/>
      <c r="AB430" s="675"/>
      <c r="AC430" s="675"/>
      <c r="AD430" s="675"/>
      <c r="AE430" s="675"/>
      <c r="AF430" s="675"/>
      <c r="AG430" s="675"/>
      <c r="AH430" s="675"/>
      <c r="AI430" s="675"/>
      <c r="AJ430" s="675"/>
      <c r="AK430" s="675"/>
      <c r="AL430" s="675"/>
      <c r="AM430" s="675"/>
      <c r="AN430" s="675"/>
      <c r="AO430" s="675"/>
      <c r="AP430" s="675"/>
      <c r="AQ430" s="675"/>
      <c r="AR430" s="675"/>
      <c r="AS430" s="675"/>
      <c r="AT430" s="675"/>
      <c r="AU430" s="675"/>
      <c r="AV430" s="675"/>
      <c r="AZ430" s="669"/>
      <c r="BB430" s="669"/>
      <c r="BI430" s="661" t="s">
        <v>126</v>
      </c>
      <c r="BJ430" s="665"/>
      <c r="CU430" s="662"/>
      <c r="CW430" s="662"/>
      <c r="EV430" s="818" t="str">
        <f t="shared" si="188"/>
        <v/>
      </c>
      <c r="EW430" s="818"/>
    </row>
    <row r="431" spans="1:153" s="658" customFormat="1" ht="13.5" customHeight="1">
      <c r="A431" s="654" t="str">
        <f t="shared" ca="1" si="186"/>
        <v>D.1.431</v>
      </c>
      <c r="B431" s="654" t="str">
        <f t="shared" ca="1" si="187"/>
        <v>1.431</v>
      </c>
      <c r="C431" s="654" t="str">
        <f t="shared" ref="C431:C441" si="200">CE$1&amp;D431&amp;CF$1</f>
        <v>[431]</v>
      </c>
      <c r="D431" s="654">
        <f>ROW()</f>
        <v>431</v>
      </c>
      <c r="E431" s="1129" t="str">
        <f>BP431</f>
        <v>Biogas-Anteil als Flüssigkraftst.für Mobile Antriebe</v>
      </c>
      <c r="F431" s="1129"/>
      <c r="G431" s="1129"/>
      <c r="H431" s="1129"/>
      <c r="I431" s="1129"/>
      <c r="J431" s="655" t="s">
        <v>38</v>
      </c>
      <c r="K431" s="557">
        <f ca="1">INDIRECT($W$1&amp;U431)</f>
        <v>6.8278716014447127E-15</v>
      </c>
      <c r="L431" s="485" t="str">
        <f ca="1">HYPERLINK($CK$1&amp;U431,$CE$1&amp;U431&amp;$CF$1)</f>
        <v>[432]</v>
      </c>
      <c r="M431" s="558">
        <f ca="1">INDIRECT($W$1&amp;W431)</f>
        <v>1.7846313248726347</v>
      </c>
      <c r="N431" s="681" t="str">
        <f ca="1">HYPERLINK($CK$1&amp;W431,$CE$1&amp;W431&amp;$CF$1)</f>
        <v>[433]</v>
      </c>
      <c r="O431" s="869">
        <v>431</v>
      </c>
      <c r="P431" s="690"/>
      <c r="Q431" s="695"/>
      <c r="R431" s="852"/>
      <c r="S431" s="784"/>
      <c r="T431" s="864"/>
      <c r="U431" s="672">
        <f>D432</f>
        <v>432</v>
      </c>
      <c r="V431" s="905" t="s">
        <v>126</v>
      </c>
      <c r="W431" s="672">
        <f>D433</f>
        <v>433</v>
      </c>
      <c r="AB431" s="801"/>
      <c r="AC431" s="801"/>
      <c r="AD431" s="674"/>
      <c r="AE431" s="674"/>
      <c r="AF431" s="674"/>
      <c r="AG431" s="674"/>
      <c r="AH431" s="674"/>
      <c r="AI431" s="674"/>
      <c r="AJ431" s="674"/>
      <c r="AK431" s="674"/>
      <c r="AL431" s="674"/>
      <c r="AM431" s="674"/>
      <c r="AN431" s="674"/>
      <c r="AO431" s="674"/>
      <c r="AP431" s="674"/>
      <c r="AQ431" s="674"/>
      <c r="AR431" s="674"/>
      <c r="AS431" s="674"/>
      <c r="AT431" s="674"/>
      <c r="AU431" s="674"/>
      <c r="AV431" s="674"/>
      <c r="AX431" s="658" t="s">
        <v>244</v>
      </c>
      <c r="AY431" s="668">
        <f ca="1">DA431</f>
        <v>0.3344139493893995</v>
      </c>
      <c r="AZ431" s="670" t="str">
        <f ca="1">HYPERLINK(DN431,DC431)</f>
        <v xml:space="preserve"> 319</v>
      </c>
      <c r="BA431" s="668">
        <f ca="1">DB431</f>
        <v>130.83441394938939</v>
      </c>
      <c r="BB431" s="670" t="str">
        <f ca="1">HYPERLINK(DO431,DD431)</f>
        <v xml:space="preserve"> 320</v>
      </c>
      <c r="BC431" s="658" t="str">
        <f ca="1">CY431&amp;" | "&amp;CZ431</f>
        <v>0 | 1.3.1 Nutz-Anteil Biogas komprimiert  = Anteil an der Energiepflanzen-Anbaufläche</v>
      </c>
      <c r="BI431" s="658" t="s">
        <v>126</v>
      </c>
      <c r="BJ431" s="667" t="str">
        <f>E431</f>
        <v>Biogas-Anteil als Flüssigkraftst.für Mobile Antriebe</v>
      </c>
      <c r="BK431" s="664">
        <f ca="1">K431</f>
        <v>6.8278716014447127E-15</v>
      </c>
      <c r="BL431" s="664">
        <f ca="1">M431</f>
        <v>1.7846313248726347</v>
      </c>
      <c r="BM431" s="656">
        <f>D431</f>
        <v>431</v>
      </c>
      <c r="BO431" s="658" t="s">
        <v>251</v>
      </c>
      <c r="BP431" s="676" t="s">
        <v>747</v>
      </c>
      <c r="CU431" s="659"/>
      <c r="CW431" s="671">
        <v>81</v>
      </c>
      <c r="CY431" s="656">
        <f t="shared" ref="CY431:DO431" ca="1" si="201">INDIRECT($CX$1&amp;CY$1&amp;$CW431)</f>
        <v>0</v>
      </c>
      <c r="CZ431" s="656" t="str">
        <f t="shared" ca="1" si="201"/>
        <v>1.3.1 Nutz-Anteil Biogas komprimiert  = Anteil an der Energiepflanzen-Anbaufläche</v>
      </c>
      <c r="DA431" s="656">
        <f t="shared" ca="1" si="201"/>
        <v>0.3344139493893995</v>
      </c>
      <c r="DB431" s="656">
        <f t="shared" ca="1" si="201"/>
        <v>130.83441394938939</v>
      </c>
      <c r="DC431" s="656" t="str">
        <f t="shared" ca="1" si="201"/>
        <v xml:space="preserve"> 319</v>
      </c>
      <c r="DD431" s="656" t="str">
        <f t="shared" ca="1" si="201"/>
        <v xml:space="preserve"> 320</v>
      </c>
      <c r="DE431" s="656" t="str">
        <f t="shared" ca="1" si="201"/>
        <v>EP80</v>
      </c>
      <c r="DF431" s="656" t="str">
        <f t="shared" ca="1" si="201"/>
        <v>EP79</v>
      </c>
      <c r="DG431" s="656" t="str">
        <f t="shared" ca="1" si="201"/>
        <v>EP</v>
      </c>
      <c r="DH431" s="656" t="str">
        <f t="shared" ca="1" si="201"/>
        <v>80</v>
      </c>
      <c r="DI431" s="656" t="str">
        <f t="shared" ca="1" si="201"/>
        <v>[EP.xls]TEXT!Z80S5</v>
      </c>
      <c r="DJ431" s="656" t="str">
        <f t="shared" ca="1" si="201"/>
        <v>EP</v>
      </c>
      <c r="DK431" s="656" t="str">
        <f t="shared" ca="1" si="201"/>
        <v>79</v>
      </c>
      <c r="DL431" s="656" t="str">
        <f t="shared" ca="1" si="201"/>
        <v>[EP.xls]TEXT!Z79S5</v>
      </c>
      <c r="DM431" s="656">
        <f t="shared" ca="1" si="201"/>
        <v>81</v>
      </c>
      <c r="DN431" s="656" t="str">
        <f t="shared" ca="1" si="201"/>
        <v>[Region.xls]PARAMETER!Z319S6</v>
      </c>
      <c r="DO431" s="656" t="str">
        <f t="shared" ca="1" si="201"/>
        <v>[Region.xls]PARAMETER!Z320S6</v>
      </c>
      <c r="DP431" s="656"/>
      <c r="DS431" s="656"/>
      <c r="DV431" s="656"/>
      <c r="DW431" s="656"/>
      <c r="DX431" s="656"/>
      <c r="DY431" s="656"/>
      <c r="DZ431" s="656"/>
      <c r="EA431" s="656"/>
      <c r="EB431" s="656"/>
      <c r="EC431" s="656"/>
      <c r="ED431" s="656"/>
      <c r="EE431" s="656"/>
      <c r="EF431" s="656"/>
      <c r="EG431" s="656"/>
      <c r="EH431" s="656"/>
      <c r="EI431" s="656"/>
      <c r="EJ431" s="656"/>
      <c r="EK431" s="656"/>
      <c r="EV431" s="819">
        <f t="shared" si="188"/>
        <v>431</v>
      </c>
      <c r="EW431" s="819"/>
    </row>
    <row r="432" spans="1:153" s="656" customFormat="1">
      <c r="A432" s="654" t="str">
        <f t="shared" ca="1" si="186"/>
        <v>D.1.432</v>
      </c>
      <c r="B432" s="654" t="str">
        <f t="shared" ca="1" si="187"/>
        <v>1.432</v>
      </c>
      <c r="C432" s="654" t="str">
        <f t="shared" si="200"/>
        <v>[432]</v>
      </c>
      <c r="D432" s="654">
        <f>ROW()</f>
        <v>432</v>
      </c>
      <c r="E432" s="1130" t="str">
        <f>CU432</f>
        <v>- STATUS-Ansatz: Bislang keine Erzeugung von Flüssigkraftstoffen aus Biogas.</v>
      </c>
      <c r="F432" s="1130"/>
      <c r="G432" s="1130"/>
      <c r="H432" s="1130"/>
      <c r="I432" s="1130"/>
      <c r="J432" s="1130"/>
      <c r="K432" s="1130"/>
      <c r="L432" s="1130"/>
      <c r="M432" s="1130"/>
      <c r="N432" s="1131"/>
      <c r="O432" s="869">
        <v>432</v>
      </c>
      <c r="P432" s="691" t="str">
        <f ca="1">HYPERLINK(EK432,EJ432)</f>
        <v/>
      </c>
      <c r="Q432" s="692" t="str">
        <f>Y432</f>
        <v xml:space="preserve"> </v>
      </c>
      <c r="R432" s="852"/>
      <c r="S432" s="784"/>
      <c r="T432" s="864"/>
      <c r="U432" s="1023" t="s">
        <v>718</v>
      </c>
      <c r="V432" s="905" t="s">
        <v>126</v>
      </c>
      <c r="W432" s="1034">
        <f ca="1">100-W398-W403-W420</f>
        <v>6.8278716014447127E-15</v>
      </c>
      <c r="X432" s="672"/>
      <c r="Y432" s="672" t="s">
        <v>126</v>
      </c>
      <c r="Z432" s="1025"/>
      <c r="AA432" s="658"/>
      <c r="AB432" s="801"/>
      <c r="AC432" s="801"/>
      <c r="AD432" s="801"/>
      <c r="AE432" s="801"/>
      <c r="AF432" s="801"/>
      <c r="AG432" s="801"/>
      <c r="AH432" s="801"/>
      <c r="AI432" s="801"/>
      <c r="AJ432" s="801"/>
      <c r="AK432" s="801"/>
      <c r="AL432" s="801"/>
      <c r="AM432" s="801"/>
      <c r="AN432" s="801"/>
      <c r="AO432" s="801"/>
      <c r="AP432" s="801"/>
      <c r="AQ432" s="801"/>
      <c r="AR432" s="801"/>
      <c r="AS432" s="801"/>
      <c r="AT432" s="801"/>
      <c r="AU432" s="801"/>
      <c r="AV432" s="801"/>
      <c r="BF432" s="657"/>
      <c r="BI432" s="656" t="s">
        <v>126</v>
      </c>
      <c r="BJ432" s="666"/>
      <c r="BO432" s="656" t="s">
        <v>259</v>
      </c>
      <c r="CU432" s="663" t="str">
        <f>CG$1&amp;IF(U432="",BF432,U432)</f>
        <v>- STATUS-Ansatz: Bislang keine Erzeugung von Flüssigkraftstoffen aus Biogas.</v>
      </c>
      <c r="CW432" s="663"/>
      <c r="DT432" s="671">
        <f>I_Basisdaten!A171</f>
        <v>171</v>
      </c>
      <c r="EJ432" s="656" t="str">
        <f>IF(X432=0,"",EJ$1&amp;X432)</f>
        <v/>
      </c>
      <c r="EK432" s="656" t="str">
        <f ca="1">EK$1&amp;X432</f>
        <v>[D_Python.xlsx]9.Quellen!C</v>
      </c>
      <c r="EV432" s="819">
        <f t="shared" si="188"/>
        <v>432</v>
      </c>
      <c r="EW432" s="819"/>
    </row>
    <row r="433" spans="1:153" s="656" customFormat="1" ht="65">
      <c r="A433" s="654" t="str">
        <f t="shared" ca="1" si="186"/>
        <v>D.1.433</v>
      </c>
      <c r="B433" s="654" t="str">
        <f t="shared" ca="1" si="187"/>
        <v>1.433</v>
      </c>
      <c r="C433" s="654" t="str">
        <f t="shared" si="200"/>
        <v>[433]</v>
      </c>
      <c r="D433" s="654">
        <f>ROW()</f>
        <v>433</v>
      </c>
      <c r="E433" s="1125" t="str">
        <f t="shared" ref="E433" si="202">CU433</f>
        <v xml:space="preserve">- ZIEL-Ansatz: Biogas ist vorrangig zur Kraftstofferzeugung für die Mobilen Anwendungen vorgesehen, da hier die Substitution der fossilen Kraftstoffe besonders anspruchsvoll ist. Dies trifft besonders auf den Luftverkehr zu, der wegen fehlender Elektrifizierungs-Möglichkeit wohl weitgehend auf Kraftstoffe - und hier aus verschiedenen Gründen (Platzbedarf, Handhabbarkeit, Sicherheit, Wandlungsverluste synthetischen Wasserstoffs) auf Kohlenwasserstoffe -  angewiesen bleiben wird. </v>
      </c>
      <c r="F433" s="1125"/>
      <c r="G433" s="1125"/>
      <c r="H433" s="1125"/>
      <c r="I433" s="1125"/>
      <c r="J433" s="1125"/>
      <c r="K433" s="1125"/>
      <c r="L433" s="1125"/>
      <c r="M433" s="1125"/>
      <c r="N433" s="1132"/>
      <c r="O433" s="869">
        <v>433</v>
      </c>
      <c r="P433" s="691" t="str">
        <f ca="1">HYPERLINK(EK433,EJ433)</f>
        <v/>
      </c>
      <c r="Q433" s="692" t="str">
        <f>Y433</f>
        <v xml:space="preserve"> </v>
      </c>
      <c r="R433" s="852"/>
      <c r="S433" s="784"/>
      <c r="T433" s="864"/>
      <c r="U433" s="1023" t="str">
        <f>"Biogas ist vorrangig zur Kraftstofferzeugung für die Mobilen Anwendungen vorgesehen, da hier die Substitution der fossilen Kraftstoffe besonders anspruchsvoll ist."&amp;" Dies trifft besonders auf den Luftverkehr zu, der wegen fehlender Elektrifizierungs-Möglichkeit wohl weitgehend auf Kraftstoffe - "&amp;"und hier aus verschiedenen Gründen (Platzbedarf, Handhabbarkeit, Sicherheit, Wandlungsverluste synthetischen Wasserstoffs) auf Kohlenwasserstoffe -  angewiesen bleiben wird. "</f>
        <v xml:space="preserve">Biogas ist vorrangig zur Kraftstofferzeugung für die Mobilen Anwendungen vorgesehen, da hier die Substitution der fossilen Kraftstoffe besonders anspruchsvoll ist. Dies trifft besonders auf den Luftverkehr zu, der wegen fehlender Elektrifizierungs-Möglichkeit wohl weitgehend auf Kraftstoffe - und hier aus verschiedenen Gründen (Platzbedarf, Handhabbarkeit, Sicherheit, Wandlungsverluste synthetischen Wasserstoffs) auf Kohlenwasserstoffe -  angewiesen bleiben wird. </v>
      </c>
      <c r="V433" s="905" t="s">
        <v>126</v>
      </c>
      <c r="W433" s="1024">
        <f ca="1">100-W405-W400-W422</f>
        <v>1.7846313248726347</v>
      </c>
      <c r="X433" s="672"/>
      <c r="Y433" s="672" t="s">
        <v>126</v>
      </c>
      <c r="Z433" s="1025"/>
      <c r="AA433" s="905"/>
      <c r="AB433" s="801"/>
      <c r="AC433" s="1020"/>
      <c r="AD433" s="562"/>
      <c r="AE433" s="801"/>
      <c r="AF433" s="801"/>
      <c r="AG433" s="801"/>
      <c r="AH433" s="801"/>
      <c r="AI433" s="801"/>
      <c r="AJ433" s="801"/>
      <c r="AK433" s="801"/>
      <c r="AL433" s="801"/>
      <c r="AM433" s="801"/>
      <c r="AN433" s="801"/>
      <c r="AO433" s="801"/>
      <c r="AP433" s="801"/>
      <c r="AQ433" s="801"/>
      <c r="AR433" s="801"/>
      <c r="AS433" s="801"/>
      <c r="AT433" s="801"/>
      <c r="AU433" s="801"/>
      <c r="AV433" s="801"/>
      <c r="BF433" s="657"/>
      <c r="BI433" s="656" t="s">
        <v>126</v>
      </c>
      <c r="BJ433" s="666"/>
      <c r="BO433" s="656" t="s">
        <v>259</v>
      </c>
      <c r="CU433" s="663" t="str">
        <f>CH$1&amp;IF(U433="",BF433,U433)</f>
        <v xml:space="preserve">- ZIEL-Ansatz: Biogas ist vorrangig zur Kraftstofferzeugung für die Mobilen Anwendungen vorgesehen, da hier die Substitution der fossilen Kraftstoffe besonders anspruchsvoll ist. Dies trifft besonders auf den Luftverkehr zu, der wegen fehlender Elektrifizierungs-Möglichkeit wohl weitgehend auf Kraftstoffe - und hier aus verschiedenen Gründen (Platzbedarf, Handhabbarkeit, Sicherheit, Wandlungsverluste synthetischen Wasserstoffs) auf Kohlenwasserstoffe -  angewiesen bleiben wird. </v>
      </c>
      <c r="CW433" s="663"/>
      <c r="DT433" s="671">
        <v>53</v>
      </c>
      <c r="EJ433" s="656" t="str">
        <f>IF(X433=0,"",EJ$1&amp;X433)</f>
        <v/>
      </c>
      <c r="EK433" s="656" t="str">
        <f ca="1">EK$1&amp;X433</f>
        <v>[D_Python.xlsx]9.Quellen!C</v>
      </c>
      <c r="EV433" s="819">
        <f t="shared" si="188"/>
        <v>433</v>
      </c>
      <c r="EW433" s="819"/>
    </row>
    <row r="434" spans="1:153" s="661" customFormat="1" ht="4">
      <c r="A434" s="677" t="str">
        <f t="shared" ca="1" si="186"/>
        <v>D.1.434</v>
      </c>
      <c r="B434" s="677" t="str">
        <f t="shared" ca="1" si="187"/>
        <v>1.434</v>
      </c>
      <c r="C434" s="677" t="str">
        <f t="shared" si="200"/>
        <v>[434]</v>
      </c>
      <c r="D434" s="677">
        <f>ROW()</f>
        <v>434</v>
      </c>
      <c r="E434" s="685"/>
      <c r="F434" s="685"/>
      <c r="G434" s="685"/>
      <c r="H434" s="685"/>
      <c r="I434" s="686"/>
      <c r="J434" s="686"/>
      <c r="K434" s="686"/>
      <c r="L434" s="686"/>
      <c r="M434" s="686"/>
      <c r="N434" s="685"/>
      <c r="O434" s="871">
        <v>434</v>
      </c>
      <c r="P434" s="693"/>
      <c r="Q434" s="694"/>
      <c r="R434" s="888"/>
      <c r="S434" s="802"/>
      <c r="T434" s="882"/>
      <c r="AB434" s="675"/>
      <c r="AC434" s="675"/>
      <c r="AD434" s="675"/>
      <c r="AE434" s="675"/>
      <c r="AF434" s="675"/>
      <c r="AG434" s="675"/>
      <c r="AH434" s="675"/>
      <c r="AI434" s="675"/>
      <c r="AJ434" s="675"/>
      <c r="AK434" s="675"/>
      <c r="AL434" s="675"/>
      <c r="AM434" s="675"/>
      <c r="AN434" s="675"/>
      <c r="AO434" s="675"/>
      <c r="AP434" s="675"/>
      <c r="AQ434" s="675"/>
      <c r="AR434" s="675"/>
      <c r="AS434" s="675"/>
      <c r="AT434" s="675"/>
      <c r="AU434" s="675"/>
      <c r="AV434" s="675"/>
      <c r="AZ434" s="669"/>
      <c r="BB434" s="669"/>
      <c r="BI434" s="661" t="s">
        <v>126</v>
      </c>
      <c r="BJ434" s="665"/>
      <c r="CU434" s="662"/>
      <c r="CW434" s="662"/>
      <c r="EV434" s="818" t="str">
        <f t="shared" si="188"/>
        <v/>
      </c>
      <c r="EW434" s="818"/>
    </row>
    <row r="435" spans="1:153" s="658" customFormat="1" ht="13.5" customHeight="1">
      <c r="A435" s="654" t="str">
        <f t="shared" ca="1" si="186"/>
        <v>D.1.435</v>
      </c>
      <c r="B435" s="654" t="str">
        <f t="shared" ca="1" si="187"/>
        <v>1.435</v>
      </c>
      <c r="C435" s="654" t="str">
        <f t="shared" si="200"/>
        <v>[435]</v>
      </c>
      <c r="D435" s="654">
        <f>ROW()</f>
        <v>435</v>
      </c>
      <c r="E435" s="1129" t="str">
        <f>BP435</f>
        <v>Biogas zu Flüssigkraftstoff - Nutzungsgrad</v>
      </c>
      <c r="F435" s="1129"/>
      <c r="G435" s="1129"/>
      <c r="H435" s="1129"/>
      <c r="I435" s="1129"/>
      <c r="J435" s="559" t="s">
        <v>38</v>
      </c>
      <c r="K435" s="557">
        <f ca="1">INDIRECT($W$1&amp;U435)</f>
        <v>45</v>
      </c>
      <c r="L435" s="485" t="str">
        <f ca="1">HYPERLINK($CK$1&amp;U435,$CE$1&amp;U435&amp;$CF$1)</f>
        <v>[436]</v>
      </c>
      <c r="M435" s="558">
        <f ca="1">INDIRECT($W$1&amp;W435)</f>
        <v>45</v>
      </c>
      <c r="N435" s="681" t="str">
        <f ca="1">HYPERLINK($CK$1&amp;W435,$CE$1&amp;W435&amp;$CF$1)</f>
        <v>[441]</v>
      </c>
      <c r="O435" s="869">
        <v>435</v>
      </c>
      <c r="P435" s="690"/>
      <c r="Q435" s="695"/>
      <c r="R435" s="852"/>
      <c r="S435" s="784"/>
      <c r="T435" s="864"/>
      <c r="U435" s="672">
        <f>D436</f>
        <v>436</v>
      </c>
      <c r="V435" s="905" t="s">
        <v>126</v>
      </c>
      <c r="W435" s="672">
        <f>D441</f>
        <v>441</v>
      </c>
      <c r="AB435" s="801"/>
      <c r="AC435" s="801"/>
      <c r="AD435" s="674"/>
      <c r="AE435" s="674"/>
      <c r="AF435" s="674"/>
      <c r="AG435" s="674"/>
      <c r="AH435" s="674"/>
      <c r="AI435" s="674"/>
      <c r="AJ435" s="674"/>
      <c r="AK435" s="674"/>
      <c r="AL435" s="674"/>
      <c r="AM435" s="674"/>
      <c r="AN435" s="674"/>
      <c r="AO435" s="674"/>
      <c r="AP435" s="674"/>
      <c r="AQ435" s="674"/>
      <c r="AR435" s="674"/>
      <c r="AS435" s="674"/>
      <c r="AT435" s="674"/>
      <c r="AU435" s="674"/>
      <c r="AV435" s="674"/>
      <c r="AX435" s="658" t="s">
        <v>244</v>
      </c>
      <c r="AY435" s="668">
        <f ca="1">DA435</f>
        <v>39.103999999999999</v>
      </c>
      <c r="AZ435" s="670" t="str">
        <f ca="1">HYPERLINK(DN435,DC435)</f>
        <v xml:space="preserve"> 323</v>
      </c>
      <c r="BA435" s="668">
        <f ca="1">DB435</f>
        <v>19.552</v>
      </c>
      <c r="BB435" s="670" t="str">
        <f ca="1">HYPERLINK(DO435,DD435)</f>
        <v xml:space="preserve"> 324</v>
      </c>
      <c r="BC435" s="658" t="str">
        <f ca="1">CY435&amp;" | "&amp;CZ435</f>
        <v>Biogas | 1.3.2 Energieertrag Biogas komprimiert</v>
      </c>
      <c r="BI435" s="658" t="s">
        <v>126</v>
      </c>
      <c r="BJ435" s="667" t="str">
        <f>E435</f>
        <v>Biogas zu Flüssigkraftstoff - Nutzungsgrad</v>
      </c>
      <c r="BK435" s="664">
        <f ca="1">K435</f>
        <v>45</v>
      </c>
      <c r="BL435" s="664">
        <f ca="1">M435</f>
        <v>45</v>
      </c>
      <c r="BM435" s="656">
        <f>D435</f>
        <v>435</v>
      </c>
      <c r="BO435" s="658" t="s">
        <v>251</v>
      </c>
      <c r="BP435" s="676" t="s">
        <v>717</v>
      </c>
      <c r="CU435" s="659"/>
      <c r="CW435" s="671">
        <v>82</v>
      </c>
      <c r="CY435" s="656" t="str">
        <f t="shared" ref="CY435:DO435" ca="1" si="203">INDIRECT($CX$1&amp;CY$1&amp;$CW435)</f>
        <v>Biogas</v>
      </c>
      <c r="CZ435" s="656" t="str">
        <f t="shared" ca="1" si="203"/>
        <v>1.3.2 Energieertrag Biogas komprimiert</v>
      </c>
      <c r="DA435" s="656">
        <f t="shared" ca="1" si="203"/>
        <v>39.103999999999999</v>
      </c>
      <c r="DB435" s="656">
        <f t="shared" ca="1" si="203"/>
        <v>19.552</v>
      </c>
      <c r="DC435" s="656" t="str">
        <f t="shared" ca="1" si="203"/>
        <v xml:space="preserve"> 323</v>
      </c>
      <c r="DD435" s="656" t="str">
        <f t="shared" ca="1" si="203"/>
        <v xml:space="preserve"> 324</v>
      </c>
      <c r="DE435" s="656" t="str">
        <f t="shared" ca="1" si="203"/>
        <v>EP76</v>
      </c>
      <c r="DF435" s="656" t="str">
        <f t="shared" ca="1" si="203"/>
        <v>EP76</v>
      </c>
      <c r="DG435" s="656" t="str">
        <f t="shared" ca="1" si="203"/>
        <v>EP</v>
      </c>
      <c r="DH435" s="656" t="str">
        <f t="shared" ca="1" si="203"/>
        <v>76</v>
      </c>
      <c r="DI435" s="656" t="str">
        <f t="shared" ca="1" si="203"/>
        <v>[EP.xls]TEXT!Z76S5</v>
      </c>
      <c r="DJ435" s="656" t="str">
        <f t="shared" ca="1" si="203"/>
        <v>EP</v>
      </c>
      <c r="DK435" s="656" t="str">
        <f t="shared" ca="1" si="203"/>
        <v>76</v>
      </c>
      <c r="DL435" s="656" t="str">
        <f t="shared" ca="1" si="203"/>
        <v>[EP.xls]TEXT!Z76S5</v>
      </c>
      <c r="DM435" s="656">
        <f t="shared" ca="1" si="203"/>
        <v>82</v>
      </c>
      <c r="DN435" s="656" t="str">
        <f t="shared" ca="1" si="203"/>
        <v>[Region.xls]PARAMETER!Z323S6</v>
      </c>
      <c r="DO435" s="656" t="str">
        <f t="shared" ca="1" si="203"/>
        <v>[Region.xls]PARAMETER!Z324S6</v>
      </c>
      <c r="DP435" s="656"/>
      <c r="DS435" s="656"/>
      <c r="DV435" s="656"/>
      <c r="DW435" s="656"/>
      <c r="DX435" s="656"/>
      <c r="DY435" s="656"/>
      <c r="DZ435" s="656"/>
      <c r="EA435" s="656"/>
      <c r="EB435" s="656"/>
      <c r="EC435" s="656"/>
      <c r="ED435" s="656"/>
      <c r="EE435" s="656"/>
      <c r="EF435" s="656"/>
      <c r="EG435" s="656"/>
      <c r="EH435" s="656"/>
      <c r="EI435" s="656"/>
      <c r="EJ435" s="656"/>
      <c r="EK435" s="656"/>
      <c r="EV435" s="819">
        <f t="shared" si="188"/>
        <v>435</v>
      </c>
      <c r="EW435" s="819"/>
    </row>
    <row r="436" spans="1:153" s="656" customFormat="1" ht="15" customHeight="1">
      <c r="A436" s="654" t="str">
        <f t="shared" ca="1" si="186"/>
        <v>D.1.436</v>
      </c>
      <c r="B436" s="654" t="str">
        <f t="shared" ca="1" si="187"/>
        <v>1.436</v>
      </c>
      <c r="C436" s="654" t="str">
        <f t="shared" si="200"/>
        <v>[436]</v>
      </c>
      <c r="D436" s="654">
        <f>ROW()</f>
        <v>436</v>
      </c>
      <c r="E436" s="1130" t="str">
        <f>CU436</f>
        <v>- STATUS-Ansatz: Annahme eines kumulierten Wirkungsgrades gemäß [437].</v>
      </c>
      <c r="F436" s="1130"/>
      <c r="G436" s="1130"/>
      <c r="H436" s="1130"/>
      <c r="I436" s="1130"/>
      <c r="J436" s="1130"/>
      <c r="K436" s="1130"/>
      <c r="L436" s="1130"/>
      <c r="M436" s="1130"/>
      <c r="N436" s="1131"/>
      <c r="O436" s="869">
        <v>436</v>
      </c>
      <c r="P436" s="691" t="str">
        <f ca="1">HYPERLINK(EK436,EJ436)</f>
        <v/>
      </c>
      <c r="Q436" s="692" t="str">
        <f>Y436</f>
        <v xml:space="preserve"> </v>
      </c>
      <c r="R436" s="852"/>
      <c r="S436" s="784"/>
      <c r="T436" s="864"/>
      <c r="U436" s="1023" t="str">
        <f>"Annahme eines kumulierten Wirkungsgrades gemäß "&amp;C437&amp;"."</f>
        <v>Annahme eines kumulierten Wirkungsgrades gemäß [437].</v>
      </c>
      <c r="V436" s="905" t="s">
        <v>126</v>
      </c>
      <c r="W436" s="1024">
        <f>AD437</f>
        <v>45</v>
      </c>
      <c r="X436" s="672"/>
      <c r="Y436" s="672" t="s">
        <v>126</v>
      </c>
      <c r="Z436" s="1025"/>
      <c r="AA436" s="658"/>
      <c r="AB436" s="801"/>
      <c r="AC436" s="801"/>
      <c r="AD436" s="801"/>
      <c r="AE436" s="801"/>
      <c r="AF436" s="801"/>
      <c r="AG436" s="801"/>
      <c r="AH436" s="801"/>
      <c r="AI436" s="801"/>
      <c r="AJ436" s="801"/>
      <c r="AK436" s="801"/>
      <c r="AL436" s="801"/>
      <c r="AM436" s="801"/>
      <c r="AN436" s="801"/>
      <c r="AO436" s="801"/>
      <c r="AP436" s="801"/>
      <c r="AQ436" s="801"/>
      <c r="AR436" s="801"/>
      <c r="AS436" s="801"/>
      <c r="AT436" s="801"/>
      <c r="AU436" s="801"/>
      <c r="AV436" s="801"/>
      <c r="BF436" s="657"/>
      <c r="BI436" s="656" t="s">
        <v>126</v>
      </c>
      <c r="BJ436" s="666"/>
      <c r="BO436" s="656" t="s">
        <v>259</v>
      </c>
      <c r="CU436" s="663" t="str">
        <f>CG$1&amp;IF(U436="",BF436,U436)</f>
        <v>- STATUS-Ansatz: Annahme eines kumulierten Wirkungsgrades gemäß [437].</v>
      </c>
      <c r="CW436" s="663"/>
      <c r="DT436" s="671">
        <f>I_Basisdaten!A171</f>
        <v>171</v>
      </c>
      <c r="EJ436" s="656" t="str">
        <f>IF(X436=0,"",EJ$1&amp;X436)</f>
        <v/>
      </c>
      <c r="EK436" s="656" t="str">
        <f ca="1">EK$1&amp;X436</f>
        <v>[D_Python.xlsx]9.Quellen!C</v>
      </c>
      <c r="EV436" s="819">
        <f t="shared" si="188"/>
        <v>436</v>
      </c>
      <c r="EW436" s="819"/>
    </row>
    <row r="437" spans="1:153" s="656" customFormat="1" ht="52">
      <c r="A437" s="654" t="str">
        <f t="shared" ca="1" si="186"/>
        <v>D.1.437</v>
      </c>
      <c r="B437" s="654" t="str">
        <f t="shared" ca="1" si="187"/>
        <v>1.437</v>
      </c>
      <c r="C437" s="654" t="str">
        <f t="shared" si="200"/>
        <v>[437]</v>
      </c>
      <c r="D437" s="654">
        <f>ROW()</f>
        <v>437</v>
      </c>
      <c r="E437" s="1130" t="str">
        <f>CU437</f>
        <v>Gemäß [438] liegt der energetische Wirkungsgrad der Fischer-Tropsch-Synthese, unter Berücksichtigung aller zusätzlich erforderlichen Prozessschritte zur Erzeugung flüssiger Kohlenwasserstoffe aus reformiertem Biogas bei 67 %.  Der stoffliche Wirkungsgrad zur Erzeugung von den als Flüssigkraftstoff einsetzbaren Produkten Kerosin und Diesel (C9 bis C24) beträgt dabei 45%.</v>
      </c>
      <c r="F437" s="1130"/>
      <c r="G437" s="1130"/>
      <c r="H437" s="1130"/>
      <c r="I437" s="1130"/>
      <c r="J437" s="1130"/>
      <c r="K437" s="1130"/>
      <c r="L437" s="1130"/>
      <c r="M437" s="1130"/>
      <c r="N437" s="1131"/>
      <c r="O437" s="869">
        <v>437</v>
      </c>
      <c r="P437" s="691" t="str">
        <f ca="1">HYPERLINK(EK437,EJ437)</f>
        <v/>
      </c>
      <c r="Q437" s="692" t="str">
        <f>Y437</f>
        <v xml:space="preserve"> </v>
      </c>
      <c r="R437" s="852"/>
      <c r="S437" s="784"/>
      <c r="T437" s="864"/>
      <c r="U437" s="1023" t="str">
        <f>"Gemäß "&amp;C438&amp;" liegt der energetische Wirkungsgrad der Fischer-Tropsch-Synthese, unter Berücksichtigung aller zusätzlich erforderlichen Prozessschritte zur Erzeugung flüssiger Kohlenwasserstoffe aus reformiertem Biogas bei 67 %.  "&amp;"Der stoffliche Wirkungsgrad zur Erzeugung von den als Flüssigkraftstoff einsetzbaren Produkten Kerosin und Diesel (C9 bis C24) beträgt dabei "&amp;AD437&amp;AE437&amp;"."</f>
        <v>Gemäß [438] liegt der energetische Wirkungsgrad der Fischer-Tropsch-Synthese, unter Berücksichtigung aller zusätzlich erforderlichen Prozessschritte zur Erzeugung flüssiger Kohlenwasserstoffe aus reformiertem Biogas bei 67 %.  Der stoffliche Wirkungsgrad zur Erzeugung von den als Flüssigkraftstoff einsetzbaren Produkten Kerosin und Diesel (C9 bis C24) beträgt dabei 45%.</v>
      </c>
      <c r="V437" s="905" t="s">
        <v>126</v>
      </c>
      <c r="W437" s="1024"/>
      <c r="X437" s="672"/>
      <c r="Y437" s="672" t="s">
        <v>126</v>
      </c>
      <c r="Z437" s="1025"/>
      <c r="AA437" s="905"/>
      <c r="AB437" s="801"/>
      <c r="AC437" s="801"/>
      <c r="AD437" s="801">
        <f>AD438</f>
        <v>45</v>
      </c>
      <c r="AE437" s="801" t="s">
        <v>38</v>
      </c>
      <c r="AF437" s="801"/>
      <c r="AG437" s="801"/>
      <c r="AH437" s="801"/>
      <c r="AI437" s="801"/>
      <c r="AJ437" s="801"/>
      <c r="AK437" s="801"/>
      <c r="AL437" s="801"/>
      <c r="AM437" s="801"/>
      <c r="AN437" s="801"/>
      <c r="AO437" s="801"/>
      <c r="AP437" s="801"/>
      <c r="AQ437" s="801"/>
      <c r="AR437" s="801"/>
      <c r="AS437" s="801"/>
      <c r="AT437" s="801"/>
      <c r="AU437" s="801"/>
      <c r="AV437" s="801"/>
      <c r="BF437" s="657"/>
      <c r="BI437" s="656" t="s">
        <v>126</v>
      </c>
      <c r="BJ437" s="666"/>
      <c r="BO437" s="656" t="s">
        <v>252</v>
      </c>
      <c r="CU437" s="663" t="str">
        <f>IF(U437="",BF437,U437)</f>
        <v>Gemäß [438] liegt der energetische Wirkungsgrad der Fischer-Tropsch-Synthese, unter Berücksichtigung aller zusätzlich erforderlichen Prozessschritte zur Erzeugung flüssiger Kohlenwasserstoffe aus reformiertem Biogas bei 67 %.  Der stoffliche Wirkungsgrad zur Erzeugung von den als Flüssigkraftstoff einsetzbaren Produkten Kerosin und Diesel (C9 bis C24) beträgt dabei 45%.</v>
      </c>
      <c r="CW437" s="663"/>
      <c r="DT437" s="671"/>
      <c r="EJ437" s="656" t="str">
        <f>IF(X437=0,"",EJ$1&amp;X437)</f>
        <v/>
      </c>
      <c r="EK437" s="656" t="str">
        <f ca="1">EK$1&amp;X437</f>
        <v>[D_Python.xlsx]9.Quellen!C</v>
      </c>
      <c r="EV437" s="819">
        <f t="shared" si="188"/>
        <v>437</v>
      </c>
      <c r="EW437" s="819"/>
    </row>
    <row r="438" spans="1:153" s="656" customFormat="1" ht="65">
      <c r="A438" s="654" t="str">
        <f t="shared" ca="1" si="186"/>
        <v>D.1.438</v>
      </c>
      <c r="B438" s="654" t="str">
        <f t="shared" ca="1" si="187"/>
        <v>1.438</v>
      </c>
      <c r="C438" s="654" t="str">
        <f>CE$1&amp;D438&amp;CF$1</f>
        <v>[438]</v>
      </c>
      <c r="D438" s="654">
        <f>ROW()</f>
        <v>438</v>
      </c>
      <c r="E438" s="1130" t="str">
        <f ca="1">CU438</f>
        <v>Der berechnete stoffliche Wirkungsgrad zur Erzeugung von Kerosin (C9 bis C14) beträgt 30% für das ausgewählte Konzept gemäß [439]. Neben Kerosin werden weitere energetisch nutzbare Produkte (Diesel und Naphta) sowie Strom aus Abwärme erzeugt (7%). Der stoffliche Wirkungsgrad zur Erzeugung von Diesel (C15 bis C24) beträgt dabei 15% [9.37], S. 48, Tab.6-11. Damit können in Summe 45%  der eingesetzten Energie in Form der Zielprodukte Kerosin und Diesel genutzt werden (7% Strom bleibt hier unberücksichtigt).</v>
      </c>
      <c r="F438" s="1130"/>
      <c r="G438" s="1130"/>
      <c r="H438" s="1130"/>
      <c r="I438" s="1130"/>
      <c r="J438" s="1130"/>
      <c r="K438" s="1130"/>
      <c r="L438" s="1130"/>
      <c r="M438" s="1130"/>
      <c r="N438" s="1131"/>
      <c r="O438" s="869">
        <v>438</v>
      </c>
      <c r="P438" s="691" t="str">
        <f ca="1">HYPERLINK(EK438,EJ438)</f>
        <v>9.37</v>
      </c>
      <c r="Q438" s="692" t="str">
        <f>Y438</f>
        <v>S. 48, Tab.6-11</v>
      </c>
      <c r="R438" s="852"/>
      <c r="S438" s="784"/>
      <c r="T438" s="864"/>
      <c r="U438" s="1023" t="str">
        <f ca="1">"Der berechnete stoffliche Wirkungsgrad zur Erzeugung von Kerosin (C9 bis C14) beträgt 30% für das ausgewählte Konzept gemäß "&amp;C439&amp;". Neben Kerosin werden weitere energetisch nutzbare Produkte (Diesel und Naphta) sowie Strom aus Abwärme erzeugt (7%). "&amp;"Der stoffliche Wirkungsgrad zur Erzeugung von Diesel (C15 bis C24) beträgt dabei 15% ["&amp;P438&amp;"], "&amp;Q438&amp;". Damit können in Summe "&amp;AD438&amp;AE438&amp;" der eingesetzten Energie in Form der Zielprodukte Kerosin und Diesel genutzt werden (7% Strom bleibt hier unberücksichtigt)."</f>
        <v>Der berechnete stoffliche Wirkungsgrad zur Erzeugung von Kerosin (C9 bis C14) beträgt 30% für das ausgewählte Konzept gemäß [439]. Neben Kerosin werden weitere energetisch nutzbare Produkte (Diesel und Naphta) sowie Strom aus Abwärme erzeugt (7%). Der stoffliche Wirkungsgrad zur Erzeugung von Diesel (C15 bis C24) beträgt dabei 15% [9.37], S. 48, Tab.6-11. Damit können in Summe 45%  der eingesetzten Energie in Form der Zielprodukte Kerosin und Diesel genutzt werden (7% Strom bleibt hier unberücksichtigt).</v>
      </c>
      <c r="V438" s="905" t="s">
        <v>126</v>
      </c>
      <c r="W438" s="1024">
        <f>AD438</f>
        <v>45</v>
      </c>
      <c r="X438" s="672">
        <f>'9.Quellen'!C37</f>
        <v>37</v>
      </c>
      <c r="Y438" s="672" t="s">
        <v>825</v>
      </c>
      <c r="Z438" s="1025"/>
      <c r="AA438" s="905"/>
      <c r="AB438" s="801"/>
      <c r="AC438" s="801"/>
      <c r="AD438" s="801">
        <v>45</v>
      </c>
      <c r="AE438" s="801" t="s">
        <v>835</v>
      </c>
      <c r="AF438" s="801"/>
      <c r="AG438" s="801"/>
      <c r="AH438" s="801"/>
      <c r="AI438" s="801"/>
      <c r="AJ438" s="801"/>
      <c r="AK438" s="801"/>
      <c r="AL438" s="801"/>
      <c r="AM438" s="801"/>
      <c r="AN438" s="801"/>
      <c r="AO438" s="801"/>
      <c r="AP438" s="801"/>
      <c r="AQ438" s="801"/>
      <c r="AR438" s="801"/>
      <c r="AS438" s="801"/>
      <c r="AT438" s="801"/>
      <c r="AU438" s="801"/>
      <c r="AV438" s="801"/>
      <c r="BF438" s="657"/>
      <c r="BI438" s="656" t="s">
        <v>126</v>
      </c>
      <c r="BJ438" s="666"/>
      <c r="BO438" s="656" t="s">
        <v>252</v>
      </c>
      <c r="CU438" s="663" t="str">
        <f ca="1">IF(U438="",BF438,U438)</f>
        <v>Der berechnete stoffliche Wirkungsgrad zur Erzeugung von Kerosin (C9 bis C14) beträgt 30% für das ausgewählte Konzept gemäß [439]. Neben Kerosin werden weitere energetisch nutzbare Produkte (Diesel und Naphta) sowie Strom aus Abwärme erzeugt (7%). Der stoffliche Wirkungsgrad zur Erzeugung von Diesel (C15 bis C24) beträgt dabei 15% [9.37], S. 48, Tab.6-11. Damit können in Summe 45%  der eingesetzten Energie in Form der Zielprodukte Kerosin und Diesel genutzt werden (7% Strom bleibt hier unberücksichtigt).</v>
      </c>
      <c r="CW438" s="663"/>
      <c r="DT438" s="671"/>
      <c r="EJ438" s="656" t="str">
        <f ca="1">IF(X438=0,"",EJ$1&amp;X438)</f>
        <v>9.37</v>
      </c>
      <c r="EK438" s="656" t="str">
        <f ca="1">EK$1&amp;X438</f>
        <v>[D_Python.xlsx]9.Quellen!C37</v>
      </c>
      <c r="EV438" s="819">
        <f t="shared" ca="1" si="188"/>
        <v>438</v>
      </c>
      <c r="EW438" s="819"/>
    </row>
    <row r="439" spans="1:153" s="656" customFormat="1" ht="65">
      <c r="A439" s="654" t="str">
        <f t="shared" ca="1" si="186"/>
        <v>D.1.439</v>
      </c>
      <c r="B439" s="654" t="str">
        <f t="shared" ca="1" si="187"/>
        <v>1.439</v>
      </c>
      <c r="C439" s="654" t="str">
        <f>CE$1&amp;D439&amp;CF$1</f>
        <v>[439]</v>
      </c>
      <c r="D439" s="654">
        <f>ROW()</f>
        <v>439</v>
      </c>
      <c r="E439" s="1130" t="str">
        <f ca="1">CU439</f>
        <v>In [9.37] wurden verschiedene Konzepte zur Erzeugung von Kerosin aus Biogas betrachtet. Diese bestehen jeweils aus den Prozessschritten Reformierung, Synthesegasaufbereitung, Fischer-Tropsch-Synthese und Produktaufbereitung. Die ermittelten energetischen Wirkungsgrade betragen im Mittel 63 %, während das effizienteste Konzept ([9.37], S. 48, Tab.6-11) mit den geringsten Gestehungskosten für Kerosin ([9.37], S. 96, Tab.8-11) einen Wirkungsgrad von 67 % erreicht.</v>
      </c>
      <c r="F439" s="1130"/>
      <c r="G439" s="1130"/>
      <c r="H439" s="1130"/>
      <c r="I439" s="1130"/>
      <c r="J439" s="1130"/>
      <c r="K439" s="1130"/>
      <c r="L439" s="1130"/>
      <c r="M439" s="1130"/>
      <c r="N439" s="1131"/>
      <c r="O439" s="869">
        <v>439</v>
      </c>
      <c r="P439" s="691" t="str">
        <f ca="1">HYPERLINK(EK439,EJ439)</f>
        <v>9.37</v>
      </c>
      <c r="Q439" s="692" t="str">
        <f>Y439</f>
        <v>S. 96, Tab.8-11</v>
      </c>
      <c r="R439" s="852"/>
      <c r="S439" s="784"/>
      <c r="T439" s="864"/>
      <c r="U439" s="1023" t="str">
        <f ca="1">"In ["&amp;P439&amp;"] wurden verschiedene Konzepte zur Erzeugung von Kerosin aus Biogas betrachtet. Diese bestehen jeweils aus den Prozessschritten Reformierung, Synthesegasaufbereitung, Fischer-Tropsch-Synthese und Produktaufbereitung. "&amp;"Die ermittelten energetischen Wirkungsgrade betragen im Mittel 63 %, während das effizienteste Konzept (["&amp;P439&amp;"], "&amp;Q438&amp;") mit den geringsten Gestehungskosten für Kerosin (["&amp;P439&amp;"], "&amp;Q439&amp;") einen Wirkungsgrad von 67 % erreicht."</f>
        <v>In [9.37] wurden verschiedene Konzepte zur Erzeugung von Kerosin aus Biogas betrachtet. Diese bestehen jeweils aus den Prozessschritten Reformierung, Synthesegasaufbereitung, Fischer-Tropsch-Synthese und Produktaufbereitung. Die ermittelten energetischen Wirkungsgrade betragen im Mittel 63 %, während das effizienteste Konzept ([9.37], S. 48, Tab.6-11) mit den geringsten Gestehungskosten für Kerosin ([9.37], S. 96, Tab.8-11) einen Wirkungsgrad von 67 % erreicht.</v>
      </c>
      <c r="V439" s="905" t="s">
        <v>126</v>
      </c>
      <c r="W439" s="1024"/>
      <c r="X439" s="672">
        <f>'9.Quellen'!C37</f>
        <v>37</v>
      </c>
      <c r="Y439" s="672" t="s">
        <v>826</v>
      </c>
      <c r="Z439" s="1025"/>
      <c r="AA439" s="905"/>
      <c r="AB439" s="801"/>
      <c r="AC439" s="801"/>
      <c r="AD439" s="801"/>
      <c r="AE439" s="801"/>
      <c r="AF439" s="801"/>
      <c r="AG439" s="801"/>
      <c r="AH439" s="801"/>
      <c r="AI439" s="801"/>
      <c r="AJ439" s="801"/>
      <c r="AK439" s="801"/>
      <c r="AL439" s="801"/>
      <c r="AM439" s="801"/>
      <c r="AN439" s="801"/>
      <c r="AO439" s="801"/>
      <c r="AP439" s="801"/>
      <c r="AQ439" s="801"/>
      <c r="AR439" s="801"/>
      <c r="AS439" s="801"/>
      <c r="AT439" s="801"/>
      <c r="AU439" s="801"/>
      <c r="AV439" s="801"/>
      <c r="BF439" s="657"/>
      <c r="BI439" s="656" t="s">
        <v>126</v>
      </c>
      <c r="BJ439" s="666"/>
      <c r="BO439" s="656" t="s">
        <v>252</v>
      </c>
      <c r="CU439" s="663" t="str">
        <f ca="1">IF(U439="",BF439,U439)</f>
        <v>In [9.37] wurden verschiedene Konzepte zur Erzeugung von Kerosin aus Biogas betrachtet. Diese bestehen jeweils aus den Prozessschritten Reformierung, Synthesegasaufbereitung, Fischer-Tropsch-Synthese und Produktaufbereitung. Die ermittelten energetischen Wirkungsgrade betragen im Mittel 63 %, während das effizienteste Konzept ([9.37], S. 48, Tab.6-11) mit den geringsten Gestehungskosten für Kerosin ([9.37], S. 96, Tab.8-11) einen Wirkungsgrad von 67 % erreicht.</v>
      </c>
      <c r="CW439" s="663"/>
      <c r="DT439" s="671"/>
      <c r="EJ439" s="656" t="str">
        <f ca="1">IF(X439=0,"",EJ$1&amp;X439)</f>
        <v>9.37</v>
      </c>
      <c r="EK439" s="656" t="str">
        <f ca="1">EK$1&amp;X439</f>
        <v>[D_Python.xlsx]9.Quellen!C37</v>
      </c>
      <c r="EV439" s="819">
        <f t="shared" ca="1" si="188"/>
        <v>439</v>
      </c>
      <c r="EW439" s="819"/>
    </row>
    <row r="440" spans="1:153" s="661" customFormat="1" ht="4">
      <c r="A440" s="677" t="str">
        <f t="shared" ca="1" si="186"/>
        <v>D.1.440</v>
      </c>
      <c r="B440" s="677" t="str">
        <f t="shared" ca="1" si="187"/>
        <v>1.440</v>
      </c>
      <c r="C440" s="677" t="str">
        <f t="shared" si="200"/>
        <v>[440]</v>
      </c>
      <c r="D440" s="677">
        <f>ROW()</f>
        <v>440</v>
      </c>
      <c r="E440" s="680"/>
      <c r="F440" s="680"/>
      <c r="G440" s="680"/>
      <c r="H440" s="680"/>
      <c r="I440" s="679"/>
      <c r="J440" s="679"/>
      <c r="K440" s="679"/>
      <c r="L440" s="679"/>
      <c r="M440" s="679"/>
      <c r="N440" s="680"/>
      <c r="O440" s="871">
        <v>440</v>
      </c>
      <c r="P440" s="688"/>
      <c r="Q440" s="689"/>
      <c r="R440" s="888"/>
      <c r="S440" s="802"/>
      <c r="T440" s="882"/>
      <c r="AB440" s="675"/>
      <c r="AC440" s="675"/>
      <c r="AD440" s="675"/>
      <c r="AE440" s="675"/>
      <c r="AF440" s="675"/>
      <c r="AG440" s="675"/>
      <c r="AH440" s="675"/>
      <c r="AI440" s="675"/>
      <c r="AJ440" s="675"/>
      <c r="AK440" s="675"/>
      <c r="AL440" s="675"/>
      <c r="AM440" s="675"/>
      <c r="AN440" s="675"/>
      <c r="AO440" s="675"/>
      <c r="AP440" s="675"/>
      <c r="AQ440" s="675"/>
      <c r="AR440" s="675"/>
      <c r="AS440" s="675"/>
      <c r="AT440" s="675"/>
      <c r="AU440" s="675"/>
      <c r="AV440" s="675"/>
      <c r="BI440" s="661" t="s">
        <v>126</v>
      </c>
      <c r="BJ440" s="665"/>
      <c r="CU440" s="662"/>
      <c r="CW440" s="662"/>
      <c r="EV440" s="818" t="str">
        <f t="shared" si="188"/>
        <v/>
      </c>
      <c r="EW440" s="818"/>
    </row>
    <row r="441" spans="1:153" s="656" customFormat="1">
      <c r="A441" s="654" t="str">
        <f t="shared" ca="1" si="186"/>
        <v>D.1.441</v>
      </c>
      <c r="B441" s="654" t="str">
        <f t="shared" ca="1" si="187"/>
        <v>1.441</v>
      </c>
      <c r="C441" s="654" t="str">
        <f t="shared" si="200"/>
        <v>[441]</v>
      </c>
      <c r="D441" s="654">
        <f>ROW()</f>
        <v>441</v>
      </c>
      <c r="E441" s="1125" t="str">
        <f t="shared" ref="E441" si="204">CU441</f>
        <v>- ZIEL-Ansatz: Der heutige Nutzungsgrad  [437] wird auch für die Zukunft angenommen.</v>
      </c>
      <c r="F441" s="1125"/>
      <c r="G441" s="1125"/>
      <c r="H441" s="1125"/>
      <c r="I441" s="1125"/>
      <c r="J441" s="1125"/>
      <c r="K441" s="1125"/>
      <c r="L441" s="1125"/>
      <c r="M441" s="1125"/>
      <c r="N441" s="1132"/>
      <c r="O441" s="869">
        <v>441</v>
      </c>
      <c r="P441" s="691" t="str">
        <f ca="1">HYPERLINK(EK441,EJ441)</f>
        <v/>
      </c>
      <c r="Q441" s="692" t="str">
        <f>Y441</f>
        <v xml:space="preserve"> </v>
      </c>
      <c r="R441" s="852"/>
      <c r="S441" s="803"/>
      <c r="T441" s="864"/>
      <c r="U441" s="1023" t="str">
        <f>"Der heutige Nutzungsgrad  "&amp;C437&amp;" wird auch für die Zukunft angenommen."</f>
        <v>Der heutige Nutzungsgrad  [437] wird auch für die Zukunft angenommen.</v>
      </c>
      <c r="V441" s="905" t="s">
        <v>126</v>
      </c>
      <c r="W441" s="1024">
        <f>W436</f>
        <v>45</v>
      </c>
      <c r="X441" s="672"/>
      <c r="Y441" s="672" t="s">
        <v>126</v>
      </c>
      <c r="Z441" s="1025"/>
      <c r="AA441" s="905"/>
      <c r="AB441" s="801"/>
      <c r="AC441" s="801"/>
      <c r="AD441" s="801"/>
      <c r="AE441" s="801"/>
      <c r="AF441" s="801"/>
      <c r="AG441" s="801"/>
      <c r="AH441" s="801"/>
      <c r="AI441" s="801"/>
      <c r="AJ441" s="801"/>
      <c r="AK441" s="801"/>
      <c r="AL441" s="801"/>
      <c r="AM441" s="801"/>
      <c r="AN441" s="801"/>
      <c r="AO441" s="801"/>
      <c r="AP441" s="801"/>
      <c r="AQ441" s="801"/>
      <c r="AR441" s="801"/>
      <c r="AS441" s="801"/>
      <c r="AT441" s="801"/>
      <c r="AU441" s="801"/>
      <c r="AV441" s="801"/>
      <c r="BF441" s="657"/>
      <c r="BI441" s="656" t="s">
        <v>126</v>
      </c>
      <c r="BJ441" s="666"/>
      <c r="BO441" s="656" t="s">
        <v>259</v>
      </c>
      <c r="CU441" s="663" t="str">
        <f>CH$1&amp;IF(U441="",BF441,U441)</f>
        <v>- ZIEL-Ansatz: Der heutige Nutzungsgrad  [437] wird auch für die Zukunft angenommen.</v>
      </c>
      <c r="CW441" s="663"/>
      <c r="DT441" s="671">
        <v>53</v>
      </c>
      <c r="EJ441" s="656" t="str">
        <f>IF(X441=0,"",EJ$1&amp;X441)</f>
        <v/>
      </c>
      <c r="EK441" s="656" t="str">
        <f ca="1">EK$1&amp;X441</f>
        <v>[D_Python.xlsx]9.Quellen!C</v>
      </c>
      <c r="EV441" s="819">
        <f t="shared" si="188"/>
        <v>441</v>
      </c>
      <c r="EW441" s="819"/>
    </row>
    <row r="442" spans="1:153" s="528" customFormat="1" ht="4">
      <c r="A442" s="540" t="str">
        <f t="shared" ca="1" si="186"/>
        <v>D.1.442</v>
      </c>
      <c r="B442" s="540" t="str">
        <f t="shared" ca="1" si="187"/>
        <v>1.442</v>
      </c>
      <c r="C442" s="540" t="str">
        <f t="shared" si="195"/>
        <v>[442]</v>
      </c>
      <c r="D442" s="540">
        <f>ROW()</f>
        <v>442</v>
      </c>
      <c r="I442" s="527"/>
      <c r="J442" s="527"/>
      <c r="K442" s="527"/>
      <c r="L442" s="527"/>
      <c r="M442" s="527"/>
      <c r="O442" s="870">
        <v>442</v>
      </c>
      <c r="P442" s="566"/>
      <c r="Q442" s="567"/>
      <c r="R442" s="889"/>
      <c r="S442" s="802"/>
      <c r="T442" s="883"/>
      <c r="U442" s="661"/>
      <c r="V442" s="661"/>
      <c r="W442" s="661"/>
      <c r="X442" s="661"/>
      <c r="Y442" s="661"/>
      <c r="Z442" s="661"/>
      <c r="AA442" s="661"/>
      <c r="AB442" s="675"/>
      <c r="AC442" s="675"/>
      <c r="AD442" s="675"/>
      <c r="AE442" s="675"/>
      <c r="AF442" s="675"/>
      <c r="AG442" s="675"/>
      <c r="AH442" s="675"/>
      <c r="AI442" s="675"/>
      <c r="AJ442" s="675"/>
      <c r="AK442" s="675"/>
      <c r="AL442" s="675"/>
      <c r="AM442" s="675"/>
      <c r="AN442" s="675"/>
      <c r="AO442" s="675"/>
      <c r="AP442" s="675"/>
      <c r="AQ442" s="675"/>
      <c r="AR442" s="675"/>
      <c r="AS442" s="675"/>
      <c r="AT442" s="675"/>
      <c r="AU442" s="675"/>
      <c r="AV442" s="675"/>
      <c r="AZ442" s="541"/>
      <c r="BB442" s="541"/>
      <c r="BI442" s="528" t="s">
        <v>126</v>
      </c>
      <c r="BJ442" s="542"/>
      <c r="BN442" s="680"/>
      <c r="CU442" s="543"/>
      <c r="CV442" s="680"/>
      <c r="CW442" s="543"/>
      <c r="DS442" s="680"/>
      <c r="EV442" s="820" t="str">
        <f t="shared" si="188"/>
        <v/>
      </c>
      <c r="EW442" s="820"/>
    </row>
    <row r="443" spans="1:153" s="472" customFormat="1" ht="13">
      <c r="A443" s="654" t="str">
        <f t="shared" ca="1" si="186"/>
        <v>D.1.443</v>
      </c>
      <c r="B443" s="654" t="str">
        <f t="shared" ca="1" si="187"/>
        <v>1.443</v>
      </c>
      <c r="C443" s="654" t="str">
        <f t="shared" si="195"/>
        <v>[443]</v>
      </c>
      <c r="D443" s="654">
        <f>ROW()</f>
        <v>443</v>
      </c>
      <c r="E443" s="481" t="str">
        <f>BP443</f>
        <v>Biodiesel (inkl. Pflanzenöl)</v>
      </c>
      <c r="F443" s="482"/>
      <c r="G443" s="482"/>
      <c r="H443" s="482"/>
      <c r="I443" s="483"/>
      <c r="J443" s="484"/>
      <c r="K443" s="484"/>
      <c r="L443" s="484"/>
      <c r="M443" s="484"/>
      <c r="N443" s="532"/>
      <c r="O443" s="869">
        <v>443</v>
      </c>
      <c r="P443" s="568"/>
      <c r="Q443" s="569"/>
      <c r="R443" s="852"/>
      <c r="S443" s="804"/>
      <c r="T443" s="864"/>
      <c r="U443" s="905"/>
      <c r="V443" s="905"/>
      <c r="W443" s="905"/>
      <c r="X443" s="905"/>
      <c r="Y443" s="905"/>
      <c r="Z443" s="905"/>
      <c r="AA443" s="905"/>
      <c r="AB443" s="801"/>
      <c r="AC443" s="801"/>
      <c r="AD443" s="801"/>
      <c r="AE443" s="801"/>
      <c r="AF443" s="801"/>
      <c r="AG443" s="801"/>
      <c r="AH443" s="801"/>
      <c r="AI443" s="801"/>
      <c r="AJ443" s="801"/>
      <c r="AK443" s="801"/>
      <c r="AL443" s="801"/>
      <c r="AM443" s="801"/>
      <c r="AN443" s="801"/>
      <c r="AO443" s="801"/>
      <c r="AP443" s="801"/>
      <c r="AQ443" s="801"/>
      <c r="AR443" s="801"/>
      <c r="AS443" s="801"/>
      <c r="AT443" s="801"/>
      <c r="AU443" s="801"/>
      <c r="AV443" s="801"/>
      <c r="AZ443" s="504"/>
      <c r="BB443" s="506"/>
      <c r="BI443" s="472" t="s">
        <v>126</v>
      </c>
      <c r="BJ443" s="490"/>
      <c r="BN443" s="656"/>
      <c r="BO443" s="472" t="s">
        <v>250</v>
      </c>
      <c r="BP443" s="518" t="s">
        <v>501</v>
      </c>
      <c r="CU443" s="480"/>
      <c r="CV443" s="656"/>
      <c r="CW443" s="480"/>
      <c r="DS443" s="656"/>
      <c r="EV443" s="819">
        <f t="shared" si="188"/>
        <v>443</v>
      </c>
      <c r="EW443" s="819"/>
    </row>
    <row r="444" spans="1:153" s="478" customFormat="1" ht="4">
      <c r="A444" s="677" t="str">
        <f t="shared" ca="1" si="186"/>
        <v>D.1.444</v>
      </c>
      <c r="B444" s="677" t="str">
        <f t="shared" ca="1" si="187"/>
        <v>1.444</v>
      </c>
      <c r="C444" s="677" t="str">
        <f t="shared" si="195"/>
        <v>[444]</v>
      </c>
      <c r="D444" s="677">
        <f>ROW()</f>
        <v>444</v>
      </c>
      <c r="E444" s="528"/>
      <c r="F444" s="528"/>
      <c r="G444" s="528"/>
      <c r="H444" s="528"/>
      <c r="I444" s="527"/>
      <c r="J444" s="527"/>
      <c r="K444" s="527"/>
      <c r="L444" s="527"/>
      <c r="M444" s="527"/>
      <c r="N444" s="528"/>
      <c r="O444" s="871">
        <v>444</v>
      </c>
      <c r="P444" s="566"/>
      <c r="Q444" s="567"/>
      <c r="R444" s="888"/>
      <c r="S444" s="802"/>
      <c r="T444" s="882"/>
      <c r="U444" s="661"/>
      <c r="V444" s="661"/>
      <c r="W444" s="661"/>
      <c r="X444" s="661"/>
      <c r="Y444" s="661"/>
      <c r="Z444" s="661"/>
      <c r="AA444" s="661"/>
      <c r="AB444" s="675"/>
      <c r="AC444" s="675"/>
      <c r="AD444" s="675"/>
      <c r="AE444" s="675"/>
      <c r="AF444" s="675"/>
      <c r="AG444" s="675"/>
      <c r="AH444" s="675"/>
      <c r="AI444" s="675"/>
      <c r="AJ444" s="675"/>
      <c r="AK444" s="675"/>
      <c r="AL444" s="675"/>
      <c r="AM444" s="675"/>
      <c r="AN444" s="675"/>
      <c r="AO444" s="675"/>
      <c r="AP444" s="675"/>
      <c r="AQ444" s="675"/>
      <c r="AR444" s="675"/>
      <c r="AS444" s="675"/>
      <c r="AT444" s="675"/>
      <c r="AU444" s="675"/>
      <c r="AV444" s="675"/>
      <c r="AZ444" s="505"/>
      <c r="BB444" s="505"/>
      <c r="BI444" s="478" t="s">
        <v>126</v>
      </c>
      <c r="BJ444" s="489"/>
      <c r="BN444" s="661"/>
      <c r="CU444" s="479"/>
      <c r="CV444" s="661"/>
      <c r="CW444" s="479"/>
      <c r="DS444" s="661"/>
      <c r="EV444" s="818" t="str">
        <f t="shared" si="188"/>
        <v/>
      </c>
      <c r="EW444" s="818"/>
    </row>
    <row r="445" spans="1:153" s="475" customFormat="1" ht="13.5" customHeight="1">
      <c r="A445" s="654" t="str">
        <f t="shared" ca="1" si="186"/>
        <v>D.1.445</v>
      </c>
      <c r="B445" s="654" t="str">
        <f t="shared" ca="1" si="187"/>
        <v>1.445</v>
      </c>
      <c r="C445" s="654" t="str">
        <f t="shared" si="195"/>
        <v>[445]</v>
      </c>
      <c r="D445" s="654">
        <f>ROW()</f>
        <v>445</v>
      </c>
      <c r="E445" s="1129" t="str">
        <f>BP445</f>
        <v>Biodiesel - Anbaufläche</v>
      </c>
      <c r="F445" s="1129"/>
      <c r="G445" s="1129"/>
      <c r="H445" s="1129"/>
      <c r="I445" s="1129"/>
      <c r="J445" s="471" t="s">
        <v>272</v>
      </c>
      <c r="K445" s="546">
        <f ca="1">INDIRECT($W$1&amp;U445)</f>
        <v>760000</v>
      </c>
      <c r="L445" s="485" t="str">
        <f ca="1">HYPERLINK($CK$1&amp;U445,$CE$1&amp;U445&amp;$CF$1)</f>
        <v>[446]</v>
      </c>
      <c r="M445" s="547">
        <f ca="1">INDIRECT($W$1&amp;W445)</f>
        <v>303000</v>
      </c>
      <c r="N445" s="533" t="str">
        <f ca="1">HYPERLINK($CK$1&amp;W445,$CE$1&amp;W445&amp;$CF$1)</f>
        <v>[448]</v>
      </c>
      <c r="O445" s="869">
        <v>445</v>
      </c>
      <c r="P445" s="570"/>
      <c r="Q445" s="583"/>
      <c r="R445" s="852"/>
      <c r="S445" s="784"/>
      <c r="T445" s="864"/>
      <c r="U445" s="672">
        <f>D446</f>
        <v>446</v>
      </c>
      <c r="V445" s="905" t="s">
        <v>126</v>
      </c>
      <c r="W445" s="672">
        <f>D448</f>
        <v>448</v>
      </c>
      <c r="X445" s="658"/>
      <c r="Y445" s="658"/>
      <c r="Z445" s="658"/>
      <c r="AA445" s="658"/>
      <c r="AB445" s="801"/>
      <c r="AC445" s="801"/>
      <c r="AD445" s="801"/>
      <c r="AE445" s="801"/>
      <c r="AF445" s="801">
        <f>AD446/AH445%</f>
        <v>4.1612515643020682</v>
      </c>
      <c r="AG445" s="801" t="s">
        <v>972</v>
      </c>
      <c r="AH445" s="687">
        <f>$W$76</f>
        <v>18263736</v>
      </c>
      <c r="AI445" s="801" t="s">
        <v>289</v>
      </c>
      <c r="AJ445" s="801">
        <f>AD446/AL445%</f>
        <v>6.4603082148446225</v>
      </c>
      <c r="AK445" s="801" t="s">
        <v>972</v>
      </c>
      <c r="AL445" s="687">
        <f>$W$81</f>
        <v>11764144.6</v>
      </c>
      <c r="AM445" s="801" t="s">
        <v>289</v>
      </c>
      <c r="AN445" s="801"/>
      <c r="AO445" s="801"/>
      <c r="AP445" s="801"/>
      <c r="AQ445" s="845">
        <f>AD446*AP446*AR446/AT446/1000000</f>
        <v>13490</v>
      </c>
      <c r="AR445" s="674" t="s">
        <v>288</v>
      </c>
      <c r="AS445" s="674">
        <f>AQ445/AN446%</f>
        <v>69.536082474226802</v>
      </c>
      <c r="AT445" s="674" t="s">
        <v>972</v>
      </c>
      <c r="AU445" s="674"/>
      <c r="AV445" s="674"/>
      <c r="AX445" s="475" t="s">
        <v>244</v>
      </c>
      <c r="AY445" s="500">
        <f ca="1">DA445</f>
        <v>117016.23066776665</v>
      </c>
      <c r="AZ445" s="508" t="str">
        <f ca="1">HYPERLINK(DN445,DC445)</f>
        <v xml:space="preserve"> 48</v>
      </c>
      <c r="BA445" s="500">
        <f ca="1">DB445</f>
        <v>28586.45</v>
      </c>
      <c r="BB445" s="508" t="str">
        <f ca="1">HYPERLINK(DO445,DD445)</f>
        <v xml:space="preserve"> 51</v>
      </c>
      <c r="BC445" s="475" t="str">
        <f ca="1">CY445&amp;" | "&amp;CZ445</f>
        <v>Öl- &amp;Ethanol-
Pfl. (energet.) | 2.1.3 Für Biodieselgewinnung in Zielregion genutzte Anbauflächen</v>
      </c>
      <c r="BI445" s="475" t="s">
        <v>126</v>
      </c>
      <c r="BJ445" s="492" t="str">
        <f>E445</f>
        <v>Biodiesel - Anbaufläche</v>
      </c>
      <c r="BK445" s="486">
        <f ca="1">K445</f>
        <v>760000</v>
      </c>
      <c r="BL445" s="486">
        <f ca="1">M445</f>
        <v>303000</v>
      </c>
      <c r="BM445" s="472">
        <f>D445</f>
        <v>445</v>
      </c>
      <c r="BN445" s="658"/>
      <c r="BO445" s="475" t="s">
        <v>251</v>
      </c>
      <c r="BP445" s="521" t="s">
        <v>502</v>
      </c>
      <c r="CU445" s="476"/>
      <c r="CV445" s="658"/>
      <c r="CW445" s="518">
        <v>29</v>
      </c>
      <c r="CY445" s="472" t="str">
        <f t="shared" ref="CY445:DO445" ca="1" si="205">INDIRECT($CX$1&amp;CY$1&amp;$CW445)</f>
        <v>Öl- &amp;Ethanol-
Pfl. (energet.)</v>
      </c>
      <c r="CZ445" s="472" t="str">
        <f t="shared" ca="1" si="205"/>
        <v>2.1.3 Für Biodieselgewinnung in Zielregion genutzte Anbauflächen</v>
      </c>
      <c r="DA445" s="472">
        <f t="shared" ca="1" si="205"/>
        <v>117016.23066776665</v>
      </c>
      <c r="DB445" s="472">
        <f t="shared" ca="1" si="205"/>
        <v>28586.45</v>
      </c>
      <c r="DC445" s="472" t="str">
        <f t="shared" ca="1" si="205"/>
        <v xml:space="preserve"> 48</v>
      </c>
      <c r="DD445" s="472" t="str">
        <f t="shared" ca="1" si="205"/>
        <v xml:space="preserve"> 51</v>
      </c>
      <c r="DE445" s="472" t="str">
        <f t="shared" ca="1" si="205"/>
        <v>EP33</v>
      </c>
      <c r="DF445" s="472" t="str">
        <f t="shared" ca="1" si="205"/>
        <v>EP45</v>
      </c>
      <c r="DG445" s="472" t="str">
        <f t="shared" ca="1" si="205"/>
        <v>EP</v>
      </c>
      <c r="DH445" s="472" t="str">
        <f t="shared" ca="1" si="205"/>
        <v>33</v>
      </c>
      <c r="DI445" s="472" t="str">
        <f t="shared" ca="1" si="205"/>
        <v>[EP.xls]TEXT!Z33S5</v>
      </c>
      <c r="DJ445" s="472" t="str">
        <f t="shared" ca="1" si="205"/>
        <v>EP</v>
      </c>
      <c r="DK445" s="472" t="str">
        <f t="shared" ca="1" si="205"/>
        <v>45</v>
      </c>
      <c r="DL445" s="472" t="str">
        <f t="shared" ca="1" si="205"/>
        <v>[EP.xls]TEXT!Z45S5</v>
      </c>
      <c r="DM445" s="472">
        <f t="shared" ca="1" si="205"/>
        <v>29</v>
      </c>
      <c r="DN445" s="472" t="str">
        <f t="shared" ca="1" si="205"/>
        <v>[Region.xls]PARAMETER!Z48S6</v>
      </c>
      <c r="DO445" s="472" t="str">
        <f t="shared" ca="1" si="205"/>
        <v>[Region.xls]PARAMETER!Z51S6</v>
      </c>
      <c r="DP445" s="472"/>
      <c r="DS445" s="656"/>
      <c r="DV445" s="472"/>
      <c r="DW445" s="472"/>
      <c r="DX445" s="472"/>
      <c r="DY445" s="472"/>
      <c r="DZ445" s="472"/>
      <c r="EA445" s="472"/>
      <c r="EB445" s="472"/>
      <c r="EC445" s="472"/>
      <c r="ED445" s="472"/>
      <c r="EE445" s="472"/>
      <c r="EF445" s="472"/>
      <c r="EG445" s="472"/>
      <c r="EH445" s="472"/>
      <c r="EI445" s="472"/>
      <c r="EJ445" s="472"/>
      <c r="EK445" s="472"/>
      <c r="EV445" s="819">
        <f t="shared" si="188"/>
        <v>445</v>
      </c>
      <c r="EW445" s="819"/>
    </row>
    <row r="446" spans="1:153" s="472" customFormat="1" ht="52">
      <c r="A446" s="654" t="str">
        <f t="shared" ca="1" si="186"/>
        <v>D.1.446</v>
      </c>
      <c r="B446" s="654" t="str">
        <f t="shared" ca="1" si="187"/>
        <v>1.446</v>
      </c>
      <c r="C446" s="654" t="str">
        <f t="shared" si="195"/>
        <v>[446]</v>
      </c>
      <c r="D446" s="654">
        <f>ROW()</f>
        <v>446</v>
      </c>
      <c r="E446" s="1130" t="str">
        <f ca="1">CU446</f>
        <v>- STATUS-Ansatz: Gemäß FNR [9.102], S. 11, lag die Anbaufläche für Biodiesel im Jahr 2016 bei 760.000 ha, das entspricht 31,4 % der gesamten Energiepflanzen-Anbaufläche von 2.421.000 ha, 6,5 % der Ackerfläche [81] bzw. 4,2 % der Landwirtschaftsfläche [76]. Mit dem resultierenden Biodiesel von ca.13.490 GWh/a lassen sich etwa zwei Drittel des Dieselbedarfs der deutschen Landwirtschaft in Höhe von ca. 19.400 GWh/a decken</v>
      </c>
      <c r="F446" s="1130"/>
      <c r="G446" s="1130"/>
      <c r="H446" s="1130"/>
      <c r="I446" s="1130"/>
      <c r="J446" s="1130"/>
      <c r="K446" s="1130"/>
      <c r="L446" s="1130"/>
      <c r="M446" s="1130"/>
      <c r="N446" s="1131"/>
      <c r="O446" s="869">
        <v>446</v>
      </c>
      <c r="P446" s="573" t="str">
        <f ca="1">HYPERLINK(EK446,EJ446)</f>
        <v>9.102</v>
      </c>
      <c r="Q446" s="574" t="str">
        <f>Y446</f>
        <v>S. 11</v>
      </c>
      <c r="R446" s="852"/>
      <c r="S446" s="784"/>
      <c r="T446" s="864"/>
      <c r="U446" s="1023" t="str">
        <f ca="1">"Gemäß FNR ["&amp;P446&amp;"], "&amp;Q446&amp;", lag die Anbaufläche für Biodiesel im Jahr 2016 bei "&amp;TEXT(W446,"0.000")&amp;AE446&amp;", das entspricht "&amp;TEXT(AF446,"0,0")&amp;" % der gesamten Energiepflanzen-Anbaufläche von "&amp;TEXT(AH446,"0.000")&amp;" ha, "&amp;TEXT(AJ445,"0,0")&amp;AK445&amp;" der Ackerfläche "&amp;C81&amp;" bzw. "&amp;TEXT(AF445,"0,0")&amp;AG445&amp;" der Landwirtschaftsfläche "&amp;C76&amp;". Mit dem resultierenden Biodiesel von ca."&amp;TEXT(AQ445,"0.000")&amp;AR445&amp;" lassen sich etwa zwei Drittel des Dieselbedarfs der deutschen Landwirtschaft in Höhe von ca. "&amp;TEXT(AN446,"0.000")&amp;AO446&amp;" decken"</f>
        <v>Gemäß FNR [9.102], S. 11, lag die Anbaufläche für Biodiesel im Jahr 2016 bei 760.000 ha, das entspricht 31,4 % der gesamten Energiepflanzen-Anbaufläche von 2.421.000 ha, 6,5 % der Ackerfläche [81] bzw. 4,2 % der Landwirtschaftsfläche [76]. Mit dem resultierenden Biodiesel von ca.13.490 GWh/a lassen sich etwa zwei Drittel des Dieselbedarfs der deutschen Landwirtschaft in Höhe von ca. 19.400 GWh/a decken</v>
      </c>
      <c r="V446" s="905" t="s">
        <v>126</v>
      </c>
      <c r="W446" s="1024">
        <f>AD446</f>
        <v>760000</v>
      </c>
      <c r="X446" s="672">
        <f>'9.Quellen'!C102</f>
        <v>102</v>
      </c>
      <c r="Y446" s="672" t="s">
        <v>437</v>
      </c>
      <c r="Z446" s="1025"/>
      <c r="AA446" s="658"/>
      <c r="AB446" s="801"/>
      <c r="AC446" s="801"/>
      <c r="AD446" s="687">
        <v>760000</v>
      </c>
      <c r="AE446" s="801" t="s">
        <v>289</v>
      </c>
      <c r="AF446" s="801">
        <f>AD446/AH446%</f>
        <v>31.391986782321354</v>
      </c>
      <c r="AG446" s="801" t="s">
        <v>972</v>
      </c>
      <c r="AH446" s="801">
        <v>2421000</v>
      </c>
      <c r="AI446" s="801" t="s">
        <v>289</v>
      </c>
      <c r="AJ446" s="801">
        <v>2</v>
      </c>
      <c r="AK446" s="801" t="s">
        <v>1022</v>
      </c>
      <c r="AL446" s="801">
        <v>9.6999999999999993</v>
      </c>
      <c r="AM446" s="801" t="s">
        <v>1023</v>
      </c>
      <c r="AN446" s="801">
        <f>AJ446*AL446*1000000000/1000000</f>
        <v>19400</v>
      </c>
      <c r="AO446" s="845" t="s">
        <v>288</v>
      </c>
      <c r="AP446" s="845">
        <v>1775</v>
      </c>
      <c r="AQ446" s="845" t="s">
        <v>1024</v>
      </c>
      <c r="AR446" s="845">
        <v>36</v>
      </c>
      <c r="AS446" s="845" t="s">
        <v>1025</v>
      </c>
      <c r="AT446" s="845">
        <v>3.6</v>
      </c>
      <c r="AU446" s="845" t="s">
        <v>1026</v>
      </c>
      <c r="AV446" s="801"/>
      <c r="BF446" s="473"/>
      <c r="BI446" s="472" t="s">
        <v>126</v>
      </c>
      <c r="BJ446" s="490"/>
      <c r="BN446" s="656"/>
      <c r="BO446" s="472" t="s">
        <v>259</v>
      </c>
      <c r="CU446" s="480" t="str">
        <f ca="1">CG$1&amp;IF(U446="",BF446,U446)</f>
        <v>- STATUS-Ansatz: Gemäß FNR [9.102], S. 11, lag die Anbaufläche für Biodiesel im Jahr 2016 bei 760.000 ha, das entspricht 31,4 % der gesamten Energiepflanzen-Anbaufläche von 2.421.000 ha, 6,5 % der Ackerfläche [81] bzw. 4,2 % der Landwirtschaftsfläche [76]. Mit dem resultierenden Biodiesel von ca.13.490 GWh/a lassen sich etwa zwei Drittel des Dieselbedarfs der deutschen Landwirtschaft in Höhe von ca. 19.400 GWh/a decken</v>
      </c>
      <c r="CV446" s="656"/>
      <c r="CW446" s="480"/>
      <c r="DS446" s="656"/>
      <c r="DT446" s="518">
        <f>I_Basisdaten!A182</f>
        <v>182</v>
      </c>
      <c r="EJ446" s="472" t="str">
        <f ca="1">IF(X446=0,"",EJ$1&amp;X446)</f>
        <v>9.102</v>
      </c>
      <c r="EK446" s="472" t="str">
        <f ca="1">EK$1&amp;X446</f>
        <v>[D_Python.xlsx]9.Quellen!C102</v>
      </c>
      <c r="EV446" s="819">
        <f t="shared" ca="1" si="188"/>
        <v>446</v>
      </c>
      <c r="EW446" s="819"/>
    </row>
    <row r="447" spans="1:153" s="661" customFormat="1" ht="4.5" customHeight="1">
      <c r="A447" s="677" t="str">
        <f t="shared" ca="1" si="186"/>
        <v>D.1.447</v>
      </c>
      <c r="B447" s="677" t="str">
        <f t="shared" ca="1" si="187"/>
        <v>1.447</v>
      </c>
      <c r="C447" s="677" t="str">
        <f t="shared" si="195"/>
        <v>[447]</v>
      </c>
      <c r="D447" s="677">
        <f>ROW()</f>
        <v>447</v>
      </c>
      <c r="E447" s="680"/>
      <c r="F447" s="680"/>
      <c r="G447" s="680"/>
      <c r="H447" s="680"/>
      <c r="I447" s="679"/>
      <c r="J447" s="679"/>
      <c r="K447" s="679"/>
      <c r="L447" s="679"/>
      <c r="M447" s="679"/>
      <c r="N447" s="680"/>
      <c r="O447" s="871">
        <v>447</v>
      </c>
      <c r="P447" s="688"/>
      <c r="Q447" s="689"/>
      <c r="R447" s="888"/>
      <c r="S447" s="802"/>
      <c r="T447" s="882"/>
      <c r="AA447" s="658"/>
      <c r="AB447" s="801"/>
      <c r="AC447" s="801"/>
      <c r="AD447" s="675"/>
      <c r="AE447" s="675"/>
      <c r="AF447" s="675"/>
      <c r="AG447" s="675"/>
      <c r="AH447" s="675"/>
      <c r="AI447" s="675"/>
      <c r="AJ447" s="675"/>
      <c r="AK447" s="675"/>
      <c r="AL447" s="675"/>
      <c r="AM447" s="675"/>
      <c r="AN447" s="675"/>
      <c r="AO447" s="675"/>
      <c r="AP447" s="675"/>
      <c r="AQ447" s="675"/>
      <c r="AR447" s="675"/>
      <c r="AS447" s="675"/>
      <c r="AT447" s="675"/>
      <c r="AU447" s="675"/>
      <c r="AV447" s="675"/>
      <c r="BI447" s="661" t="s">
        <v>126</v>
      </c>
      <c r="BJ447" s="665"/>
      <c r="CU447" s="662"/>
      <c r="CW447" s="662"/>
      <c r="EV447" s="818" t="str">
        <f t="shared" si="188"/>
        <v/>
      </c>
      <c r="EW447" s="818"/>
    </row>
    <row r="448" spans="1:153" s="472" customFormat="1" ht="78">
      <c r="A448" s="654" t="str">
        <f t="shared" ca="1" si="186"/>
        <v>D.1.448</v>
      </c>
      <c r="B448" s="654" t="str">
        <f t="shared" ca="1" si="187"/>
        <v>1.448</v>
      </c>
      <c r="C448" s="654" t="str">
        <f t="shared" si="195"/>
        <v>[448]</v>
      </c>
      <c r="D448" s="654">
        <f>ROW()</f>
        <v>448</v>
      </c>
      <c r="E448" s="1125" t="str">
        <f t="shared" ref="E448" ca="1" si="206">CU448</f>
        <v>- ZIEL-Ansatz: Innerhalb der Extrempositionen (bezüglich Anbau energetisch genutzter nachwachsender Rohstoffe) von einerseits der Leitstudie mit 22,5 %  der Landwirtschaftsfläche [369] und andererseits THGND mit einem völligen Verzicht [370] geht der gewählte Ansatz von einer Halbierung der Pflanzenöl-Anbaufläche aus [446]. Die angenommene Zielfläche von 303.000 ha  entspricht 1,7%  der Landwirtschaftsfläche [164]. Die Minderung erfolgte zugunsten von Biogas [368] wegen der mehrfach höheren Energieerträge. Mit dem Kraftstoff kann aber zumindest ein Teil des Verbrauchs landwirtschaftlicher Maschinen gedeckt werden.</v>
      </c>
      <c r="F448" s="1125"/>
      <c r="G448" s="1125"/>
      <c r="H448" s="1125"/>
      <c r="I448" s="1125"/>
      <c r="J448" s="1125"/>
      <c r="K448" s="1125"/>
      <c r="L448" s="1125"/>
      <c r="M448" s="1125"/>
      <c r="N448" s="1132"/>
      <c r="O448" s="869">
        <v>448</v>
      </c>
      <c r="P448" s="573" t="str">
        <f ca="1">HYPERLINK(EK448,EJ448)</f>
        <v/>
      </c>
      <c r="Q448" s="574" t="str">
        <f>Y448</f>
        <v xml:space="preserve"> </v>
      </c>
      <c r="R448" s="852"/>
      <c r="S448" s="784"/>
      <c r="T448" s="864"/>
      <c r="U448" s="1023" t="str">
        <f ca="1">"Innerhalb der Extrempositionen (bezüglich Anbau energetisch genutzter nachwachsender Rohstoffe) von einerseits der Leitstudie mit "&amp;TEXT(AD448,"0,0")&amp;AE448&amp;" der Landwirtschaftsfläche "&amp;C$369&amp;" und andererseits THGND mit einem völligen Verzicht "&amp;C$370&amp;" geht der gewählte Ansatz von einer Halbierung der Pflanzenöl-Anbaufläche aus "&amp;C446&amp;". Die angenommene Zielfläche von "&amp;TEXT(AL448,"0.000")&amp;AG448&amp;" entspricht "&amp;TEXT(AJ448,"0,0")&amp;AK448&amp;" der Landwirtschaftsfläche "&amp;C164&amp;". Die Minderung erfolgte zugunsten von Biogas "&amp;C368&amp;" wegen der mehrfach höheren Energieerträge. Mit dem Kraftstoff kann aber zumindest ein Teil des Verbrauchs landwirtschaftlicher Maschinen gedeckt werden."</f>
        <v>Innerhalb der Extrempositionen (bezüglich Anbau energetisch genutzter nachwachsender Rohstoffe) von einerseits der Leitstudie mit 22,5 %  der Landwirtschaftsfläche [369] und andererseits THGND mit einem völligen Verzicht [370] geht der gewählte Ansatz von einer Halbierung der Pflanzenöl-Anbaufläche aus [446]. Die angenommene Zielfläche von 303.000 ha  entspricht 1,7%  der Landwirtschaftsfläche [164]. Die Minderung erfolgte zugunsten von Biogas [368] wegen der mehrfach höheren Energieerträge. Mit dem Kraftstoff kann aber zumindest ein Teil des Verbrauchs landwirtschaftlicher Maschinen gedeckt werden.</v>
      </c>
      <c r="V448" s="905" t="s">
        <v>126</v>
      </c>
      <c r="W448" s="1024">
        <f>AL448</f>
        <v>303000</v>
      </c>
      <c r="X448" s="672"/>
      <c r="Y448" s="672" t="s">
        <v>126</v>
      </c>
      <c r="Z448" s="1025"/>
      <c r="AA448" s="658"/>
      <c r="AB448" s="801"/>
      <c r="AC448" s="1020"/>
      <c r="AD448" s="687">
        <f>AH369</f>
        <v>22.459893048128343</v>
      </c>
      <c r="AE448" s="687" t="str">
        <f>AI369</f>
        <v xml:space="preserve"> % </v>
      </c>
      <c r="AF448" s="687">
        <f ca="1">M75</f>
        <v>17736258.686981831</v>
      </c>
      <c r="AG448" s="801" t="s">
        <v>382</v>
      </c>
      <c r="AH448" s="827">
        <f>AD446</f>
        <v>760000</v>
      </c>
      <c r="AI448" s="826" t="s">
        <v>382</v>
      </c>
      <c r="AJ448" s="801">
        <f ca="1">AL448/AF448%</f>
        <v>1.7083647986167332</v>
      </c>
      <c r="AK448" s="801" t="s">
        <v>835</v>
      </c>
      <c r="AL448" s="830">
        <v>303000</v>
      </c>
      <c r="AM448" s="830" t="s">
        <v>289</v>
      </c>
      <c r="AN448" s="801" t="s">
        <v>1049</v>
      </c>
      <c r="AO448" s="801"/>
      <c r="AP448" s="801"/>
      <c r="AQ448" s="801"/>
      <c r="AR448" s="801"/>
      <c r="AS448" s="801"/>
      <c r="AT448" s="801"/>
      <c r="AU448" s="801"/>
      <c r="AV448" s="801"/>
      <c r="BF448" s="473"/>
      <c r="BI448" s="472" t="s">
        <v>126</v>
      </c>
      <c r="BJ448" s="490"/>
      <c r="BN448" s="656"/>
      <c r="BO448" s="472" t="s">
        <v>259</v>
      </c>
      <c r="CU448" s="480" t="str">
        <f ca="1">CH$1&amp;IF(U448="",BF448,U448)</f>
        <v>- ZIEL-Ansatz: Innerhalb der Extrempositionen (bezüglich Anbau energetisch genutzter nachwachsender Rohstoffe) von einerseits der Leitstudie mit 22,5 %  der Landwirtschaftsfläche [369] und andererseits THGND mit einem völligen Verzicht [370] geht der gewählte Ansatz von einer Halbierung der Pflanzenöl-Anbaufläche aus [446]. Die angenommene Zielfläche von 303.000 ha  entspricht 1,7%  der Landwirtschaftsfläche [164]. Die Minderung erfolgte zugunsten von Biogas [368] wegen der mehrfach höheren Energieerträge. Mit dem Kraftstoff kann aber zumindest ein Teil des Verbrauchs landwirtschaftlicher Maschinen gedeckt werden.</v>
      </c>
      <c r="CV448" s="656"/>
      <c r="CW448" s="480"/>
      <c r="DS448" s="656"/>
      <c r="DT448" s="518">
        <v>53</v>
      </c>
      <c r="EJ448" s="472" t="str">
        <f>IF(X448=0,"",EJ$1&amp;X448)</f>
        <v/>
      </c>
      <c r="EK448" s="472" t="str">
        <f ca="1">EK$1&amp;X448</f>
        <v>[D_Python.xlsx]9.Quellen!C</v>
      </c>
      <c r="EV448" s="819">
        <f t="shared" ca="1" si="188"/>
        <v>448</v>
      </c>
      <c r="EW448" s="819"/>
    </row>
    <row r="449" spans="1:153" s="478" customFormat="1" ht="4.5" customHeight="1">
      <c r="A449" s="677" t="str">
        <f t="shared" ca="1" si="186"/>
        <v>D.1.449</v>
      </c>
      <c r="B449" s="677" t="str">
        <f t="shared" ca="1" si="187"/>
        <v>1.449</v>
      </c>
      <c r="C449" s="677" t="str">
        <f t="shared" si="195"/>
        <v>[449]</v>
      </c>
      <c r="D449" s="677">
        <f>ROW()</f>
        <v>449</v>
      </c>
      <c r="E449" s="548"/>
      <c r="F449" s="548"/>
      <c r="G449" s="548"/>
      <c r="H449" s="548"/>
      <c r="I449" s="549"/>
      <c r="J449" s="549"/>
      <c r="K449" s="549"/>
      <c r="L449" s="549"/>
      <c r="M449" s="549"/>
      <c r="N449" s="548"/>
      <c r="O449" s="871">
        <v>449</v>
      </c>
      <c r="P449" s="575"/>
      <c r="Q449" s="576"/>
      <c r="R449" s="888"/>
      <c r="S449" s="809"/>
      <c r="T449" s="882"/>
      <c r="U449" s="661"/>
      <c r="V449" s="661"/>
      <c r="W449" s="661"/>
      <c r="X449" s="661"/>
      <c r="Y449" s="661"/>
      <c r="Z449" s="661"/>
      <c r="AA449" s="658"/>
      <c r="AB449" s="801"/>
      <c r="AC449" s="801"/>
      <c r="AD449" s="675"/>
      <c r="AE449" s="675"/>
      <c r="AF449" s="675"/>
      <c r="AG449" s="675"/>
      <c r="AH449" s="675"/>
      <c r="AI449" s="675"/>
      <c r="AJ449" s="675"/>
      <c r="AK449" s="675"/>
      <c r="AL449" s="675"/>
      <c r="AM449" s="675"/>
      <c r="AN449" s="675"/>
      <c r="AO449" s="675"/>
      <c r="AP449" s="675"/>
      <c r="AQ449" s="675"/>
      <c r="AR449" s="675"/>
      <c r="AS449" s="675"/>
      <c r="AT449" s="675"/>
      <c r="AU449" s="675"/>
      <c r="AV449" s="675"/>
      <c r="AZ449" s="505"/>
      <c r="BB449" s="505"/>
      <c r="BI449" s="478" t="s">
        <v>126</v>
      </c>
      <c r="BJ449" s="489"/>
      <c r="BN449" s="661"/>
      <c r="CU449" s="479"/>
      <c r="CV449" s="661"/>
      <c r="CW449" s="479"/>
      <c r="DS449" s="661"/>
      <c r="EV449" s="818" t="str">
        <f t="shared" si="188"/>
        <v/>
      </c>
      <c r="EW449" s="818"/>
    </row>
    <row r="450" spans="1:153" s="475" customFormat="1" ht="13.5" customHeight="1">
      <c r="A450" s="654" t="str">
        <f t="shared" ca="1" si="186"/>
        <v>D.1.450</v>
      </c>
      <c r="B450" s="654" t="str">
        <f t="shared" ca="1" si="187"/>
        <v>1.450</v>
      </c>
      <c r="C450" s="654" t="str">
        <f t="shared" si="195"/>
        <v>[450]</v>
      </c>
      <c r="D450" s="654">
        <f>ROW()</f>
        <v>450</v>
      </c>
      <c r="E450" s="1129" t="str">
        <f>BP450</f>
        <v xml:space="preserve">Biodiesel - Energieertrag </v>
      </c>
      <c r="F450" s="1129"/>
      <c r="G450" s="1129"/>
      <c r="H450" s="1129"/>
      <c r="I450" s="1129"/>
      <c r="J450" s="559" t="s">
        <v>280</v>
      </c>
      <c r="K450" s="557">
        <f ca="1">INDIRECT($W$1&amp;U450)</f>
        <v>17.75</v>
      </c>
      <c r="L450" s="485" t="str">
        <f ca="1">HYPERLINK($CK$1&amp;U450,$CE$1&amp;U450&amp;$CF$1)</f>
        <v>[451]</v>
      </c>
      <c r="M450" s="558">
        <f ca="1">INDIRECT($W$1&amp;W450)</f>
        <v>14.200000000000001</v>
      </c>
      <c r="N450" s="533" t="str">
        <f ca="1">HYPERLINK($CK$1&amp;W450,$CE$1&amp;W450&amp;$CF$1)</f>
        <v>[454]</v>
      </c>
      <c r="O450" s="869">
        <v>450</v>
      </c>
      <c r="P450" s="570"/>
      <c r="Q450" s="583"/>
      <c r="R450" s="852"/>
      <c r="S450" s="784"/>
      <c r="T450" s="864"/>
      <c r="U450" s="672">
        <f>D451</f>
        <v>451</v>
      </c>
      <c r="V450" s="905" t="s">
        <v>126</v>
      </c>
      <c r="W450" s="672">
        <f>D454</f>
        <v>454</v>
      </c>
      <c r="X450" s="658"/>
      <c r="Y450" s="658"/>
      <c r="Z450" s="658"/>
      <c r="AA450" s="658"/>
      <c r="AB450" s="801"/>
      <c r="AC450" s="801"/>
      <c r="AD450" s="674"/>
      <c r="AE450" s="674"/>
      <c r="AF450" s="674"/>
      <c r="AG450" s="674"/>
      <c r="AH450" s="674"/>
      <c r="AI450" s="674"/>
      <c r="AJ450" s="674"/>
      <c r="AK450" s="674"/>
      <c r="AL450" s="674"/>
      <c r="AM450" s="674"/>
      <c r="AN450" s="674"/>
      <c r="AO450" s="674"/>
      <c r="AP450" s="674"/>
      <c r="AQ450" s="674"/>
      <c r="AR450" s="674"/>
      <c r="AS450" s="674"/>
      <c r="AT450" s="674"/>
      <c r="AU450" s="674"/>
      <c r="AV450" s="674"/>
      <c r="AX450" s="475" t="s">
        <v>244</v>
      </c>
      <c r="AY450" s="500">
        <f ca="1">DA450</f>
        <v>15.637500000000003</v>
      </c>
      <c r="AZ450" s="508" t="str">
        <f ca="1">HYPERLINK(DN450,DC450)</f>
        <v xml:space="preserve"> 353</v>
      </c>
      <c r="BA450" s="500">
        <f ca="1">DB450</f>
        <v>7.8187500000000014</v>
      </c>
      <c r="BB450" s="508" t="str">
        <f ca="1">HYPERLINK(DO450,DD450)</f>
        <v xml:space="preserve"> 354</v>
      </c>
      <c r="BC450" s="475" t="str">
        <f ca="1">CY450&amp;" | "&amp;CZ450</f>
        <v>Pflanzenöl | 1.2 Energieertrag Pflanzenöl direkt</v>
      </c>
      <c r="BI450" s="475" t="s">
        <v>126</v>
      </c>
      <c r="BJ450" s="492" t="str">
        <f>E450</f>
        <v xml:space="preserve">Biodiesel - Energieertrag </v>
      </c>
      <c r="BK450" s="486">
        <f ca="1">K450</f>
        <v>17.75</v>
      </c>
      <c r="BL450" s="486">
        <f ca="1">M450</f>
        <v>14.200000000000001</v>
      </c>
      <c r="BM450" s="472">
        <f>D450</f>
        <v>450</v>
      </c>
      <c r="BN450" s="658"/>
      <c r="BO450" s="475" t="s">
        <v>251</v>
      </c>
      <c r="BP450" s="521" t="s">
        <v>554</v>
      </c>
      <c r="CU450" s="476"/>
      <c r="CV450" s="658"/>
      <c r="CW450" s="518">
        <v>92</v>
      </c>
      <c r="CY450" s="472" t="str">
        <f t="shared" ref="CY450:DO450" ca="1" si="207">INDIRECT($CX$1&amp;CY$1&amp;$CW450)</f>
        <v>Pflanzenöl</v>
      </c>
      <c r="CZ450" s="472" t="str">
        <f t="shared" ca="1" si="207"/>
        <v>1.2 Energieertrag Pflanzenöl direkt</v>
      </c>
      <c r="DA450" s="472">
        <f t="shared" ca="1" si="207"/>
        <v>15.637500000000003</v>
      </c>
      <c r="DB450" s="472">
        <f t="shared" ca="1" si="207"/>
        <v>7.8187500000000014</v>
      </c>
      <c r="DC450" s="472" t="str">
        <f t="shared" ca="1" si="207"/>
        <v xml:space="preserve"> 353</v>
      </c>
      <c r="DD450" s="472" t="str">
        <f t="shared" ca="1" si="207"/>
        <v xml:space="preserve"> 354</v>
      </c>
      <c r="DE450" s="472" t="str">
        <f t="shared" ca="1" si="207"/>
        <v>EP92</v>
      </c>
      <c r="DF450" s="472" t="str">
        <f t="shared" ca="1" si="207"/>
        <v>EP92</v>
      </c>
      <c r="DG450" s="472" t="str">
        <f t="shared" ca="1" si="207"/>
        <v>EP</v>
      </c>
      <c r="DH450" s="472" t="str">
        <f t="shared" ca="1" si="207"/>
        <v>92</v>
      </c>
      <c r="DI450" s="472" t="str">
        <f t="shared" ca="1" si="207"/>
        <v>[EP.xls]TEXT!Z92S5</v>
      </c>
      <c r="DJ450" s="472" t="str">
        <f t="shared" ca="1" si="207"/>
        <v>EP</v>
      </c>
      <c r="DK450" s="472" t="str">
        <f t="shared" ca="1" si="207"/>
        <v>92</v>
      </c>
      <c r="DL450" s="472" t="str">
        <f t="shared" ca="1" si="207"/>
        <v>[EP.xls]TEXT!Z92S5</v>
      </c>
      <c r="DM450" s="472">
        <f t="shared" ca="1" si="207"/>
        <v>92</v>
      </c>
      <c r="DN450" s="472" t="str">
        <f t="shared" ca="1" si="207"/>
        <v>[Region.xls]PARAMETER!Z353S6</v>
      </c>
      <c r="DO450" s="472" t="str">
        <f t="shared" ca="1" si="207"/>
        <v>[Region.xls]PARAMETER!Z354S6</v>
      </c>
      <c r="DP450" s="472"/>
      <c r="DS450" s="656"/>
      <c r="DV450" s="472"/>
      <c r="DW450" s="472"/>
      <c r="DX450" s="472"/>
      <c r="DY450" s="472"/>
      <c r="DZ450" s="472"/>
      <c r="EA450" s="472"/>
      <c r="EB450" s="472"/>
      <c r="EC450" s="472"/>
      <c r="ED450" s="472"/>
      <c r="EE450" s="472"/>
      <c r="EF450" s="472"/>
      <c r="EG450" s="472"/>
      <c r="EH450" s="472"/>
      <c r="EI450" s="472"/>
      <c r="EJ450" s="472"/>
      <c r="EK450" s="472"/>
      <c r="EV450" s="819">
        <f t="shared" si="188"/>
        <v>450</v>
      </c>
      <c r="EW450" s="819"/>
    </row>
    <row r="451" spans="1:153" s="472" customFormat="1" ht="26">
      <c r="A451" s="654" t="str">
        <f t="shared" ca="1" si="186"/>
        <v>D.1.451</v>
      </c>
      <c r="B451" s="654" t="str">
        <f t="shared" ca="1" si="187"/>
        <v>1.451</v>
      </c>
      <c r="C451" s="654" t="str">
        <f t="shared" si="195"/>
        <v>[451]</v>
      </c>
      <c r="D451" s="654">
        <f>ROW()</f>
        <v>451</v>
      </c>
      <c r="E451" s="1130" t="str">
        <f ca="1">CU451</f>
        <v>- STATUS-Ansatz: Resultiert aus einem durchschnittlichen Biodiesel-Ertrag aus Rapsanbau von 1.775 l/ha/a  gemäß [9.102] S. 26, und einem Biodiesel-Heizwert gemäß [452]: 63.900 MJ/ha/a  entsprechend 17,8 MWh/ha/a.</v>
      </c>
      <c r="F451" s="1130"/>
      <c r="G451" s="1130"/>
      <c r="H451" s="1130"/>
      <c r="I451" s="1130"/>
      <c r="J451" s="1130"/>
      <c r="K451" s="1130"/>
      <c r="L451" s="1130"/>
      <c r="M451" s="1130"/>
      <c r="N451" s="1131"/>
      <c r="O451" s="869">
        <v>451</v>
      </c>
      <c r="P451" s="573" t="str">
        <f ca="1">HYPERLINK(EK451,EJ451)</f>
        <v>9.102</v>
      </c>
      <c r="Q451" s="574" t="str">
        <f>Y451</f>
        <v>S. 26</v>
      </c>
      <c r="R451" s="852"/>
      <c r="S451" s="784"/>
      <c r="T451" s="864"/>
      <c r="U451" s="1023" t="str">
        <f ca="1">"Resultiert aus einem durchschnittlichen Biodiesel-Ertrag aus Rapsanbau von "&amp;TEXT(AD451,"0.000")&amp;AE451&amp;" gemäß ["&amp;P451&amp;"] "&amp;Q451&amp;", und einem Biodiesel-Heizwert gemäß "&amp;C452&amp;": "&amp;TEXT(AH451,"0.000")&amp;AI451&amp;" entsprechend "&amp;TEXT(AJ451,"0,0")&amp;AK451&amp;"."</f>
        <v>Resultiert aus einem durchschnittlichen Biodiesel-Ertrag aus Rapsanbau von 1.775 l/ha/a  gemäß [9.102] S. 26, und einem Biodiesel-Heizwert gemäß [452]: 63.900 MJ/ha/a  entsprechend 17,8 MWh/ha/a.</v>
      </c>
      <c r="V451" s="905" t="s">
        <v>126</v>
      </c>
      <c r="W451" s="1034">
        <f>AJ451</f>
        <v>17.75</v>
      </c>
      <c r="X451" s="672">
        <f>'9.Quellen'!C102</f>
        <v>102</v>
      </c>
      <c r="Y451" s="672" t="s">
        <v>564</v>
      </c>
      <c r="Z451" s="1025"/>
      <c r="AA451" s="658"/>
      <c r="AB451" s="801"/>
      <c r="AC451" s="801"/>
      <c r="AD451" s="801">
        <v>1775</v>
      </c>
      <c r="AE451" s="801" t="s">
        <v>560</v>
      </c>
      <c r="AF451" s="801">
        <v>36</v>
      </c>
      <c r="AG451" s="801" t="str">
        <f>AG452</f>
        <v xml:space="preserve"> MJ/l </v>
      </c>
      <c r="AH451" s="801">
        <f>AD451*AF451</f>
        <v>63900</v>
      </c>
      <c r="AI451" s="801" t="s">
        <v>562</v>
      </c>
      <c r="AJ451" s="801">
        <f>AH451/3600</f>
        <v>17.75</v>
      </c>
      <c r="AK451" s="801" t="s">
        <v>386</v>
      </c>
      <c r="AL451" s="801"/>
      <c r="AM451" s="801"/>
      <c r="AN451" s="801"/>
      <c r="AO451" s="801"/>
      <c r="AP451" s="801"/>
      <c r="AQ451" s="801"/>
      <c r="AR451" s="801"/>
      <c r="AS451" s="801"/>
      <c r="AT451" s="801"/>
      <c r="AU451" s="801"/>
      <c r="AV451" s="801"/>
      <c r="BF451" s="473"/>
      <c r="BI451" s="472" t="s">
        <v>126</v>
      </c>
      <c r="BJ451" s="490"/>
      <c r="BN451" s="656"/>
      <c r="BO451" s="472" t="s">
        <v>259</v>
      </c>
      <c r="CU451" s="480" t="str">
        <f ca="1">CG$1&amp;IF(U451="",BF451,U451)</f>
        <v>- STATUS-Ansatz: Resultiert aus einem durchschnittlichen Biodiesel-Ertrag aus Rapsanbau von 1.775 l/ha/a  gemäß [9.102] S. 26, und einem Biodiesel-Heizwert gemäß [452]: 63.900 MJ/ha/a  entsprechend 17,8 MWh/ha/a.</v>
      </c>
      <c r="CV451" s="656"/>
      <c r="CW451" s="480"/>
      <c r="DS451" s="656"/>
      <c r="DT451" s="518">
        <f>I_Basisdaten!A181</f>
        <v>181</v>
      </c>
      <c r="EJ451" s="472" t="str">
        <f ca="1">IF(X451=0,"",EJ$1&amp;X451)</f>
        <v>9.102</v>
      </c>
      <c r="EK451" s="472" t="str">
        <f ca="1">EK$1&amp;X451</f>
        <v>[D_Python.xlsx]9.Quellen!C102</v>
      </c>
      <c r="EV451" s="819">
        <f t="shared" ca="1" si="188"/>
        <v>451</v>
      </c>
      <c r="EW451" s="819"/>
    </row>
    <row r="452" spans="1:153" s="656" customFormat="1">
      <c r="A452" s="654" t="str">
        <f t="shared" ca="1" si="186"/>
        <v>D.1.452</v>
      </c>
      <c r="B452" s="654" t="str">
        <f t="shared" ca="1" si="187"/>
        <v>1.452</v>
      </c>
      <c r="C452" s="654" t="str">
        <f t="shared" si="195"/>
        <v>[452]</v>
      </c>
      <c r="D452" s="654">
        <f>ROW()</f>
        <v>452</v>
      </c>
      <c r="E452" s="1130" t="str">
        <f ca="1">CU452</f>
        <v xml:space="preserve">Heizwert Biodiesel gemäß [9.102] S. 28: 32,65 MJ/l . </v>
      </c>
      <c r="F452" s="1130"/>
      <c r="G452" s="1130"/>
      <c r="H452" s="1130"/>
      <c r="I452" s="1130"/>
      <c r="J452" s="1130"/>
      <c r="K452" s="1130"/>
      <c r="L452" s="1130"/>
      <c r="M452" s="1130"/>
      <c r="N452" s="1131"/>
      <c r="O452" s="869">
        <v>452</v>
      </c>
      <c r="P452" s="691" t="str">
        <f ca="1">HYPERLINK(EK452,EJ452)</f>
        <v>9.102</v>
      </c>
      <c r="Q452" s="692" t="str">
        <f>Y452</f>
        <v>S. 28</v>
      </c>
      <c r="R452" s="852"/>
      <c r="S452" s="784"/>
      <c r="T452" s="864"/>
      <c r="U452" s="1023" t="str">
        <f ca="1">"Heizwert Biodiesel gemäß ["&amp;P452&amp;"] "&amp;Q452&amp;": "&amp;AF452&amp;AG452&amp;". "</f>
        <v xml:space="preserve">Heizwert Biodiesel gemäß [9.102] S. 28: 32,65 MJ/l . </v>
      </c>
      <c r="V452" s="905" t="s">
        <v>126</v>
      </c>
      <c r="W452" s="1034">
        <f>W451</f>
        <v>17.75</v>
      </c>
      <c r="X452" s="672">
        <f>'9.Quellen'!C102</f>
        <v>102</v>
      </c>
      <c r="Y452" s="672" t="s">
        <v>1027</v>
      </c>
      <c r="Z452" s="1025"/>
      <c r="AA452" s="905"/>
      <c r="AB452" s="801"/>
      <c r="AC452" s="801"/>
      <c r="AD452" s="801"/>
      <c r="AE452" s="801"/>
      <c r="AF452" s="801">
        <v>32.65</v>
      </c>
      <c r="AG452" s="801" t="s">
        <v>561</v>
      </c>
      <c r="AH452" s="801"/>
      <c r="AI452" s="801"/>
      <c r="AJ452" s="801"/>
      <c r="AK452" s="801"/>
      <c r="AL452" s="801"/>
      <c r="AM452" s="801"/>
      <c r="AN452" s="801"/>
      <c r="AO452" s="801"/>
      <c r="AP452" s="801"/>
      <c r="AQ452" s="801"/>
      <c r="AR452" s="801"/>
      <c r="AS452" s="801"/>
      <c r="AT452" s="801"/>
      <c r="AU452" s="801"/>
      <c r="AV452" s="801"/>
      <c r="BF452" s="657"/>
      <c r="BI452" s="656" t="s">
        <v>126</v>
      </c>
      <c r="BJ452" s="666"/>
      <c r="BO452" s="656" t="s">
        <v>252</v>
      </c>
      <c r="CU452" s="663" t="str">
        <f ca="1">IF(U452="",BF452,U452)</f>
        <v xml:space="preserve">Heizwert Biodiesel gemäß [9.102] S. 28: 32,65 MJ/l . </v>
      </c>
      <c r="CW452" s="663"/>
      <c r="DT452" s="671"/>
      <c r="EJ452" s="656" t="str">
        <f ca="1">IF(X452=0,"",EJ$1&amp;X452)</f>
        <v>9.102</v>
      </c>
      <c r="EK452" s="656" t="str">
        <f ca="1">EK$1&amp;X452</f>
        <v>[D_Python.xlsx]9.Quellen!C102</v>
      </c>
      <c r="EV452" s="819">
        <f t="shared" ca="1" si="188"/>
        <v>452</v>
      </c>
      <c r="EW452" s="819"/>
    </row>
    <row r="453" spans="1:153" s="661" customFormat="1" ht="4">
      <c r="A453" s="677" t="str">
        <f t="shared" ca="1" si="186"/>
        <v>D.1.453</v>
      </c>
      <c r="B453" s="677" t="str">
        <f t="shared" ca="1" si="187"/>
        <v>1.453</v>
      </c>
      <c r="C453" s="677" t="str">
        <f t="shared" si="195"/>
        <v>[453]</v>
      </c>
      <c r="D453" s="677">
        <f>ROW()</f>
        <v>453</v>
      </c>
      <c r="E453" s="680"/>
      <c r="F453" s="680"/>
      <c r="G453" s="680"/>
      <c r="H453" s="680"/>
      <c r="I453" s="679"/>
      <c r="J453" s="679"/>
      <c r="K453" s="679"/>
      <c r="L453" s="679"/>
      <c r="M453" s="679"/>
      <c r="N453" s="680"/>
      <c r="O453" s="871">
        <v>453</v>
      </c>
      <c r="P453" s="688"/>
      <c r="Q453" s="689"/>
      <c r="R453" s="888"/>
      <c r="S453" s="809"/>
      <c r="T453" s="882"/>
      <c r="AB453" s="675"/>
      <c r="AC453" s="675"/>
      <c r="AD453" s="675"/>
      <c r="AE453" s="675"/>
      <c r="AF453" s="675"/>
      <c r="AG453" s="675"/>
      <c r="AH453" s="675"/>
      <c r="AI453" s="675"/>
      <c r="AJ453" s="675"/>
      <c r="AK453" s="675"/>
      <c r="AL453" s="675"/>
      <c r="AM453" s="675"/>
      <c r="AN453" s="675"/>
      <c r="AO453" s="675"/>
      <c r="AP453" s="675"/>
      <c r="AQ453" s="675"/>
      <c r="AR453" s="675"/>
      <c r="AS453" s="675"/>
      <c r="AT453" s="675"/>
      <c r="AU453" s="675"/>
      <c r="AV453" s="675"/>
      <c r="BI453" s="661" t="s">
        <v>126</v>
      </c>
      <c r="BJ453" s="665"/>
      <c r="CU453" s="662"/>
      <c r="CW453" s="662"/>
      <c r="EV453" s="818" t="str">
        <f t="shared" si="188"/>
        <v/>
      </c>
      <c r="EW453" s="818"/>
    </row>
    <row r="454" spans="1:153" s="472" customFormat="1" ht="39">
      <c r="A454" s="654" t="str">
        <f t="shared" ca="1" si="186"/>
        <v>D.1.454</v>
      </c>
      <c r="B454" s="654" t="str">
        <f t="shared" ca="1" si="187"/>
        <v>1.454</v>
      </c>
      <c r="C454" s="654" t="str">
        <f t="shared" si="195"/>
        <v>[454]</v>
      </c>
      <c r="D454" s="654">
        <f>ROW()</f>
        <v>454</v>
      </c>
      <c r="E454" s="1125" t="str">
        <f t="shared" ref="E454" si="208">CU454</f>
        <v>- ZIEL-Ansatz: 14,2 MWh/ha/a entsprechend 80 % vom Status resultieren aus dem Versuch einer Abwägung der steigernden Einflüsse [455] und der senkenden Einflüsse [456] auf den Biodieselertrag, die aus heutiger Sicht nur umrisshaft erkennbar sind.</v>
      </c>
      <c r="F454" s="1125"/>
      <c r="G454" s="1125"/>
      <c r="H454" s="1125"/>
      <c r="I454" s="1125"/>
      <c r="J454" s="1125"/>
      <c r="K454" s="1125"/>
      <c r="L454" s="1125"/>
      <c r="M454" s="1125"/>
      <c r="N454" s="1132"/>
      <c r="O454" s="869">
        <v>454</v>
      </c>
      <c r="P454" s="573" t="str">
        <f ca="1">HYPERLINK(EK454,EJ454)</f>
        <v/>
      </c>
      <c r="Q454" s="574" t="str">
        <f>Y454</f>
        <v xml:space="preserve"> </v>
      </c>
      <c r="R454" s="852"/>
      <c r="S454" s="784"/>
      <c r="T454" s="864"/>
      <c r="U454" s="1023" t="str">
        <f>TEXT(W454,"0,0")&amp;" MWh/ha/a entsprechend "&amp;AF454&amp;" % vom Status resultieren aus dem Versuch einer Abwägung der steigernden Einflüsse "&amp;C455&amp;" und der senkenden Einflüsse "&amp;C456&amp;" auf den Biodieselertrag, die aus heutiger Sicht nur umrisshaft erkennbar sind."</f>
        <v>14,2 MWh/ha/a entsprechend 80 % vom Status resultieren aus dem Versuch einer Abwägung der steigernden Einflüsse [455] und der senkenden Einflüsse [456] auf den Biodieselertrag, die aus heutiger Sicht nur umrisshaft erkennbar sind.</v>
      </c>
      <c r="V454" s="905" t="s">
        <v>126</v>
      </c>
      <c r="W454" s="1034">
        <f>AH454</f>
        <v>14.200000000000001</v>
      </c>
      <c r="X454" s="672"/>
      <c r="Y454" s="672" t="s">
        <v>126</v>
      </c>
      <c r="Z454" s="1025"/>
      <c r="AA454" s="905"/>
      <c r="AB454" s="801"/>
      <c r="AC454" s="801"/>
      <c r="AD454" s="801">
        <f>AJ451</f>
        <v>17.75</v>
      </c>
      <c r="AE454" s="801" t="str">
        <f>AK451</f>
        <v xml:space="preserve"> MWh/ha/a</v>
      </c>
      <c r="AF454" s="801">
        <v>80</v>
      </c>
      <c r="AG454" s="801" t="s">
        <v>835</v>
      </c>
      <c r="AH454" s="801">
        <f>AD454*AF454%</f>
        <v>14.200000000000001</v>
      </c>
      <c r="AI454" s="801" t="s">
        <v>410</v>
      </c>
      <c r="AJ454" s="801"/>
      <c r="AK454" s="801"/>
      <c r="AL454" s="801"/>
      <c r="AM454" s="801"/>
      <c r="AN454" s="801"/>
      <c r="AO454" s="801"/>
      <c r="AP454" s="801"/>
      <c r="AQ454" s="801"/>
      <c r="AR454" s="801"/>
      <c r="AS454" s="801"/>
      <c r="AT454" s="801"/>
      <c r="AU454" s="801"/>
      <c r="AV454" s="801"/>
      <c r="BF454" s="473"/>
      <c r="BI454" s="472" t="s">
        <v>126</v>
      </c>
      <c r="BJ454" s="490"/>
      <c r="BN454" s="656"/>
      <c r="BO454" s="472" t="s">
        <v>259</v>
      </c>
      <c r="CU454" s="480" t="str">
        <f>CH$1&amp;IF(U454="",BF454,U454)</f>
        <v>- ZIEL-Ansatz: 14,2 MWh/ha/a entsprechend 80 % vom Status resultieren aus dem Versuch einer Abwägung der steigernden Einflüsse [455] und der senkenden Einflüsse [456] auf den Biodieselertrag, die aus heutiger Sicht nur umrisshaft erkennbar sind.</v>
      </c>
      <c r="CV454" s="656"/>
      <c r="CW454" s="480"/>
      <c r="DS454" s="656"/>
      <c r="DT454" s="518">
        <v>53</v>
      </c>
      <c r="EJ454" s="472" t="str">
        <f>IF(X454=0,"",EJ$1&amp;X454)</f>
        <v/>
      </c>
      <c r="EK454" s="472" t="str">
        <f ca="1">EK$1&amp;X454</f>
        <v>[D_Python.xlsx]9.Quellen!C</v>
      </c>
      <c r="EV454" s="819">
        <f t="shared" si="188"/>
        <v>454</v>
      </c>
      <c r="EW454" s="819"/>
    </row>
    <row r="455" spans="1:153" s="656" customFormat="1" ht="26">
      <c r="A455" s="654" t="str">
        <f t="shared" ca="1" si="186"/>
        <v>D.1.455</v>
      </c>
      <c r="B455" s="654" t="str">
        <f t="shared" ca="1" si="187"/>
        <v>1.455</v>
      </c>
      <c r="C455" s="654" t="str">
        <f t="shared" si="195"/>
        <v>[455]</v>
      </c>
      <c r="D455" s="654">
        <f>ROW()</f>
        <v>455</v>
      </c>
      <c r="E455" s="1125" t="str">
        <f>CU455</f>
        <v>Steigernde Einflüsse sind nur noch in geringem Umfang zu erwarten:  Weitere Optimierung von Sorten, Ackerbau und Herstellungsprozess, ausgehend von einem bereits hohen erreichten Standard.</v>
      </c>
      <c r="F455" s="1125"/>
      <c r="G455" s="1125"/>
      <c r="H455" s="1125"/>
      <c r="I455" s="1125"/>
      <c r="J455" s="1125"/>
      <c r="K455" s="1125"/>
      <c r="L455" s="1125"/>
      <c r="M455" s="1125"/>
      <c r="N455" s="1132"/>
      <c r="O455" s="869">
        <v>455</v>
      </c>
      <c r="P455" s="691" t="str">
        <f ca="1">HYPERLINK(EK455,EJ455)</f>
        <v/>
      </c>
      <c r="Q455" s="692" t="str">
        <f>Y455</f>
        <v xml:space="preserve"> </v>
      </c>
      <c r="R455" s="852"/>
      <c r="S455" s="784"/>
      <c r="T455" s="864"/>
      <c r="U455" s="1033" t="str">
        <f>"Steigernde Einflüsse sind nur noch in geringem Umfang zu erwarten:  Weitere Optimierung von Sorten, Ackerbau und Herstellungsprozess, ausgehend von einem bereits hohen erreichten Standard."</f>
        <v>Steigernde Einflüsse sind nur noch in geringem Umfang zu erwarten:  Weitere Optimierung von Sorten, Ackerbau und Herstellungsprozess, ausgehend von einem bereits hohen erreichten Standard.</v>
      </c>
      <c r="V455" s="905" t="s">
        <v>126</v>
      </c>
      <c r="W455" s="1024"/>
      <c r="X455" s="672"/>
      <c r="Y455" s="672" t="s">
        <v>126</v>
      </c>
      <c r="Z455" s="1025"/>
      <c r="AA455" s="905"/>
      <c r="AB455" s="801"/>
      <c r="AC455" s="801"/>
      <c r="AD455" s="801"/>
      <c r="AE455" s="801"/>
      <c r="AF455" s="801"/>
      <c r="AG455" s="801"/>
      <c r="AH455" s="801"/>
      <c r="AI455" s="801"/>
      <c r="AJ455" s="801"/>
      <c r="AK455" s="801"/>
      <c r="AL455" s="801"/>
      <c r="AM455" s="801"/>
      <c r="AN455" s="801"/>
      <c r="AO455" s="801"/>
      <c r="AP455" s="801"/>
      <c r="AQ455" s="801"/>
      <c r="AR455" s="801"/>
      <c r="AS455" s="801"/>
      <c r="AT455" s="801"/>
      <c r="AU455" s="801"/>
      <c r="AV455" s="801"/>
      <c r="BF455" s="657"/>
      <c r="BI455" s="656" t="s">
        <v>126</v>
      </c>
      <c r="BJ455" s="666"/>
      <c r="BO455" s="656" t="s">
        <v>252</v>
      </c>
      <c r="CU455" s="663" t="str">
        <f>IF(U455="",BF455,U455)</f>
        <v>Steigernde Einflüsse sind nur noch in geringem Umfang zu erwarten:  Weitere Optimierung von Sorten, Ackerbau und Herstellungsprozess, ausgehend von einem bereits hohen erreichten Standard.</v>
      </c>
      <c r="CW455" s="663"/>
      <c r="DT455" s="671"/>
      <c r="EJ455" s="656" t="str">
        <f>IF(X455=0,"",EJ$1&amp;X455)</f>
        <v/>
      </c>
      <c r="EK455" s="656" t="str">
        <f ca="1">EK$1&amp;X455</f>
        <v>[D_Python.xlsx]9.Quellen!C</v>
      </c>
      <c r="EV455" s="819">
        <f t="shared" si="188"/>
        <v>455</v>
      </c>
      <c r="EW455" s="819"/>
    </row>
    <row r="456" spans="1:153" s="656" customFormat="1" ht="26">
      <c r="A456" s="654" t="str">
        <f t="shared" ca="1" si="186"/>
        <v>D.1.456</v>
      </c>
      <c r="B456" s="654" t="str">
        <f t="shared" ca="1" si="187"/>
        <v>1.456</v>
      </c>
      <c r="C456" s="654" t="str">
        <f t="shared" si="195"/>
        <v>[456]</v>
      </c>
      <c r="D456" s="654">
        <f>ROW()</f>
        <v>456</v>
      </c>
      <c r="E456" s="1125" t="str">
        <f>CU456</f>
        <v xml:space="preserve">Senkende Einflüsse könnten dagegen in erheblichem Umfang wirksam werden: Optimierung hinsichtlich Einschränkungen beim Pflanzenschutz, Ökolandbau, Biodiversität. </v>
      </c>
      <c r="F456" s="1125"/>
      <c r="G456" s="1125"/>
      <c r="H456" s="1125"/>
      <c r="I456" s="1125"/>
      <c r="J456" s="1125"/>
      <c r="K456" s="1125"/>
      <c r="L456" s="1125"/>
      <c r="M456" s="1125"/>
      <c r="N456" s="1132"/>
      <c r="O456" s="869">
        <v>456</v>
      </c>
      <c r="P456" s="691" t="str">
        <f ca="1">HYPERLINK(EK456,EJ456)</f>
        <v/>
      </c>
      <c r="Q456" s="692" t="str">
        <f>Y456</f>
        <v xml:space="preserve"> </v>
      </c>
      <c r="R456" s="852"/>
      <c r="S456" s="784"/>
      <c r="T456" s="864"/>
      <c r="U456" s="1033" t="str">
        <f>"Senkende Einflüsse könnten dagegen in erheblichem Umfang wirksam werden: Optimierung hinsichtlich Einschränkungen beim Pflanzenschutz, Ökolandbau, Biodiversität. "</f>
        <v xml:space="preserve">Senkende Einflüsse könnten dagegen in erheblichem Umfang wirksam werden: Optimierung hinsichtlich Einschränkungen beim Pflanzenschutz, Ökolandbau, Biodiversität. </v>
      </c>
      <c r="V456" s="905" t="s">
        <v>126</v>
      </c>
      <c r="W456" s="1024"/>
      <c r="X456" s="672"/>
      <c r="Y456" s="672" t="s">
        <v>126</v>
      </c>
      <c r="Z456" s="1025"/>
      <c r="AA456" s="905"/>
      <c r="AB456" s="801"/>
      <c r="AC456" s="801"/>
      <c r="AD456" s="801"/>
      <c r="AE456" s="801"/>
      <c r="AF456" s="801"/>
      <c r="AG456" s="801"/>
      <c r="AH456" s="801"/>
      <c r="AI456" s="801"/>
      <c r="AJ456" s="801"/>
      <c r="AK456" s="801"/>
      <c r="AL456" s="801"/>
      <c r="AM456" s="801"/>
      <c r="AN456" s="801"/>
      <c r="AO456" s="801"/>
      <c r="AP456" s="801"/>
      <c r="AQ456" s="801"/>
      <c r="AR456" s="801"/>
      <c r="AS456" s="801"/>
      <c r="AT456" s="801"/>
      <c r="AU456" s="801"/>
      <c r="AV456" s="801"/>
      <c r="BF456" s="657"/>
      <c r="BI456" s="656" t="s">
        <v>126</v>
      </c>
      <c r="BJ456" s="666"/>
      <c r="BO456" s="656" t="s">
        <v>252</v>
      </c>
      <c r="CU456" s="663" t="str">
        <f>IF(U456="",BF456,U456)</f>
        <v xml:space="preserve">Senkende Einflüsse könnten dagegen in erheblichem Umfang wirksam werden: Optimierung hinsichtlich Einschränkungen beim Pflanzenschutz, Ökolandbau, Biodiversität. </v>
      </c>
      <c r="CW456" s="663"/>
      <c r="DT456" s="671"/>
      <c r="EJ456" s="656" t="str">
        <f>IF(X456=0,"",EJ$1&amp;X456)</f>
        <v/>
      </c>
      <c r="EK456" s="656" t="str">
        <f ca="1">EK$1&amp;X456</f>
        <v>[D_Python.xlsx]9.Quellen!C</v>
      </c>
      <c r="EV456" s="819">
        <f t="shared" si="188"/>
        <v>456</v>
      </c>
      <c r="EW456" s="819"/>
    </row>
    <row r="457" spans="1:153" s="478" customFormat="1" ht="4">
      <c r="A457" s="677" t="str">
        <f t="shared" ca="1" si="186"/>
        <v>D.1.457</v>
      </c>
      <c r="B457" s="677" t="str">
        <f t="shared" ca="1" si="187"/>
        <v>1.457</v>
      </c>
      <c r="C457" s="677" t="str">
        <f t="shared" si="195"/>
        <v>[457]</v>
      </c>
      <c r="D457" s="677">
        <f>ROW()</f>
        <v>457</v>
      </c>
      <c r="E457" s="548"/>
      <c r="F457" s="548"/>
      <c r="G457" s="548"/>
      <c r="H457" s="548"/>
      <c r="I457" s="549"/>
      <c r="J457" s="549"/>
      <c r="K457" s="549"/>
      <c r="L457" s="549"/>
      <c r="M457" s="549"/>
      <c r="N457" s="548"/>
      <c r="O457" s="871">
        <v>457</v>
      </c>
      <c r="P457" s="575"/>
      <c r="Q457" s="576"/>
      <c r="R457" s="888"/>
      <c r="S457" s="809"/>
      <c r="T457" s="882"/>
      <c r="U457" s="661"/>
      <c r="V457" s="661"/>
      <c r="W457" s="661"/>
      <c r="X457" s="661"/>
      <c r="Y457" s="661"/>
      <c r="Z457" s="661"/>
      <c r="AA457" s="661"/>
      <c r="AB457" s="675"/>
      <c r="AC457" s="675"/>
      <c r="AD457" s="675"/>
      <c r="AE457" s="675"/>
      <c r="AF457" s="675"/>
      <c r="AG457" s="675"/>
      <c r="AH457" s="675"/>
      <c r="AI457" s="675"/>
      <c r="AJ457" s="675"/>
      <c r="AK457" s="675"/>
      <c r="AL457" s="675"/>
      <c r="AM457" s="675"/>
      <c r="AN457" s="675"/>
      <c r="AO457" s="675"/>
      <c r="AP457" s="675"/>
      <c r="AQ457" s="675"/>
      <c r="AR457" s="675"/>
      <c r="AS457" s="675"/>
      <c r="AT457" s="675"/>
      <c r="AU457" s="675"/>
      <c r="AV457" s="675"/>
      <c r="AZ457" s="505"/>
      <c r="BB457" s="505"/>
      <c r="BI457" s="478" t="s">
        <v>126</v>
      </c>
      <c r="BJ457" s="489"/>
      <c r="BN457" s="661"/>
      <c r="CU457" s="479"/>
      <c r="CV457" s="661"/>
      <c r="CW457" s="479"/>
      <c r="DS457" s="661"/>
      <c r="EV457" s="818" t="str">
        <f t="shared" si="188"/>
        <v/>
      </c>
      <c r="EW457" s="818"/>
    </row>
    <row r="458" spans="1:153" s="658" customFormat="1" ht="13.5" customHeight="1">
      <c r="A458" s="654" t="str">
        <f t="shared" ca="1" si="186"/>
        <v>D.1.458</v>
      </c>
      <c r="B458" s="654" t="str">
        <f t="shared" ca="1" si="187"/>
        <v>1.458</v>
      </c>
      <c r="C458" s="654" t="str">
        <f t="shared" si="195"/>
        <v>[458]</v>
      </c>
      <c r="D458" s="654">
        <f>ROW()</f>
        <v>458</v>
      </c>
      <c r="E458" s="1129" t="str">
        <f>BP458</f>
        <v>Biodiesel aus Import (+) / Export (-)</v>
      </c>
      <c r="F458" s="1129"/>
      <c r="G458" s="1129"/>
      <c r="H458" s="1129"/>
      <c r="I458" s="1129"/>
      <c r="J458" s="655" t="s">
        <v>361</v>
      </c>
      <c r="K458" s="684">
        <f ca="1">INDIRECT($W$1&amp;U458)</f>
        <v>10003.923076923074</v>
      </c>
      <c r="L458" s="485" t="str">
        <f ca="1">HYPERLINK($CK$1&amp;U458,$CE$1&amp;U458&amp;$CF$1)</f>
        <v>[459]</v>
      </c>
      <c r="M458" s="547">
        <f ca="1">INDIRECT($W$1&amp;W458)</f>
        <v>0</v>
      </c>
      <c r="N458" s="681" t="str">
        <f ca="1">HYPERLINK($CK$1&amp;W458,$CE$1&amp;W458&amp;$CF$1)</f>
        <v>[468]</v>
      </c>
      <c r="O458" s="869">
        <v>458</v>
      </c>
      <c r="P458" s="690"/>
      <c r="Q458" s="695"/>
      <c r="R458" s="852"/>
      <c r="S458" s="784"/>
      <c r="T458" s="864"/>
      <c r="U458" s="672">
        <f>D459</f>
        <v>459</v>
      </c>
      <c r="V458" s="905" t="s">
        <v>126</v>
      </c>
      <c r="W458" s="672">
        <f>D468</f>
        <v>468</v>
      </c>
      <c r="AB458" s="801"/>
      <c r="AC458" s="801"/>
      <c r="AD458" s="674"/>
      <c r="AE458" s="674"/>
      <c r="AF458" s="674"/>
      <c r="AG458" s="674"/>
      <c r="AH458" s="674"/>
      <c r="AI458" s="674"/>
      <c r="AJ458" s="674"/>
      <c r="AK458" s="674"/>
      <c r="AL458" s="674"/>
      <c r="AM458" s="674"/>
      <c r="AN458" s="674"/>
      <c r="AO458" s="674"/>
      <c r="AP458" s="674"/>
      <c r="AQ458" s="674"/>
      <c r="AR458" s="674"/>
      <c r="AS458" s="674"/>
      <c r="AT458" s="674"/>
      <c r="AU458" s="674"/>
      <c r="AV458" s="674"/>
      <c r="AX458" s="658" t="s">
        <v>244</v>
      </c>
      <c r="AY458" s="668">
        <f ca="1">DA458</f>
        <v>117016.23066776665</v>
      </c>
      <c r="AZ458" s="670" t="str">
        <f ca="1">HYPERLINK(DN458,DC458)</f>
        <v xml:space="preserve"> 48</v>
      </c>
      <c r="BA458" s="668">
        <f ca="1">DB458</f>
        <v>28586.45</v>
      </c>
      <c r="BB458" s="670" t="str">
        <f ca="1">HYPERLINK(DO458,DD458)</f>
        <v xml:space="preserve"> 51</v>
      </c>
      <c r="BC458" s="658" t="str">
        <f ca="1">CY458&amp;" | "&amp;CZ458</f>
        <v>Öl- &amp;Ethanol-
Pfl. (energet.) | 2.1.3 Für Biodieselgewinnung in Zielregion genutzte Anbauflächen</v>
      </c>
      <c r="BI458" s="658" t="s">
        <v>126</v>
      </c>
      <c r="BJ458" s="667" t="str">
        <f>E458</f>
        <v>Biodiesel aus Import (+) / Export (-)</v>
      </c>
      <c r="BK458" s="664">
        <f ca="1">K458</f>
        <v>10003.923076923074</v>
      </c>
      <c r="BL458" s="664">
        <f ca="1">M458</f>
        <v>0</v>
      </c>
      <c r="BM458" s="656">
        <f>D458</f>
        <v>458</v>
      </c>
      <c r="BO458" s="658" t="s">
        <v>251</v>
      </c>
      <c r="BP458" s="676" t="s">
        <v>553</v>
      </c>
      <c r="CU458" s="659"/>
      <c r="CW458" s="671">
        <v>29</v>
      </c>
      <c r="CY458" s="656" t="str">
        <f t="shared" ref="CY458:DO458" ca="1" si="209">INDIRECT($CX$1&amp;CY$1&amp;$CW458)</f>
        <v>Öl- &amp;Ethanol-
Pfl. (energet.)</v>
      </c>
      <c r="CZ458" s="656" t="str">
        <f t="shared" ca="1" si="209"/>
        <v>2.1.3 Für Biodieselgewinnung in Zielregion genutzte Anbauflächen</v>
      </c>
      <c r="DA458" s="656">
        <f t="shared" ca="1" si="209"/>
        <v>117016.23066776665</v>
      </c>
      <c r="DB458" s="656">
        <f t="shared" ca="1" si="209"/>
        <v>28586.45</v>
      </c>
      <c r="DC458" s="656" t="str">
        <f t="shared" ca="1" si="209"/>
        <v xml:space="preserve"> 48</v>
      </c>
      <c r="DD458" s="656" t="str">
        <f t="shared" ca="1" si="209"/>
        <v xml:space="preserve"> 51</v>
      </c>
      <c r="DE458" s="656" t="str">
        <f t="shared" ca="1" si="209"/>
        <v>EP33</v>
      </c>
      <c r="DF458" s="656" t="str">
        <f t="shared" ca="1" si="209"/>
        <v>EP45</v>
      </c>
      <c r="DG458" s="656" t="str">
        <f t="shared" ca="1" si="209"/>
        <v>EP</v>
      </c>
      <c r="DH458" s="656" t="str">
        <f t="shared" ca="1" si="209"/>
        <v>33</v>
      </c>
      <c r="DI458" s="656" t="str">
        <f t="shared" ca="1" si="209"/>
        <v>[EP.xls]TEXT!Z33S5</v>
      </c>
      <c r="DJ458" s="656" t="str">
        <f t="shared" ca="1" si="209"/>
        <v>EP</v>
      </c>
      <c r="DK458" s="656" t="str">
        <f t="shared" ca="1" si="209"/>
        <v>45</v>
      </c>
      <c r="DL458" s="656" t="str">
        <f t="shared" ca="1" si="209"/>
        <v>[EP.xls]TEXT!Z45S5</v>
      </c>
      <c r="DM458" s="656">
        <f t="shared" ca="1" si="209"/>
        <v>29</v>
      </c>
      <c r="DN458" s="656" t="str">
        <f t="shared" ca="1" si="209"/>
        <v>[Region.xls]PARAMETER!Z48S6</v>
      </c>
      <c r="DO458" s="656" t="str">
        <f t="shared" ca="1" si="209"/>
        <v>[Region.xls]PARAMETER!Z51S6</v>
      </c>
      <c r="DP458" s="656"/>
      <c r="DS458" s="656"/>
      <c r="DV458" s="656"/>
      <c r="DW458" s="656"/>
      <c r="DX458" s="656"/>
      <c r="DY458" s="656"/>
      <c r="DZ458" s="656"/>
      <c r="EA458" s="656"/>
      <c r="EB458" s="656"/>
      <c r="EC458" s="656"/>
      <c r="ED458" s="656"/>
      <c r="EE458" s="656"/>
      <c r="EF458" s="656"/>
      <c r="EG458" s="656"/>
      <c r="EH458" s="656"/>
      <c r="EI458" s="656"/>
      <c r="EJ458" s="656"/>
      <c r="EK458" s="656"/>
      <c r="EV458" s="819">
        <f t="shared" si="188"/>
        <v>458</v>
      </c>
      <c r="EW458" s="819"/>
    </row>
    <row r="459" spans="1:153" s="656" customFormat="1" ht="39">
      <c r="A459" s="654" t="str">
        <f t="shared" ca="1" si="186"/>
        <v>D.1.459</v>
      </c>
      <c r="B459" s="654" t="str">
        <f t="shared" ca="1" si="187"/>
        <v>1.459</v>
      </c>
      <c r="C459" s="654" t="str">
        <f t="shared" si="195"/>
        <v>[459]</v>
      </c>
      <c r="D459" s="654">
        <f>ROW()</f>
        <v>459</v>
      </c>
      <c r="E459" s="1130" t="str">
        <f t="shared" ref="E459:E466" ca="1" si="210">CU459</f>
        <v>- STATUS-Ansatz: Resultiert aus dem von den Energieverbrauchern Deutschlands 2016 verursachten Biodiesel- und Pflanzenölverbrauch (größtenteils als Beimischung zum Dieselkraftstoff) gemäß [461], abzüglich der auf eigener Fläche erzeugten Menge [466]. Der Importanteil liegt bei 42,6 % vom Verbrauch.</v>
      </c>
      <c r="F459" s="1130"/>
      <c r="G459" s="1130"/>
      <c r="H459" s="1130"/>
      <c r="I459" s="1130"/>
      <c r="J459" s="1130"/>
      <c r="K459" s="1130"/>
      <c r="L459" s="1130"/>
      <c r="M459" s="1130"/>
      <c r="N459" s="1131"/>
      <c r="O459" s="869">
        <v>459</v>
      </c>
      <c r="P459" s="691" t="str">
        <f t="shared" ref="P459:P466" ca="1" si="211">HYPERLINK(EK459,EJ459)</f>
        <v/>
      </c>
      <c r="Q459" s="692" t="str">
        <f t="shared" ref="Q459:Q466" si="212">Y459</f>
        <v xml:space="preserve"> </v>
      </c>
      <c r="R459" s="852"/>
      <c r="S459" s="784"/>
      <c r="T459" s="864"/>
      <c r="U459" s="1023" t="str">
        <f ca="1">"Resultiert aus dem von den Energieverbrauchern Deutschlands 2016 verursachten Biodiesel- und Pflanzenölverbrauch (größtenteils als Beimischung zum Dieselkraftstoff) gemäß "&amp;C461&amp;", abzüglich der auf eigener Fläche erzeugten Menge "&amp;C466&amp;". Der Importanteil liegt bei "&amp;TEXT(AL459,"0,0")&amp;" % vom Verbrauch."</f>
        <v>Resultiert aus dem von den Energieverbrauchern Deutschlands 2016 verursachten Biodiesel- und Pflanzenölverbrauch (größtenteils als Beimischung zum Dieselkraftstoff) gemäß [461], abzüglich der auf eigener Fläche erzeugten Menge [466]. Der Importanteil liegt bei 42,6 % vom Verbrauch.</v>
      </c>
      <c r="V459" s="905" t="s">
        <v>126</v>
      </c>
      <c r="W459" s="1024">
        <f ca="1">AJ459</f>
        <v>10003.923076923074</v>
      </c>
      <c r="X459" s="672"/>
      <c r="Y459" s="672" t="s">
        <v>126</v>
      </c>
      <c r="Z459" s="1025"/>
      <c r="AA459" s="658"/>
      <c r="AB459" s="801"/>
      <c r="AC459" s="801"/>
      <c r="AD459" s="776" t="str">
        <f ca="1">J34</f>
        <v>Verursacher-Prinzip</v>
      </c>
      <c r="AE459" s="801"/>
      <c r="AF459" s="687">
        <f ca="1">AJ461</f>
        <v>23493.923076923074</v>
      </c>
      <c r="AG459" s="801" t="s">
        <v>384</v>
      </c>
      <c r="AH459" s="801">
        <f>AH466</f>
        <v>13490</v>
      </c>
      <c r="AI459" s="801" t="str">
        <f>AI466</f>
        <v xml:space="preserve"> GWh </v>
      </c>
      <c r="AJ459" s="801">
        <f ca="1">AF459-AH459</f>
        <v>10003.923076923074</v>
      </c>
      <c r="AK459" s="801" t="s">
        <v>384</v>
      </c>
      <c r="AL459" s="801">
        <f ca="1">AJ459/AF459%</f>
        <v>42.580896532982337</v>
      </c>
      <c r="AM459" s="801" t="s">
        <v>835</v>
      </c>
      <c r="AN459" s="801"/>
      <c r="AO459" s="801"/>
      <c r="AP459" s="801"/>
      <c r="AQ459" s="801"/>
      <c r="AR459" s="801"/>
      <c r="AS459" s="801"/>
      <c r="AT459" s="801"/>
      <c r="AU459" s="801"/>
      <c r="AV459" s="801"/>
      <c r="BF459" s="657"/>
      <c r="BI459" s="656" t="s">
        <v>126</v>
      </c>
      <c r="BJ459" s="666"/>
      <c r="BO459" s="656" t="s">
        <v>259</v>
      </c>
      <c r="CU459" s="663" t="str">
        <f ca="1">CG$1&amp;IF(U459="",BF459,U459)</f>
        <v>- STATUS-Ansatz: Resultiert aus dem von den Energieverbrauchern Deutschlands 2016 verursachten Biodiesel- und Pflanzenölverbrauch (größtenteils als Beimischung zum Dieselkraftstoff) gemäß [461], abzüglich der auf eigener Fläche erzeugten Menge [466]. Der Importanteil liegt bei 42,6 % vom Verbrauch.</v>
      </c>
      <c r="CW459" s="663"/>
      <c r="DT459" s="671">
        <f>I_Basisdaten!A191</f>
        <v>191</v>
      </c>
      <c r="EJ459" s="656" t="str">
        <f t="shared" ref="EJ459:EJ466" si="213">IF(X459=0,"",EJ$1&amp;X459)</f>
        <v/>
      </c>
      <c r="EK459" s="656" t="str">
        <f t="shared" ref="EK459:EK466" ca="1" si="214">EK$1&amp;X459</f>
        <v>[D_Python.xlsx]9.Quellen!C</v>
      </c>
      <c r="EV459" s="819">
        <f t="shared" ca="1" si="188"/>
        <v>459</v>
      </c>
      <c r="EW459" s="819"/>
    </row>
    <row r="460" spans="1:153" s="656" customFormat="1" ht="39" hidden="1">
      <c r="A460" s="654" t="str">
        <f t="shared" ca="1" si="186"/>
        <v>D.1.460</v>
      </c>
      <c r="B460" s="654" t="str">
        <f t="shared" ca="1" si="187"/>
        <v>1.460</v>
      </c>
      <c r="C460" s="654" t="str">
        <f t="shared" si="195"/>
        <v>[460]</v>
      </c>
      <c r="D460" s="654">
        <f>ROW()</f>
        <v>460</v>
      </c>
      <c r="E460" s="1130" t="str">
        <f t="shared" ca="1" si="210"/>
        <v xml:space="preserve">23.494 GWh  Verbrauch an Biodiesel inklusive Pflanzenöl wurde in Niedersachsen 2013 nach dem Verursacher-Prinzip verursacht, resultierend aus dem  deutschen Verbrauch [461] und dem Einwohnerproporz (Verhältnis 'Energieverbraucher Niedersachsens nach dem Verursacher-Prinzip' [52] zur deutschen Einwohnerzahl  [59]). </v>
      </c>
      <c r="F460" s="1130"/>
      <c r="G460" s="1130"/>
      <c r="H460" s="1130"/>
      <c r="I460" s="1130"/>
      <c r="J460" s="1130"/>
      <c r="K460" s="1130"/>
      <c r="L460" s="1130"/>
      <c r="M460" s="1130"/>
      <c r="N460" s="1131"/>
      <c r="O460" s="869">
        <v>460</v>
      </c>
      <c r="P460" s="691" t="str">
        <f t="shared" ca="1" si="211"/>
        <v/>
      </c>
      <c r="Q460" s="692" t="str">
        <f t="shared" si="212"/>
        <v xml:space="preserve"> </v>
      </c>
      <c r="R460" s="852"/>
      <c r="S460" s="784"/>
      <c r="T460" s="864"/>
      <c r="U460" s="1023" t="str">
        <f ca="1">TEXT(AK460,"0.000")&amp;AL460&amp;" Verbrauch an Biodiesel inklusive Pflanzenöl wurde in Niedersachsen 2013 nach dem "&amp;AJ460&amp;" verursacht, resultierend aus dem  deutschen Verbrauch "&amp;C461&amp;" und dem Einwohnerproporz (Verhältnis 'Energieverbraucher Niedersachsens nach dem "&amp;AJ460&amp;"' "&amp;C52&amp;" zur deutschen Einwohnerzahl  "&amp;C59&amp;"). "</f>
        <v xml:space="preserve">23.494 GWh  Verbrauch an Biodiesel inklusive Pflanzenöl wurde in Niedersachsen 2013 nach dem Verursacher-Prinzip verursacht, resultierend aus dem  deutschen Verbrauch [461] und dem Einwohnerproporz (Verhältnis 'Energieverbraucher Niedersachsens nach dem Verursacher-Prinzip' [52] zur deutschen Einwohnerzahl  [59]). </v>
      </c>
      <c r="V460" s="905" t="s">
        <v>126</v>
      </c>
      <c r="W460" s="1024"/>
      <c r="X460" s="672"/>
      <c r="Y460" s="672" t="s">
        <v>126</v>
      </c>
      <c r="Z460" s="1025"/>
      <c r="AA460" s="905"/>
      <c r="AB460" s="801"/>
      <c r="AC460" s="801"/>
      <c r="AD460" s="827">
        <f ca="1">AJ461</f>
        <v>23493.923076923074</v>
      </c>
      <c r="AE460" s="827" t="str">
        <f>AK461</f>
        <v xml:space="preserve"> GWh </v>
      </c>
      <c r="AF460" s="827">
        <f>W59</f>
        <v>82175684</v>
      </c>
      <c r="AG460" s="826" t="s">
        <v>549</v>
      </c>
      <c r="AH460" s="827">
        <f ca="1">K37</f>
        <v>82175684</v>
      </c>
      <c r="AI460" s="826" t="s">
        <v>547</v>
      </c>
      <c r="AJ460" s="1089" t="str">
        <f ca="1">J34</f>
        <v>Verursacher-Prinzip</v>
      </c>
      <c r="AK460" s="826">
        <f ca="1">AD460/AF460*AH460</f>
        <v>23493.923076923074</v>
      </c>
      <c r="AL460" s="826" t="s">
        <v>384</v>
      </c>
      <c r="AM460" s="801"/>
      <c r="AN460" s="801"/>
      <c r="AO460" s="801"/>
      <c r="AP460" s="801"/>
      <c r="AQ460" s="801"/>
      <c r="AR460" s="801"/>
      <c r="AS460" s="801"/>
      <c r="AT460" s="801"/>
      <c r="AU460" s="801"/>
      <c r="AV460" s="801"/>
      <c r="BF460" s="657"/>
      <c r="BI460" s="656" t="s">
        <v>126</v>
      </c>
      <c r="BJ460" s="666"/>
      <c r="BO460" s="656" t="s">
        <v>252</v>
      </c>
      <c r="CU460" s="663" t="str">
        <f t="shared" ref="CU460:CU466" ca="1" si="215">IF(U460="",BF460,U460)</f>
        <v xml:space="preserve">23.494 GWh  Verbrauch an Biodiesel inklusive Pflanzenöl wurde in Niedersachsen 2013 nach dem Verursacher-Prinzip verursacht, resultierend aus dem  deutschen Verbrauch [461] und dem Einwohnerproporz (Verhältnis 'Energieverbraucher Niedersachsens nach dem Verursacher-Prinzip' [52] zur deutschen Einwohnerzahl  [59]). </v>
      </c>
      <c r="CW460" s="663"/>
      <c r="DT460" s="671"/>
      <c r="EJ460" s="656" t="str">
        <f t="shared" si="213"/>
        <v/>
      </c>
      <c r="EK460" s="656" t="str">
        <f t="shared" ca="1" si="214"/>
        <v>[D_Python.xlsx]9.Quellen!C</v>
      </c>
      <c r="EV460" s="819">
        <f t="shared" ca="1" si="188"/>
        <v>460</v>
      </c>
      <c r="EW460" s="819"/>
    </row>
    <row r="461" spans="1:153" s="656" customFormat="1" ht="39">
      <c r="A461" s="654" t="str">
        <f t="shared" ca="1" si="186"/>
        <v>D.1.461</v>
      </c>
      <c r="B461" s="654" t="str">
        <f t="shared" ca="1" si="187"/>
        <v>1.461</v>
      </c>
      <c r="C461" s="654" t="str">
        <f t="shared" si="195"/>
        <v>[461]</v>
      </c>
      <c r="D461" s="654">
        <f>ROW()</f>
        <v>461</v>
      </c>
      <c r="E461" s="1130" t="str">
        <f t="shared" ca="1" si="210"/>
        <v xml:space="preserve">23.494 GWh  Gesamtverbrauch an Biodiesel inklusive Pflanzenöl in Deutschland 2016, resultierend aus der Summe der Einzelverbäuche: Verkehrssektor 20.915 GWh [462], Verstromung 1.054 GWh [463], Landwirtschaft 1.525 GWh [464]. </v>
      </c>
      <c r="F461" s="1130"/>
      <c r="G461" s="1130"/>
      <c r="H461" s="1130"/>
      <c r="I461" s="1130"/>
      <c r="J461" s="1130"/>
      <c r="K461" s="1130"/>
      <c r="L461" s="1130"/>
      <c r="M461" s="1130"/>
      <c r="N461" s="1131"/>
      <c r="O461" s="869">
        <v>461</v>
      </c>
      <c r="P461" s="691" t="str">
        <f t="shared" ca="1" si="211"/>
        <v/>
      </c>
      <c r="Q461" s="692" t="str">
        <f t="shared" si="212"/>
        <v xml:space="preserve"> </v>
      </c>
      <c r="R461" s="852"/>
      <c r="S461" s="784"/>
      <c r="T461" s="864"/>
      <c r="U461" s="1023" t="str">
        <f ca="1">TEXT(AJ461,"0.000")&amp;AK461&amp;" Gesamtverbrauch an Biodiesel inklusive Pflanzenöl in Deutschland 2016, resultierend aus der Summe der Einzelverbäuche: Verkehrssektor "&amp;TEXT(AD461,"0.000")&amp;AE461&amp;C462&amp;", Verstromung "&amp;TEXT(AF461,"0.000")&amp;AG461&amp;C463&amp;", Landwirtschaft "&amp;TEXT(AH461,"0.000")&amp;AI461&amp;C464&amp;". "</f>
        <v xml:space="preserve">23.494 GWh  Gesamtverbrauch an Biodiesel inklusive Pflanzenöl in Deutschland 2016, resultierend aus der Summe der Einzelverbäuche: Verkehrssektor 20.915 GWh [462], Verstromung 1.054 GWh [463], Landwirtschaft 1.525 GWh [464]. </v>
      </c>
      <c r="V461" s="905" t="s">
        <v>126</v>
      </c>
      <c r="W461" s="1024"/>
      <c r="X461" s="672"/>
      <c r="Y461" s="672" t="s">
        <v>126</v>
      </c>
      <c r="Z461" s="1025"/>
      <c r="AA461" s="905"/>
      <c r="AB461" s="801"/>
      <c r="AC461" s="801"/>
      <c r="AD461" s="687">
        <f>AH462</f>
        <v>20915</v>
      </c>
      <c r="AE461" s="687" t="str">
        <f>AI463</f>
        <v xml:space="preserve"> GWh </v>
      </c>
      <c r="AF461" s="801">
        <f ca="1">AH463</f>
        <v>1053.8461538461538</v>
      </c>
      <c r="AG461" s="801" t="str">
        <f>AI464</f>
        <v xml:space="preserve"> GWh </v>
      </c>
      <c r="AH461" s="801">
        <f ca="1">AH464</f>
        <v>1525.0769230769231</v>
      </c>
      <c r="AI461" s="801" t="str">
        <f>AI465</f>
        <v xml:space="preserve"> GWh </v>
      </c>
      <c r="AJ461" s="687">
        <f ca="1">AD461+AF461+AH461</f>
        <v>23493.923076923074</v>
      </c>
      <c r="AK461" s="801" t="s">
        <v>384</v>
      </c>
      <c r="AL461" s="687"/>
      <c r="AM461" s="801"/>
      <c r="AN461" s="687"/>
      <c r="AO461" s="801"/>
      <c r="AP461" s="801"/>
      <c r="AQ461" s="801"/>
      <c r="AR461" s="801"/>
      <c r="AS461" s="801"/>
      <c r="AT461" s="801"/>
      <c r="AU461" s="801"/>
      <c r="AV461" s="801"/>
      <c r="BF461" s="657"/>
      <c r="BI461" s="656" t="s">
        <v>126</v>
      </c>
      <c r="BJ461" s="666"/>
      <c r="BO461" s="656" t="s">
        <v>252</v>
      </c>
      <c r="CU461" s="663" t="str">
        <f t="shared" ca="1" si="215"/>
        <v xml:space="preserve">23.494 GWh  Gesamtverbrauch an Biodiesel inklusive Pflanzenöl in Deutschland 2016, resultierend aus der Summe der Einzelverbäuche: Verkehrssektor 20.915 GWh [462], Verstromung 1.054 GWh [463], Landwirtschaft 1.525 GWh [464]. </v>
      </c>
      <c r="CW461" s="663"/>
      <c r="DT461" s="671"/>
      <c r="EJ461" s="656" t="str">
        <f t="shared" si="213"/>
        <v/>
      </c>
      <c r="EK461" s="656" t="str">
        <f t="shared" ca="1" si="214"/>
        <v>[D_Python.xlsx]9.Quellen!C</v>
      </c>
      <c r="EV461" s="819">
        <f t="shared" ca="1" si="188"/>
        <v>461</v>
      </c>
      <c r="EW461" s="819"/>
    </row>
    <row r="462" spans="1:153" s="656" customFormat="1" ht="26">
      <c r="A462" s="654" t="str">
        <f t="shared" ca="1" si="186"/>
        <v>D.1.462</v>
      </c>
      <c r="B462" s="654" t="str">
        <f t="shared" ca="1" si="187"/>
        <v>1.462</v>
      </c>
      <c r="C462" s="654" t="str">
        <f t="shared" si="195"/>
        <v>[462]</v>
      </c>
      <c r="D462" s="654">
        <f>ROW()</f>
        <v>462</v>
      </c>
      <c r="E462" s="1130" t="str">
        <f t="shared" ca="1" si="210"/>
        <v xml:space="preserve">20.915 GWh  Verbrauch an Biodiesel (20.873 GWh ) inklusive Pflanzenöl (42 GWh ) im Verkehrssektor 2016 gemäß [9.72] S. 17. </v>
      </c>
      <c r="F462" s="1130"/>
      <c r="G462" s="1130"/>
      <c r="H462" s="1130"/>
      <c r="I462" s="1130"/>
      <c r="J462" s="1130"/>
      <c r="K462" s="1130"/>
      <c r="L462" s="1130"/>
      <c r="M462" s="1130"/>
      <c r="N462" s="1131"/>
      <c r="O462" s="869">
        <v>462</v>
      </c>
      <c r="P462" s="691" t="str">
        <f t="shared" ca="1" si="211"/>
        <v>9.72</v>
      </c>
      <c r="Q462" s="692" t="str">
        <f t="shared" si="212"/>
        <v>S. 17</v>
      </c>
      <c r="R462" s="852"/>
      <c r="S462" s="784"/>
      <c r="T462" s="864"/>
      <c r="U462" s="1023" t="str">
        <f ca="1">TEXT(AH462,"0.000")&amp;AI462&amp;" Verbrauch an Biodiesel ("&amp;TEXT(AD462,"0.000")&amp;AE462&amp;") inklusive Pflanzenöl ("&amp;TEXT(AF462,"0")&amp;AG462&amp;") im Verkehrssektor 2016 gemäß ["&amp;P462&amp;"] "&amp;Q462&amp;". "</f>
        <v xml:space="preserve">20.915 GWh  Verbrauch an Biodiesel (20.873 GWh ) inklusive Pflanzenöl (42 GWh ) im Verkehrssektor 2016 gemäß [9.72] S. 17. </v>
      </c>
      <c r="V462" s="905" t="s">
        <v>126</v>
      </c>
      <c r="W462" s="1024"/>
      <c r="X462" s="672">
        <f>'9.Quellen'!C72</f>
        <v>72</v>
      </c>
      <c r="Y462" s="672" t="s">
        <v>540</v>
      </c>
      <c r="Z462" s="1025"/>
      <c r="AA462" s="905"/>
      <c r="AB462" s="801"/>
      <c r="AC462" s="801"/>
      <c r="AD462" s="801">
        <v>20873</v>
      </c>
      <c r="AE462" s="801" t="s">
        <v>384</v>
      </c>
      <c r="AF462" s="801">
        <v>42</v>
      </c>
      <c r="AG462" s="801" t="s">
        <v>384</v>
      </c>
      <c r="AH462" s="801">
        <f>AD462+AF462</f>
        <v>20915</v>
      </c>
      <c r="AI462" s="801" t="s">
        <v>384</v>
      </c>
      <c r="AJ462" s="801"/>
      <c r="AK462" s="801"/>
      <c r="AL462" s="801"/>
      <c r="AM462" s="801"/>
      <c r="AN462" s="801"/>
      <c r="AO462" s="801"/>
      <c r="AP462" s="801"/>
      <c r="AQ462" s="801"/>
      <c r="AR462" s="801"/>
      <c r="AS462" s="801"/>
      <c r="AT462" s="801"/>
      <c r="AU462" s="801"/>
      <c r="AV462" s="801"/>
      <c r="BF462" s="657"/>
      <c r="BI462" s="656" t="s">
        <v>126</v>
      </c>
      <c r="BJ462" s="666"/>
      <c r="BO462" s="656" t="s">
        <v>252</v>
      </c>
      <c r="CU462" s="663" t="str">
        <f t="shared" ca="1" si="215"/>
        <v xml:space="preserve">20.915 GWh  Verbrauch an Biodiesel (20.873 GWh ) inklusive Pflanzenöl (42 GWh ) im Verkehrssektor 2016 gemäß [9.72] S. 17. </v>
      </c>
      <c r="CW462" s="663"/>
      <c r="DT462" s="671"/>
      <c r="EJ462" s="656" t="str">
        <f t="shared" ca="1" si="213"/>
        <v>9.72</v>
      </c>
      <c r="EK462" s="656" t="str">
        <f t="shared" ca="1" si="214"/>
        <v>[D_Python.xlsx]9.Quellen!C72</v>
      </c>
      <c r="EV462" s="819">
        <f t="shared" ca="1" si="188"/>
        <v>462</v>
      </c>
      <c r="EW462" s="819"/>
    </row>
    <row r="463" spans="1:153" s="656" customFormat="1" ht="39">
      <c r="A463" s="654" t="str">
        <f t="shared" ref="A463:A526" ca="1" si="216">BT$1&amp;D463</f>
        <v>D.1.463</v>
      </c>
      <c r="B463" s="654" t="str">
        <f t="shared" ref="B463:B526" ca="1" si="217">BW$1&amp;D463</f>
        <v>1.463</v>
      </c>
      <c r="C463" s="654" t="str">
        <f t="shared" si="195"/>
        <v>[463]</v>
      </c>
      <c r="D463" s="654">
        <f>ROW()</f>
        <v>463</v>
      </c>
      <c r="E463" s="1130" t="str">
        <f t="shared" ca="1" si="210"/>
        <v xml:space="preserve">1.054 GWh  Verbrauch an flüssigen Biobrennstoffen für Verstromung in Deutschland 2013 (unterstellt wird größtenteils Biodiesel und Pflanzenöl), resultierend aus einer Bruttostromerzeugung von 411 GWh  gemäß [9.72], S. 8, mit einem Nutzungsgrad von 39,0%  gemäß [482] . </v>
      </c>
      <c r="F463" s="1130"/>
      <c r="G463" s="1130"/>
      <c r="H463" s="1130"/>
      <c r="I463" s="1130"/>
      <c r="J463" s="1130"/>
      <c r="K463" s="1130"/>
      <c r="L463" s="1130"/>
      <c r="M463" s="1130"/>
      <c r="N463" s="1131"/>
      <c r="O463" s="869">
        <v>463</v>
      </c>
      <c r="P463" s="691" t="str">
        <f t="shared" ca="1" si="211"/>
        <v>9.72</v>
      </c>
      <c r="Q463" s="692" t="str">
        <f t="shared" si="212"/>
        <v>S. 8</v>
      </c>
      <c r="R463" s="852"/>
      <c r="S463" s="784"/>
      <c r="T463" s="864"/>
      <c r="U463" s="1023" t="str">
        <f ca="1">TEXT(AH463,"0.000")&amp;AI463&amp;" Verbrauch an flüssigen Biobrennstoffen für Verstromung in Deutschland 2013 (unterstellt wird größtenteils Biodiesel und Pflanzenöl), resultierend aus einer Bruttostromerzeugung von "&amp;TEXT(AD463,"0")&amp;AE463&amp;" gemäß ["&amp;P463&amp;"], "&amp;Q463&amp;", mit einem Nutzungsgrad von "&amp;TEXT(AF463,"0,0")&amp;AG463&amp;" gemäß "&amp;C482&amp;" . "</f>
        <v xml:space="preserve">1.054 GWh  Verbrauch an flüssigen Biobrennstoffen für Verstromung in Deutschland 2013 (unterstellt wird größtenteils Biodiesel und Pflanzenöl), resultierend aus einer Bruttostromerzeugung von 411 GWh  gemäß [9.72], S. 8, mit einem Nutzungsgrad von 39,0%  gemäß [482] . </v>
      </c>
      <c r="V463" s="905" t="s">
        <v>126</v>
      </c>
      <c r="W463" s="1024"/>
      <c r="X463" s="672">
        <f>'9.Quellen'!C72</f>
        <v>72</v>
      </c>
      <c r="Y463" s="672" t="s">
        <v>342</v>
      </c>
      <c r="Z463" s="1025"/>
      <c r="AA463" s="905"/>
      <c r="AB463" s="801"/>
      <c r="AC463" s="801"/>
      <c r="AD463" s="801">
        <v>411</v>
      </c>
      <c r="AE463" s="801" t="s">
        <v>384</v>
      </c>
      <c r="AF463" s="562">
        <f ca="1">K482</f>
        <v>39</v>
      </c>
      <c r="AG463" s="801" t="s">
        <v>835</v>
      </c>
      <c r="AH463" s="801">
        <f ca="1">AD463/AF463%</f>
        <v>1053.8461538461538</v>
      </c>
      <c r="AI463" s="801" t="s">
        <v>384</v>
      </c>
      <c r="AJ463" s="801"/>
      <c r="AK463" s="801"/>
      <c r="AL463" s="801"/>
      <c r="AM463" s="801"/>
      <c r="AN463" s="801"/>
      <c r="AO463" s="801"/>
      <c r="AP463" s="801"/>
      <c r="AQ463" s="801"/>
      <c r="AR463" s="801"/>
      <c r="AS463" s="801"/>
      <c r="AT463" s="801"/>
      <c r="AU463" s="801"/>
      <c r="AV463" s="801"/>
      <c r="BF463" s="657"/>
      <c r="BI463" s="656" t="s">
        <v>126</v>
      </c>
      <c r="BJ463" s="666"/>
      <c r="BO463" s="656" t="s">
        <v>252</v>
      </c>
      <c r="CU463" s="663" t="str">
        <f t="shared" ca="1" si="215"/>
        <v xml:space="preserve">1.054 GWh  Verbrauch an flüssigen Biobrennstoffen für Verstromung in Deutschland 2013 (unterstellt wird größtenteils Biodiesel und Pflanzenöl), resultierend aus einer Bruttostromerzeugung von 411 GWh  gemäß [9.72], S. 8, mit einem Nutzungsgrad von 39,0%  gemäß [482] . </v>
      </c>
      <c r="CW463" s="663"/>
      <c r="DT463" s="671"/>
      <c r="EJ463" s="656" t="str">
        <f t="shared" ca="1" si="213"/>
        <v>9.72</v>
      </c>
      <c r="EK463" s="656" t="str">
        <f t="shared" ca="1" si="214"/>
        <v>[D_Python.xlsx]9.Quellen!C72</v>
      </c>
      <c r="EV463" s="819">
        <f t="shared" ref="EV463:EV526" ca="1" si="218">IF(U463&amp;BP463="","",D463)</f>
        <v>463</v>
      </c>
      <c r="EW463" s="819"/>
    </row>
    <row r="464" spans="1:153" s="656" customFormat="1" ht="39">
      <c r="A464" s="654" t="str">
        <f t="shared" ca="1" si="216"/>
        <v>D.1.464</v>
      </c>
      <c r="B464" s="654" t="str">
        <f t="shared" ca="1" si="217"/>
        <v>1.464</v>
      </c>
      <c r="C464" s="654" t="str">
        <f t="shared" si="195"/>
        <v>[464]</v>
      </c>
      <c r="D464" s="654">
        <f>ROW()</f>
        <v>464</v>
      </c>
      <c r="E464" s="1130" t="str">
        <f t="shared" ca="1" si="210"/>
        <v xml:space="preserve">1.525 GWh  Verbrauch an Biodiesel in der Landwirtschaft 2016, resultierend aus dem zusammengefassten Wert für 'Wärme inklusive Landwirtschaft' von 2.052 GWh  gemäß [9.72], S. 13, abzüglich der Abwärme aus Verstromung von 527 GWh  gemäß [465] . </v>
      </c>
      <c r="F464" s="1130"/>
      <c r="G464" s="1130"/>
      <c r="H464" s="1130"/>
      <c r="I464" s="1130"/>
      <c r="J464" s="1130"/>
      <c r="K464" s="1130"/>
      <c r="L464" s="1130"/>
      <c r="M464" s="1130"/>
      <c r="N464" s="1131"/>
      <c r="O464" s="869">
        <v>464</v>
      </c>
      <c r="P464" s="691" t="str">
        <f t="shared" ca="1" si="211"/>
        <v>9.72</v>
      </c>
      <c r="Q464" s="692" t="str">
        <f t="shared" si="212"/>
        <v>S. 13</v>
      </c>
      <c r="R464" s="852"/>
      <c r="S464" s="784"/>
      <c r="T464" s="864"/>
      <c r="U464" s="1023" t="str">
        <f ca="1">TEXT(AH464,"0.000")&amp;AI464&amp;" Verbrauch an Biodiesel in der Landwirtschaft 2016, resultierend aus dem zusammengefassten Wert für 'Wärme inklusive Landwirtschaft' von "&amp;TEXT(AD464,"0.000")&amp;AE464&amp;" gemäß ["&amp;P464&amp;"], "&amp;Q464&amp;", abzüglich der Abwärme aus Verstromung von "&amp;TEXT(AF464,"0")&amp;AG464&amp;" gemäß "&amp;C465&amp;" . "</f>
        <v xml:space="preserve">1.525 GWh  Verbrauch an Biodiesel in der Landwirtschaft 2016, resultierend aus dem zusammengefassten Wert für 'Wärme inklusive Landwirtschaft' von 2.052 GWh  gemäß [9.72], S. 13, abzüglich der Abwärme aus Verstromung von 527 GWh  gemäß [465] . </v>
      </c>
      <c r="V464" s="905" t="s">
        <v>126</v>
      </c>
      <c r="W464" s="1024"/>
      <c r="X464" s="672">
        <f>'9.Quellen'!C72</f>
        <v>72</v>
      </c>
      <c r="Y464" s="672" t="s">
        <v>336</v>
      </c>
      <c r="Z464" s="1025"/>
      <c r="AA464" s="905"/>
      <c r="AB464" s="801"/>
      <c r="AC464" s="801"/>
      <c r="AD464" s="801">
        <v>2052</v>
      </c>
      <c r="AE464" s="801" t="s">
        <v>384</v>
      </c>
      <c r="AF464" s="801">
        <f ca="1">AH465</f>
        <v>526.92307692307691</v>
      </c>
      <c r="AG464" s="801" t="str">
        <f>AI463</f>
        <v xml:space="preserve"> GWh </v>
      </c>
      <c r="AH464" s="801">
        <f ca="1">AD464-AF464</f>
        <v>1525.0769230769231</v>
      </c>
      <c r="AI464" s="801" t="s">
        <v>384</v>
      </c>
      <c r="AJ464" s="801"/>
      <c r="AK464" s="801"/>
      <c r="AL464" s="801"/>
      <c r="AM464" s="801"/>
      <c r="AN464" s="801"/>
      <c r="AO464" s="801"/>
      <c r="AP464" s="801"/>
      <c r="AQ464" s="801"/>
      <c r="AR464" s="801"/>
      <c r="AS464" s="801"/>
      <c r="AT464" s="801"/>
      <c r="AU464" s="801"/>
      <c r="AV464" s="801"/>
      <c r="BF464" s="657"/>
      <c r="BI464" s="656" t="s">
        <v>126</v>
      </c>
      <c r="BJ464" s="666"/>
      <c r="BO464" s="656" t="s">
        <v>252</v>
      </c>
      <c r="CU464" s="663" t="str">
        <f t="shared" ca="1" si="215"/>
        <v xml:space="preserve">1.525 GWh  Verbrauch an Biodiesel in der Landwirtschaft 2016, resultierend aus dem zusammengefassten Wert für 'Wärme inklusive Landwirtschaft' von 2.052 GWh  gemäß [9.72], S. 13, abzüglich der Abwärme aus Verstromung von 527 GWh  gemäß [465] . </v>
      </c>
      <c r="CW464" s="663"/>
      <c r="DT464" s="671"/>
      <c r="EJ464" s="656" t="str">
        <f t="shared" ca="1" si="213"/>
        <v>9.72</v>
      </c>
      <c r="EK464" s="656" t="str">
        <f t="shared" ca="1" si="214"/>
        <v>[D_Python.xlsx]9.Quellen!C72</v>
      </c>
      <c r="EV464" s="819">
        <f t="shared" ca="1" si="218"/>
        <v>464</v>
      </c>
      <c r="EW464" s="819"/>
    </row>
    <row r="465" spans="1:153" s="656" customFormat="1" ht="39">
      <c r="A465" s="654" t="str">
        <f t="shared" ca="1" si="216"/>
        <v>D.1.465</v>
      </c>
      <c r="B465" s="654" t="str">
        <f t="shared" ca="1" si="217"/>
        <v>1.465</v>
      </c>
      <c r="C465" s="654" t="str">
        <f t="shared" si="195"/>
        <v>[465]</v>
      </c>
      <c r="D465" s="654">
        <f>ROW()</f>
        <v>465</v>
      </c>
      <c r="E465" s="1130" t="str">
        <f t="shared" ca="1" si="210"/>
        <v xml:space="preserve">527 GWh  Abwärme aus Verstromung flüssiger Biobrennstoffe in Deutschland 2016 (unterstellt wird größtenteils Biodiesel und Pflanzenöl), resultierend aus einem Verbrauch an flüssigen Biobrennstoffen für Verstromung von 1.054 GWh  gemäß [463] und einem thermischen Nutzungsgrad von 50,0%  gemäß [487] . </v>
      </c>
      <c r="F465" s="1130"/>
      <c r="G465" s="1130"/>
      <c r="H465" s="1130"/>
      <c r="I465" s="1130"/>
      <c r="J465" s="1130"/>
      <c r="K465" s="1130"/>
      <c r="L465" s="1130"/>
      <c r="M465" s="1130"/>
      <c r="N465" s="1131"/>
      <c r="O465" s="869">
        <v>465</v>
      </c>
      <c r="P465" s="691" t="str">
        <f t="shared" ca="1" si="211"/>
        <v/>
      </c>
      <c r="Q465" s="692" t="str">
        <f t="shared" si="212"/>
        <v xml:space="preserve"> </v>
      </c>
      <c r="R465" s="852"/>
      <c r="S465" s="784"/>
      <c r="T465" s="864"/>
      <c r="U465" s="1023" t="str">
        <f ca="1">TEXT(AH465,"0")&amp;AI465&amp;" Abwärme aus Verstromung flüssiger Biobrennstoffe in Deutschland 2016 (unterstellt wird größtenteils Biodiesel und Pflanzenöl), resultierend aus einem Verbrauch an flüssigen Biobrennstoffen für Verstromung von "&amp;TEXT(AD465,"0.000")&amp;AE465&amp;" gemäß "&amp;C463&amp;" und einem thermischen Nutzungsgrad von "&amp;TEXT(AF465,"0,0")&amp;AG465&amp;" gemäß "&amp;C487&amp;" . "</f>
        <v xml:space="preserve">527 GWh  Abwärme aus Verstromung flüssiger Biobrennstoffe in Deutschland 2016 (unterstellt wird größtenteils Biodiesel und Pflanzenöl), resultierend aus einem Verbrauch an flüssigen Biobrennstoffen für Verstromung von 1.054 GWh  gemäß [463] und einem thermischen Nutzungsgrad von 50,0%  gemäß [487] . </v>
      </c>
      <c r="V465" s="905" t="s">
        <v>126</v>
      </c>
      <c r="W465" s="1024"/>
      <c r="X465" s="672"/>
      <c r="Y465" s="672" t="s">
        <v>126</v>
      </c>
      <c r="Z465" s="1025"/>
      <c r="AA465" s="905"/>
      <c r="AB465" s="801"/>
      <c r="AC465" s="801"/>
      <c r="AD465" s="801">
        <f ca="1">AH463</f>
        <v>1053.8461538461538</v>
      </c>
      <c r="AE465" s="801" t="s">
        <v>384</v>
      </c>
      <c r="AF465" s="562">
        <f ca="1">K487</f>
        <v>50</v>
      </c>
      <c r="AG465" s="801" t="s">
        <v>835</v>
      </c>
      <c r="AH465" s="801">
        <f ca="1">AD465*AF465%</f>
        <v>526.92307692307691</v>
      </c>
      <c r="AI465" s="801" t="s">
        <v>384</v>
      </c>
      <c r="AJ465" s="801"/>
      <c r="AK465" s="801"/>
      <c r="AL465" s="801"/>
      <c r="AM465" s="801"/>
      <c r="AN465" s="801"/>
      <c r="AO465" s="801"/>
      <c r="AP465" s="801"/>
      <c r="AQ465" s="801"/>
      <c r="AR465" s="801"/>
      <c r="AS465" s="801"/>
      <c r="AT465" s="801"/>
      <c r="AU465" s="801"/>
      <c r="AV465" s="801"/>
      <c r="BF465" s="657"/>
      <c r="BI465" s="656" t="s">
        <v>126</v>
      </c>
      <c r="BJ465" s="666"/>
      <c r="BO465" s="656" t="s">
        <v>252</v>
      </c>
      <c r="CU465" s="663" t="str">
        <f t="shared" ca="1" si="215"/>
        <v xml:space="preserve">527 GWh  Abwärme aus Verstromung flüssiger Biobrennstoffe in Deutschland 2016 (unterstellt wird größtenteils Biodiesel und Pflanzenöl), resultierend aus einem Verbrauch an flüssigen Biobrennstoffen für Verstromung von 1.054 GWh  gemäß [463] und einem thermischen Nutzungsgrad von 50,0%  gemäß [487] . </v>
      </c>
      <c r="CW465" s="663"/>
      <c r="DT465" s="671"/>
      <c r="EJ465" s="656" t="str">
        <f t="shared" si="213"/>
        <v/>
      </c>
      <c r="EK465" s="656" t="str">
        <f t="shared" ca="1" si="214"/>
        <v>[D_Python.xlsx]9.Quellen!C</v>
      </c>
      <c r="EV465" s="819">
        <f t="shared" ca="1" si="218"/>
        <v>465</v>
      </c>
      <c r="EW465" s="819"/>
    </row>
    <row r="466" spans="1:153" s="656" customFormat="1" ht="39">
      <c r="A466" s="654" t="str">
        <f t="shared" ca="1" si="216"/>
        <v>D.1.466</v>
      </c>
      <c r="B466" s="654" t="str">
        <f t="shared" ca="1" si="217"/>
        <v>1.466</v>
      </c>
      <c r="C466" s="654" t="str">
        <f t="shared" si="195"/>
        <v>[466]</v>
      </c>
      <c r="D466" s="654">
        <f>ROW()</f>
        <v>466</v>
      </c>
      <c r="E466" s="1130" t="str">
        <f t="shared" si="210"/>
        <v xml:space="preserve">Ein Anteil von 13490 GWh  am Biodiesel bzw. Pflanzenöl-Aufkommen stammte 2016 aus dem Anbau von Raps in Deutschland, resultierend aus einer Anbaufläche von 760.000 ha [446] und einem Energieertrag von 17,8 MWh/ha/a [451]  . </v>
      </c>
      <c r="F466" s="1130"/>
      <c r="G466" s="1130"/>
      <c r="H466" s="1130"/>
      <c r="I466" s="1130"/>
      <c r="J466" s="1130"/>
      <c r="K466" s="1130"/>
      <c r="L466" s="1130"/>
      <c r="M466" s="1130"/>
      <c r="N466" s="1131"/>
      <c r="O466" s="869">
        <v>466</v>
      </c>
      <c r="P466" s="691" t="str">
        <f t="shared" ca="1" si="211"/>
        <v/>
      </c>
      <c r="Q466" s="692" t="str">
        <f t="shared" si="212"/>
        <v xml:space="preserve"> </v>
      </c>
      <c r="R466" s="852"/>
      <c r="S466" s="784"/>
      <c r="T466" s="864"/>
      <c r="U466" s="1023" t="str">
        <f>"Ein Anteil von "&amp;TEXT(AH466,"0")&amp;AI466&amp;" am Biodiesel bzw. Pflanzenöl-Aufkommen stammte 2016 aus dem Anbau von Raps in Deutschland, resultierend aus einer Anbaufläche von "&amp;TEXT(AD466,"0.000")&amp;AE466&amp;C446&amp;" und einem Energieertrag von "&amp;TEXT(AF466,"0,0")&amp;AG466&amp;C451&amp;"  . "</f>
        <v xml:space="preserve">Ein Anteil von 13490 GWh  am Biodiesel bzw. Pflanzenöl-Aufkommen stammte 2016 aus dem Anbau von Raps in Deutschland, resultierend aus einer Anbaufläche von 760.000 ha [446] und einem Energieertrag von 17,8 MWh/ha/a [451]  . </v>
      </c>
      <c r="V466" s="905" t="s">
        <v>126</v>
      </c>
      <c r="W466" s="1024"/>
      <c r="X466" s="672"/>
      <c r="Y466" s="672" t="s">
        <v>126</v>
      </c>
      <c r="Z466" s="1025"/>
      <c r="AA466" s="905"/>
      <c r="AB466" s="801"/>
      <c r="AC466" s="801"/>
      <c r="AD466" s="687">
        <f>W446</f>
        <v>760000</v>
      </c>
      <c r="AE466" s="801" t="s">
        <v>382</v>
      </c>
      <c r="AF466" s="687">
        <f>W451</f>
        <v>17.75</v>
      </c>
      <c r="AG466" s="801" t="s">
        <v>410</v>
      </c>
      <c r="AH466" s="801">
        <f>AD466*AF466/1000</f>
        <v>13490</v>
      </c>
      <c r="AI466" s="801" t="s">
        <v>384</v>
      </c>
      <c r="AJ466" s="801"/>
      <c r="AK466" s="801"/>
      <c r="AL466" s="801"/>
      <c r="AM466" s="801"/>
      <c r="AN466" s="801"/>
      <c r="AO466" s="801"/>
      <c r="AP466" s="801"/>
      <c r="AQ466" s="801"/>
      <c r="AR466" s="801"/>
      <c r="AS466" s="801"/>
      <c r="AT466" s="801"/>
      <c r="AU466" s="801"/>
      <c r="AV466" s="801"/>
      <c r="BF466" s="657"/>
      <c r="BI466" s="656" t="s">
        <v>126</v>
      </c>
      <c r="BJ466" s="666"/>
      <c r="BO466" s="656" t="s">
        <v>252</v>
      </c>
      <c r="CU466" s="663" t="str">
        <f t="shared" si="215"/>
        <v xml:space="preserve">Ein Anteil von 13490 GWh  am Biodiesel bzw. Pflanzenöl-Aufkommen stammte 2016 aus dem Anbau von Raps in Deutschland, resultierend aus einer Anbaufläche von 760.000 ha [446] und einem Energieertrag von 17,8 MWh/ha/a [451]  . </v>
      </c>
      <c r="CW466" s="663"/>
      <c r="DT466" s="671"/>
      <c r="EJ466" s="656" t="str">
        <f t="shared" si="213"/>
        <v/>
      </c>
      <c r="EK466" s="656" t="str">
        <f t="shared" ca="1" si="214"/>
        <v>[D_Python.xlsx]9.Quellen!C</v>
      </c>
      <c r="EV466" s="819">
        <f t="shared" si="218"/>
        <v>466</v>
      </c>
      <c r="EW466" s="819"/>
    </row>
    <row r="467" spans="1:153" s="661" customFormat="1" ht="4">
      <c r="A467" s="677" t="str">
        <f t="shared" ca="1" si="216"/>
        <v>D.1.467</v>
      </c>
      <c r="B467" s="677" t="str">
        <f t="shared" ca="1" si="217"/>
        <v>1.467</v>
      </c>
      <c r="C467" s="677" t="str">
        <f t="shared" si="195"/>
        <v>[467]</v>
      </c>
      <c r="D467" s="677">
        <f>ROW()</f>
        <v>467</v>
      </c>
      <c r="E467" s="680"/>
      <c r="F467" s="680"/>
      <c r="G467" s="680"/>
      <c r="H467" s="680"/>
      <c r="I467" s="679"/>
      <c r="J467" s="679"/>
      <c r="K467" s="679"/>
      <c r="L467" s="679"/>
      <c r="M467" s="679"/>
      <c r="N467" s="680"/>
      <c r="O467" s="871">
        <v>467</v>
      </c>
      <c r="P467" s="688"/>
      <c r="Q467" s="689"/>
      <c r="R467" s="888"/>
      <c r="S467" s="810"/>
      <c r="T467" s="882"/>
      <c r="AB467" s="675"/>
      <c r="AC467" s="675"/>
      <c r="AD467" s="675"/>
      <c r="AE467" s="675"/>
      <c r="AF467" s="675"/>
      <c r="AG467" s="675"/>
      <c r="AH467" s="675"/>
      <c r="AI467" s="675"/>
      <c r="AJ467" s="675"/>
      <c r="AK467" s="675"/>
      <c r="AL467" s="675"/>
      <c r="AM467" s="675"/>
      <c r="AN467" s="675"/>
      <c r="AO467" s="675"/>
      <c r="AP467" s="675"/>
      <c r="AQ467" s="675"/>
      <c r="AR467" s="675"/>
      <c r="AS467" s="675"/>
      <c r="AT467" s="675"/>
      <c r="AU467" s="675"/>
      <c r="AV467" s="675"/>
      <c r="BI467" s="661" t="s">
        <v>126</v>
      </c>
      <c r="BJ467" s="665"/>
      <c r="CU467" s="662"/>
      <c r="CW467" s="662"/>
      <c r="EV467" s="818" t="str">
        <f t="shared" si="218"/>
        <v/>
      </c>
      <c r="EW467" s="818"/>
    </row>
    <row r="468" spans="1:153" s="656" customFormat="1" ht="52">
      <c r="A468" s="654" t="str">
        <f t="shared" ca="1" si="216"/>
        <v>D.1.468</v>
      </c>
      <c r="B468" s="654" t="str">
        <f t="shared" ca="1" si="217"/>
        <v>1.468</v>
      </c>
      <c r="C468" s="654" t="str">
        <f t="shared" si="195"/>
        <v>[468]</v>
      </c>
      <c r="D468" s="654">
        <f>ROW()</f>
        <v>468</v>
      </c>
      <c r="E468" s="1125" t="str">
        <f t="shared" ref="E468" si="219">CU468</f>
        <v>- ZIEL-Ansatz: Ein Import von Pflanzenölprodukten für energetische Zwecke ist nicht vorgesehen, übereinstimmend mit der Leitstudie [469] und THGND [470]. Vor dem Hintergrund gravierender globaler Probleme erscheint die Inanspruchnahme von Anbauflächen im Ausland nicht sinnvoll: Welthungerproblem in Verbindung mit globalem Bevölkerungswachstum und Wüstenbildung, Verluste tropischer Wälder, Bodenschädigung durch Palmölplantagen.</v>
      </c>
      <c r="F468" s="1125"/>
      <c r="G468" s="1125"/>
      <c r="H468" s="1125"/>
      <c r="I468" s="1125"/>
      <c r="J468" s="1125"/>
      <c r="K468" s="1125"/>
      <c r="L468" s="1125"/>
      <c r="M468" s="1125"/>
      <c r="N468" s="1132"/>
      <c r="O468" s="869">
        <v>468</v>
      </c>
      <c r="P468" s="691" t="str">
        <f ca="1">HYPERLINK(EK468,EJ468)</f>
        <v/>
      </c>
      <c r="Q468" s="692" t="str">
        <f>Y468</f>
        <v xml:space="preserve"> </v>
      </c>
      <c r="R468" s="852"/>
      <c r="S468" s="811"/>
      <c r="T468" s="864"/>
      <c r="U468" s="1023" t="str">
        <f>"Ein Import von Pflanzenölprodukten für energetische Zwecke ist nicht vorgesehen, übereinstimmend mit der Leitstudie "&amp;C469&amp;" und THGND "&amp;C470&amp;". Vor dem Hintergrund gravierender globaler Probleme erscheint die Inanspruchnahme von Anbauflächen im Ausland nicht sinnvoll: "&amp;"Welthungerproblem in Verbindung mit globalem Bevölkerungswachstum und Wüstenbildung, Verluste tropischer Wälder, Bodenschädigung durch Palmölplantagen."</f>
        <v>Ein Import von Pflanzenölprodukten für energetische Zwecke ist nicht vorgesehen, übereinstimmend mit der Leitstudie [469] und THGND [470]. Vor dem Hintergrund gravierender globaler Probleme erscheint die Inanspruchnahme von Anbauflächen im Ausland nicht sinnvoll: Welthungerproblem in Verbindung mit globalem Bevölkerungswachstum und Wüstenbildung, Verluste tropischer Wälder, Bodenschädigung durch Palmölplantagen.</v>
      </c>
      <c r="V468" s="905" t="s">
        <v>126</v>
      </c>
      <c r="W468" s="1024"/>
      <c r="X468" s="672"/>
      <c r="Y468" s="672" t="s">
        <v>126</v>
      </c>
      <c r="Z468" s="1025"/>
      <c r="AA468" s="905"/>
      <c r="AB468" s="801"/>
      <c r="AC468" s="801"/>
      <c r="AD468" s="801"/>
      <c r="AE468" s="801"/>
      <c r="AF468" s="801"/>
      <c r="AG468" s="801"/>
      <c r="AH468" s="801"/>
      <c r="AI468" s="801"/>
      <c r="AJ468" s="801"/>
      <c r="AK468" s="801"/>
      <c r="AL468" s="801"/>
      <c r="AM468" s="801"/>
      <c r="AN468" s="801"/>
      <c r="AO468" s="801"/>
      <c r="AP468" s="801"/>
      <c r="AQ468" s="801"/>
      <c r="AR468" s="801"/>
      <c r="AS468" s="801"/>
      <c r="AT468" s="801"/>
      <c r="AU468" s="801"/>
      <c r="AV468" s="801"/>
      <c r="BF468" s="657"/>
      <c r="BI468" s="656" t="s">
        <v>126</v>
      </c>
      <c r="BJ468" s="666"/>
      <c r="BO468" s="656" t="s">
        <v>259</v>
      </c>
      <c r="CU468" s="663" t="str">
        <f>CH$1&amp;IF(U468="",BF468,U468)</f>
        <v>- ZIEL-Ansatz: Ein Import von Pflanzenölprodukten für energetische Zwecke ist nicht vorgesehen, übereinstimmend mit der Leitstudie [469] und THGND [470]. Vor dem Hintergrund gravierender globaler Probleme erscheint die Inanspruchnahme von Anbauflächen im Ausland nicht sinnvoll: Welthungerproblem in Verbindung mit globalem Bevölkerungswachstum und Wüstenbildung, Verluste tropischer Wälder, Bodenschädigung durch Palmölplantagen.</v>
      </c>
      <c r="CW468" s="663"/>
      <c r="DT468" s="671">
        <v>53</v>
      </c>
      <c r="EJ468" s="656" t="str">
        <f>IF(X468=0,"",EJ$1&amp;X468)</f>
        <v/>
      </c>
      <c r="EK468" s="656" t="str">
        <f ca="1">EK$1&amp;X468</f>
        <v>[D_Python.xlsx]9.Quellen!C</v>
      </c>
      <c r="EV468" s="819">
        <f t="shared" si="218"/>
        <v>468</v>
      </c>
      <c r="EW468" s="819"/>
    </row>
    <row r="469" spans="1:153" s="656" customFormat="1" ht="39">
      <c r="A469" s="654" t="str">
        <f t="shared" ca="1" si="216"/>
        <v>D.1.469</v>
      </c>
      <c r="B469" s="654" t="str">
        <f t="shared" ca="1" si="217"/>
        <v>1.469</v>
      </c>
      <c r="C469" s="654" t="str">
        <f>CE$1&amp;D469&amp;CF$1</f>
        <v>[469]</v>
      </c>
      <c r="D469" s="654">
        <f>ROW()</f>
        <v>469</v>
      </c>
      <c r="E469" s="1125" t="str">
        <f ca="1">CU469</f>
        <v>Leitstudie 2011 [9.60], S. 6: "Da das nachhaltig nutzbare globale Biomassepotenzial auf nur etwa 100 EJ geschätzt wird, stellt ein deutlicher Biomasseimport keine nachhaltige Strategie dar. Es werden daher in dieser Studie keine (Netto-)Importe an energetisch genutzter Biomasse angenommen."</v>
      </c>
      <c r="F469" s="1125"/>
      <c r="G469" s="1125"/>
      <c r="H469" s="1125"/>
      <c r="I469" s="1125"/>
      <c r="J469" s="1125"/>
      <c r="K469" s="1125"/>
      <c r="L469" s="1125"/>
      <c r="M469" s="1125"/>
      <c r="N469" s="1132"/>
      <c r="O469" s="869">
        <v>469</v>
      </c>
      <c r="P469" s="691" t="str">
        <f ca="1">HYPERLINK(EK469,EJ469)</f>
        <v>9.60</v>
      </c>
      <c r="Q469" s="692" t="str">
        <f>Y469</f>
        <v>S. 6</v>
      </c>
      <c r="R469" s="852"/>
      <c r="S469" s="784"/>
      <c r="T469" s="864"/>
      <c r="U469" s="1023" t="str">
        <f ca="1">"Leitstudie 2011 ["&amp;P469&amp;"], "&amp;Q469&amp;": ""Da das nachhaltig nutzbare globale Biomassepotenzial auf nur etwa 100 EJ geschätzt wird, stellt ein deutlicher Biomasseimport keine nachhaltige Strategie dar. "&amp;"Es werden daher in dieser Studie keine (Netto-)Importe an energetisch genutzter Biomasse angenommen."""</f>
        <v>Leitstudie 2011 [9.60], S. 6: "Da das nachhaltig nutzbare globale Biomassepotenzial auf nur etwa 100 EJ geschätzt wird, stellt ein deutlicher Biomasseimport keine nachhaltige Strategie dar. Es werden daher in dieser Studie keine (Netto-)Importe an energetisch genutzter Biomasse angenommen."</v>
      </c>
      <c r="V469" s="905" t="s">
        <v>126</v>
      </c>
      <c r="W469" s="1025"/>
      <c r="X469" s="672">
        <f>'9.Quellen'!C60</f>
        <v>60</v>
      </c>
      <c r="Y469" s="672" t="s">
        <v>741</v>
      </c>
      <c r="Z469" s="1025"/>
      <c r="AA469" s="905"/>
      <c r="AB469" s="801"/>
      <c r="AC469" s="801"/>
      <c r="AD469" s="801">
        <v>4.2</v>
      </c>
      <c r="AE469" s="801" t="s">
        <v>743</v>
      </c>
      <c r="AF469" s="801">
        <v>18.7</v>
      </c>
      <c r="AG469" s="801" t="s">
        <v>743</v>
      </c>
      <c r="AH469" s="687">
        <f>AD469/AF469%</f>
        <v>22.459893048128343</v>
      </c>
      <c r="AI469" s="801" t="s">
        <v>835</v>
      </c>
      <c r="AJ469" s="801"/>
      <c r="AK469" s="801"/>
      <c r="AL469" s="801"/>
      <c r="AM469" s="801"/>
      <c r="AN469" s="801"/>
      <c r="AO469" s="801"/>
      <c r="AP469" s="801"/>
      <c r="AQ469" s="801"/>
      <c r="AR469" s="801"/>
      <c r="AS469" s="801"/>
      <c r="AT469" s="801"/>
      <c r="AU469" s="801"/>
      <c r="AV469" s="801"/>
      <c r="BF469" s="657" t="s">
        <v>126</v>
      </c>
      <c r="BI469" s="656" t="s">
        <v>126</v>
      </c>
      <c r="BJ469" s="666"/>
      <c r="BO469" s="656" t="s">
        <v>259</v>
      </c>
      <c r="BQ469" s="678" t="s">
        <v>271</v>
      </c>
      <c r="CU469" s="663" t="str">
        <f ca="1">IF(U469="",BF469,U469)</f>
        <v>Leitstudie 2011 [9.60], S. 6: "Da das nachhaltig nutzbare globale Biomassepotenzial auf nur etwa 100 EJ geschätzt wird, stellt ein deutlicher Biomasseimport keine nachhaltige Strategie dar. Es werden daher in dieser Studie keine (Netto-)Importe an energetisch genutzter Biomasse angenommen."</v>
      </c>
      <c r="CW469" s="663"/>
      <c r="EJ469" s="656" t="str">
        <f ca="1">IF(X469=0,"",EJ$1&amp;X469)</f>
        <v>9.60</v>
      </c>
      <c r="EK469" s="656" t="str">
        <f ca="1">EK$1&amp;X469</f>
        <v>[D_Python.xlsx]9.Quellen!C60</v>
      </c>
      <c r="EV469" s="819">
        <f t="shared" ca="1" si="218"/>
        <v>469</v>
      </c>
      <c r="EW469" s="819"/>
    </row>
    <row r="470" spans="1:153" s="656" customFormat="1" ht="78">
      <c r="A470" s="654" t="str">
        <f t="shared" ca="1" si="216"/>
        <v>D.1.470</v>
      </c>
      <c r="B470" s="654" t="str">
        <f t="shared" ca="1" si="217"/>
        <v>1.470</v>
      </c>
      <c r="C470" s="654" t="str">
        <f>CE$1&amp;D470&amp;CF$1</f>
        <v>[470]</v>
      </c>
      <c r="D470" s="654">
        <f>ROW()</f>
        <v>470</v>
      </c>
      <c r="E470" s="1125" t="str">
        <f ca="1">CU470</f>
        <v>"Treibhausgasneutrales Deutschland 2050" [9.249], S. 44, 70: "Das Umweltbundesamt steht dem Anbau von Biomasse eigens zur energetischen Nutzung kritsich gegenüber, unter anderem aufgrund der zunehmenden Konkurrenz um fruchtbare Anbauflächen, der unverhältnismäßig hohen Flächenintensität der Energiegewinnung aus Anbaubiomasse im Vergleich mit anderen erneuerbaren Energiequellen und der sozioökonomisch problematischen Verknüpfung mit den Lebensmittelpreisen am Weltmarkt." Auch ein Import von flüssigen Biobrennstoffen ist in der Studie nicht vorgesehen.</v>
      </c>
      <c r="F470" s="1125"/>
      <c r="G470" s="1125"/>
      <c r="H470" s="1125"/>
      <c r="I470" s="1125"/>
      <c r="J470" s="1125"/>
      <c r="K470" s="1125"/>
      <c r="L470" s="1125"/>
      <c r="M470" s="1125"/>
      <c r="N470" s="1132"/>
      <c r="O470" s="869">
        <v>470</v>
      </c>
      <c r="P470" s="691" t="str">
        <f ca="1">HYPERLINK(EK470,EJ470)</f>
        <v>9.249</v>
      </c>
      <c r="Q470" s="692" t="str">
        <f>Y470</f>
        <v>S. 44, 70</v>
      </c>
      <c r="R470" s="852"/>
      <c r="S470" s="784"/>
      <c r="T470" s="864"/>
      <c r="U470" s="1023" t="str">
        <f ca="1">"""Treibhausgasneutrales Deutschland 2050"" ["&amp;P470&amp;"], "&amp;Q470&amp;": ""Das Umweltbundesamt steht dem Anbau von Biomasse eigens zur energetischen Nutzung kritsich gegenüber, unter anderem aufgrund der zunehmenden Konkurrenz um fruchtbare Anbauflächen, "&amp;"der unverhältnismäßig hohen Flächenintensität der Energiegewinnung aus Anbaubiomasse im Vergleich mit anderen erneuerbaren Energiequellen und der sozioökonomisch problematischen Verknüpfung mit den Lebensmittelpreisen am Weltmarkt."" "&amp;"Auch ein Import von flüssigen Biobrennstoffen ist in der Studie nicht vorgesehen."</f>
        <v>"Treibhausgasneutrales Deutschland 2050" [9.249], S. 44, 70: "Das Umweltbundesamt steht dem Anbau von Biomasse eigens zur energetischen Nutzung kritsich gegenüber, unter anderem aufgrund der zunehmenden Konkurrenz um fruchtbare Anbauflächen, der unverhältnismäßig hohen Flächenintensität der Energiegewinnung aus Anbaubiomasse im Vergleich mit anderen erneuerbaren Energiequellen und der sozioökonomisch problematischen Verknüpfung mit den Lebensmittelpreisen am Weltmarkt." Auch ein Import von flüssigen Biobrennstoffen ist in der Studie nicht vorgesehen.</v>
      </c>
      <c r="V470" s="905" t="s">
        <v>126</v>
      </c>
      <c r="W470" s="1025"/>
      <c r="X470" s="672">
        <f>'9.Quellen'!C$249</f>
        <v>249</v>
      </c>
      <c r="Y470" s="672" t="s">
        <v>744</v>
      </c>
      <c r="Z470" s="1025"/>
      <c r="AA470" s="905"/>
      <c r="AB470" s="801"/>
      <c r="AC470" s="801"/>
      <c r="AD470" s="687"/>
      <c r="AE470" s="801"/>
      <c r="AF470" s="801"/>
      <c r="AG470" s="801"/>
      <c r="AH470" s="687"/>
      <c r="AI470" s="801"/>
      <c r="AJ470" s="801"/>
      <c r="AK470" s="801"/>
      <c r="AL470" s="801"/>
      <c r="AM470" s="801"/>
      <c r="AN470" s="801"/>
      <c r="AO470" s="801"/>
      <c r="AP470" s="801"/>
      <c r="AQ470" s="801"/>
      <c r="AR470" s="801"/>
      <c r="AS470" s="801"/>
      <c r="AT470" s="801"/>
      <c r="AU470" s="801"/>
      <c r="AV470" s="801"/>
      <c r="BF470" s="657" t="s">
        <v>126</v>
      </c>
      <c r="BI470" s="656" t="s">
        <v>126</v>
      </c>
      <c r="BJ470" s="666"/>
      <c r="BO470" s="656" t="s">
        <v>259</v>
      </c>
      <c r="BQ470" s="678" t="s">
        <v>271</v>
      </c>
      <c r="CU470" s="663" t="str">
        <f ca="1">IF(U470="",BF470,U470)</f>
        <v>"Treibhausgasneutrales Deutschland 2050" [9.249], S. 44, 70: "Das Umweltbundesamt steht dem Anbau von Biomasse eigens zur energetischen Nutzung kritsich gegenüber, unter anderem aufgrund der zunehmenden Konkurrenz um fruchtbare Anbauflächen, der unverhältnismäßig hohen Flächenintensität der Energiegewinnung aus Anbaubiomasse im Vergleich mit anderen erneuerbaren Energiequellen und der sozioökonomisch problematischen Verknüpfung mit den Lebensmittelpreisen am Weltmarkt." Auch ein Import von flüssigen Biobrennstoffen ist in der Studie nicht vorgesehen.</v>
      </c>
      <c r="CW470" s="663"/>
      <c r="EJ470" s="656" t="str">
        <f ca="1">IF(X470=0,"",EJ$1&amp;X470)</f>
        <v>9.249</v>
      </c>
      <c r="EK470" s="656" t="str">
        <f ca="1">EK$1&amp;X470</f>
        <v>[D_Python.xlsx]9.Quellen!C249</v>
      </c>
      <c r="EV470" s="819">
        <f t="shared" ca="1" si="218"/>
        <v>470</v>
      </c>
      <c r="EW470" s="819"/>
    </row>
    <row r="471" spans="1:153" s="661" customFormat="1" ht="4">
      <c r="A471" s="677" t="str">
        <f t="shared" ca="1" si="216"/>
        <v>D.1.471</v>
      </c>
      <c r="B471" s="677" t="str">
        <f t="shared" ca="1" si="217"/>
        <v>1.471</v>
      </c>
      <c r="C471" s="677" t="str">
        <f t="shared" si="195"/>
        <v>[471]</v>
      </c>
      <c r="D471" s="677">
        <f>ROW()</f>
        <v>471</v>
      </c>
      <c r="E471" s="685"/>
      <c r="F471" s="685"/>
      <c r="G471" s="685"/>
      <c r="H471" s="685"/>
      <c r="I471" s="686"/>
      <c r="J471" s="686"/>
      <c r="K471" s="686"/>
      <c r="L471" s="686"/>
      <c r="M471" s="686"/>
      <c r="N471" s="685"/>
      <c r="O471" s="871">
        <v>471</v>
      </c>
      <c r="P471" s="693"/>
      <c r="Q471" s="694"/>
      <c r="R471" s="888"/>
      <c r="S471" s="812"/>
      <c r="T471" s="882"/>
      <c r="AB471" s="675"/>
      <c r="AC471" s="675"/>
      <c r="AD471" s="675"/>
      <c r="AE471" s="675"/>
      <c r="AF471" s="675"/>
      <c r="AG471" s="675"/>
      <c r="AH471" s="675"/>
      <c r="AI471" s="675"/>
      <c r="AJ471" s="675"/>
      <c r="AK471" s="675"/>
      <c r="AL471" s="675"/>
      <c r="AM471" s="675"/>
      <c r="AN471" s="675"/>
      <c r="AO471" s="675"/>
      <c r="AP471" s="675"/>
      <c r="AQ471" s="675"/>
      <c r="AR471" s="675"/>
      <c r="AS471" s="675"/>
      <c r="AT471" s="675"/>
      <c r="AU471" s="675"/>
      <c r="AV471" s="675"/>
      <c r="AZ471" s="669"/>
      <c r="BB471" s="669"/>
      <c r="BI471" s="661" t="s">
        <v>126</v>
      </c>
      <c r="BJ471" s="665"/>
      <c r="CU471" s="662"/>
      <c r="CW471" s="662"/>
      <c r="EV471" s="818" t="str">
        <f t="shared" si="218"/>
        <v/>
      </c>
      <c r="EW471" s="818"/>
    </row>
    <row r="472" spans="1:153" s="475" customFormat="1" ht="13.5" customHeight="1">
      <c r="A472" s="654" t="str">
        <f t="shared" ca="1" si="216"/>
        <v>D.1.472</v>
      </c>
      <c r="B472" s="654" t="str">
        <f t="shared" ca="1" si="217"/>
        <v>1.472</v>
      </c>
      <c r="C472" s="654" t="str">
        <f t="shared" si="195"/>
        <v>[472]</v>
      </c>
      <c r="D472" s="654">
        <f>ROW()</f>
        <v>472</v>
      </c>
      <c r="E472" s="1129" t="str">
        <f>BP472</f>
        <v>Biodiesel - Anteil für Mobile Anwendungen</v>
      </c>
      <c r="F472" s="1129"/>
      <c r="G472" s="1129"/>
      <c r="H472" s="1129"/>
      <c r="I472" s="1129"/>
      <c r="J472" s="471" t="s">
        <v>38</v>
      </c>
      <c r="K472" s="557">
        <f ca="1">INDIRECT($W$1&amp;U472)</f>
        <v>95.514388336100012</v>
      </c>
      <c r="L472" s="485" t="str">
        <f ca="1">HYPERLINK($CK$1&amp;U472,$CE$1&amp;U472&amp;$CF$1)</f>
        <v>[473]</v>
      </c>
      <c r="M472" s="558">
        <f ca="1">INDIRECT($W$1&amp;W472)</f>
        <v>100</v>
      </c>
      <c r="N472" s="533" t="str">
        <f ca="1">HYPERLINK($CK$1&amp;W472,$CE$1&amp;W472&amp;$CF$1)</f>
        <v>[475]</v>
      </c>
      <c r="O472" s="869">
        <v>472</v>
      </c>
      <c r="P472" s="570"/>
      <c r="Q472" s="583"/>
      <c r="R472" s="852"/>
      <c r="S472" s="811"/>
      <c r="T472" s="864"/>
      <c r="U472" s="672">
        <f>D473</f>
        <v>473</v>
      </c>
      <c r="V472" s="905" t="s">
        <v>126</v>
      </c>
      <c r="W472" s="672">
        <f>D475</f>
        <v>475</v>
      </c>
      <c r="X472" s="658"/>
      <c r="Y472" s="658"/>
      <c r="Z472" s="658"/>
      <c r="AA472" s="658"/>
      <c r="AB472" s="801"/>
      <c r="AC472" s="801"/>
      <c r="AD472" s="674"/>
      <c r="AE472" s="674"/>
      <c r="AF472" s="674"/>
      <c r="AG472" s="674"/>
      <c r="AH472" s="674"/>
      <c r="AI472" s="674"/>
      <c r="AJ472" s="674"/>
      <c r="AK472" s="674"/>
      <c r="AL472" s="674"/>
      <c r="AM472" s="674"/>
      <c r="AN472" s="674"/>
      <c r="AO472" s="674"/>
      <c r="AP472" s="674"/>
      <c r="AQ472" s="674"/>
      <c r="AR472" s="674"/>
      <c r="AS472" s="674"/>
      <c r="AT472" s="674"/>
      <c r="AU472" s="674"/>
      <c r="AV472" s="674"/>
      <c r="AX472" s="475" t="s">
        <v>244</v>
      </c>
      <c r="AY472" s="500">
        <f ca="1">DA472</f>
        <v>172.54432197590052</v>
      </c>
      <c r="AZ472" s="508" t="str">
        <f ca="1">HYPERLINK(DN472,DC472)</f>
        <v xml:space="preserve"> 349</v>
      </c>
      <c r="BA472" s="500">
        <f ca="1">DB472</f>
        <v>100</v>
      </c>
      <c r="BB472" s="508" t="str">
        <f ca="1">HYPERLINK(DO472,DD472)</f>
        <v xml:space="preserve"> 350</v>
      </c>
      <c r="BC472" s="475" t="str">
        <f ca="1">CY472&amp;" | "&amp;CZ472</f>
        <v>Ölmühle | 1.1 Nutz-Anteil Pflanzenöl direkt  = Anteil an der Ölpflanzen-Anbaufläche</v>
      </c>
      <c r="BI472" s="475" t="s">
        <v>126</v>
      </c>
      <c r="BJ472" s="492" t="str">
        <f>E472</f>
        <v>Biodiesel - Anteil für Mobile Anwendungen</v>
      </c>
      <c r="BK472" s="486">
        <f ca="1">K472</f>
        <v>95.514388336100012</v>
      </c>
      <c r="BL472" s="486">
        <f ca="1">M472</f>
        <v>100</v>
      </c>
      <c r="BM472" s="472">
        <f>D472</f>
        <v>472</v>
      </c>
      <c r="BN472" s="658"/>
      <c r="BO472" s="475" t="s">
        <v>251</v>
      </c>
      <c r="BP472" s="521" t="s">
        <v>555</v>
      </c>
      <c r="CU472" s="476"/>
      <c r="CV472" s="658"/>
      <c r="CW472" s="518">
        <v>91</v>
      </c>
      <c r="CY472" s="472" t="str">
        <f t="shared" ref="CY472:DO472" ca="1" si="220">INDIRECT($CX$1&amp;CY$1&amp;$CW472)</f>
        <v>Ölmühle</v>
      </c>
      <c r="CZ472" s="472" t="str">
        <f t="shared" ca="1" si="220"/>
        <v>1.1 Nutz-Anteil Pflanzenöl direkt  = Anteil an der Ölpflanzen-Anbaufläche</v>
      </c>
      <c r="DA472" s="472">
        <f t="shared" ca="1" si="220"/>
        <v>172.54432197590052</v>
      </c>
      <c r="DB472" s="472">
        <f t="shared" ca="1" si="220"/>
        <v>100</v>
      </c>
      <c r="DC472" s="472" t="str">
        <f t="shared" ca="1" si="220"/>
        <v xml:space="preserve"> 349</v>
      </c>
      <c r="DD472" s="472" t="str">
        <f t="shared" ca="1" si="220"/>
        <v xml:space="preserve"> 350</v>
      </c>
      <c r="DE472" s="472" t="str">
        <f t="shared" ca="1" si="220"/>
        <v>EP101</v>
      </c>
      <c r="DF472" s="472" t="str">
        <f t="shared" ca="1" si="220"/>
        <v>EP101</v>
      </c>
      <c r="DG472" s="472" t="str">
        <f t="shared" ca="1" si="220"/>
        <v>EP</v>
      </c>
      <c r="DH472" s="472" t="str">
        <f t="shared" ca="1" si="220"/>
        <v>101</v>
      </c>
      <c r="DI472" s="472" t="str">
        <f t="shared" ca="1" si="220"/>
        <v>[EP.xls]TEXT!Z101S5</v>
      </c>
      <c r="DJ472" s="472" t="str">
        <f t="shared" ca="1" si="220"/>
        <v>EP</v>
      </c>
      <c r="DK472" s="472" t="str">
        <f t="shared" ca="1" si="220"/>
        <v>101</v>
      </c>
      <c r="DL472" s="472" t="str">
        <f t="shared" ca="1" si="220"/>
        <v>[EP.xls]TEXT!Z101S5</v>
      </c>
      <c r="DM472" s="472">
        <f t="shared" ca="1" si="220"/>
        <v>91</v>
      </c>
      <c r="DN472" s="472" t="str">
        <f t="shared" ca="1" si="220"/>
        <v>[Region.xls]PARAMETER!Z349S6</v>
      </c>
      <c r="DO472" s="472" t="str">
        <f t="shared" ca="1" si="220"/>
        <v>[Region.xls]PARAMETER!Z350S6</v>
      </c>
      <c r="DP472" s="472"/>
      <c r="DS472" s="656"/>
      <c r="DV472" s="472"/>
      <c r="DW472" s="472"/>
      <c r="DX472" s="472"/>
      <c r="DY472" s="472"/>
      <c r="DZ472" s="472"/>
      <c r="EA472" s="472"/>
      <c r="EB472" s="472"/>
      <c r="EC472" s="472"/>
      <c r="ED472" s="472"/>
      <c r="EE472" s="472"/>
      <c r="EF472" s="472"/>
      <c r="EG472" s="472"/>
      <c r="EH472" s="472"/>
      <c r="EI472" s="472"/>
      <c r="EJ472" s="472"/>
      <c r="EK472" s="472"/>
      <c r="EV472" s="819">
        <f t="shared" si="218"/>
        <v>472</v>
      </c>
      <c r="EW472" s="819"/>
    </row>
    <row r="473" spans="1:153" s="472" customFormat="1" ht="39">
      <c r="A473" s="654" t="str">
        <f t="shared" ca="1" si="216"/>
        <v>D.1.473</v>
      </c>
      <c r="B473" s="654" t="str">
        <f t="shared" ca="1" si="217"/>
        <v>1.473</v>
      </c>
      <c r="C473" s="654" t="str">
        <f t="shared" si="195"/>
        <v>[473]</v>
      </c>
      <c r="D473" s="654">
        <f>ROW()</f>
        <v>473</v>
      </c>
      <c r="E473" s="1130" t="str">
        <f ca="1">CU473</f>
        <v xml:space="preserve">- STATUS-Ansatz: Resultiert nach dem Verusacher- bzw. Solidarprinzip aus dem Verhältnis des deutschen Biodiesel- und Pflanzenöl-Verbrauchs im Verkehrssektor von 20.915 GWh [462] plus Landwirtschaft von 1.525 GWh [464]  zum Gesamtverbrauch von  23.494 GWh [461]. </v>
      </c>
      <c r="F473" s="1130"/>
      <c r="G473" s="1130"/>
      <c r="H473" s="1130"/>
      <c r="I473" s="1130"/>
      <c r="J473" s="1130"/>
      <c r="K473" s="1130"/>
      <c r="L473" s="1130"/>
      <c r="M473" s="1130"/>
      <c r="N473" s="1131"/>
      <c r="O473" s="869">
        <v>473</v>
      </c>
      <c r="P473" s="573" t="str">
        <f ca="1">HYPERLINK(EK473,EJ473)</f>
        <v/>
      </c>
      <c r="Q473" s="574" t="str">
        <f>Y473</f>
        <v xml:space="preserve"> </v>
      </c>
      <c r="R473" s="852"/>
      <c r="S473" s="811"/>
      <c r="T473" s="864"/>
      <c r="U473" s="1023" t="str">
        <f ca="1">"Resultiert nach dem Verusacher- bzw. Solidarprinzip aus dem Verhältnis des deutschen Biodiesel- und Pflanzenöl-Verbrauchs im Verkehrssektor von "&amp;TEXT(AD473,"0.000")&amp;AE473&amp;C462&amp;" plus Landwirtschaft von "&amp;TEXT(AF473,"0.000")&amp;AG473&amp;C464&amp;"  zum Gesamtverbrauch von  "&amp;TEXT(AJ473,"0.000")&amp;AE473&amp;C$461&amp;". "</f>
        <v xml:space="preserve">Resultiert nach dem Verusacher- bzw. Solidarprinzip aus dem Verhältnis des deutschen Biodiesel- und Pflanzenöl-Verbrauchs im Verkehrssektor von 20.915 GWh [462] plus Landwirtschaft von 1.525 GWh [464]  zum Gesamtverbrauch von  23.494 GWh [461]. </v>
      </c>
      <c r="V473" s="905" t="s">
        <v>126</v>
      </c>
      <c r="W473" s="1034">
        <f ca="1">AL473</f>
        <v>95.514388336100012</v>
      </c>
      <c r="X473" s="672"/>
      <c r="Y473" s="672" t="s">
        <v>126</v>
      </c>
      <c r="Z473" s="1025"/>
      <c r="AA473" s="658"/>
      <c r="AB473" s="801"/>
      <c r="AC473" s="801"/>
      <c r="AD473" s="801">
        <f>AH462</f>
        <v>20915</v>
      </c>
      <c r="AE473" s="801" t="str">
        <f>AI462</f>
        <v xml:space="preserve"> GWh </v>
      </c>
      <c r="AF473" s="801">
        <f ca="1">AH464</f>
        <v>1525.0769230769231</v>
      </c>
      <c r="AG473" s="801" t="str">
        <f>AI464</f>
        <v xml:space="preserve"> GWh </v>
      </c>
      <c r="AH473" s="801">
        <f ca="1">AD473+AF473</f>
        <v>22440.076923076922</v>
      </c>
      <c r="AI473" s="801" t="s">
        <v>384</v>
      </c>
      <c r="AJ473" s="687">
        <f ca="1">AJ$461</f>
        <v>23493.923076923074</v>
      </c>
      <c r="AK473" s="687" t="str">
        <f>AK461</f>
        <v xml:space="preserve"> GWh </v>
      </c>
      <c r="AL473" s="801">
        <f ca="1">AH473/AJ473%</f>
        <v>95.514388336100012</v>
      </c>
      <c r="AM473" s="801"/>
      <c r="AN473" s="801"/>
      <c r="AO473" s="801"/>
      <c r="AP473" s="801"/>
      <c r="AQ473" s="801"/>
      <c r="AR473" s="801"/>
      <c r="AS473" s="801"/>
      <c r="AT473" s="801"/>
      <c r="AU473" s="801"/>
      <c r="AV473" s="801"/>
      <c r="BF473" s="473"/>
      <c r="BI473" s="472" t="s">
        <v>126</v>
      </c>
      <c r="BJ473" s="490"/>
      <c r="BN473" s="656"/>
      <c r="BO473" s="472" t="s">
        <v>259</v>
      </c>
      <c r="CU473" s="480" t="str">
        <f ca="1">CG$1&amp;IF(U473="",BF473,U473)</f>
        <v xml:space="preserve">- STATUS-Ansatz: Resultiert nach dem Verusacher- bzw. Solidarprinzip aus dem Verhältnis des deutschen Biodiesel- und Pflanzenöl-Verbrauchs im Verkehrssektor von 20.915 GWh [462] plus Landwirtschaft von 1.525 GWh [464]  zum Gesamtverbrauch von  23.494 GWh [461]. </v>
      </c>
      <c r="CV473" s="656"/>
      <c r="CW473" s="480"/>
      <c r="DS473" s="656"/>
      <c r="DT473" s="518">
        <f>I_Basisdaten!A181</f>
        <v>181</v>
      </c>
      <c r="EJ473" s="472" t="str">
        <f>IF(X473=0,"",EJ$1&amp;X473)</f>
        <v/>
      </c>
      <c r="EK473" s="472" t="str">
        <f ca="1">EK$1&amp;X473</f>
        <v>[D_Python.xlsx]9.Quellen!C</v>
      </c>
      <c r="EV473" s="819">
        <f t="shared" ca="1" si="218"/>
        <v>473</v>
      </c>
      <c r="EW473" s="819"/>
    </row>
    <row r="474" spans="1:153" s="661" customFormat="1" ht="4">
      <c r="A474" s="677" t="str">
        <f t="shared" ca="1" si="216"/>
        <v>D.1.474</v>
      </c>
      <c r="B474" s="677" t="str">
        <f t="shared" ca="1" si="217"/>
        <v>1.474</v>
      </c>
      <c r="C474" s="677" t="str">
        <f t="shared" si="195"/>
        <v>[474]</v>
      </c>
      <c r="D474" s="677">
        <f>ROW()</f>
        <v>474</v>
      </c>
      <c r="E474" s="680"/>
      <c r="F474" s="680"/>
      <c r="G474" s="680"/>
      <c r="H474" s="680"/>
      <c r="I474" s="679"/>
      <c r="J474" s="679"/>
      <c r="K474" s="679"/>
      <c r="L474" s="679"/>
      <c r="M474" s="679"/>
      <c r="N474" s="680"/>
      <c r="O474" s="871">
        <v>474</v>
      </c>
      <c r="P474" s="688"/>
      <c r="Q474" s="689"/>
      <c r="R474" s="888"/>
      <c r="S474" s="812"/>
      <c r="T474" s="882"/>
      <c r="AB474" s="675"/>
      <c r="AC474" s="675"/>
      <c r="AD474" s="675"/>
      <c r="AE474" s="675"/>
      <c r="AF474" s="675"/>
      <c r="AG474" s="675"/>
      <c r="AH474" s="675"/>
      <c r="AI474" s="675"/>
      <c r="AJ474" s="675"/>
      <c r="AK474" s="675"/>
      <c r="AL474" s="675"/>
      <c r="AM474" s="675"/>
      <c r="AN474" s="675"/>
      <c r="AO474" s="675"/>
      <c r="AP474" s="675"/>
      <c r="AQ474" s="675"/>
      <c r="AR474" s="675"/>
      <c r="AS474" s="675"/>
      <c r="AT474" s="675"/>
      <c r="AU474" s="675"/>
      <c r="AV474" s="675"/>
      <c r="BI474" s="661" t="s">
        <v>126</v>
      </c>
      <c r="BJ474" s="665"/>
      <c r="CU474" s="662"/>
      <c r="CW474" s="662"/>
      <c r="EV474" s="818" t="str">
        <f t="shared" si="218"/>
        <v/>
      </c>
      <c r="EW474" s="818"/>
    </row>
    <row r="475" spans="1:153" s="472" customFormat="1" ht="65">
      <c r="A475" s="654" t="str">
        <f t="shared" ca="1" si="216"/>
        <v>D.1.475</v>
      </c>
      <c r="B475" s="654" t="str">
        <f t="shared" ca="1" si="217"/>
        <v>1.475</v>
      </c>
      <c r="C475" s="654" t="str">
        <f t="shared" si="195"/>
        <v>[475]</v>
      </c>
      <c r="D475" s="654">
        <f>ROW()</f>
        <v>475</v>
      </c>
      <c r="E475" s="1125" t="str">
        <f t="shared" ref="E475" si="221">CU475</f>
        <v xml:space="preserve">- ZIEL-Ansatz: Biodiesel bzw. Pflanzenöl ist vorrangig als Kraftstoff für die Landwirtschaft und andere Mobile Anwendungen vorgesehen, da hier die Substitution der fossilen Kraftstoffe besonders anspruchsvoll ist. Dies trifft besonders auf den Luftverkehr zu, der wegen fehlender Elektrifizierungs-Möglichkeit wohl weitgehend auf Kraftstoffe - und hier aus verschiedenen Gründen (Platzbedarf, Handhabbarkeit, Sicherheit, Wandlungsverluste synthetischen Wasserstoffs) auf Kohlenwasserstoffe -  angewiesen bleiben wird. </v>
      </c>
      <c r="F475" s="1125"/>
      <c r="G475" s="1125"/>
      <c r="H475" s="1125"/>
      <c r="I475" s="1125"/>
      <c r="J475" s="1125"/>
      <c r="K475" s="1125"/>
      <c r="L475" s="1125"/>
      <c r="M475" s="1125"/>
      <c r="N475" s="1132"/>
      <c r="O475" s="869">
        <v>475</v>
      </c>
      <c r="P475" s="573" t="str">
        <f ca="1">HYPERLINK(EK475,EJ475)</f>
        <v/>
      </c>
      <c r="Q475" s="574" t="str">
        <f>Y475</f>
        <v xml:space="preserve"> </v>
      </c>
      <c r="R475" s="852"/>
      <c r="S475" s="811"/>
      <c r="T475" s="864"/>
      <c r="U475" s="1023" t="str">
        <f>"Biodiesel bzw. Pflanzenöl ist vorrangig als Kraftstoff für die Landwirtschaft und andere Mobile Anwendungen vorgesehen, da hier die Substitution der fossilen Kraftstoffe besonders anspruchsvoll ist."&amp;" Dies trifft besonders auf den Luftverkehr zu, der wegen fehlender Elektrifizierungs-Möglichkeit wohl weitgehend auf Kraftstoffe - "&amp;"und hier aus verschiedenen Gründen (Platzbedarf, Handhabbarkeit, Sicherheit, Wandlungsverluste synthetischen Wasserstoffs) auf Kohlenwasserstoffe -  angewiesen bleiben wird. "</f>
        <v xml:space="preserve">Biodiesel bzw. Pflanzenöl ist vorrangig als Kraftstoff für die Landwirtschaft und andere Mobile Anwendungen vorgesehen, da hier die Substitution der fossilen Kraftstoffe besonders anspruchsvoll ist. Dies trifft besonders auf den Luftverkehr zu, der wegen fehlender Elektrifizierungs-Möglichkeit wohl weitgehend auf Kraftstoffe - und hier aus verschiedenen Gründen (Platzbedarf, Handhabbarkeit, Sicherheit, Wandlungsverluste synthetischen Wasserstoffs) auf Kohlenwasserstoffe -  angewiesen bleiben wird. </v>
      </c>
      <c r="V475" s="905" t="s">
        <v>126</v>
      </c>
      <c r="W475" s="1024">
        <v>100</v>
      </c>
      <c r="X475" s="672"/>
      <c r="Y475" s="672" t="s">
        <v>126</v>
      </c>
      <c r="Z475" s="1025"/>
      <c r="AA475" s="905"/>
      <c r="AB475" s="801"/>
      <c r="AC475" s="801"/>
      <c r="AD475" s="801"/>
      <c r="AE475" s="801"/>
      <c r="AF475" s="801"/>
      <c r="AG475" s="801"/>
      <c r="AH475" s="801"/>
      <c r="AI475" s="801"/>
      <c r="AJ475" s="801"/>
      <c r="AK475" s="801"/>
      <c r="AL475" s="801"/>
      <c r="AM475" s="801"/>
      <c r="AN475" s="801"/>
      <c r="AO475" s="801"/>
      <c r="AP475" s="801"/>
      <c r="AQ475" s="801"/>
      <c r="AR475" s="801"/>
      <c r="AS475" s="801"/>
      <c r="AT475" s="801"/>
      <c r="AU475" s="801"/>
      <c r="AV475" s="801"/>
      <c r="BF475" s="473"/>
      <c r="BI475" s="472" t="s">
        <v>126</v>
      </c>
      <c r="BJ475" s="490"/>
      <c r="BN475" s="656"/>
      <c r="BO475" s="472" t="s">
        <v>259</v>
      </c>
      <c r="CU475" s="480" t="str">
        <f>CH$1&amp;IF(U475="",BF475,U475)</f>
        <v xml:space="preserve">- ZIEL-Ansatz: Biodiesel bzw. Pflanzenöl ist vorrangig als Kraftstoff für die Landwirtschaft und andere Mobile Anwendungen vorgesehen, da hier die Substitution der fossilen Kraftstoffe besonders anspruchsvoll ist. Dies trifft besonders auf den Luftverkehr zu, der wegen fehlender Elektrifizierungs-Möglichkeit wohl weitgehend auf Kraftstoffe - und hier aus verschiedenen Gründen (Platzbedarf, Handhabbarkeit, Sicherheit, Wandlungsverluste synthetischen Wasserstoffs) auf Kohlenwasserstoffe -  angewiesen bleiben wird. </v>
      </c>
      <c r="CV475" s="656"/>
      <c r="CW475" s="480"/>
      <c r="DS475" s="656"/>
      <c r="DT475" s="518">
        <v>53</v>
      </c>
      <c r="EJ475" s="472" t="str">
        <f>IF(X475=0,"",EJ$1&amp;X475)</f>
        <v/>
      </c>
      <c r="EK475" s="472" t="str">
        <f ca="1">EK$1&amp;X475</f>
        <v>[D_Python.xlsx]9.Quellen!C</v>
      </c>
      <c r="EV475" s="819">
        <f t="shared" si="218"/>
        <v>475</v>
      </c>
      <c r="EW475" s="819"/>
    </row>
    <row r="476" spans="1:153" s="478" customFormat="1" ht="4">
      <c r="A476" s="677" t="str">
        <f t="shared" ca="1" si="216"/>
        <v>D.1.476</v>
      </c>
      <c r="B476" s="677" t="str">
        <f t="shared" ca="1" si="217"/>
        <v>1.476</v>
      </c>
      <c r="C476" s="677" t="str">
        <f t="shared" si="195"/>
        <v>[476]</v>
      </c>
      <c r="D476" s="677">
        <f>ROW()</f>
        <v>476</v>
      </c>
      <c r="E476" s="548"/>
      <c r="F476" s="548"/>
      <c r="G476" s="548"/>
      <c r="H476" s="548"/>
      <c r="I476" s="549"/>
      <c r="J476" s="549"/>
      <c r="K476" s="549"/>
      <c r="L476" s="549"/>
      <c r="M476" s="549"/>
      <c r="N476" s="548"/>
      <c r="O476" s="871">
        <v>476</v>
      </c>
      <c r="P476" s="575"/>
      <c r="Q476" s="576"/>
      <c r="R476" s="888"/>
      <c r="S476" s="812"/>
      <c r="T476" s="882"/>
      <c r="U476" s="661"/>
      <c r="V476" s="661"/>
      <c r="W476" s="661"/>
      <c r="X476" s="661"/>
      <c r="Y476" s="661"/>
      <c r="Z476" s="661"/>
      <c r="AA476" s="661"/>
      <c r="AB476" s="675"/>
      <c r="AC476" s="675"/>
      <c r="AD476" s="675"/>
      <c r="AE476" s="675"/>
      <c r="AF476" s="675"/>
      <c r="AG476" s="675"/>
      <c r="AH476" s="675"/>
      <c r="AI476" s="675"/>
      <c r="AJ476" s="675"/>
      <c r="AK476" s="675"/>
      <c r="AL476" s="675"/>
      <c r="AM476" s="675"/>
      <c r="AN476" s="675"/>
      <c r="AO476" s="675"/>
      <c r="AP476" s="675"/>
      <c r="AQ476" s="675"/>
      <c r="AR476" s="675"/>
      <c r="AS476" s="675"/>
      <c r="AT476" s="675"/>
      <c r="AU476" s="675"/>
      <c r="AV476" s="675"/>
      <c r="AZ476" s="505"/>
      <c r="BB476" s="505"/>
      <c r="BI476" s="478" t="s">
        <v>126</v>
      </c>
      <c r="BJ476" s="489"/>
      <c r="BN476" s="661"/>
      <c r="CU476" s="479"/>
      <c r="CV476" s="661"/>
      <c r="CW476" s="479"/>
      <c r="DS476" s="661"/>
      <c r="EV476" s="818" t="str">
        <f t="shared" si="218"/>
        <v/>
      </c>
      <c r="EW476" s="818"/>
    </row>
    <row r="477" spans="1:153" s="475" customFormat="1" ht="13.5" customHeight="1">
      <c r="A477" s="654" t="str">
        <f t="shared" ca="1" si="216"/>
        <v>D.1.477</v>
      </c>
      <c r="B477" s="654" t="str">
        <f t="shared" ca="1" si="217"/>
        <v>1.477</v>
      </c>
      <c r="C477" s="654" t="str">
        <f t="shared" si="195"/>
        <v>[477]</v>
      </c>
      <c r="D477" s="654">
        <f>ROW()</f>
        <v>477</v>
      </c>
      <c r="E477" s="1129" t="str">
        <f>BP477</f>
        <v xml:space="preserve">Biodiesel - Anteil für Verstromung </v>
      </c>
      <c r="F477" s="1129"/>
      <c r="G477" s="1129"/>
      <c r="H477" s="1129"/>
      <c r="I477" s="1129"/>
      <c r="J477" s="471" t="s">
        <v>38</v>
      </c>
      <c r="K477" s="557">
        <f ca="1">INDIRECT($W$1&amp;U477)</f>
        <v>4.4856116638999941</v>
      </c>
      <c r="L477" s="485" t="str">
        <f ca="1">HYPERLINK($CK$1&amp;U477,$CE$1&amp;U477&amp;$CF$1)</f>
        <v>[478]</v>
      </c>
      <c r="M477" s="558">
        <f ca="1">INDIRECT($W$1&amp;W477)</f>
        <v>0</v>
      </c>
      <c r="N477" s="533" t="str">
        <f ca="1">HYPERLINK($CK$1&amp;W477,$CE$1&amp;W477&amp;$CF$1)</f>
        <v>[480]</v>
      </c>
      <c r="O477" s="869">
        <v>477</v>
      </c>
      <c r="P477" s="570"/>
      <c r="Q477" s="583"/>
      <c r="R477" s="852"/>
      <c r="S477" s="811"/>
      <c r="T477" s="864"/>
      <c r="U477" s="672">
        <f>D478</f>
        <v>478</v>
      </c>
      <c r="V477" s="905" t="s">
        <v>126</v>
      </c>
      <c r="W477" s="672">
        <f>D480</f>
        <v>480</v>
      </c>
      <c r="X477" s="658"/>
      <c r="Y477" s="658"/>
      <c r="Z477" s="658"/>
      <c r="AA477" s="658"/>
      <c r="AB477" s="801"/>
      <c r="AC477" s="801"/>
      <c r="AD477" s="674"/>
      <c r="AE477" s="674"/>
      <c r="AF477" s="674"/>
      <c r="AG477" s="674"/>
      <c r="AH477" s="674"/>
      <c r="AI477" s="674"/>
      <c r="AJ477" s="674"/>
      <c r="AK477" s="674"/>
      <c r="AL477" s="674"/>
      <c r="AM477" s="674"/>
      <c r="AN477" s="674"/>
      <c r="AO477" s="674"/>
      <c r="AP477" s="674"/>
      <c r="AQ477" s="674"/>
      <c r="AR477" s="674"/>
      <c r="AS477" s="674"/>
      <c r="AT477" s="674"/>
      <c r="AU477" s="674"/>
      <c r="AV477" s="674"/>
      <c r="AX477" s="475" t="s">
        <v>244</v>
      </c>
      <c r="AY477" s="500">
        <f ca="1">DA477</f>
        <v>12.205065678142512</v>
      </c>
      <c r="AZ477" s="508" t="str">
        <f ca="1">HYPERLINK(DN477,DC477)</f>
        <v xml:space="preserve"> 359</v>
      </c>
      <c r="BA477" s="500">
        <f ca="1">DB477</f>
        <v>0</v>
      </c>
      <c r="BB477" s="508" t="str">
        <f ca="1">HYPERLINK(DO477,DD477)</f>
        <v xml:space="preserve"> 360</v>
      </c>
      <c r="BC477" s="475" t="str">
        <f ca="1">CY477&amp;" | "&amp;CZ477</f>
        <v>0 | 1.2.1 Nutz-Anteil Pflanzenöl-Verstromung  = Anteil an der Ölpflanzen-Anbaufläche</v>
      </c>
      <c r="BI477" s="475" t="s">
        <v>126</v>
      </c>
      <c r="BJ477" s="492" t="str">
        <f>E477</f>
        <v xml:space="preserve">Biodiesel - Anteil für Verstromung </v>
      </c>
      <c r="BK477" s="486">
        <f ca="1">K477</f>
        <v>4.4856116638999941</v>
      </c>
      <c r="BL477" s="486">
        <f ca="1">M477</f>
        <v>0</v>
      </c>
      <c r="BM477" s="472">
        <f>D477</f>
        <v>477</v>
      </c>
      <c r="BN477" s="658"/>
      <c r="BO477" s="475" t="s">
        <v>251</v>
      </c>
      <c r="BP477" s="521" t="s">
        <v>556</v>
      </c>
      <c r="CU477" s="476"/>
      <c r="CV477" s="658"/>
      <c r="CW477" s="518">
        <v>93</v>
      </c>
      <c r="CY477" s="472">
        <f t="shared" ref="CY477:DO477" ca="1" si="222">INDIRECT($CX$1&amp;CY$1&amp;$CW477)</f>
        <v>0</v>
      </c>
      <c r="CZ477" s="472" t="str">
        <f t="shared" ca="1" si="222"/>
        <v>1.2.1 Nutz-Anteil Pflanzenöl-Verstromung  = Anteil an der Ölpflanzen-Anbaufläche</v>
      </c>
      <c r="DA477" s="472">
        <f t="shared" ca="1" si="222"/>
        <v>12.205065678142512</v>
      </c>
      <c r="DB477" s="472">
        <f t="shared" ca="1" si="222"/>
        <v>0</v>
      </c>
      <c r="DC477" s="472" t="str">
        <f t="shared" ca="1" si="222"/>
        <v xml:space="preserve"> 359</v>
      </c>
      <c r="DD477" s="472" t="str">
        <f t="shared" ca="1" si="222"/>
        <v xml:space="preserve"> 360</v>
      </c>
      <c r="DE477" s="472" t="str">
        <f t="shared" ca="1" si="222"/>
        <v/>
      </c>
      <c r="DF477" s="472" t="str">
        <f t="shared" ca="1" si="222"/>
        <v/>
      </c>
      <c r="DG477" s="472" t="str">
        <f t="shared" ca="1" si="222"/>
        <v/>
      </c>
      <c r="DH477" s="472" t="str">
        <f t="shared" ca="1" si="222"/>
        <v/>
      </c>
      <c r="DI477" s="472" t="str">
        <f t="shared" ca="1" si="222"/>
        <v>[.xls]TEXT!ZS5</v>
      </c>
      <c r="DJ477" s="472" t="str">
        <f t="shared" ca="1" si="222"/>
        <v/>
      </c>
      <c r="DK477" s="472" t="str">
        <f t="shared" ca="1" si="222"/>
        <v/>
      </c>
      <c r="DL477" s="472" t="str">
        <f t="shared" ca="1" si="222"/>
        <v>[.xls]TEXT!ZS5</v>
      </c>
      <c r="DM477" s="472">
        <f t="shared" ca="1" si="222"/>
        <v>93</v>
      </c>
      <c r="DN477" s="472" t="str">
        <f t="shared" ca="1" si="222"/>
        <v>[Region.xls]PARAMETER!Z359S6</v>
      </c>
      <c r="DO477" s="472" t="str">
        <f t="shared" ca="1" si="222"/>
        <v>[Region.xls]PARAMETER!Z360S6</v>
      </c>
      <c r="DP477" s="472"/>
      <c r="DS477" s="656"/>
      <c r="DV477" s="472"/>
      <c r="DW477" s="472"/>
      <c r="DX477" s="472"/>
      <c r="DY477" s="472"/>
      <c r="DZ477" s="472"/>
      <c r="EA477" s="472"/>
      <c r="EB477" s="472"/>
      <c r="EC477" s="472"/>
      <c r="ED477" s="472"/>
      <c r="EE477" s="472"/>
      <c r="EF477" s="472"/>
      <c r="EG477" s="472"/>
      <c r="EH477" s="472"/>
      <c r="EI477" s="472"/>
      <c r="EJ477" s="472"/>
      <c r="EK477" s="472"/>
      <c r="EV477" s="819">
        <f t="shared" si="218"/>
        <v>477</v>
      </c>
      <c r="EW477" s="819"/>
    </row>
    <row r="478" spans="1:153" s="472" customFormat="1" ht="26">
      <c r="A478" s="654" t="str">
        <f t="shared" ca="1" si="216"/>
        <v>D.1.478</v>
      </c>
      <c r="B478" s="654" t="str">
        <f t="shared" ca="1" si="217"/>
        <v>1.478</v>
      </c>
      <c r="C478" s="654" t="str">
        <f t="shared" si="195"/>
        <v>[478]</v>
      </c>
      <c r="D478" s="654">
        <f>ROW()</f>
        <v>478</v>
      </c>
      <c r="E478" s="1130" t="str">
        <f ca="1">CU478</f>
        <v xml:space="preserve">- STATUS-Ansatz: Resultiert nach dem Verusacher- bzw. Solidarprinzip aus dem Verhältnis des deutschen Biodiesel- und Pflanzenöl-Verbrauchs für Verstromung von 1.054 GWh [463]  zum Gesamtverbrauch von  23.494 GWh [461]. </v>
      </c>
      <c r="F478" s="1130"/>
      <c r="G478" s="1130"/>
      <c r="H478" s="1130"/>
      <c r="I478" s="1130"/>
      <c r="J478" s="1130"/>
      <c r="K478" s="1130"/>
      <c r="L478" s="1130"/>
      <c r="M478" s="1130"/>
      <c r="N478" s="1131"/>
      <c r="O478" s="869">
        <v>478</v>
      </c>
      <c r="P478" s="573" t="str">
        <f ca="1">HYPERLINK(EK478,EJ478)</f>
        <v/>
      </c>
      <c r="Q478" s="574" t="str">
        <f>Y478</f>
        <v xml:space="preserve"> </v>
      </c>
      <c r="R478" s="852"/>
      <c r="S478" s="811"/>
      <c r="T478" s="864"/>
      <c r="U478" s="1023" t="str">
        <f ca="1">"Resultiert nach dem Verusacher- bzw. Solidarprinzip aus dem Verhältnis des deutschen Biodiesel- und Pflanzenöl-Verbrauchs für Verstromung von "&amp;TEXT(AD478,"0.000")&amp;AE478&amp;C463&amp;"  zum Gesamtverbrauch von  "&amp;TEXT(AF478,"0.000")&amp;AE478&amp;C$461&amp;". "</f>
        <v xml:space="preserve">Resultiert nach dem Verusacher- bzw. Solidarprinzip aus dem Verhältnis des deutschen Biodiesel- und Pflanzenöl-Verbrauchs für Verstromung von 1.054 GWh [463]  zum Gesamtverbrauch von  23.494 GWh [461]. </v>
      </c>
      <c r="V478" s="905" t="s">
        <v>126</v>
      </c>
      <c r="W478" s="1034">
        <f ca="1">AH478</f>
        <v>4.4856116638999941</v>
      </c>
      <c r="X478" s="672"/>
      <c r="Y478" s="672" t="s">
        <v>126</v>
      </c>
      <c r="Z478" s="1025"/>
      <c r="AA478" s="658"/>
      <c r="AB478" s="801"/>
      <c r="AC478" s="801"/>
      <c r="AD478" s="801">
        <f ca="1">AH463</f>
        <v>1053.8461538461538</v>
      </c>
      <c r="AE478" s="801" t="str">
        <f>AI463</f>
        <v xml:space="preserve"> GWh </v>
      </c>
      <c r="AF478" s="687">
        <f ca="1">AJ$461</f>
        <v>23493.923076923074</v>
      </c>
      <c r="AG478" s="687" t="str">
        <f>AK$461</f>
        <v xml:space="preserve"> GWh </v>
      </c>
      <c r="AH478" s="801">
        <f ca="1">AD478/AF478%</f>
        <v>4.4856116638999941</v>
      </c>
      <c r="AI478" s="801"/>
      <c r="AJ478" s="801"/>
      <c r="AK478" s="801"/>
      <c r="AL478" s="801"/>
      <c r="AM478" s="801"/>
      <c r="AN478" s="801"/>
      <c r="AO478" s="801"/>
      <c r="AP478" s="801"/>
      <c r="AQ478" s="801"/>
      <c r="AR478" s="801"/>
      <c r="AS478" s="801"/>
      <c r="AT478" s="801"/>
      <c r="AU478" s="801"/>
      <c r="AV478" s="801"/>
      <c r="BF478" s="473"/>
      <c r="BI478" s="472" t="s">
        <v>126</v>
      </c>
      <c r="BJ478" s="490"/>
      <c r="BN478" s="656"/>
      <c r="BO478" s="472" t="s">
        <v>259</v>
      </c>
      <c r="CU478" s="480" t="str">
        <f ca="1">CG$1&amp;IF(U478="",BF478,U478)</f>
        <v xml:space="preserve">- STATUS-Ansatz: Resultiert nach dem Verusacher- bzw. Solidarprinzip aus dem Verhältnis des deutschen Biodiesel- und Pflanzenöl-Verbrauchs für Verstromung von 1.054 GWh [463]  zum Gesamtverbrauch von  23.494 GWh [461]. </v>
      </c>
      <c r="CV478" s="656"/>
      <c r="CW478" s="480"/>
      <c r="DS478" s="656"/>
      <c r="DT478" s="518">
        <f>I_Basisdaten!A209</f>
        <v>0</v>
      </c>
      <c r="EJ478" s="472" t="str">
        <f>IF(X478=0,"",EJ$1&amp;X478)</f>
        <v/>
      </c>
      <c r="EK478" s="472" t="str">
        <f ca="1">EK$1&amp;X478</f>
        <v>[D_Python.xlsx]9.Quellen!C</v>
      </c>
      <c r="EV478" s="819">
        <f t="shared" ca="1" si="218"/>
        <v>478</v>
      </c>
      <c r="EW478" s="819"/>
    </row>
    <row r="479" spans="1:153" s="661" customFormat="1" ht="4">
      <c r="A479" s="677" t="str">
        <f t="shared" ca="1" si="216"/>
        <v>D.1.479</v>
      </c>
      <c r="B479" s="677" t="str">
        <f t="shared" ca="1" si="217"/>
        <v>1.479</v>
      </c>
      <c r="C479" s="677" t="str">
        <f t="shared" si="195"/>
        <v>[479]</v>
      </c>
      <c r="D479" s="677">
        <f>ROW()</f>
        <v>479</v>
      </c>
      <c r="E479" s="680"/>
      <c r="F479" s="680"/>
      <c r="G479" s="680"/>
      <c r="H479" s="680"/>
      <c r="I479" s="679"/>
      <c r="J479" s="679"/>
      <c r="K479" s="679"/>
      <c r="L479" s="679"/>
      <c r="M479" s="679"/>
      <c r="N479" s="680"/>
      <c r="O479" s="871">
        <v>479</v>
      </c>
      <c r="P479" s="688"/>
      <c r="Q479" s="689"/>
      <c r="R479" s="888"/>
      <c r="S479" s="812"/>
      <c r="T479" s="882"/>
      <c r="AB479" s="675"/>
      <c r="AC479" s="675"/>
      <c r="AD479" s="675"/>
      <c r="AE479" s="675"/>
      <c r="AF479" s="675"/>
      <c r="AG479" s="675"/>
      <c r="AH479" s="675"/>
      <c r="AI479" s="675"/>
      <c r="AJ479" s="675"/>
      <c r="AK479" s="675"/>
      <c r="AL479" s="675"/>
      <c r="AM479" s="675"/>
      <c r="AN479" s="675"/>
      <c r="AO479" s="675"/>
      <c r="AP479" s="675"/>
      <c r="AQ479" s="675"/>
      <c r="AR479" s="675"/>
      <c r="AS479" s="675"/>
      <c r="AT479" s="675"/>
      <c r="AU479" s="675"/>
      <c r="AV479" s="675"/>
      <c r="BI479" s="661" t="s">
        <v>126</v>
      </c>
      <c r="BJ479" s="665"/>
      <c r="CU479" s="662"/>
      <c r="CW479" s="662"/>
      <c r="EV479" s="818" t="str">
        <f t="shared" si="218"/>
        <v/>
      </c>
      <c r="EW479" s="818"/>
    </row>
    <row r="480" spans="1:153" s="472" customFormat="1" ht="39">
      <c r="A480" s="654" t="str">
        <f t="shared" ca="1" si="216"/>
        <v>D.1.480</v>
      </c>
      <c r="B480" s="654" t="str">
        <f t="shared" ca="1" si="217"/>
        <v>1.480</v>
      </c>
      <c r="C480" s="654" t="str">
        <f t="shared" si="195"/>
        <v>[480]</v>
      </c>
      <c r="D480" s="654">
        <f>ROW()</f>
        <v>480</v>
      </c>
      <c r="E480" s="1125" t="str">
        <f t="shared" ref="E480" si="223">CU480</f>
        <v xml:space="preserve">- ZIEL-Ansatz: Auf die Verstromung von Bioiesel bzw. Pflanzenöl wird zugunsten der Mobilen Anwendungen verzichtet, da mit dem begrenzten Brennstoffangebot nur ein zu vernachlässigend geringer Beitrag zur Stromversorgung geleistet werden könnte, selbst bei Einsatz in Regelkraftwerken.  </v>
      </c>
      <c r="F480" s="1125"/>
      <c r="G480" s="1125"/>
      <c r="H480" s="1125"/>
      <c r="I480" s="1125"/>
      <c r="J480" s="1125"/>
      <c r="K480" s="1125"/>
      <c r="L480" s="1125"/>
      <c r="M480" s="1125"/>
      <c r="N480" s="1132"/>
      <c r="O480" s="869">
        <v>480</v>
      </c>
      <c r="P480" s="573" t="str">
        <f ca="1">HYPERLINK(EK480,EJ480)</f>
        <v/>
      </c>
      <c r="Q480" s="574" t="str">
        <f>Y480</f>
        <v xml:space="preserve"> </v>
      </c>
      <c r="R480" s="852"/>
      <c r="S480" s="811"/>
      <c r="T480" s="864"/>
      <c r="U480" s="1023" t="str">
        <f>"Auf die Verstromung von Bioiesel bzw. Pflanzenöl wird zugunsten der Mobilen Anwendungen verzichtet, "&amp;"da mit dem begrenzten Brennstoffangebot nur ein zu vernachlässigend geringer Beitrag zur Stromversorgung geleistet werden könnte, selbst bei Einsatz in Regelkraftwerken.  "</f>
        <v xml:space="preserve">Auf die Verstromung von Bioiesel bzw. Pflanzenöl wird zugunsten der Mobilen Anwendungen verzichtet, da mit dem begrenzten Brennstoffangebot nur ein zu vernachlässigend geringer Beitrag zur Stromversorgung geleistet werden könnte, selbst bei Einsatz in Regelkraftwerken.  </v>
      </c>
      <c r="V480" s="905" t="s">
        <v>126</v>
      </c>
      <c r="W480" s="1024">
        <f ca="1">BA477</f>
        <v>0</v>
      </c>
      <c r="X480" s="672"/>
      <c r="Y480" s="672" t="s">
        <v>126</v>
      </c>
      <c r="Z480" s="1025"/>
      <c r="AA480" s="905"/>
      <c r="AB480" s="801"/>
      <c r="AC480" s="801"/>
      <c r="AD480" s="801"/>
      <c r="AE480" s="801"/>
      <c r="AF480" s="801"/>
      <c r="AG480" s="801"/>
      <c r="AH480" s="801"/>
      <c r="AI480" s="801"/>
      <c r="AJ480" s="801"/>
      <c r="AK480" s="801"/>
      <c r="AL480" s="801"/>
      <c r="AM480" s="801"/>
      <c r="AN480" s="801"/>
      <c r="AO480" s="801"/>
      <c r="AP480" s="801"/>
      <c r="AQ480" s="801"/>
      <c r="AR480" s="801"/>
      <c r="AS480" s="801"/>
      <c r="AT480" s="801"/>
      <c r="AU480" s="801"/>
      <c r="AV480" s="801"/>
      <c r="BF480" s="473"/>
      <c r="BI480" s="472" t="s">
        <v>126</v>
      </c>
      <c r="BJ480" s="490"/>
      <c r="BN480" s="656"/>
      <c r="BO480" s="472" t="s">
        <v>259</v>
      </c>
      <c r="CU480" s="480" t="str">
        <f>CH$1&amp;IF(U480="",BF480,U480)</f>
        <v xml:space="preserve">- ZIEL-Ansatz: Auf die Verstromung von Bioiesel bzw. Pflanzenöl wird zugunsten der Mobilen Anwendungen verzichtet, da mit dem begrenzten Brennstoffangebot nur ein zu vernachlässigend geringer Beitrag zur Stromversorgung geleistet werden könnte, selbst bei Einsatz in Regelkraftwerken.  </v>
      </c>
      <c r="CV480" s="656"/>
      <c r="CW480" s="480"/>
      <c r="DS480" s="656"/>
      <c r="DT480" s="518">
        <v>53</v>
      </c>
      <c r="EJ480" s="472" t="str">
        <f>IF(X480=0,"",EJ$1&amp;X480)</f>
        <v/>
      </c>
      <c r="EK480" s="472" t="str">
        <f ca="1">EK$1&amp;X480</f>
        <v>[D_Python.xlsx]9.Quellen!C</v>
      </c>
      <c r="EV480" s="819">
        <f t="shared" si="218"/>
        <v>480</v>
      </c>
      <c r="EW480" s="819"/>
    </row>
    <row r="481" spans="1:153" s="478" customFormat="1" ht="4">
      <c r="A481" s="677" t="str">
        <f t="shared" ca="1" si="216"/>
        <v>D.1.481</v>
      </c>
      <c r="B481" s="677" t="str">
        <f t="shared" ca="1" si="217"/>
        <v>1.481</v>
      </c>
      <c r="C481" s="677" t="str">
        <f t="shared" si="195"/>
        <v>[481]</v>
      </c>
      <c r="D481" s="677">
        <f>ROW()</f>
        <v>481</v>
      </c>
      <c r="E481" s="548"/>
      <c r="F481" s="548"/>
      <c r="G481" s="548"/>
      <c r="H481" s="548"/>
      <c r="I481" s="549"/>
      <c r="J481" s="549"/>
      <c r="K481" s="549"/>
      <c r="L481" s="549"/>
      <c r="M481" s="549"/>
      <c r="N481" s="548"/>
      <c r="O481" s="871">
        <v>481</v>
      </c>
      <c r="P481" s="575"/>
      <c r="Q481" s="576"/>
      <c r="R481" s="888"/>
      <c r="S481" s="812"/>
      <c r="T481" s="882"/>
      <c r="U481" s="661"/>
      <c r="V481" s="661"/>
      <c r="W481" s="661"/>
      <c r="X481" s="661"/>
      <c r="Y481" s="661"/>
      <c r="Z481" s="661"/>
      <c r="AA481" s="661"/>
      <c r="AB481" s="675"/>
      <c r="AC481" s="675"/>
      <c r="AD481" s="675"/>
      <c r="AE481" s="675"/>
      <c r="AF481" s="675"/>
      <c r="AG481" s="675"/>
      <c r="AH481" s="675"/>
      <c r="AI481" s="675"/>
      <c r="AJ481" s="675"/>
      <c r="AK481" s="675"/>
      <c r="AL481" s="675"/>
      <c r="AM481" s="675"/>
      <c r="AN481" s="675"/>
      <c r="AO481" s="675"/>
      <c r="AP481" s="675"/>
      <c r="AQ481" s="675"/>
      <c r="AR481" s="675"/>
      <c r="AS481" s="675"/>
      <c r="AT481" s="675"/>
      <c r="AU481" s="675"/>
      <c r="AV481" s="675"/>
      <c r="AZ481" s="505"/>
      <c r="BB481" s="505"/>
      <c r="BI481" s="478" t="s">
        <v>126</v>
      </c>
      <c r="BJ481" s="489"/>
      <c r="BN481" s="661"/>
      <c r="CU481" s="479"/>
      <c r="CV481" s="661"/>
      <c r="CW481" s="479"/>
      <c r="DS481" s="661"/>
      <c r="EV481" s="818" t="str">
        <f t="shared" si="218"/>
        <v/>
      </c>
      <c r="EW481" s="818"/>
    </row>
    <row r="482" spans="1:153" s="475" customFormat="1" ht="13.5" customHeight="1">
      <c r="A482" s="654" t="str">
        <f t="shared" ca="1" si="216"/>
        <v>D.1.482</v>
      </c>
      <c r="B482" s="654" t="str">
        <f t="shared" ca="1" si="217"/>
        <v>1.482</v>
      </c>
      <c r="C482" s="654" t="str">
        <f t="shared" si="195"/>
        <v>[482]</v>
      </c>
      <c r="D482" s="654">
        <f>ROW()</f>
        <v>482</v>
      </c>
      <c r="E482" s="1129" t="str">
        <f>BP482</f>
        <v>Biodiesel-Verstromung - Nutzungsgrad</v>
      </c>
      <c r="F482" s="1129"/>
      <c r="G482" s="1129"/>
      <c r="H482" s="1129"/>
      <c r="I482" s="1129"/>
      <c r="J482" s="559" t="s">
        <v>280</v>
      </c>
      <c r="K482" s="557">
        <f ca="1">INDIRECT($W$1&amp;U482)</f>
        <v>39</v>
      </c>
      <c r="L482" s="485" t="str">
        <f ca="1">HYPERLINK($CK$1&amp;U482,$CE$1&amp;U482&amp;$CF$1)</f>
        <v>[483]</v>
      </c>
      <c r="M482" s="558">
        <f ca="1">INDIRECT($W$1&amp;W482)</f>
        <v>39</v>
      </c>
      <c r="N482" s="533" t="str">
        <f ca="1">HYPERLINK($CK$1&amp;W482,$CE$1&amp;W482&amp;$CF$1)</f>
        <v>[485]</v>
      </c>
      <c r="O482" s="869">
        <v>482</v>
      </c>
      <c r="P482" s="570"/>
      <c r="Q482" s="583"/>
      <c r="R482" s="852"/>
      <c r="S482" s="811"/>
      <c r="T482" s="864"/>
      <c r="U482" s="672">
        <f>D483</f>
        <v>483</v>
      </c>
      <c r="V482" s="905" t="s">
        <v>126</v>
      </c>
      <c r="W482" s="672">
        <f>D485</f>
        <v>485</v>
      </c>
      <c r="X482" s="658"/>
      <c r="Y482" s="658"/>
      <c r="Z482" s="658"/>
      <c r="AA482" s="658"/>
      <c r="AB482" s="801"/>
      <c r="AC482" s="801"/>
      <c r="AD482" s="674"/>
      <c r="AE482" s="674"/>
      <c r="AF482" s="674"/>
      <c r="AG482" s="674"/>
      <c r="AH482" s="674"/>
      <c r="AI482" s="674"/>
      <c r="AJ482" s="674"/>
      <c r="AK482" s="674"/>
      <c r="AL482" s="674"/>
      <c r="AM482" s="674"/>
      <c r="AN482" s="674"/>
      <c r="AO482" s="674"/>
      <c r="AP482" s="674"/>
      <c r="AQ482" s="674"/>
      <c r="AR482" s="674"/>
      <c r="AS482" s="674"/>
      <c r="AT482" s="674"/>
      <c r="AU482" s="674"/>
      <c r="AV482" s="674"/>
      <c r="AX482" s="475" t="s">
        <v>244</v>
      </c>
      <c r="AY482" s="500">
        <f ca="1">DA482</f>
        <v>4.691250000000001</v>
      </c>
      <c r="AZ482" s="508" t="str">
        <f ca="1">HYPERLINK(DN482,DC482)</f>
        <v xml:space="preserve"> 363</v>
      </c>
      <c r="BA482" s="500">
        <f ca="1">DB482</f>
        <v>2.7365625000000007</v>
      </c>
      <c r="BB482" s="508" t="str">
        <f ca="1">HYPERLINK(DO482,DD482)</f>
        <v xml:space="preserve"> 364</v>
      </c>
      <c r="BC482" s="475" t="str">
        <f ca="1">CY482&amp;" | "&amp;CZ482</f>
        <v>Strom | 1.2.2.1 Energieertrag Strom aus Pflanzenöl</v>
      </c>
      <c r="BI482" s="475" t="s">
        <v>126</v>
      </c>
      <c r="BJ482" s="492" t="str">
        <f>E482</f>
        <v>Biodiesel-Verstromung - Nutzungsgrad</v>
      </c>
      <c r="BK482" s="486">
        <f ca="1">K482</f>
        <v>39</v>
      </c>
      <c r="BL482" s="486">
        <f ca="1">M482</f>
        <v>39</v>
      </c>
      <c r="BM482" s="472">
        <f>D482</f>
        <v>482</v>
      </c>
      <c r="BN482" s="658"/>
      <c r="BO482" s="475" t="s">
        <v>251</v>
      </c>
      <c r="BP482" s="521" t="s">
        <v>558</v>
      </c>
      <c r="CU482" s="476"/>
      <c r="CV482" s="658"/>
      <c r="CW482" s="518">
        <v>94</v>
      </c>
      <c r="CY482" s="472" t="str">
        <f t="shared" ref="CY482:DO482" ca="1" si="224">INDIRECT($CX$1&amp;CY$1&amp;$CW482)</f>
        <v>Strom</v>
      </c>
      <c r="CZ482" s="472" t="str">
        <f t="shared" ca="1" si="224"/>
        <v>1.2.2.1 Energieertrag Strom aus Pflanzenöl</v>
      </c>
      <c r="DA482" s="472">
        <f t="shared" ca="1" si="224"/>
        <v>4.691250000000001</v>
      </c>
      <c r="DB482" s="472">
        <f t="shared" ca="1" si="224"/>
        <v>2.7365625000000007</v>
      </c>
      <c r="DC482" s="472" t="str">
        <f t="shared" ca="1" si="224"/>
        <v xml:space="preserve"> 363</v>
      </c>
      <c r="DD482" s="472" t="str">
        <f t="shared" ca="1" si="224"/>
        <v xml:space="preserve"> 364</v>
      </c>
      <c r="DE482" s="472" t="str">
        <f t="shared" ca="1" si="224"/>
        <v>EP95</v>
      </c>
      <c r="DF482" s="472" t="str">
        <f t="shared" ca="1" si="224"/>
        <v>EP95</v>
      </c>
      <c r="DG482" s="472" t="str">
        <f t="shared" ca="1" si="224"/>
        <v>EP</v>
      </c>
      <c r="DH482" s="472" t="str">
        <f t="shared" ca="1" si="224"/>
        <v>95</v>
      </c>
      <c r="DI482" s="472" t="str">
        <f t="shared" ca="1" si="224"/>
        <v>[EP.xls]TEXT!Z95S5</v>
      </c>
      <c r="DJ482" s="472" t="str">
        <f t="shared" ca="1" si="224"/>
        <v>EP</v>
      </c>
      <c r="DK482" s="472" t="str">
        <f t="shared" ca="1" si="224"/>
        <v>95</v>
      </c>
      <c r="DL482" s="472" t="str">
        <f t="shared" ca="1" si="224"/>
        <v>[EP.xls]TEXT!Z95S5</v>
      </c>
      <c r="DM482" s="472">
        <f t="shared" ca="1" si="224"/>
        <v>94</v>
      </c>
      <c r="DN482" s="472" t="str">
        <f t="shared" ca="1" si="224"/>
        <v>[Region.xls]PARAMETER!Z363S6</v>
      </c>
      <c r="DO482" s="472" t="str">
        <f t="shared" ca="1" si="224"/>
        <v>[Region.xls]PARAMETER!Z364S6</v>
      </c>
      <c r="DP482" s="472"/>
      <c r="DS482" s="656"/>
      <c r="DV482" s="472"/>
      <c r="DW482" s="472"/>
      <c r="DX482" s="472"/>
      <c r="DY482" s="472"/>
      <c r="DZ482" s="472"/>
      <c r="EA482" s="472"/>
      <c r="EB482" s="472"/>
      <c r="EC482" s="472"/>
      <c r="ED482" s="472"/>
      <c r="EE482" s="472"/>
      <c r="EF482" s="472"/>
      <c r="EG482" s="472"/>
      <c r="EH482" s="472"/>
      <c r="EI482" s="472"/>
      <c r="EJ482" s="472"/>
      <c r="EK482" s="472"/>
      <c r="EV482" s="819">
        <f t="shared" si="218"/>
        <v>482</v>
      </c>
      <c r="EW482" s="819"/>
    </row>
    <row r="483" spans="1:153" s="472" customFormat="1" ht="39">
      <c r="A483" s="654" t="str">
        <f t="shared" ca="1" si="216"/>
        <v>D.1.483</v>
      </c>
      <c r="B483" s="654" t="str">
        <f t="shared" ca="1" si="217"/>
        <v>1.483</v>
      </c>
      <c r="C483" s="654" t="str">
        <f t="shared" si="195"/>
        <v>[483]</v>
      </c>
      <c r="D483" s="654">
        <f>ROW()</f>
        <v>483</v>
      </c>
      <c r="E483" s="1130" t="str">
        <f ca="1">CU483</f>
        <v>- STATUS-Ansatz: Nach einer Studie zu BHKW-Kenndaten [9.42], S. 11, liegen die von den Herstellern angegebenen elektrischen Wirkungsgrade von Pflanzenöl-BHKW im Bereich von minimal 29% bis maximal 46%, der Durchschnitt liegt bei 39 %. Dieser Wert dient als Orientierung für den Jahresnutzungsgrad, der mit  39%  angenommen wird.</v>
      </c>
      <c r="F483" s="1130"/>
      <c r="G483" s="1130"/>
      <c r="H483" s="1130"/>
      <c r="I483" s="1130"/>
      <c r="J483" s="1130"/>
      <c r="K483" s="1130"/>
      <c r="L483" s="1130"/>
      <c r="M483" s="1130"/>
      <c r="N483" s="1131"/>
      <c r="O483" s="869">
        <v>483</v>
      </c>
      <c r="P483" s="573" t="str">
        <f ca="1">HYPERLINK(EK483,EJ483)</f>
        <v>9.42</v>
      </c>
      <c r="Q483" s="574" t="str">
        <f>Y483</f>
        <v>S. 11</v>
      </c>
      <c r="R483" s="852"/>
      <c r="S483" s="811"/>
      <c r="T483" s="864"/>
      <c r="U483" s="1023" t="str">
        <f ca="1">"Nach einer Studie zu BHKW-Kenndaten ["&amp;P483&amp;"], "&amp;Q483&amp;", liegen die von den Herstellern angegebenen elektrischen Wirkungsgrade von Pflanzenöl-BHKW im Bereich von minimal 29% bis maximal 46%, der Durchschnitt liegt bei 39 %. Dieser Wert dient als Orientierung für den Jahresnutzungsgrad, der mit  "&amp;AD483&amp;AE483&amp;" angenommen wird."</f>
        <v>Nach einer Studie zu BHKW-Kenndaten [9.42], S. 11, liegen die von den Herstellern angegebenen elektrischen Wirkungsgrade von Pflanzenöl-BHKW im Bereich von minimal 29% bis maximal 46%, der Durchschnitt liegt bei 39 %. Dieser Wert dient als Orientierung für den Jahresnutzungsgrad, der mit  39%  angenommen wird.</v>
      </c>
      <c r="V483" s="905" t="s">
        <v>126</v>
      </c>
      <c r="W483" s="1024">
        <f>AD483</f>
        <v>39</v>
      </c>
      <c r="X483" s="672">
        <f>'9.Quellen'!C42</f>
        <v>42</v>
      </c>
      <c r="Y483" s="672" t="s">
        <v>437</v>
      </c>
      <c r="Z483" s="1025"/>
      <c r="AA483" s="658"/>
      <c r="AB483" s="801"/>
      <c r="AC483" s="801"/>
      <c r="AD483" s="801">
        <v>39</v>
      </c>
      <c r="AE483" s="801" t="s">
        <v>835</v>
      </c>
      <c r="AF483" s="801"/>
      <c r="AG483" s="801"/>
      <c r="AH483" s="801"/>
      <c r="AI483" s="801"/>
      <c r="AJ483" s="801"/>
      <c r="AK483" s="801"/>
      <c r="AL483" s="801"/>
      <c r="AM483" s="801"/>
      <c r="AN483" s="801"/>
      <c r="AO483" s="801"/>
      <c r="AP483" s="801"/>
      <c r="AQ483" s="801"/>
      <c r="AR483" s="801"/>
      <c r="AS483" s="801"/>
      <c r="AT483" s="801"/>
      <c r="AU483" s="801"/>
      <c r="AV483" s="801"/>
      <c r="BF483" s="473"/>
      <c r="BI483" s="472" t="s">
        <v>126</v>
      </c>
      <c r="BJ483" s="490"/>
      <c r="BN483" s="656"/>
      <c r="BO483" s="472" t="s">
        <v>259</v>
      </c>
      <c r="CU483" s="480" t="str">
        <f ca="1">CG$1&amp;IF(U483="",BF483,U483)</f>
        <v>- STATUS-Ansatz: Nach einer Studie zu BHKW-Kenndaten [9.42], S. 11, liegen die von den Herstellern angegebenen elektrischen Wirkungsgrade von Pflanzenöl-BHKW im Bereich von minimal 29% bis maximal 46%, der Durchschnitt liegt bei 39 %. Dieser Wert dient als Orientierung für den Jahresnutzungsgrad, der mit  39%  angenommen wird.</v>
      </c>
      <c r="CV483" s="656"/>
      <c r="CW483" s="480"/>
      <c r="DS483" s="656"/>
      <c r="DT483" s="518">
        <f>I_Basisdaten!A209</f>
        <v>0</v>
      </c>
      <c r="EJ483" s="472" t="str">
        <f ca="1">IF(X483=0,"",EJ$1&amp;X483)</f>
        <v>9.42</v>
      </c>
      <c r="EK483" s="472" t="str">
        <f ca="1">EK$1&amp;X483</f>
        <v>[D_Python.xlsx]9.Quellen!C42</v>
      </c>
      <c r="EV483" s="819">
        <f t="shared" ca="1" si="218"/>
        <v>483</v>
      </c>
      <c r="EW483" s="819"/>
    </row>
    <row r="484" spans="1:153" s="661" customFormat="1" ht="4">
      <c r="A484" s="677" t="str">
        <f t="shared" ca="1" si="216"/>
        <v>D.1.484</v>
      </c>
      <c r="B484" s="677" t="str">
        <f t="shared" ca="1" si="217"/>
        <v>1.484</v>
      </c>
      <c r="C484" s="677" t="str">
        <f t="shared" si="195"/>
        <v>[484]</v>
      </c>
      <c r="D484" s="677">
        <f>ROW()</f>
        <v>484</v>
      </c>
      <c r="E484" s="680"/>
      <c r="F484" s="680"/>
      <c r="G484" s="680"/>
      <c r="H484" s="680"/>
      <c r="I484" s="679"/>
      <c r="J484" s="679"/>
      <c r="K484" s="679"/>
      <c r="L484" s="679"/>
      <c r="M484" s="679"/>
      <c r="N484" s="680"/>
      <c r="O484" s="871">
        <v>484</v>
      </c>
      <c r="P484" s="688"/>
      <c r="Q484" s="689"/>
      <c r="R484" s="888"/>
      <c r="S484" s="812"/>
      <c r="T484" s="882"/>
      <c r="AB484" s="675"/>
      <c r="AC484" s="675"/>
      <c r="AD484" s="675"/>
      <c r="AE484" s="675"/>
      <c r="AF484" s="675"/>
      <c r="AG484" s="675"/>
      <c r="AH484" s="675"/>
      <c r="AI484" s="675"/>
      <c r="AJ484" s="675"/>
      <c r="AK484" s="675"/>
      <c r="AL484" s="675"/>
      <c r="AM484" s="675"/>
      <c r="AN484" s="675"/>
      <c r="AO484" s="675"/>
      <c r="AP484" s="675"/>
      <c r="AQ484" s="675"/>
      <c r="AR484" s="675"/>
      <c r="AS484" s="675"/>
      <c r="AT484" s="675"/>
      <c r="AU484" s="675"/>
      <c r="AV484" s="675"/>
      <c r="BI484" s="661" t="s">
        <v>126</v>
      </c>
      <c r="BJ484" s="665"/>
      <c r="CU484" s="662"/>
      <c r="CW484" s="662"/>
      <c r="EV484" s="818" t="str">
        <f t="shared" si="218"/>
        <v/>
      </c>
      <c r="EW484" s="818"/>
    </row>
    <row r="485" spans="1:153" s="472" customFormat="1" ht="26">
      <c r="A485" s="654" t="str">
        <f t="shared" ca="1" si="216"/>
        <v>D.1.485</v>
      </c>
      <c r="B485" s="654" t="str">
        <f t="shared" ca="1" si="217"/>
        <v>1.485</v>
      </c>
      <c r="C485" s="654" t="str">
        <f t="shared" si="195"/>
        <v>[485]</v>
      </c>
      <c r="D485" s="654">
        <f>ROW()</f>
        <v>485</v>
      </c>
      <c r="E485" s="1125" t="str">
        <f t="shared" ref="E485" si="225">CU485</f>
        <v>- ZIEL-Ansatz: Es ist davon auszugehen, dass bei der heutigen Blockheizkraftwerk-Technologie die Effizienzpotenziale weitgehend ausgeschöpft sind. Daher wird der Statuswert als Ziel übernommen.</v>
      </c>
      <c r="F485" s="1125"/>
      <c r="G485" s="1125"/>
      <c r="H485" s="1125"/>
      <c r="I485" s="1125"/>
      <c r="J485" s="1125"/>
      <c r="K485" s="1125"/>
      <c r="L485" s="1125"/>
      <c r="M485" s="1125"/>
      <c r="N485" s="1132"/>
      <c r="O485" s="869">
        <v>485</v>
      </c>
      <c r="P485" s="573" t="str">
        <f ca="1">HYPERLINK(EK485,EJ485)</f>
        <v/>
      </c>
      <c r="Q485" s="574" t="str">
        <f>Y485</f>
        <v xml:space="preserve"> </v>
      </c>
      <c r="R485" s="852"/>
      <c r="S485" s="811"/>
      <c r="T485" s="864"/>
      <c r="U485" s="1023" t="s">
        <v>746</v>
      </c>
      <c r="V485" s="905" t="s">
        <v>126</v>
      </c>
      <c r="W485" s="1024">
        <f>W483</f>
        <v>39</v>
      </c>
      <c r="X485" s="672"/>
      <c r="Y485" s="672" t="s">
        <v>126</v>
      </c>
      <c r="Z485" s="1025"/>
      <c r="AA485" s="905"/>
      <c r="AB485" s="801"/>
      <c r="AC485" s="801"/>
      <c r="AD485" s="801"/>
      <c r="AE485" s="801"/>
      <c r="AF485" s="801"/>
      <c r="AG485" s="801"/>
      <c r="AH485" s="801"/>
      <c r="AI485" s="801"/>
      <c r="AJ485" s="801"/>
      <c r="AK485" s="801"/>
      <c r="AL485" s="801"/>
      <c r="AM485" s="801"/>
      <c r="AN485" s="801"/>
      <c r="AO485" s="801"/>
      <c r="AP485" s="801"/>
      <c r="AQ485" s="801"/>
      <c r="AR485" s="801"/>
      <c r="AS485" s="801"/>
      <c r="AT485" s="801"/>
      <c r="AU485" s="801"/>
      <c r="AV485" s="801"/>
      <c r="BF485" s="473"/>
      <c r="BI485" s="472" t="s">
        <v>126</v>
      </c>
      <c r="BJ485" s="490"/>
      <c r="BN485" s="656"/>
      <c r="BO485" s="472" t="s">
        <v>259</v>
      </c>
      <c r="CU485" s="480" t="str">
        <f>CH$1&amp;IF(U485="",BF485,U485)</f>
        <v>- ZIEL-Ansatz: Es ist davon auszugehen, dass bei der heutigen Blockheizkraftwerk-Technologie die Effizienzpotenziale weitgehend ausgeschöpft sind. Daher wird der Statuswert als Ziel übernommen.</v>
      </c>
      <c r="CV485" s="656"/>
      <c r="CW485" s="480"/>
      <c r="DS485" s="656"/>
      <c r="DT485" s="518">
        <v>53</v>
      </c>
      <c r="EJ485" s="472" t="str">
        <f>IF(X485=0,"",EJ$1&amp;X485)</f>
        <v/>
      </c>
      <c r="EK485" s="472" t="str">
        <f ca="1">EK$1&amp;X485</f>
        <v>[D_Python.xlsx]9.Quellen!C</v>
      </c>
      <c r="EV485" s="819">
        <f t="shared" si="218"/>
        <v>485</v>
      </c>
      <c r="EW485" s="819"/>
    </row>
    <row r="486" spans="1:153" s="478" customFormat="1" ht="4">
      <c r="A486" s="677" t="str">
        <f t="shared" ca="1" si="216"/>
        <v>D.1.486</v>
      </c>
      <c r="B486" s="677" t="str">
        <f t="shared" ca="1" si="217"/>
        <v>1.486</v>
      </c>
      <c r="C486" s="677" t="str">
        <f t="shared" si="195"/>
        <v>[486]</v>
      </c>
      <c r="D486" s="677">
        <f>ROW()</f>
        <v>486</v>
      </c>
      <c r="E486" s="548"/>
      <c r="F486" s="548"/>
      <c r="G486" s="548"/>
      <c r="H486" s="548"/>
      <c r="I486" s="549"/>
      <c r="J486" s="549"/>
      <c r="K486" s="549"/>
      <c r="L486" s="549"/>
      <c r="M486" s="549"/>
      <c r="N486" s="548"/>
      <c r="O486" s="871">
        <v>486</v>
      </c>
      <c r="P486" s="575"/>
      <c r="Q486" s="576"/>
      <c r="R486" s="888"/>
      <c r="S486" s="812"/>
      <c r="T486" s="882"/>
      <c r="U486" s="661"/>
      <c r="V486" s="661"/>
      <c r="W486" s="661"/>
      <c r="X486" s="661"/>
      <c r="Y486" s="661"/>
      <c r="Z486" s="661"/>
      <c r="AA486" s="661"/>
      <c r="AB486" s="675"/>
      <c r="AC486" s="675"/>
      <c r="AD486" s="675"/>
      <c r="AE486" s="675"/>
      <c r="AF486" s="675"/>
      <c r="AG486" s="675"/>
      <c r="AH486" s="675"/>
      <c r="AI486" s="675"/>
      <c r="AJ486" s="675"/>
      <c r="AK486" s="675"/>
      <c r="AL486" s="675"/>
      <c r="AM486" s="675"/>
      <c r="AN486" s="675"/>
      <c r="AO486" s="675"/>
      <c r="AP486" s="675"/>
      <c r="AQ486" s="675"/>
      <c r="AR486" s="675"/>
      <c r="AS486" s="675"/>
      <c r="AT486" s="675"/>
      <c r="AU486" s="675"/>
      <c r="AV486" s="675"/>
      <c r="AZ486" s="505"/>
      <c r="BB486" s="505"/>
      <c r="BI486" s="478" t="s">
        <v>126</v>
      </c>
      <c r="BJ486" s="489"/>
      <c r="BN486" s="661"/>
      <c r="CU486" s="479"/>
      <c r="CV486" s="661"/>
      <c r="CW486" s="479"/>
      <c r="DS486" s="661"/>
      <c r="EV486" s="818" t="str">
        <f t="shared" si="218"/>
        <v/>
      </c>
      <c r="EW486" s="818"/>
    </row>
    <row r="487" spans="1:153" s="475" customFormat="1" ht="13.5" customHeight="1">
      <c r="A487" s="654" t="str">
        <f t="shared" ca="1" si="216"/>
        <v>D.1.487</v>
      </c>
      <c r="B487" s="654" t="str">
        <f t="shared" ca="1" si="217"/>
        <v>1.487</v>
      </c>
      <c r="C487" s="654" t="str">
        <f t="shared" si="195"/>
        <v>[487]</v>
      </c>
      <c r="D487" s="654">
        <f>ROW()</f>
        <v>487</v>
      </c>
      <c r="E487" s="1129" t="str">
        <f>BP487</f>
        <v>Biodiesel-Verstr. - Nutzungsg. KWK-Abwärme eff.</v>
      </c>
      <c r="F487" s="1129"/>
      <c r="G487" s="1129"/>
      <c r="H487" s="1129"/>
      <c r="I487" s="1129"/>
      <c r="J487" s="559" t="s">
        <v>280</v>
      </c>
      <c r="K487" s="557">
        <f ca="1">INDIRECT($W$1&amp;U487)</f>
        <v>50</v>
      </c>
      <c r="L487" s="485" t="str">
        <f ca="1">HYPERLINK($CK$1&amp;U487,$CE$1&amp;U487&amp;$CF$1)</f>
        <v>[488]</v>
      </c>
      <c r="M487" s="558">
        <f ca="1">INDIRECT($W$1&amp;W487)</f>
        <v>50</v>
      </c>
      <c r="N487" s="533" t="str">
        <f ca="1">HYPERLINK($CK$1&amp;W487,$CE$1&amp;W487&amp;$CF$1)</f>
        <v>[490]</v>
      </c>
      <c r="O487" s="869">
        <v>487</v>
      </c>
      <c r="P487" s="570"/>
      <c r="Q487" s="583"/>
      <c r="R487" s="852"/>
      <c r="S487" s="811"/>
      <c r="T487" s="864"/>
      <c r="U487" s="672">
        <f>D488</f>
        <v>488</v>
      </c>
      <c r="V487" s="905" t="s">
        <v>126</v>
      </c>
      <c r="W487" s="672">
        <f>D490</f>
        <v>490</v>
      </c>
      <c r="X487" s="658"/>
      <c r="Y487" s="658"/>
      <c r="Z487" s="658"/>
      <c r="AA487" s="658"/>
      <c r="AB487" s="801"/>
      <c r="AC487" s="801"/>
      <c r="AD487" s="674"/>
      <c r="AE487" s="674"/>
      <c r="AF487" s="674"/>
      <c r="AG487" s="674"/>
      <c r="AH487" s="674"/>
      <c r="AI487" s="674"/>
      <c r="AJ487" s="674"/>
      <c r="AK487" s="674"/>
      <c r="AL487" s="674"/>
      <c r="AM487" s="674"/>
      <c r="AN487" s="674"/>
      <c r="AO487" s="674"/>
      <c r="AP487" s="674"/>
      <c r="AQ487" s="674"/>
      <c r="AR487" s="674"/>
      <c r="AS487" s="674"/>
      <c r="AT487" s="674"/>
      <c r="AU487" s="674"/>
      <c r="AV487" s="674"/>
      <c r="AX487" s="475" t="s">
        <v>244</v>
      </c>
      <c r="AY487" s="500">
        <f ca="1">DA487</f>
        <v>5.6295000000000002</v>
      </c>
      <c r="AZ487" s="508" t="str">
        <f ca="1">HYPERLINK(DN487,DC487)</f>
        <v xml:space="preserve"> 367</v>
      </c>
      <c r="BA487" s="500">
        <f ca="1">DB487</f>
        <v>3.5184375000000006</v>
      </c>
      <c r="BB487" s="508" t="str">
        <f ca="1">HYPERLINK(DO487,DD487)</f>
        <v xml:space="preserve"> 368</v>
      </c>
      <c r="BC487" s="475" t="str">
        <f ca="1">CY487&amp;" | "&amp;CZ487</f>
        <v>Wärme | 1.2.2.2 Energieertrag Nutzwärme aus PFlanzenöl-Verstromung</v>
      </c>
      <c r="BI487" s="475" t="s">
        <v>126</v>
      </c>
      <c r="BJ487" s="492" t="str">
        <f>E487</f>
        <v>Biodiesel-Verstr. - Nutzungsg. KWK-Abwärme eff.</v>
      </c>
      <c r="BK487" s="486">
        <f ca="1">K487</f>
        <v>50</v>
      </c>
      <c r="BL487" s="486">
        <f ca="1">M487</f>
        <v>50</v>
      </c>
      <c r="BM487" s="472">
        <f>D487</f>
        <v>487</v>
      </c>
      <c r="BN487" s="658"/>
      <c r="BO487" s="475" t="s">
        <v>251</v>
      </c>
      <c r="BP487" s="521" t="s">
        <v>559</v>
      </c>
      <c r="CU487" s="476"/>
      <c r="CV487" s="658"/>
      <c r="CW487" s="518">
        <v>95</v>
      </c>
      <c r="CY487" s="472" t="str">
        <f t="shared" ref="CY487:DO487" ca="1" si="226">INDIRECT($CX$1&amp;CY$1&amp;$CW487)</f>
        <v>Wärme</v>
      </c>
      <c r="CZ487" s="472" t="str">
        <f t="shared" ca="1" si="226"/>
        <v>1.2.2.2 Energieertrag Nutzwärme aus PFlanzenöl-Verstromung</v>
      </c>
      <c r="DA487" s="472">
        <f t="shared" ca="1" si="226"/>
        <v>5.6295000000000002</v>
      </c>
      <c r="DB487" s="472">
        <f t="shared" ca="1" si="226"/>
        <v>3.5184375000000006</v>
      </c>
      <c r="DC487" s="472" t="str">
        <f t="shared" ca="1" si="226"/>
        <v xml:space="preserve"> 367</v>
      </c>
      <c r="DD487" s="472" t="str">
        <f t="shared" ca="1" si="226"/>
        <v xml:space="preserve"> 368</v>
      </c>
      <c r="DE487" s="472" t="str">
        <f t="shared" ca="1" si="226"/>
        <v>EP96</v>
      </c>
      <c r="DF487" s="472" t="str">
        <f t="shared" ca="1" si="226"/>
        <v>EP96</v>
      </c>
      <c r="DG487" s="472" t="str">
        <f t="shared" ca="1" si="226"/>
        <v>EP</v>
      </c>
      <c r="DH487" s="472" t="str">
        <f t="shared" ca="1" si="226"/>
        <v>96</v>
      </c>
      <c r="DI487" s="472" t="str">
        <f t="shared" ca="1" si="226"/>
        <v>[EP.xls]TEXT!Z96S5</v>
      </c>
      <c r="DJ487" s="472" t="str">
        <f t="shared" ca="1" si="226"/>
        <v>EP</v>
      </c>
      <c r="DK487" s="472" t="str">
        <f t="shared" ca="1" si="226"/>
        <v>96</v>
      </c>
      <c r="DL487" s="472" t="str">
        <f t="shared" ca="1" si="226"/>
        <v>[EP.xls]TEXT!Z96S5</v>
      </c>
      <c r="DM487" s="472">
        <f t="shared" ca="1" si="226"/>
        <v>95</v>
      </c>
      <c r="DN487" s="472" t="str">
        <f t="shared" ca="1" si="226"/>
        <v>[Region.xls]PARAMETER!Z367S6</v>
      </c>
      <c r="DO487" s="472" t="str">
        <f t="shared" ca="1" si="226"/>
        <v>[Region.xls]PARAMETER!Z368S6</v>
      </c>
      <c r="DP487" s="472"/>
      <c r="DS487" s="656"/>
      <c r="DV487" s="472"/>
      <c r="DW487" s="472"/>
      <c r="DX487" s="472"/>
      <c r="DY487" s="472"/>
      <c r="DZ487" s="472"/>
      <c r="EA487" s="472"/>
      <c r="EB487" s="472"/>
      <c r="EC487" s="472"/>
      <c r="ED487" s="472"/>
      <c r="EE487" s="472"/>
      <c r="EF487" s="472"/>
      <c r="EG487" s="472"/>
      <c r="EH487" s="472"/>
      <c r="EI487" s="472"/>
      <c r="EJ487" s="472"/>
      <c r="EK487" s="472"/>
      <c r="EV487" s="819">
        <f t="shared" si="218"/>
        <v>487</v>
      </c>
      <c r="EW487" s="819"/>
    </row>
    <row r="488" spans="1:153" s="472" customFormat="1" ht="52">
      <c r="A488" s="654" t="str">
        <f t="shared" ca="1" si="216"/>
        <v>D.1.488</v>
      </c>
      <c r="B488" s="654" t="str">
        <f t="shared" ca="1" si="217"/>
        <v>1.488</v>
      </c>
      <c r="C488" s="654" t="str">
        <f t="shared" si="195"/>
        <v>[488]</v>
      </c>
      <c r="D488" s="654">
        <f>ROW()</f>
        <v>488</v>
      </c>
      <c r="E488" s="1130" t="str">
        <f>CU488</f>
        <v>- STATUS-Ansatz: Repräsentative Statistikdaten zum thermischen Jahresnutzungsgrad des tatsächlich als Gebäudewärme verwerteten Abwärmeanteils liegen nicht vor. Er dürfte wegen der meist stromgeführten Betriebsweise auch in Zeiten mit geringer Wärmenachfrage erheblich unter dem thermischen BHKW-Wirkungsgrad liegen. Hier wird eine vor diesem Hintergrund optimistische Annahme getroffen.</v>
      </c>
      <c r="F488" s="1130"/>
      <c r="G488" s="1130"/>
      <c r="H488" s="1130"/>
      <c r="I488" s="1130"/>
      <c r="J488" s="1130"/>
      <c r="K488" s="1130"/>
      <c r="L488" s="1130"/>
      <c r="M488" s="1130"/>
      <c r="N488" s="1131"/>
      <c r="O488" s="869">
        <v>488</v>
      </c>
      <c r="P488" s="573" t="str">
        <f ca="1">HYPERLINK(EK488,EJ488)</f>
        <v/>
      </c>
      <c r="Q488" s="574" t="str">
        <f>Y488</f>
        <v xml:space="preserve"> </v>
      </c>
      <c r="R488" s="852"/>
      <c r="S488" s="811"/>
      <c r="T488" s="864"/>
      <c r="U488" s="1023" t="s">
        <v>745</v>
      </c>
      <c r="V488" s="905" t="s">
        <v>126</v>
      </c>
      <c r="W488" s="1024">
        <v>50</v>
      </c>
      <c r="X488" s="672"/>
      <c r="Y488" s="672" t="s">
        <v>126</v>
      </c>
      <c r="Z488" s="1025"/>
      <c r="AA488" s="658"/>
      <c r="AB488" s="801"/>
      <c r="AC488" s="801"/>
      <c r="AD488" s="801"/>
      <c r="AE488" s="801"/>
      <c r="AF488" s="801"/>
      <c r="AG488" s="801"/>
      <c r="AH488" s="801"/>
      <c r="AI488" s="801"/>
      <c r="AJ488" s="801"/>
      <c r="AK488" s="801"/>
      <c r="AL488" s="801"/>
      <c r="AM488" s="801"/>
      <c r="AN488" s="801"/>
      <c r="AO488" s="801"/>
      <c r="AP488" s="801"/>
      <c r="AQ488" s="801"/>
      <c r="AR488" s="801"/>
      <c r="AS488" s="801"/>
      <c r="AT488" s="801"/>
      <c r="AU488" s="801"/>
      <c r="AV488" s="801"/>
      <c r="BF488" s="473"/>
      <c r="BI488" s="472" t="s">
        <v>126</v>
      </c>
      <c r="BJ488" s="490"/>
      <c r="BN488" s="656"/>
      <c r="BO488" s="472" t="s">
        <v>259</v>
      </c>
      <c r="CU488" s="480" t="str">
        <f>CG$1&amp;IF(U488="",BF488,U488)</f>
        <v>- STATUS-Ansatz: Repräsentative Statistikdaten zum thermischen Jahresnutzungsgrad des tatsächlich als Gebäudewärme verwerteten Abwärmeanteils liegen nicht vor. Er dürfte wegen der meist stromgeführten Betriebsweise auch in Zeiten mit geringer Wärmenachfrage erheblich unter dem thermischen BHKW-Wirkungsgrad liegen. Hier wird eine vor diesem Hintergrund optimistische Annahme getroffen.</v>
      </c>
      <c r="CV488" s="656"/>
      <c r="CW488" s="480"/>
      <c r="DS488" s="656"/>
      <c r="DT488" s="518">
        <f>I_Basisdaten!A213</f>
        <v>0</v>
      </c>
      <c r="EJ488" s="472" t="str">
        <f>IF(X488=0,"",EJ$1&amp;X488)</f>
        <v/>
      </c>
      <c r="EK488" s="472" t="str">
        <f ca="1">EK$1&amp;X488</f>
        <v>[D_Python.xlsx]9.Quellen!C</v>
      </c>
      <c r="EV488" s="819">
        <f t="shared" si="218"/>
        <v>488</v>
      </c>
      <c r="EW488" s="819"/>
    </row>
    <row r="489" spans="1:153" s="661" customFormat="1" ht="4">
      <c r="A489" s="677" t="str">
        <f t="shared" ca="1" si="216"/>
        <v>D.1.489</v>
      </c>
      <c r="B489" s="677" t="str">
        <f t="shared" ca="1" si="217"/>
        <v>1.489</v>
      </c>
      <c r="C489" s="677" t="str">
        <f t="shared" si="195"/>
        <v>[489]</v>
      </c>
      <c r="D489" s="677">
        <f>ROW()</f>
        <v>489</v>
      </c>
      <c r="E489" s="680"/>
      <c r="F489" s="680"/>
      <c r="G489" s="680"/>
      <c r="H489" s="680"/>
      <c r="I489" s="679"/>
      <c r="J489" s="679"/>
      <c r="K489" s="679"/>
      <c r="L489" s="679"/>
      <c r="M489" s="679"/>
      <c r="N489" s="680"/>
      <c r="O489" s="871">
        <v>489</v>
      </c>
      <c r="P489" s="688"/>
      <c r="Q489" s="689"/>
      <c r="R489" s="888"/>
      <c r="S489" s="812"/>
      <c r="T489" s="882"/>
      <c r="AB489" s="675"/>
      <c r="AC489" s="675"/>
      <c r="AD489" s="675"/>
      <c r="AE489" s="675"/>
      <c r="AF489" s="675"/>
      <c r="AG489" s="675"/>
      <c r="AH489" s="675"/>
      <c r="AI489" s="675"/>
      <c r="AJ489" s="675"/>
      <c r="AK489" s="675"/>
      <c r="AL489" s="675"/>
      <c r="AM489" s="675"/>
      <c r="AN489" s="675"/>
      <c r="AO489" s="675"/>
      <c r="AP489" s="675"/>
      <c r="AQ489" s="675"/>
      <c r="AR489" s="675"/>
      <c r="AS489" s="675"/>
      <c r="AT489" s="675"/>
      <c r="AU489" s="675"/>
      <c r="AV489" s="675"/>
      <c r="BI489" s="661" t="s">
        <v>126</v>
      </c>
      <c r="BJ489" s="665"/>
      <c r="CU489" s="662"/>
      <c r="CW489" s="662"/>
      <c r="EV489" s="818" t="str">
        <f t="shared" si="218"/>
        <v/>
      </c>
      <c r="EW489" s="818"/>
    </row>
    <row r="490" spans="1:153" s="472" customFormat="1" ht="26">
      <c r="A490" s="654" t="str">
        <f t="shared" ca="1" si="216"/>
        <v>D.1.490</v>
      </c>
      <c r="B490" s="654" t="str">
        <f t="shared" ca="1" si="217"/>
        <v>1.490</v>
      </c>
      <c r="C490" s="654" t="str">
        <f t="shared" si="195"/>
        <v>[490]</v>
      </c>
      <c r="D490" s="654">
        <f>ROW()</f>
        <v>490</v>
      </c>
      <c r="E490" s="1125" t="str">
        <f t="shared" ref="E490" si="227">CU490</f>
        <v>- ZIEL-Ansatz: Es ist davon auszugehen, dass bei der heutigen Blockheizkraftwerk-Technologie die Effizienzpotenziale weitgehend ausgeschöpft sind. Daher wird der Statuswert als Ziel übernommen.</v>
      </c>
      <c r="F490" s="1125"/>
      <c r="G490" s="1125"/>
      <c r="H490" s="1125"/>
      <c r="I490" s="1125"/>
      <c r="J490" s="1125"/>
      <c r="K490" s="1125"/>
      <c r="L490" s="1125"/>
      <c r="M490" s="1125"/>
      <c r="N490" s="1132"/>
      <c r="O490" s="869">
        <v>490</v>
      </c>
      <c r="P490" s="573" t="str">
        <f ca="1">HYPERLINK(EK490,EJ490)</f>
        <v/>
      </c>
      <c r="Q490" s="574" t="str">
        <f>Y490</f>
        <v xml:space="preserve"> </v>
      </c>
      <c r="R490" s="852"/>
      <c r="S490" s="811"/>
      <c r="T490" s="864"/>
      <c r="U490" s="1023" t="s">
        <v>746</v>
      </c>
      <c r="V490" s="905" t="s">
        <v>126</v>
      </c>
      <c r="W490" s="1024">
        <f>W488</f>
        <v>50</v>
      </c>
      <c r="X490" s="672"/>
      <c r="Y490" s="672" t="s">
        <v>126</v>
      </c>
      <c r="Z490" s="1025"/>
      <c r="AA490" s="905"/>
      <c r="AB490" s="801"/>
      <c r="AC490" s="801"/>
      <c r="AD490" s="801"/>
      <c r="AE490" s="801"/>
      <c r="AF490" s="801"/>
      <c r="AG490" s="801"/>
      <c r="AH490" s="801"/>
      <c r="AI490" s="801"/>
      <c r="AJ490" s="801"/>
      <c r="AK490" s="801"/>
      <c r="AL490" s="801"/>
      <c r="AM490" s="801"/>
      <c r="AN490" s="801"/>
      <c r="AO490" s="801"/>
      <c r="AP490" s="801"/>
      <c r="AQ490" s="801"/>
      <c r="AR490" s="801"/>
      <c r="AS490" s="801"/>
      <c r="AT490" s="801"/>
      <c r="AU490" s="801"/>
      <c r="AV490" s="801"/>
      <c r="BF490" s="473"/>
      <c r="BI490" s="472" t="s">
        <v>126</v>
      </c>
      <c r="BJ490" s="490"/>
      <c r="BN490" s="656"/>
      <c r="BO490" s="472" t="s">
        <v>259</v>
      </c>
      <c r="CU490" s="480" t="str">
        <f>CH$1&amp;IF(U490="",BF490,U490)</f>
        <v>- ZIEL-Ansatz: Es ist davon auszugehen, dass bei der heutigen Blockheizkraftwerk-Technologie die Effizienzpotenziale weitgehend ausgeschöpft sind. Daher wird der Statuswert als Ziel übernommen.</v>
      </c>
      <c r="CV490" s="656"/>
      <c r="CW490" s="480"/>
      <c r="DS490" s="656"/>
      <c r="DT490" s="518">
        <v>53</v>
      </c>
      <c r="EJ490" s="472" t="str">
        <f>IF(X490=0,"",EJ$1&amp;X490)</f>
        <v/>
      </c>
      <c r="EK490" s="472" t="str">
        <f ca="1">EK$1&amp;X490</f>
        <v>[D_Python.xlsx]9.Quellen!C</v>
      </c>
      <c r="EV490" s="819">
        <f t="shared" si="218"/>
        <v>490</v>
      </c>
      <c r="EW490" s="819"/>
    </row>
    <row r="491" spans="1:153" s="528" customFormat="1" ht="4">
      <c r="A491" s="540" t="str">
        <f t="shared" ca="1" si="216"/>
        <v>D.1.491</v>
      </c>
      <c r="B491" s="540" t="str">
        <f t="shared" ca="1" si="217"/>
        <v>1.491</v>
      </c>
      <c r="C491" s="540" t="str">
        <f t="shared" si="195"/>
        <v>[491]</v>
      </c>
      <c r="D491" s="540">
        <f>ROW()</f>
        <v>491</v>
      </c>
      <c r="I491" s="527"/>
      <c r="J491" s="527"/>
      <c r="K491" s="527"/>
      <c r="L491" s="527"/>
      <c r="M491" s="527"/>
      <c r="O491" s="870">
        <v>491</v>
      </c>
      <c r="P491" s="566"/>
      <c r="Q491" s="567"/>
      <c r="R491" s="889"/>
      <c r="S491" s="812"/>
      <c r="T491" s="883"/>
      <c r="U491" s="661"/>
      <c r="V491" s="661"/>
      <c r="W491" s="661"/>
      <c r="X491" s="661"/>
      <c r="Y491" s="661"/>
      <c r="Z491" s="661"/>
      <c r="AA491" s="661"/>
      <c r="AB491" s="675"/>
      <c r="AC491" s="675"/>
      <c r="AD491" s="675"/>
      <c r="AE491" s="675"/>
      <c r="AF491" s="675"/>
      <c r="AG491" s="675"/>
      <c r="AH491" s="675"/>
      <c r="AI491" s="675"/>
      <c r="AJ491" s="675"/>
      <c r="AK491" s="675"/>
      <c r="AL491" s="675"/>
      <c r="AM491" s="675"/>
      <c r="AN491" s="675"/>
      <c r="AO491" s="675"/>
      <c r="AP491" s="675"/>
      <c r="AQ491" s="675"/>
      <c r="AR491" s="675"/>
      <c r="AS491" s="675"/>
      <c r="AT491" s="675"/>
      <c r="AU491" s="675"/>
      <c r="AV491" s="675"/>
      <c r="AZ491" s="541"/>
      <c r="BB491" s="541"/>
      <c r="BI491" s="528" t="s">
        <v>126</v>
      </c>
      <c r="BJ491" s="542"/>
      <c r="BN491" s="680"/>
      <c r="CU491" s="543"/>
      <c r="CV491" s="680"/>
      <c r="CW491" s="543"/>
      <c r="DS491" s="680"/>
      <c r="EV491" s="820" t="str">
        <f t="shared" si="218"/>
        <v/>
      </c>
      <c r="EW491" s="820"/>
    </row>
    <row r="492" spans="1:153" s="472" customFormat="1" ht="13">
      <c r="A492" s="654" t="str">
        <f t="shared" ca="1" si="216"/>
        <v>D.1.492</v>
      </c>
      <c r="B492" s="654" t="str">
        <f t="shared" ca="1" si="217"/>
        <v>1.492</v>
      </c>
      <c r="C492" s="654" t="str">
        <f t="shared" si="195"/>
        <v>[492]</v>
      </c>
      <c r="D492" s="654">
        <f>ROW()</f>
        <v>492</v>
      </c>
      <c r="E492" s="481" t="str">
        <f>BP492</f>
        <v>Bioethanol</v>
      </c>
      <c r="F492" s="482"/>
      <c r="G492" s="482"/>
      <c r="H492" s="482"/>
      <c r="I492" s="483"/>
      <c r="J492" s="484"/>
      <c r="K492" s="484"/>
      <c r="L492" s="484"/>
      <c r="M492" s="484"/>
      <c r="N492" s="532"/>
      <c r="O492" s="869">
        <v>492</v>
      </c>
      <c r="P492" s="568"/>
      <c r="Q492" s="569"/>
      <c r="R492" s="852"/>
      <c r="S492" s="804"/>
      <c r="T492" s="864"/>
      <c r="U492" s="905"/>
      <c r="V492" s="905"/>
      <c r="W492" s="905"/>
      <c r="X492" s="905"/>
      <c r="Y492" s="905"/>
      <c r="Z492" s="905"/>
      <c r="AA492" s="905"/>
      <c r="AB492" s="801"/>
      <c r="AC492" s="801"/>
      <c r="AD492" s="801"/>
      <c r="AE492" s="801"/>
      <c r="AF492" s="801"/>
      <c r="AG492" s="801"/>
      <c r="AH492" s="801"/>
      <c r="AI492" s="801"/>
      <c r="AJ492" s="801"/>
      <c r="AK492" s="801"/>
      <c r="AL492" s="801"/>
      <c r="AM492" s="801"/>
      <c r="AN492" s="801"/>
      <c r="AO492" s="801"/>
      <c r="AP492" s="801"/>
      <c r="AQ492" s="801"/>
      <c r="AR492" s="801"/>
      <c r="AS492" s="801"/>
      <c r="AT492" s="801"/>
      <c r="AU492" s="801"/>
      <c r="AV492" s="801"/>
      <c r="AZ492" s="504"/>
      <c r="BB492" s="506"/>
      <c r="BI492" s="472" t="s">
        <v>126</v>
      </c>
      <c r="BJ492" s="490"/>
      <c r="BN492" s="656"/>
      <c r="BO492" s="472" t="s">
        <v>250</v>
      </c>
      <c r="BP492" s="518" t="s">
        <v>503</v>
      </c>
      <c r="CU492" s="480"/>
      <c r="CV492" s="656"/>
      <c r="CW492" s="480"/>
      <c r="DS492" s="656"/>
      <c r="EV492" s="819">
        <f t="shared" si="218"/>
        <v>492</v>
      </c>
      <c r="EW492" s="819"/>
    </row>
    <row r="493" spans="1:153" s="478" customFormat="1" ht="4">
      <c r="A493" s="677" t="str">
        <f t="shared" ca="1" si="216"/>
        <v>D.1.493</v>
      </c>
      <c r="B493" s="677" t="str">
        <f t="shared" ca="1" si="217"/>
        <v>1.493</v>
      </c>
      <c r="C493" s="677" t="str">
        <f t="shared" si="195"/>
        <v>[493]</v>
      </c>
      <c r="D493" s="677">
        <f>ROW()</f>
        <v>493</v>
      </c>
      <c r="E493" s="528"/>
      <c r="F493" s="528"/>
      <c r="G493" s="528"/>
      <c r="H493" s="528"/>
      <c r="I493" s="527"/>
      <c r="J493" s="527"/>
      <c r="K493" s="527"/>
      <c r="L493" s="527"/>
      <c r="M493" s="527"/>
      <c r="N493" s="528"/>
      <c r="O493" s="871">
        <v>493</v>
      </c>
      <c r="P493" s="566"/>
      <c r="Q493" s="567"/>
      <c r="R493" s="888"/>
      <c r="S493" s="802"/>
      <c r="T493" s="882"/>
      <c r="U493" s="661"/>
      <c r="V493" s="661"/>
      <c r="W493" s="661"/>
      <c r="X493" s="661"/>
      <c r="Y493" s="661"/>
      <c r="Z493" s="661"/>
      <c r="AA493" s="661"/>
      <c r="AB493" s="675"/>
      <c r="AC493" s="675"/>
      <c r="AD493" s="675"/>
      <c r="AE493" s="675"/>
      <c r="AF493" s="675"/>
      <c r="AG493" s="675"/>
      <c r="AH493" s="675"/>
      <c r="AI493" s="675"/>
      <c r="AJ493" s="675"/>
      <c r="AK493" s="675"/>
      <c r="AL493" s="675"/>
      <c r="AM493" s="675"/>
      <c r="AN493" s="675"/>
      <c r="AO493" s="675"/>
      <c r="AP493" s="675"/>
      <c r="AQ493" s="675"/>
      <c r="AR493" s="675"/>
      <c r="AS493" s="675"/>
      <c r="AT493" s="675"/>
      <c r="AU493" s="675"/>
      <c r="AV493" s="675"/>
      <c r="AZ493" s="505"/>
      <c r="BB493" s="505"/>
      <c r="BI493" s="478" t="s">
        <v>126</v>
      </c>
      <c r="BJ493" s="489"/>
      <c r="BN493" s="661"/>
      <c r="CU493" s="479"/>
      <c r="CV493" s="661"/>
      <c r="CW493" s="479"/>
      <c r="DS493" s="661"/>
      <c r="EV493" s="818" t="str">
        <f t="shared" si="218"/>
        <v/>
      </c>
      <c r="EW493" s="818"/>
    </row>
    <row r="494" spans="1:153" s="475" customFormat="1" ht="13.5" customHeight="1">
      <c r="A494" s="654" t="str">
        <f t="shared" ca="1" si="216"/>
        <v>D.1.494</v>
      </c>
      <c r="B494" s="654" t="str">
        <f t="shared" ca="1" si="217"/>
        <v>1.494</v>
      </c>
      <c r="C494" s="654" t="str">
        <f t="shared" si="195"/>
        <v>[494]</v>
      </c>
      <c r="D494" s="654">
        <f>ROW()</f>
        <v>494</v>
      </c>
      <c r="E494" s="1129" t="str">
        <f>BP494</f>
        <v>Bioethanol - Anbaufläche</v>
      </c>
      <c r="F494" s="1129"/>
      <c r="G494" s="1129"/>
      <c r="H494" s="1129"/>
      <c r="I494" s="1129"/>
      <c r="J494" s="471" t="s">
        <v>272</v>
      </c>
      <c r="K494" s="546">
        <f ca="1">INDIRECT($W$1&amp;U494)</f>
        <v>200000</v>
      </c>
      <c r="L494" s="485" t="str">
        <f ca="1">HYPERLINK($CK$1&amp;U494,$CE$1&amp;U494&amp;$CF$1)</f>
        <v>[495]</v>
      </c>
      <c r="M494" s="547">
        <f ca="1">INDIRECT($W$1&amp;W494)</f>
        <v>0</v>
      </c>
      <c r="N494" s="533" t="str">
        <f ca="1">HYPERLINK($CK$1&amp;W494,$CE$1&amp;W494&amp;$CF$1)</f>
        <v>[497]</v>
      </c>
      <c r="O494" s="869">
        <v>494</v>
      </c>
      <c r="P494" s="570"/>
      <c r="Q494" s="583"/>
      <c r="R494" s="852"/>
      <c r="S494" s="784"/>
      <c r="T494" s="864"/>
      <c r="U494" s="672">
        <f>D495</f>
        <v>495</v>
      </c>
      <c r="V494" s="905" t="s">
        <v>126</v>
      </c>
      <c r="W494" s="672">
        <f>D497</f>
        <v>497</v>
      </c>
      <c r="X494" s="658"/>
      <c r="Y494" s="658"/>
      <c r="Z494" s="658"/>
      <c r="AA494" s="658"/>
      <c r="AB494" s="801"/>
      <c r="AC494" s="801"/>
      <c r="AD494" s="674"/>
      <c r="AE494" s="674"/>
      <c r="AF494" s="674"/>
      <c r="AG494" s="674"/>
      <c r="AH494" s="674"/>
      <c r="AI494" s="674"/>
      <c r="AJ494" s="674"/>
      <c r="AK494" s="674"/>
      <c r="AL494" s="674"/>
      <c r="AM494" s="674"/>
      <c r="AN494" s="674"/>
      <c r="AO494" s="674"/>
      <c r="AP494" s="674"/>
      <c r="AQ494" s="674"/>
      <c r="AR494" s="674"/>
      <c r="AS494" s="674"/>
      <c r="AT494" s="674"/>
      <c r="AU494" s="674"/>
      <c r="AV494" s="674"/>
      <c r="AX494" s="475" t="s">
        <v>244</v>
      </c>
      <c r="AY494" s="500">
        <f ca="1">DA494</f>
        <v>117016.23066776665</v>
      </c>
      <c r="AZ494" s="508" t="str">
        <f ca="1">HYPERLINK(DN494,DC494)</f>
        <v xml:space="preserve"> 48</v>
      </c>
      <c r="BA494" s="500">
        <f ca="1">DB494</f>
        <v>28586.45</v>
      </c>
      <c r="BB494" s="508" t="str">
        <f ca="1">HYPERLINK(DO494,DD494)</f>
        <v xml:space="preserve"> 51</v>
      </c>
      <c r="BC494" s="475" t="str">
        <f ca="1">CY494&amp;" | "&amp;CZ494</f>
        <v>Öl- &amp;Ethanol-
Pfl. (energet.) | 2.1.3 Für Biodieselgewinnung in Zielregion genutzte Anbauflächen</v>
      </c>
      <c r="BI494" s="475" t="s">
        <v>126</v>
      </c>
      <c r="BJ494" s="492" t="str">
        <f>E494</f>
        <v>Bioethanol - Anbaufläche</v>
      </c>
      <c r="BK494" s="486">
        <f ca="1">K494</f>
        <v>200000</v>
      </c>
      <c r="BL494" s="486">
        <f ca="1">M494</f>
        <v>0</v>
      </c>
      <c r="BM494" s="472">
        <f>D494</f>
        <v>494</v>
      </c>
      <c r="BN494" s="658"/>
      <c r="BO494" s="475" t="s">
        <v>251</v>
      </c>
      <c r="BP494" s="521" t="s">
        <v>504</v>
      </c>
      <c r="CU494" s="476"/>
      <c r="CV494" s="658"/>
      <c r="CW494" s="518">
        <v>29</v>
      </c>
      <c r="CY494" s="472" t="str">
        <f t="shared" ref="CY494:DO494" ca="1" si="228">INDIRECT($CX$1&amp;CY$1&amp;$CW494)</f>
        <v>Öl- &amp;Ethanol-
Pfl. (energet.)</v>
      </c>
      <c r="CZ494" s="472" t="str">
        <f t="shared" ca="1" si="228"/>
        <v>2.1.3 Für Biodieselgewinnung in Zielregion genutzte Anbauflächen</v>
      </c>
      <c r="DA494" s="472">
        <f t="shared" ca="1" si="228"/>
        <v>117016.23066776665</v>
      </c>
      <c r="DB494" s="472">
        <f t="shared" ca="1" si="228"/>
        <v>28586.45</v>
      </c>
      <c r="DC494" s="472" t="str">
        <f t="shared" ca="1" si="228"/>
        <v xml:space="preserve"> 48</v>
      </c>
      <c r="DD494" s="472" t="str">
        <f t="shared" ca="1" si="228"/>
        <v xml:space="preserve"> 51</v>
      </c>
      <c r="DE494" s="472" t="str">
        <f t="shared" ca="1" si="228"/>
        <v>EP33</v>
      </c>
      <c r="DF494" s="472" t="str">
        <f t="shared" ca="1" si="228"/>
        <v>EP45</v>
      </c>
      <c r="DG494" s="472" t="str">
        <f t="shared" ca="1" si="228"/>
        <v>EP</v>
      </c>
      <c r="DH494" s="472" t="str">
        <f t="shared" ca="1" si="228"/>
        <v>33</v>
      </c>
      <c r="DI494" s="472" t="str">
        <f t="shared" ca="1" si="228"/>
        <v>[EP.xls]TEXT!Z33S5</v>
      </c>
      <c r="DJ494" s="472" t="str">
        <f t="shared" ca="1" si="228"/>
        <v>EP</v>
      </c>
      <c r="DK494" s="472" t="str">
        <f t="shared" ca="1" si="228"/>
        <v>45</v>
      </c>
      <c r="DL494" s="472" t="str">
        <f t="shared" ca="1" si="228"/>
        <v>[EP.xls]TEXT!Z45S5</v>
      </c>
      <c r="DM494" s="472">
        <f t="shared" ca="1" si="228"/>
        <v>29</v>
      </c>
      <c r="DN494" s="472" t="str">
        <f t="shared" ca="1" si="228"/>
        <v>[Region.xls]PARAMETER!Z48S6</v>
      </c>
      <c r="DO494" s="472" t="str">
        <f t="shared" ca="1" si="228"/>
        <v>[Region.xls]PARAMETER!Z51S6</v>
      </c>
      <c r="DP494" s="472"/>
      <c r="DS494" s="656"/>
      <c r="DV494" s="472"/>
      <c r="DW494" s="472"/>
      <c r="DX494" s="472"/>
      <c r="DY494" s="472"/>
      <c r="DZ494" s="472"/>
      <c r="EA494" s="472"/>
      <c r="EB494" s="472"/>
      <c r="EC494" s="472"/>
      <c r="ED494" s="472"/>
      <c r="EE494" s="472"/>
      <c r="EF494" s="472"/>
      <c r="EG494" s="472"/>
      <c r="EH494" s="472"/>
      <c r="EI494" s="472"/>
      <c r="EJ494" s="472"/>
      <c r="EK494" s="472"/>
      <c r="EV494" s="819">
        <f t="shared" si="218"/>
        <v>494</v>
      </c>
      <c r="EW494" s="819"/>
    </row>
    <row r="495" spans="1:153" s="472" customFormat="1" ht="39">
      <c r="A495" s="654" t="str">
        <f t="shared" ca="1" si="216"/>
        <v>D.1.495</v>
      </c>
      <c r="B495" s="654" t="str">
        <f t="shared" ca="1" si="217"/>
        <v>1.495</v>
      </c>
      <c r="C495" s="654" t="str">
        <f t="shared" si="195"/>
        <v>[495]</v>
      </c>
      <c r="D495" s="654">
        <f>ROW()</f>
        <v>495</v>
      </c>
      <c r="E495" s="1130" t="str">
        <f ca="1">CU495</f>
        <v xml:space="preserve">- STATUS-Ansatz: Gemäß FNR [9.102], S. 11, lag die Anbaufläche für Bioethanol im Jahr 2016 bei 200.000 ha, das entspricht 8,3 % der gesamten Energiepflanzen-Anbaufläche von 2.421.000 ha, 1,7 % der Ackerfläche [76] bzw. 1,1 % der Landwirtschaftsfläche [81]. </v>
      </c>
      <c r="F495" s="1130"/>
      <c r="G495" s="1130"/>
      <c r="H495" s="1130"/>
      <c r="I495" s="1130"/>
      <c r="J495" s="1130"/>
      <c r="K495" s="1130"/>
      <c r="L495" s="1130"/>
      <c r="M495" s="1130"/>
      <c r="N495" s="1131"/>
      <c r="O495" s="869">
        <v>495</v>
      </c>
      <c r="P495" s="573" t="str">
        <f ca="1">HYPERLINK(EK495,EJ495)</f>
        <v>9.102</v>
      </c>
      <c r="Q495" s="574" t="str">
        <f>Y495</f>
        <v>S. 11</v>
      </c>
      <c r="R495" s="852"/>
      <c r="S495" s="784"/>
      <c r="T495" s="864"/>
      <c r="U495" s="1023" t="str">
        <f ca="1">"Gemäß FNR ["&amp;P495&amp;"], "&amp;Q495&amp;", lag die Anbaufläche für Bioethanol im Jahr 2016 bei "&amp;TEXT(W495,"0.000")&amp;AE495&amp;", das entspricht "&amp;TEXT(AF495,"0,0")&amp;" % der gesamten Energiepflanzen-Anbaufläche von "&amp;TEXT(AH495,"0.000")&amp;" ha, "&amp;TEXT(AN495,"0,0")&amp;AO495&amp;" der Ackerfläche "&amp;C76&amp;" bzw. "&amp;TEXT(AJ495,"0,0")&amp;AK495&amp;" der Landwirtschaftsfläche "&amp;C81&amp;". "</f>
        <v xml:space="preserve">Gemäß FNR [9.102], S. 11, lag die Anbaufläche für Bioethanol im Jahr 2016 bei 200.000 ha, das entspricht 8,3 % der gesamten Energiepflanzen-Anbaufläche von 2.421.000 ha, 1,7 % der Ackerfläche [76] bzw. 1,1 % der Landwirtschaftsfläche [81]. </v>
      </c>
      <c r="V495" s="905" t="s">
        <v>126</v>
      </c>
      <c r="W495" s="1024">
        <f>AD495</f>
        <v>200000</v>
      </c>
      <c r="X495" s="672">
        <f>'9.Quellen'!C102</f>
        <v>102</v>
      </c>
      <c r="Y495" s="672" t="s">
        <v>437</v>
      </c>
      <c r="Z495" s="1025"/>
      <c r="AA495" s="658"/>
      <c r="AB495" s="801"/>
      <c r="AC495" s="801"/>
      <c r="AD495" s="801">
        <v>200000</v>
      </c>
      <c r="AE495" s="801" t="s">
        <v>289</v>
      </c>
      <c r="AF495" s="801">
        <f>AD495/AH495%</f>
        <v>8.2610491532424621</v>
      </c>
      <c r="AG495" s="801" t="s">
        <v>972</v>
      </c>
      <c r="AH495" s="801">
        <v>2421000</v>
      </c>
      <c r="AI495" s="801" t="s">
        <v>289</v>
      </c>
      <c r="AJ495" s="801">
        <f>AD495/AL495%</f>
        <v>1.0950662011321233</v>
      </c>
      <c r="AK495" s="801" t="s">
        <v>972</v>
      </c>
      <c r="AL495" s="687">
        <f>$W$76</f>
        <v>18263736</v>
      </c>
      <c r="AM495" s="801" t="s">
        <v>289</v>
      </c>
      <c r="AN495" s="801">
        <f>AD495/AP495%</f>
        <v>1.7000811091696375</v>
      </c>
      <c r="AO495" s="801" t="s">
        <v>972</v>
      </c>
      <c r="AP495" s="687">
        <f>$W$81</f>
        <v>11764144.6</v>
      </c>
      <c r="AQ495" s="801" t="s">
        <v>289</v>
      </c>
      <c r="AR495" s="801"/>
      <c r="AS495" s="801"/>
      <c r="AT495" s="801"/>
      <c r="AU495" s="801"/>
      <c r="AV495" s="801"/>
      <c r="BF495" s="473"/>
      <c r="BI495" s="472" t="s">
        <v>126</v>
      </c>
      <c r="BJ495" s="490"/>
      <c r="BN495" s="656"/>
      <c r="BO495" s="472" t="s">
        <v>259</v>
      </c>
      <c r="CU495" s="480" t="str">
        <f ca="1">CG$1&amp;IF(U495="",BF495,U495)</f>
        <v xml:space="preserve">- STATUS-Ansatz: Gemäß FNR [9.102], S. 11, lag die Anbaufläche für Bioethanol im Jahr 2016 bei 200.000 ha, das entspricht 8,3 % der gesamten Energiepflanzen-Anbaufläche von 2.421.000 ha, 1,7 % der Ackerfläche [76] bzw. 1,1 % der Landwirtschaftsfläche [81]. </v>
      </c>
      <c r="CV495" s="656"/>
      <c r="CW495" s="480"/>
      <c r="DS495" s="656"/>
      <c r="DT495" s="518">
        <f>I_Basisdaten!A208</f>
        <v>0</v>
      </c>
      <c r="EJ495" s="472" t="str">
        <f ca="1">IF(X495=0,"",EJ$1&amp;X495)</f>
        <v>9.102</v>
      </c>
      <c r="EK495" s="472" t="str">
        <f ca="1">EK$1&amp;X495</f>
        <v>[D_Python.xlsx]9.Quellen!C102</v>
      </c>
      <c r="EV495" s="819">
        <f t="shared" ca="1" si="218"/>
        <v>495</v>
      </c>
      <c r="EW495" s="819"/>
    </row>
    <row r="496" spans="1:153" s="661" customFormat="1" ht="4">
      <c r="A496" s="677" t="str">
        <f t="shared" ca="1" si="216"/>
        <v>D.1.496</v>
      </c>
      <c r="B496" s="677" t="str">
        <f t="shared" ca="1" si="217"/>
        <v>1.496</v>
      </c>
      <c r="C496" s="677" t="str">
        <f t="shared" si="195"/>
        <v>[496]</v>
      </c>
      <c r="D496" s="677">
        <f>ROW()</f>
        <v>496</v>
      </c>
      <c r="E496" s="680"/>
      <c r="F496" s="680"/>
      <c r="G496" s="680"/>
      <c r="H496" s="680"/>
      <c r="I496" s="679"/>
      <c r="J496" s="679"/>
      <c r="K496" s="679"/>
      <c r="L496" s="679"/>
      <c r="M496" s="679"/>
      <c r="N496" s="680"/>
      <c r="O496" s="871">
        <v>496</v>
      </c>
      <c r="P496" s="688"/>
      <c r="Q496" s="689"/>
      <c r="R496" s="888"/>
      <c r="S496" s="812"/>
      <c r="T496" s="882"/>
      <c r="AB496" s="675"/>
      <c r="AC496" s="675"/>
      <c r="AD496" s="675"/>
      <c r="AE496" s="675"/>
      <c r="AF496" s="675"/>
      <c r="AG496" s="675"/>
      <c r="AH496" s="675"/>
      <c r="AI496" s="675"/>
      <c r="AJ496" s="675"/>
      <c r="AK496" s="675"/>
      <c r="AL496" s="675"/>
      <c r="AM496" s="675"/>
      <c r="AN496" s="675"/>
      <c r="AO496" s="675"/>
      <c r="AP496" s="675"/>
      <c r="AQ496" s="675"/>
      <c r="AR496" s="675"/>
      <c r="AS496" s="675"/>
      <c r="AT496" s="675"/>
      <c r="AU496" s="675"/>
      <c r="AV496" s="675"/>
      <c r="BI496" s="661" t="s">
        <v>126</v>
      </c>
      <c r="BJ496" s="665"/>
      <c r="CU496" s="662"/>
      <c r="CW496" s="662"/>
      <c r="EV496" s="818" t="str">
        <f t="shared" si="218"/>
        <v/>
      </c>
      <c r="EW496" s="818"/>
    </row>
    <row r="497" spans="1:153" s="472" customFormat="1" ht="52">
      <c r="A497" s="654" t="str">
        <f t="shared" ca="1" si="216"/>
        <v>D.1.497</v>
      </c>
      <c r="B497" s="654" t="str">
        <f t="shared" ca="1" si="217"/>
        <v>1.497</v>
      </c>
      <c r="C497" s="654" t="str">
        <f t="shared" ref="C497:C560" si="229">CE$1&amp;D497&amp;CF$1</f>
        <v>[497]</v>
      </c>
      <c r="D497" s="654">
        <f>ROW()</f>
        <v>497</v>
      </c>
      <c r="E497" s="1125" t="str">
        <f t="shared" ref="E497" si="230">CU497</f>
        <v xml:space="preserve">- ZIEL-Ansatz: Energiepflanzenanbau für die Ethanolproduktion ist nicht mehr vorgesehen. Die Nutzung der begrenzten Energiepflanzen-Anbauflächen für Biogas erscheint wegen der erheblich höheren Flächenproduktivität [373] sinnvoller. Dies um so mehr, als der erhebliche Energieaufwand zur Ethanolherstellung zu einem stark reduzierten Netto-Energieertrag führt. </v>
      </c>
      <c r="F497" s="1125"/>
      <c r="G497" s="1125"/>
      <c r="H497" s="1125"/>
      <c r="I497" s="1125"/>
      <c r="J497" s="1125"/>
      <c r="K497" s="1125"/>
      <c r="L497" s="1125"/>
      <c r="M497" s="1125"/>
      <c r="N497" s="1132"/>
      <c r="O497" s="869">
        <v>497</v>
      </c>
      <c r="P497" s="573" t="str">
        <f ca="1">HYPERLINK(EK497,EJ497)</f>
        <v/>
      </c>
      <c r="Q497" s="574" t="str">
        <f>Y497</f>
        <v xml:space="preserve"> </v>
      </c>
      <c r="R497" s="852"/>
      <c r="S497" s="784"/>
      <c r="T497" s="864"/>
      <c r="U497" s="1023" t="str">
        <f>"Energiepflanzenanbau für die Ethanolproduktion ist nicht mehr vorgesehen. Die Nutzung der begrenzten Energiepflanzen-Anbauflächen für Biogas erscheint wegen der erheblich höheren Flächenproduktivität "&amp;C373&amp;" sinnvoller. Dies um so mehr, als der erhebliche Energieaufwand zur Ethanolherstellung zu einem stark reduzierten Netto-Energieertrag führt. "</f>
        <v xml:space="preserve">Energiepflanzenanbau für die Ethanolproduktion ist nicht mehr vorgesehen. Die Nutzung der begrenzten Energiepflanzen-Anbauflächen für Biogas erscheint wegen der erheblich höheren Flächenproduktivität [373] sinnvoller. Dies um so mehr, als der erhebliche Energieaufwand zur Ethanolherstellung zu einem stark reduzierten Netto-Energieertrag führt. </v>
      </c>
      <c r="V497" s="905" t="s">
        <v>126</v>
      </c>
      <c r="W497" s="1024">
        <v>0</v>
      </c>
      <c r="X497" s="672"/>
      <c r="Y497" s="672" t="s">
        <v>126</v>
      </c>
      <c r="Z497" s="1025"/>
      <c r="AA497" s="905"/>
      <c r="AB497" s="801"/>
      <c r="AC497" s="801"/>
      <c r="AD497" s="801"/>
      <c r="AE497" s="801"/>
      <c r="AF497" s="801"/>
      <c r="AG497" s="801"/>
      <c r="AH497" s="801"/>
      <c r="AI497" s="801"/>
      <c r="AJ497" s="801"/>
      <c r="AK497" s="801"/>
      <c r="AL497" s="801"/>
      <c r="AM497" s="801"/>
      <c r="AN497" s="801"/>
      <c r="AO497" s="801"/>
      <c r="AP497" s="801"/>
      <c r="AQ497" s="801"/>
      <c r="AR497" s="801"/>
      <c r="AS497" s="801"/>
      <c r="AT497" s="801"/>
      <c r="AU497" s="801"/>
      <c r="AV497" s="801"/>
      <c r="BF497" s="473"/>
      <c r="BI497" s="472" t="s">
        <v>126</v>
      </c>
      <c r="BJ497" s="490"/>
      <c r="BN497" s="656"/>
      <c r="BO497" s="472" t="s">
        <v>259</v>
      </c>
      <c r="CU497" s="480" t="str">
        <f>CH$1&amp;IF(U497="",BF497,U497)</f>
        <v xml:space="preserve">- ZIEL-Ansatz: Energiepflanzenanbau für die Ethanolproduktion ist nicht mehr vorgesehen. Die Nutzung der begrenzten Energiepflanzen-Anbauflächen für Biogas erscheint wegen der erheblich höheren Flächenproduktivität [373] sinnvoller. Dies um so mehr, als der erhebliche Energieaufwand zur Ethanolherstellung zu einem stark reduzierten Netto-Energieertrag führt. </v>
      </c>
      <c r="CV497" s="656"/>
      <c r="CW497" s="480"/>
      <c r="DS497" s="656"/>
      <c r="DT497" s="518">
        <v>53</v>
      </c>
      <c r="EJ497" s="472" t="str">
        <f>IF(X497=0,"",EJ$1&amp;X497)</f>
        <v/>
      </c>
      <c r="EK497" s="472" t="str">
        <f ca="1">EK$1&amp;X497</f>
        <v>[D_Python.xlsx]9.Quellen!C</v>
      </c>
      <c r="EV497" s="819">
        <f t="shared" si="218"/>
        <v>497</v>
      </c>
      <c r="EW497" s="819"/>
    </row>
    <row r="498" spans="1:153" s="478" customFormat="1" ht="4">
      <c r="A498" s="677" t="str">
        <f t="shared" ca="1" si="216"/>
        <v>D.1.498</v>
      </c>
      <c r="B498" s="677" t="str">
        <f t="shared" ca="1" si="217"/>
        <v>1.498</v>
      </c>
      <c r="C498" s="677" t="str">
        <f t="shared" si="229"/>
        <v>[498]</v>
      </c>
      <c r="D498" s="677">
        <f>ROW()</f>
        <v>498</v>
      </c>
      <c r="E498" s="548"/>
      <c r="F498" s="548"/>
      <c r="G498" s="548"/>
      <c r="H498" s="548"/>
      <c r="I498" s="549"/>
      <c r="J498" s="549"/>
      <c r="K498" s="549"/>
      <c r="L498" s="549"/>
      <c r="M498" s="549"/>
      <c r="N498" s="548"/>
      <c r="O498" s="871">
        <v>498</v>
      </c>
      <c r="P498" s="575"/>
      <c r="Q498" s="576"/>
      <c r="R498" s="888"/>
      <c r="S498" s="802"/>
      <c r="T498" s="882"/>
      <c r="U498" s="661"/>
      <c r="V498" s="661"/>
      <c r="W498" s="661"/>
      <c r="X498" s="661"/>
      <c r="Y498" s="661"/>
      <c r="Z498" s="661"/>
      <c r="AA498" s="661"/>
      <c r="AB498" s="675"/>
      <c r="AC498" s="675"/>
      <c r="AD498" s="675"/>
      <c r="AE498" s="675"/>
      <c r="AF498" s="675"/>
      <c r="AG498" s="675"/>
      <c r="AH498" s="675"/>
      <c r="AI498" s="675"/>
      <c r="AJ498" s="675"/>
      <c r="AK498" s="675"/>
      <c r="AL498" s="675"/>
      <c r="AM498" s="675"/>
      <c r="AN498" s="675"/>
      <c r="AO498" s="675"/>
      <c r="AP498" s="675"/>
      <c r="AQ498" s="675"/>
      <c r="AR498" s="675"/>
      <c r="AS498" s="675"/>
      <c r="AT498" s="675"/>
      <c r="AU498" s="675"/>
      <c r="AV498" s="675"/>
      <c r="AZ498" s="505"/>
      <c r="BB498" s="505"/>
      <c r="BI498" s="478" t="s">
        <v>126</v>
      </c>
      <c r="BJ498" s="489"/>
      <c r="BN498" s="661"/>
      <c r="CU498" s="479"/>
      <c r="CV498" s="661"/>
      <c r="CW498" s="479"/>
      <c r="DS498" s="661"/>
      <c r="EV498" s="818" t="str">
        <f t="shared" si="218"/>
        <v/>
      </c>
      <c r="EW498" s="818"/>
    </row>
    <row r="499" spans="1:153" s="475" customFormat="1" ht="13.5" customHeight="1">
      <c r="A499" s="654" t="str">
        <f t="shared" ca="1" si="216"/>
        <v>D.1.499</v>
      </c>
      <c r="B499" s="654" t="str">
        <f t="shared" ca="1" si="217"/>
        <v>1.499</v>
      </c>
      <c r="C499" s="654" t="str">
        <f t="shared" si="229"/>
        <v>[499]</v>
      </c>
      <c r="D499" s="654">
        <f>ROW()</f>
        <v>499</v>
      </c>
      <c r="E499" s="1129" t="str">
        <f>BP499</f>
        <v>Bioethanol - Energieertrag (brutto)</v>
      </c>
      <c r="F499" s="1129"/>
      <c r="G499" s="1129"/>
      <c r="H499" s="1129"/>
      <c r="I499" s="1129"/>
      <c r="J499" s="559" t="s">
        <v>280</v>
      </c>
      <c r="K499" s="557">
        <f ca="1">INDIRECT($W$1&amp;U499)</f>
        <v>28.216066061830755</v>
      </c>
      <c r="L499" s="485" t="str">
        <f ca="1">HYPERLINK($CK$1&amp;U499,$CE$1&amp;U499&amp;$CF$1)</f>
        <v>[500]</v>
      </c>
      <c r="M499" s="558">
        <f ca="1">INDIRECT($W$1&amp;W499)</f>
        <v>22.572852849464606</v>
      </c>
      <c r="N499" s="533" t="str">
        <f ca="1">HYPERLINK($CK$1&amp;W499,$CE$1&amp;W499&amp;$CF$1)</f>
        <v>[505]</v>
      </c>
      <c r="O499" s="869">
        <v>499</v>
      </c>
      <c r="P499" s="570"/>
      <c r="Q499" s="583"/>
      <c r="R499" s="852"/>
      <c r="S499" s="784"/>
      <c r="T499" s="864"/>
      <c r="U499" s="672">
        <f>D500</f>
        <v>500</v>
      </c>
      <c r="V499" s="905" t="s">
        <v>126</v>
      </c>
      <c r="W499" s="672">
        <f>D505</f>
        <v>505</v>
      </c>
      <c r="X499" s="658"/>
      <c r="Y499" s="658"/>
      <c r="Z499" s="658"/>
      <c r="AA499" s="658"/>
      <c r="AB499" s="801"/>
      <c r="AC499" s="801"/>
      <c r="AD499" s="674"/>
      <c r="AE499" s="674"/>
      <c r="AF499" s="674"/>
      <c r="AG499" s="674"/>
      <c r="AH499" s="674"/>
      <c r="AI499" s="674"/>
      <c r="AJ499" s="674"/>
      <c r="AK499" s="674"/>
      <c r="AL499" s="674"/>
      <c r="AM499" s="674"/>
      <c r="AN499" s="674"/>
      <c r="AO499" s="674"/>
      <c r="AP499" s="674"/>
      <c r="AQ499" s="674"/>
      <c r="AR499" s="674"/>
      <c r="AS499" s="674"/>
      <c r="AT499" s="674"/>
      <c r="AU499" s="674"/>
      <c r="AV499" s="674"/>
      <c r="AX499" s="475" t="s">
        <v>244</v>
      </c>
      <c r="AY499" s="500">
        <f ca="1">DA499</f>
        <v>15.637500000000003</v>
      </c>
      <c r="AZ499" s="508" t="str">
        <f ca="1">HYPERLINK(DN499,DC499)</f>
        <v xml:space="preserve"> 353</v>
      </c>
      <c r="BA499" s="500">
        <f ca="1">DB499</f>
        <v>7.8187500000000014</v>
      </c>
      <c r="BB499" s="508" t="str">
        <f ca="1">HYPERLINK(DO499,DD499)</f>
        <v xml:space="preserve"> 354</v>
      </c>
      <c r="BC499" s="475" t="str">
        <f ca="1">CY499&amp;" | "&amp;CZ499</f>
        <v>Pflanzenöl | 1.2 Energieertrag Pflanzenöl direkt</v>
      </c>
      <c r="BI499" s="475" t="s">
        <v>126</v>
      </c>
      <c r="BJ499" s="492" t="str">
        <f>E499</f>
        <v>Bioethanol - Energieertrag (brutto)</v>
      </c>
      <c r="BK499" s="486">
        <f ca="1">K499</f>
        <v>28.216066061830755</v>
      </c>
      <c r="BL499" s="486">
        <f ca="1">M499</f>
        <v>22.572852849464606</v>
      </c>
      <c r="BM499" s="472">
        <f>D499</f>
        <v>499</v>
      </c>
      <c r="BN499" s="658"/>
      <c r="BO499" s="475" t="s">
        <v>251</v>
      </c>
      <c r="BP499" s="521" t="s">
        <v>576</v>
      </c>
      <c r="CU499" s="476"/>
      <c r="CV499" s="658"/>
      <c r="CW499" s="518">
        <v>92</v>
      </c>
      <c r="CY499" s="472" t="str">
        <f t="shared" ref="CY499:DO499" ca="1" si="231">INDIRECT($CX$1&amp;CY$1&amp;$CW499)</f>
        <v>Pflanzenöl</v>
      </c>
      <c r="CZ499" s="472" t="str">
        <f t="shared" ca="1" si="231"/>
        <v>1.2 Energieertrag Pflanzenöl direkt</v>
      </c>
      <c r="DA499" s="472">
        <f t="shared" ca="1" si="231"/>
        <v>15.637500000000003</v>
      </c>
      <c r="DB499" s="472">
        <f t="shared" ca="1" si="231"/>
        <v>7.8187500000000014</v>
      </c>
      <c r="DC499" s="472" t="str">
        <f t="shared" ca="1" si="231"/>
        <v xml:space="preserve"> 353</v>
      </c>
      <c r="DD499" s="472" t="str">
        <f t="shared" ca="1" si="231"/>
        <v xml:space="preserve"> 354</v>
      </c>
      <c r="DE499" s="472" t="str">
        <f t="shared" ca="1" si="231"/>
        <v>EP92</v>
      </c>
      <c r="DF499" s="472" t="str">
        <f t="shared" ca="1" si="231"/>
        <v>EP92</v>
      </c>
      <c r="DG499" s="472" t="str">
        <f t="shared" ca="1" si="231"/>
        <v>EP</v>
      </c>
      <c r="DH499" s="472" t="str">
        <f t="shared" ca="1" si="231"/>
        <v>92</v>
      </c>
      <c r="DI499" s="472" t="str">
        <f t="shared" ca="1" si="231"/>
        <v>[EP.xls]TEXT!Z92S5</v>
      </c>
      <c r="DJ499" s="472" t="str">
        <f t="shared" ca="1" si="231"/>
        <v>EP</v>
      </c>
      <c r="DK499" s="472" t="str">
        <f t="shared" ca="1" si="231"/>
        <v>92</v>
      </c>
      <c r="DL499" s="472" t="str">
        <f t="shared" ca="1" si="231"/>
        <v>[EP.xls]TEXT!Z92S5</v>
      </c>
      <c r="DM499" s="472">
        <f t="shared" ca="1" si="231"/>
        <v>92</v>
      </c>
      <c r="DN499" s="472" t="str">
        <f t="shared" ca="1" si="231"/>
        <v>[Region.xls]PARAMETER!Z353S6</v>
      </c>
      <c r="DO499" s="472" t="str">
        <f t="shared" ca="1" si="231"/>
        <v>[Region.xls]PARAMETER!Z354S6</v>
      </c>
      <c r="DP499" s="472"/>
      <c r="DS499" s="656"/>
      <c r="DV499" s="472"/>
      <c r="DW499" s="472"/>
      <c r="DX499" s="472"/>
      <c r="DY499" s="472"/>
      <c r="DZ499" s="472"/>
      <c r="EA499" s="472"/>
      <c r="EB499" s="472"/>
      <c r="EC499" s="472"/>
      <c r="ED499" s="472"/>
      <c r="EE499" s="472"/>
      <c r="EF499" s="472"/>
      <c r="EG499" s="472"/>
      <c r="EH499" s="472"/>
      <c r="EI499" s="472"/>
      <c r="EJ499" s="472"/>
      <c r="EK499" s="472"/>
      <c r="EV499" s="819">
        <f t="shared" si="218"/>
        <v>499</v>
      </c>
      <c r="EW499" s="819"/>
    </row>
    <row r="500" spans="1:153" s="656" customFormat="1" ht="39">
      <c r="A500" s="654" t="str">
        <f t="shared" ca="1" si="216"/>
        <v>D.1.500</v>
      </c>
      <c r="B500" s="654" t="str">
        <f t="shared" ca="1" si="217"/>
        <v>1.500</v>
      </c>
      <c r="C500" s="654" t="str">
        <f t="shared" si="229"/>
        <v>[500]</v>
      </c>
      <c r="D500" s="654">
        <f>ROW()</f>
        <v>500</v>
      </c>
      <c r="E500" s="1130" t="str">
        <f>CU500</f>
        <v>- STATUS-Ansatz: Resultiert aus einem durchschnittlichen Bioethanol-Ertrag aus Getreide- und Zuckerrübenanbau von 4.823 l/ha/a  gemäß [501] und einem Bioethanol-Heizwert von 21,1 MJ/l  gemäß [503]: 101.578 MJ/ha/a  entsprechend 28,2 MWh/ha/a.</v>
      </c>
      <c r="F500" s="1130"/>
      <c r="G500" s="1130"/>
      <c r="H500" s="1130"/>
      <c r="I500" s="1130"/>
      <c r="J500" s="1130"/>
      <c r="K500" s="1130"/>
      <c r="L500" s="1130"/>
      <c r="M500" s="1130"/>
      <c r="N500" s="1131"/>
      <c r="O500" s="869">
        <v>500</v>
      </c>
      <c r="P500" s="691" t="str">
        <f ca="1">HYPERLINK(EK500,EJ500)</f>
        <v/>
      </c>
      <c r="Q500" s="692" t="str">
        <f>Y500</f>
        <v xml:space="preserve"> </v>
      </c>
      <c r="R500" s="852"/>
      <c r="S500" s="784"/>
      <c r="T500" s="864"/>
      <c r="U500" s="1023" t="str">
        <f>"Resultiert aus einem durchschnittlichen Bioethanol-Ertrag aus Getreide- und Zuckerrübenanbau von "&amp;TEXT(AD500,"0.000")&amp;AE500&amp;" gemäß "&amp;C501&amp;" und einem Bioethanol-Heizwert von "&amp;TEXT(AF500,"0,0")&amp;AG500&amp;" gemäß "&amp;C503&amp;": "&amp;TEXT(AH500,"0.000")&amp;AI500&amp;" entsprechend "&amp;TEXT(AJ500,"0,0")&amp;AK500&amp;"."</f>
        <v>Resultiert aus einem durchschnittlichen Bioethanol-Ertrag aus Getreide- und Zuckerrübenanbau von 4.823 l/ha/a  gemäß [501] und einem Bioethanol-Heizwert von 21,1 MJ/l  gemäß [503]: 101.578 MJ/ha/a  entsprechend 28,2 MWh/ha/a.</v>
      </c>
      <c r="V500" s="905" t="s">
        <v>126</v>
      </c>
      <c r="W500" s="1024">
        <f>AJ500</f>
        <v>28.216066061830755</v>
      </c>
      <c r="X500" s="672"/>
      <c r="Y500" s="672" t="s">
        <v>126</v>
      </c>
      <c r="Z500" s="1025"/>
      <c r="AA500" s="658"/>
      <c r="AB500" s="801"/>
      <c r="AC500" s="801"/>
      <c r="AD500" s="801">
        <f>AL501</f>
        <v>4823.2591558685053</v>
      </c>
      <c r="AE500" s="801" t="s">
        <v>560</v>
      </c>
      <c r="AF500" s="801">
        <f>AF503</f>
        <v>21.06</v>
      </c>
      <c r="AG500" s="801" t="str">
        <f>AG503</f>
        <v xml:space="preserve"> MJ/l </v>
      </c>
      <c r="AH500" s="801">
        <f>AD500*AF500</f>
        <v>101577.83782259072</v>
      </c>
      <c r="AI500" s="801" t="s">
        <v>562</v>
      </c>
      <c r="AJ500" s="801">
        <f>AH500/3600</f>
        <v>28.216066061830755</v>
      </c>
      <c r="AK500" s="801" t="s">
        <v>386</v>
      </c>
      <c r="AL500" s="801"/>
      <c r="AM500" s="801"/>
      <c r="AN500" s="801"/>
      <c r="AO500" s="801"/>
      <c r="AP500" s="801"/>
      <c r="AQ500" s="801"/>
      <c r="AR500" s="801"/>
      <c r="AS500" s="801"/>
      <c r="AT500" s="801"/>
      <c r="AU500" s="801"/>
      <c r="AV500" s="801"/>
      <c r="BF500" s="657"/>
      <c r="BI500" s="656" t="s">
        <v>126</v>
      </c>
      <c r="BJ500" s="666"/>
      <c r="BO500" s="656" t="s">
        <v>259</v>
      </c>
      <c r="CU500" s="663" t="str">
        <f>CG$1&amp;IF(U500="",BF500,U500)</f>
        <v>- STATUS-Ansatz: Resultiert aus einem durchschnittlichen Bioethanol-Ertrag aus Getreide- und Zuckerrübenanbau von 4.823 l/ha/a  gemäß [501] und einem Bioethanol-Heizwert von 21,1 MJ/l  gemäß [503]: 101.578 MJ/ha/a  entsprechend 28,2 MWh/ha/a.</v>
      </c>
      <c r="CW500" s="663"/>
      <c r="DT500" s="671">
        <f>I_Basisdaten!A228</f>
        <v>0</v>
      </c>
      <c r="EJ500" s="656" t="str">
        <f>IF(X500=0,"",EJ$1&amp;X500)</f>
        <v/>
      </c>
      <c r="EK500" s="656" t="str">
        <f ca="1">EK$1&amp;X500</f>
        <v>[D_Python.xlsx]9.Quellen!C</v>
      </c>
      <c r="EV500" s="819">
        <f t="shared" si="218"/>
        <v>500</v>
      </c>
      <c r="EW500" s="819"/>
    </row>
    <row r="501" spans="1:153" s="656" customFormat="1" ht="65">
      <c r="A501" s="654" t="str">
        <f t="shared" ca="1" si="216"/>
        <v>D.1.501</v>
      </c>
      <c r="B501" s="654" t="str">
        <f t="shared" ca="1" si="217"/>
        <v>1.501</v>
      </c>
      <c r="C501" s="654" t="str">
        <f t="shared" si="229"/>
        <v>[501]</v>
      </c>
      <c r="D501" s="654">
        <f>ROW()</f>
        <v>501</v>
      </c>
      <c r="E501" s="1130" t="str">
        <f ca="1">CU501</f>
        <v>Gemäß [9.102] S. 27 liegt der durchschnittliche Bioethanolertrag aus Weizen bei 2.926 l/ha/a , dieser Wert wird als Durchschnitt für Bioethanol aus Getreide genutzt (Mais liegt höher, andere Getreidesorten niedriger, deren Anteile sind nicht bekannt). Der Ertrag aus Zuckerrüben liegt danach bei 7.700 l/ha/a.  Ein durchschnittlicher Bioethanolertrag von 4.823 l/ha/a resultiert aus dem gewichteten Mittel entsprechend der Anteile an der Bioethanolproduktion [502].</v>
      </c>
      <c r="F501" s="1130"/>
      <c r="G501" s="1130"/>
      <c r="H501" s="1130"/>
      <c r="I501" s="1130"/>
      <c r="J501" s="1130"/>
      <c r="K501" s="1130"/>
      <c r="L501" s="1130"/>
      <c r="M501" s="1130"/>
      <c r="N501" s="1131"/>
      <c r="O501" s="869">
        <v>501</v>
      </c>
      <c r="P501" s="691" t="str">
        <f ca="1">HYPERLINK(EK501,EJ501)</f>
        <v>9.102</v>
      </c>
      <c r="Q501" s="692" t="str">
        <f>Y501</f>
        <v>S. 27</v>
      </c>
      <c r="R501" s="852"/>
      <c r="S501" s="784"/>
      <c r="T501" s="864"/>
      <c r="U501" s="1023" t="str">
        <f ca="1">"Gemäß ["&amp;P501&amp;"] "&amp;Q501&amp;" liegt der durchschnittliche Bioethanolertrag aus Weizen bei "&amp;TEXT(AD501,"0.000")&amp;AE501&amp;", dieser Wert wird als Durchschnitt für Bioethanol aus Getreide genutzt (Mais liegt höher, andere Getreidesorten niedriger, deren Anteile sind nicht bekannt). Der Ertrag aus Zuckerrüben liegt danach bei "&amp;TEXT(AF501,"0.000")&amp;AG501&amp;".  Ein durchschnittlicher Bioethanolertrag von "&amp;TEXT(AL501,"0.000")&amp;AM501&amp;" resultiert aus dem gewichteten Mittel entsprechend der Anteile an der Bioethanolproduktion "&amp;C502&amp;"."</f>
        <v>Gemäß [9.102] S. 27 liegt der durchschnittliche Bioethanolertrag aus Weizen bei 2.926 l/ha/a , dieser Wert wird als Durchschnitt für Bioethanol aus Getreide genutzt (Mais liegt höher, andere Getreidesorten niedriger, deren Anteile sind nicht bekannt). Der Ertrag aus Zuckerrüben liegt danach bei 7.700 l/ha/a.  Ein durchschnittlicher Bioethanolertrag von 4.823 l/ha/a resultiert aus dem gewichteten Mittel entsprechend der Anteile an der Bioethanolproduktion [502].</v>
      </c>
      <c r="V501" s="905" t="s">
        <v>126</v>
      </c>
      <c r="W501" s="1024"/>
      <c r="X501" s="672">
        <f>'9.Quellen'!C102</f>
        <v>102</v>
      </c>
      <c r="Y501" s="672" t="s">
        <v>577</v>
      </c>
      <c r="Z501" s="1025"/>
      <c r="AA501" s="905"/>
      <c r="AB501" s="801"/>
      <c r="AC501" s="801"/>
      <c r="AD501" s="801">
        <v>2926</v>
      </c>
      <c r="AE501" s="801" t="s">
        <v>560</v>
      </c>
      <c r="AF501" s="801">
        <v>7700</v>
      </c>
      <c r="AG501" s="801" t="s">
        <v>581</v>
      </c>
      <c r="AH501" s="801">
        <f>AJ502</f>
        <v>60.258501133881332</v>
      </c>
      <c r="AI501" s="801" t="str">
        <f>AK502</f>
        <v xml:space="preserve">% </v>
      </c>
      <c r="AJ501" s="801">
        <f>AL502</f>
        <v>39.741498866118675</v>
      </c>
      <c r="AK501" s="801" t="str">
        <f>AM502</f>
        <v xml:space="preserve">% </v>
      </c>
      <c r="AL501" s="801">
        <f>AD501*AH501%+AF501*AJ501%</f>
        <v>4823.2591558685053</v>
      </c>
      <c r="AM501" s="801" t="s">
        <v>581</v>
      </c>
      <c r="AN501" s="801"/>
      <c r="AO501" s="801"/>
      <c r="AP501" s="801"/>
      <c r="AQ501" s="801"/>
      <c r="AR501" s="801"/>
      <c r="AS501" s="801"/>
      <c r="AT501" s="801"/>
      <c r="AU501" s="801"/>
      <c r="AV501" s="801"/>
      <c r="BF501" s="657"/>
      <c r="BI501" s="656" t="s">
        <v>126</v>
      </c>
      <c r="BJ501" s="666"/>
      <c r="BO501" s="656" t="s">
        <v>252</v>
      </c>
      <c r="CU501" s="663" t="str">
        <f ca="1">IF(U501="",BF501,U501)</f>
        <v>Gemäß [9.102] S. 27 liegt der durchschnittliche Bioethanolertrag aus Weizen bei 2.926 l/ha/a , dieser Wert wird als Durchschnitt für Bioethanol aus Getreide genutzt (Mais liegt höher, andere Getreidesorten niedriger, deren Anteile sind nicht bekannt). Der Ertrag aus Zuckerrüben liegt danach bei 7.700 l/ha/a.  Ein durchschnittlicher Bioethanolertrag von 4.823 l/ha/a resultiert aus dem gewichteten Mittel entsprechend der Anteile an der Bioethanolproduktion [502].</v>
      </c>
      <c r="CW501" s="663"/>
      <c r="DT501" s="671"/>
      <c r="EJ501" s="656" t="str">
        <f ca="1">IF(X501=0,"",EJ$1&amp;X501)</f>
        <v>9.102</v>
      </c>
      <c r="EK501" s="656" t="str">
        <f ca="1">EK$1&amp;X501</f>
        <v>[D_Python.xlsx]9.Quellen!C102</v>
      </c>
      <c r="EV501" s="819">
        <f t="shared" ca="1" si="218"/>
        <v>501</v>
      </c>
      <c r="EW501" s="819"/>
    </row>
    <row r="502" spans="1:153" s="656" customFormat="1" ht="26">
      <c r="A502" s="654" t="str">
        <f t="shared" ca="1" si="216"/>
        <v>D.1.502</v>
      </c>
      <c r="B502" s="654" t="str">
        <f t="shared" ca="1" si="217"/>
        <v>1.502</v>
      </c>
      <c r="C502" s="654" t="str">
        <f t="shared" si="229"/>
        <v>[502]</v>
      </c>
      <c r="D502" s="654">
        <f>ROW()</f>
        <v>502</v>
      </c>
      <c r="E502" s="1130" t="str">
        <f ca="1">CU502</f>
        <v xml:space="preserve">Gemäß [9.267] stammten 60,3%  (404.954 t ) der deutschen Bioethanolproduktion 2013 aus Getreide, 39,7%  (267.074 t  ) aus Zuckerrüben. </v>
      </c>
      <c r="F502" s="1130"/>
      <c r="G502" s="1130"/>
      <c r="H502" s="1130"/>
      <c r="I502" s="1130"/>
      <c r="J502" s="1130"/>
      <c r="K502" s="1130"/>
      <c r="L502" s="1130"/>
      <c r="M502" s="1130"/>
      <c r="N502" s="1131"/>
      <c r="O502" s="869">
        <v>502</v>
      </c>
      <c r="P502" s="691" t="str">
        <f ca="1">HYPERLINK(EK502,EJ502)</f>
        <v>9.267</v>
      </c>
      <c r="Q502" s="692" t="str">
        <f>Y502</f>
        <v xml:space="preserve"> </v>
      </c>
      <c r="R502" s="852"/>
      <c r="S502" s="784"/>
      <c r="T502" s="864"/>
      <c r="U502" s="1023" t="str">
        <f ca="1">"Gemäß ["&amp;P502&amp;"] stammten "&amp;TEXT(AJ502,"0,0")&amp;AK502&amp;" ("&amp;TEXT(AD502,"0.000")&amp;AE502&amp;") der deutschen Bioethanolproduktion 2013 aus Getreide, "&amp;TEXT(AL502,"0,0")&amp;AK502&amp;" ("&amp;TEXT(AF502,"0.000")&amp;AI502&amp;Q502&amp;") aus Zuckerrüben. "</f>
        <v xml:space="preserve">Gemäß [9.267] stammten 60,3%  (404.954 t ) der deutschen Bioethanolproduktion 2013 aus Getreide, 39,7%  (267.074 t  ) aus Zuckerrüben. </v>
      </c>
      <c r="V502" s="905" t="s">
        <v>126</v>
      </c>
      <c r="W502" s="1024"/>
      <c r="X502" s="672">
        <f>'9.Quellen'!C267</f>
        <v>267</v>
      </c>
      <c r="Y502" s="672" t="s">
        <v>126</v>
      </c>
      <c r="Z502" s="1025"/>
      <c r="AA502" s="905"/>
      <c r="AB502" s="801"/>
      <c r="AC502" s="801"/>
      <c r="AD502" s="801">
        <v>404954</v>
      </c>
      <c r="AE502" s="801" t="s">
        <v>578</v>
      </c>
      <c r="AF502" s="801">
        <v>267074</v>
      </c>
      <c r="AG502" s="801" t="s">
        <v>578</v>
      </c>
      <c r="AH502" s="801">
        <f>AD502+AF502</f>
        <v>672028</v>
      </c>
      <c r="AI502" s="801" t="s">
        <v>578</v>
      </c>
      <c r="AJ502" s="801">
        <f>AD502/AH502%</f>
        <v>60.258501133881332</v>
      </c>
      <c r="AK502" s="801" t="s">
        <v>835</v>
      </c>
      <c r="AL502" s="801">
        <f>AF502/AH502%</f>
        <v>39.741498866118675</v>
      </c>
      <c r="AM502" s="801" t="s">
        <v>835</v>
      </c>
      <c r="AN502" s="801"/>
      <c r="AO502" s="801"/>
      <c r="AP502" s="801"/>
      <c r="AQ502" s="801"/>
      <c r="AR502" s="801"/>
      <c r="AS502" s="801"/>
      <c r="AT502" s="801"/>
      <c r="AU502" s="801"/>
      <c r="AV502" s="801"/>
      <c r="BF502" s="657"/>
      <c r="BI502" s="656" t="s">
        <v>126</v>
      </c>
      <c r="BJ502" s="666"/>
      <c r="BO502" s="656" t="s">
        <v>252</v>
      </c>
      <c r="CU502" s="663" t="str">
        <f ca="1">IF(U502="",BF502,U502)</f>
        <v xml:space="preserve">Gemäß [9.267] stammten 60,3%  (404.954 t ) der deutschen Bioethanolproduktion 2013 aus Getreide, 39,7%  (267.074 t  ) aus Zuckerrüben. </v>
      </c>
      <c r="CW502" s="663"/>
      <c r="DT502" s="671"/>
      <c r="EJ502" s="656" t="str">
        <f ca="1">IF(X502=0,"",EJ$1&amp;X502)</f>
        <v>9.267</v>
      </c>
      <c r="EK502" s="656" t="str">
        <f ca="1">EK$1&amp;X502</f>
        <v>[D_Python.xlsx]9.Quellen!C267</v>
      </c>
      <c r="EV502" s="819">
        <f t="shared" ca="1" si="218"/>
        <v>502</v>
      </c>
      <c r="EW502" s="819"/>
    </row>
    <row r="503" spans="1:153" s="656" customFormat="1">
      <c r="A503" s="654" t="str">
        <f t="shared" ca="1" si="216"/>
        <v>D.1.503</v>
      </c>
      <c r="B503" s="654" t="str">
        <f t="shared" ca="1" si="217"/>
        <v>1.503</v>
      </c>
      <c r="C503" s="654" t="str">
        <f t="shared" si="229"/>
        <v>[503]</v>
      </c>
      <c r="D503" s="654">
        <f>ROW()</f>
        <v>503</v>
      </c>
      <c r="E503" s="1130" t="str">
        <f ca="1">CU503</f>
        <v xml:space="preserve">Heizwert Bioethanol gemäß [9.102] S. 30: 21,06 MJ/l . </v>
      </c>
      <c r="F503" s="1130"/>
      <c r="G503" s="1130"/>
      <c r="H503" s="1130"/>
      <c r="I503" s="1130"/>
      <c r="J503" s="1130"/>
      <c r="K503" s="1130"/>
      <c r="L503" s="1130"/>
      <c r="M503" s="1130"/>
      <c r="N503" s="1131"/>
      <c r="O503" s="869">
        <v>503</v>
      </c>
      <c r="P503" s="691" t="str">
        <f ca="1">HYPERLINK(EK503,EJ503)</f>
        <v>9.102</v>
      </c>
      <c r="Q503" s="692" t="str">
        <f>Y503</f>
        <v>S. 30</v>
      </c>
      <c r="R503" s="852"/>
      <c r="S503" s="784"/>
      <c r="T503" s="864"/>
      <c r="U503" s="1023" t="str">
        <f ca="1">"Heizwert Bioethanol gemäß ["&amp;P503&amp;"] "&amp;Q503&amp;": "&amp;AF503&amp;AG503&amp;". "</f>
        <v xml:space="preserve">Heizwert Bioethanol gemäß [9.102] S. 30: 21,06 MJ/l . </v>
      </c>
      <c r="V503" s="905" t="s">
        <v>126</v>
      </c>
      <c r="W503" s="1024"/>
      <c r="X503" s="672">
        <f>'9.Quellen'!C102</f>
        <v>102</v>
      </c>
      <c r="Y503" s="672" t="s">
        <v>1028</v>
      </c>
      <c r="Z503" s="1025"/>
      <c r="AA503" s="905"/>
      <c r="AB503" s="801"/>
      <c r="AC503" s="801"/>
      <c r="AD503" s="801"/>
      <c r="AE503" s="801"/>
      <c r="AF503" s="801">
        <v>21.06</v>
      </c>
      <c r="AG503" s="801" t="s">
        <v>561</v>
      </c>
      <c r="AH503" s="801"/>
      <c r="AI503" s="801"/>
      <c r="AJ503" s="801"/>
      <c r="AK503" s="801"/>
      <c r="AL503" s="801"/>
      <c r="AM503" s="801"/>
      <c r="AN503" s="801"/>
      <c r="AO503" s="801"/>
      <c r="AP503" s="801"/>
      <c r="AQ503" s="801"/>
      <c r="AR503" s="801"/>
      <c r="AS503" s="801"/>
      <c r="AT503" s="801"/>
      <c r="AU503" s="801"/>
      <c r="AV503" s="801"/>
      <c r="BF503" s="657"/>
      <c r="BI503" s="656" t="s">
        <v>126</v>
      </c>
      <c r="BJ503" s="666"/>
      <c r="BO503" s="656" t="s">
        <v>252</v>
      </c>
      <c r="CU503" s="663" t="str">
        <f ca="1">IF(U503="",BF503,U503)</f>
        <v xml:space="preserve">Heizwert Bioethanol gemäß [9.102] S. 30: 21,06 MJ/l . </v>
      </c>
      <c r="CW503" s="663"/>
      <c r="DT503" s="671"/>
      <c r="EJ503" s="656" t="str">
        <f ca="1">IF(X503=0,"",EJ$1&amp;X503)</f>
        <v>9.102</v>
      </c>
      <c r="EK503" s="656" t="str">
        <f ca="1">EK$1&amp;X503</f>
        <v>[D_Python.xlsx]9.Quellen!C102</v>
      </c>
      <c r="EV503" s="819">
        <f t="shared" ca="1" si="218"/>
        <v>503</v>
      </c>
      <c r="EW503" s="819"/>
    </row>
    <row r="504" spans="1:153" s="661" customFormat="1" ht="4">
      <c r="A504" s="677" t="str">
        <f t="shared" ca="1" si="216"/>
        <v>D.1.504</v>
      </c>
      <c r="B504" s="677" t="str">
        <f t="shared" ca="1" si="217"/>
        <v>1.504</v>
      </c>
      <c r="C504" s="677" t="str">
        <f t="shared" si="229"/>
        <v>[504]</v>
      </c>
      <c r="D504" s="677">
        <f>ROW()</f>
        <v>504</v>
      </c>
      <c r="E504" s="680"/>
      <c r="F504" s="680"/>
      <c r="G504" s="680"/>
      <c r="H504" s="680"/>
      <c r="I504" s="679"/>
      <c r="J504" s="679"/>
      <c r="K504" s="679"/>
      <c r="L504" s="679"/>
      <c r="M504" s="679"/>
      <c r="N504" s="680"/>
      <c r="O504" s="871">
        <v>504</v>
      </c>
      <c r="P504" s="688"/>
      <c r="Q504" s="689"/>
      <c r="R504" s="888"/>
      <c r="S504" s="809"/>
      <c r="T504" s="882"/>
      <c r="AB504" s="675"/>
      <c r="AC504" s="675"/>
      <c r="AD504" s="675"/>
      <c r="AE504" s="675"/>
      <c r="AF504" s="675"/>
      <c r="AG504" s="675"/>
      <c r="AH504" s="675"/>
      <c r="AI504" s="675"/>
      <c r="AJ504" s="675"/>
      <c r="AK504" s="675"/>
      <c r="AL504" s="675"/>
      <c r="AM504" s="675"/>
      <c r="AN504" s="675"/>
      <c r="AO504" s="675"/>
      <c r="AP504" s="675"/>
      <c r="AQ504" s="675"/>
      <c r="AR504" s="675"/>
      <c r="AS504" s="675"/>
      <c r="AT504" s="675"/>
      <c r="AU504" s="675"/>
      <c r="AV504" s="675"/>
      <c r="BI504" s="661" t="s">
        <v>126</v>
      </c>
      <c r="BJ504" s="665"/>
      <c r="CU504" s="662"/>
      <c r="CW504" s="662"/>
      <c r="EV504" s="818" t="str">
        <f t="shared" si="218"/>
        <v/>
      </c>
      <c r="EW504" s="818"/>
    </row>
    <row r="505" spans="1:153" s="656" customFormat="1" ht="39">
      <c r="A505" s="654" t="str">
        <f t="shared" ca="1" si="216"/>
        <v>D.1.505</v>
      </c>
      <c r="B505" s="654" t="str">
        <f t="shared" ca="1" si="217"/>
        <v>1.505</v>
      </c>
      <c r="C505" s="654" t="str">
        <f t="shared" si="229"/>
        <v>[505]</v>
      </c>
      <c r="D505" s="654">
        <f>ROW()</f>
        <v>505</v>
      </c>
      <c r="E505" s="1125" t="str">
        <f t="shared" ref="E505" si="232">CU505</f>
        <v>- ZIEL-Ansatz: 22,6 MWh/ha/a entsprechend 80 % vom Status resultieren aus dem Versuch einer Abwägung der steigernden Einflüsse [506] und der senkenden Einflüsse [507] auf den Biodethanol-Ertrag, die aus heutiger Sicht nur umrisshaft erkennbar sind.</v>
      </c>
      <c r="F505" s="1125"/>
      <c r="G505" s="1125"/>
      <c r="H505" s="1125"/>
      <c r="I505" s="1125"/>
      <c r="J505" s="1125"/>
      <c r="K505" s="1125"/>
      <c r="L505" s="1125"/>
      <c r="M505" s="1125"/>
      <c r="N505" s="1132"/>
      <c r="O505" s="869">
        <v>505</v>
      </c>
      <c r="P505" s="691" t="str">
        <f ca="1">HYPERLINK(EK505,EJ505)</f>
        <v/>
      </c>
      <c r="Q505" s="692" t="str">
        <f>Y505</f>
        <v xml:space="preserve"> </v>
      </c>
      <c r="R505" s="852"/>
      <c r="S505" s="784"/>
      <c r="T505" s="864"/>
      <c r="U505" s="1023" t="str">
        <f>TEXT(W505,"0,0")&amp;" MWh/ha/a entsprechend "&amp;AF505&amp;" % vom Status resultieren aus dem Versuch einer Abwägung der steigernden Einflüsse "&amp;C506&amp;" und der senkenden Einflüsse "&amp;C507&amp;" auf den Biodethanol-Ertrag, die aus heutiger Sicht nur umrisshaft erkennbar sind."</f>
        <v>22,6 MWh/ha/a entsprechend 80 % vom Status resultieren aus dem Versuch einer Abwägung der steigernden Einflüsse [506] und der senkenden Einflüsse [507] auf den Biodethanol-Ertrag, die aus heutiger Sicht nur umrisshaft erkennbar sind.</v>
      </c>
      <c r="V505" s="905" t="s">
        <v>126</v>
      </c>
      <c r="W505" s="1034">
        <f>AH505</f>
        <v>22.572852849464606</v>
      </c>
      <c r="X505" s="672"/>
      <c r="Y505" s="672" t="s">
        <v>126</v>
      </c>
      <c r="Z505" s="1025"/>
      <c r="AA505" s="905"/>
      <c r="AB505" s="801"/>
      <c r="AC505" s="801"/>
      <c r="AD505" s="801">
        <f>AJ500</f>
        <v>28.216066061830755</v>
      </c>
      <c r="AE505" s="801" t="str">
        <f>AK500</f>
        <v xml:space="preserve"> MWh/ha/a</v>
      </c>
      <c r="AF505" s="801">
        <v>80</v>
      </c>
      <c r="AG505" s="801" t="s">
        <v>835</v>
      </c>
      <c r="AH505" s="801">
        <f>AD505*AF505%</f>
        <v>22.572852849464606</v>
      </c>
      <c r="AI505" s="801" t="s">
        <v>410</v>
      </c>
      <c r="AJ505" s="801"/>
      <c r="AK505" s="801"/>
      <c r="AL505" s="801"/>
      <c r="AM505" s="801"/>
      <c r="AN505" s="801"/>
      <c r="AO505" s="801"/>
      <c r="AP505" s="801"/>
      <c r="AQ505" s="801"/>
      <c r="AR505" s="801"/>
      <c r="AS505" s="801"/>
      <c r="AT505" s="801"/>
      <c r="AU505" s="801"/>
      <c r="AV505" s="801"/>
      <c r="BF505" s="657"/>
      <c r="BI505" s="656" t="s">
        <v>126</v>
      </c>
      <c r="BJ505" s="666"/>
      <c r="BO505" s="656" t="s">
        <v>259</v>
      </c>
      <c r="CU505" s="663" t="str">
        <f>CH$1&amp;IF(U505="",BF505,U505)</f>
        <v>- ZIEL-Ansatz: 22,6 MWh/ha/a entsprechend 80 % vom Status resultieren aus dem Versuch einer Abwägung der steigernden Einflüsse [506] und der senkenden Einflüsse [507] auf den Biodethanol-Ertrag, die aus heutiger Sicht nur umrisshaft erkennbar sind.</v>
      </c>
      <c r="CW505" s="663"/>
      <c r="DT505" s="671">
        <v>53</v>
      </c>
      <c r="EJ505" s="656" t="str">
        <f>IF(X505=0,"",EJ$1&amp;X505)</f>
        <v/>
      </c>
      <c r="EK505" s="656" t="str">
        <f ca="1">EK$1&amp;X505</f>
        <v>[D_Python.xlsx]9.Quellen!C</v>
      </c>
      <c r="EV505" s="819">
        <f t="shared" si="218"/>
        <v>505</v>
      </c>
      <c r="EW505" s="819"/>
    </row>
    <row r="506" spans="1:153" s="656" customFormat="1" ht="26">
      <c r="A506" s="654" t="str">
        <f t="shared" ca="1" si="216"/>
        <v>D.1.506</v>
      </c>
      <c r="B506" s="654" t="str">
        <f t="shared" ca="1" si="217"/>
        <v>1.506</v>
      </c>
      <c r="C506" s="654" t="str">
        <f t="shared" si="229"/>
        <v>[506]</v>
      </c>
      <c r="D506" s="654">
        <f>ROW()</f>
        <v>506</v>
      </c>
      <c r="E506" s="1125" t="str">
        <f>CU506</f>
        <v>Steigernde Einflüsse sind nur noch in geringem Umfang zu erwarten:  Weitere Optimierung von Sorten, Ackerbau und Herstellungsprozess, ausgehend von einem bereits hohen erreichten Standard.</v>
      </c>
      <c r="F506" s="1125"/>
      <c r="G506" s="1125"/>
      <c r="H506" s="1125"/>
      <c r="I506" s="1125"/>
      <c r="J506" s="1125"/>
      <c r="K506" s="1125"/>
      <c r="L506" s="1125"/>
      <c r="M506" s="1125"/>
      <c r="N506" s="1132"/>
      <c r="O506" s="869">
        <v>506</v>
      </c>
      <c r="P506" s="691" t="str">
        <f ca="1">HYPERLINK(EK506,EJ506)</f>
        <v/>
      </c>
      <c r="Q506" s="692" t="str">
        <f>Y506</f>
        <v xml:space="preserve"> </v>
      </c>
      <c r="R506" s="852"/>
      <c r="S506" s="784"/>
      <c r="T506" s="864"/>
      <c r="U506" s="1033" t="str">
        <f>"Steigernde Einflüsse sind nur noch in geringem Umfang zu erwarten:  Weitere Optimierung von Sorten, Ackerbau und Herstellungsprozess, ausgehend von einem bereits hohen erreichten Standard."</f>
        <v>Steigernde Einflüsse sind nur noch in geringem Umfang zu erwarten:  Weitere Optimierung von Sorten, Ackerbau und Herstellungsprozess, ausgehend von einem bereits hohen erreichten Standard.</v>
      </c>
      <c r="V506" s="905" t="s">
        <v>126</v>
      </c>
      <c r="W506" s="1024"/>
      <c r="X506" s="672"/>
      <c r="Y506" s="672" t="s">
        <v>126</v>
      </c>
      <c r="Z506" s="1025"/>
      <c r="AA506" s="905"/>
      <c r="AB506" s="801"/>
      <c r="AC506" s="801"/>
      <c r="AD506" s="801"/>
      <c r="AE506" s="801"/>
      <c r="AF506" s="801"/>
      <c r="AG506" s="801"/>
      <c r="AH506" s="801"/>
      <c r="AI506" s="801"/>
      <c r="AJ506" s="801"/>
      <c r="AK506" s="801"/>
      <c r="AL506" s="801"/>
      <c r="AM506" s="801"/>
      <c r="AN506" s="801"/>
      <c r="AO506" s="801"/>
      <c r="AP506" s="801"/>
      <c r="AQ506" s="801"/>
      <c r="AR506" s="801"/>
      <c r="AS506" s="801"/>
      <c r="AT506" s="801"/>
      <c r="AU506" s="801"/>
      <c r="AV506" s="801"/>
      <c r="BF506" s="657"/>
      <c r="BI506" s="656" t="s">
        <v>126</v>
      </c>
      <c r="BJ506" s="666"/>
      <c r="BO506" s="656" t="s">
        <v>252</v>
      </c>
      <c r="CU506" s="663" t="str">
        <f>IF(U506="",BF506,U506)</f>
        <v>Steigernde Einflüsse sind nur noch in geringem Umfang zu erwarten:  Weitere Optimierung von Sorten, Ackerbau und Herstellungsprozess, ausgehend von einem bereits hohen erreichten Standard.</v>
      </c>
      <c r="CW506" s="663"/>
      <c r="DT506" s="671"/>
      <c r="EJ506" s="656" t="str">
        <f>IF(X506=0,"",EJ$1&amp;X506)</f>
        <v/>
      </c>
      <c r="EK506" s="656" t="str">
        <f ca="1">EK$1&amp;X506</f>
        <v>[D_Python.xlsx]9.Quellen!C</v>
      </c>
      <c r="EV506" s="819">
        <f t="shared" si="218"/>
        <v>506</v>
      </c>
      <c r="EW506" s="819"/>
    </row>
    <row r="507" spans="1:153" s="656" customFormat="1" ht="26">
      <c r="A507" s="654" t="str">
        <f t="shared" ca="1" si="216"/>
        <v>D.1.507</v>
      </c>
      <c r="B507" s="654" t="str">
        <f t="shared" ca="1" si="217"/>
        <v>1.507</v>
      </c>
      <c r="C507" s="654" t="str">
        <f t="shared" si="229"/>
        <v>[507]</v>
      </c>
      <c r="D507" s="654">
        <f>ROW()</f>
        <v>507</v>
      </c>
      <c r="E507" s="1125" t="str">
        <f>CU507</f>
        <v xml:space="preserve">Senkende Einflüsse könnten dagegen in erheblichem Umfang wirksam werden: Optimierung hinsichtlich Einschränkungen beim Pflanzenschutz, Ökolandbau, Biodiversität. </v>
      </c>
      <c r="F507" s="1125"/>
      <c r="G507" s="1125"/>
      <c r="H507" s="1125"/>
      <c r="I507" s="1125"/>
      <c r="J507" s="1125"/>
      <c r="K507" s="1125"/>
      <c r="L507" s="1125"/>
      <c r="M507" s="1125"/>
      <c r="N507" s="1132"/>
      <c r="O507" s="869">
        <v>507</v>
      </c>
      <c r="P507" s="691" t="str">
        <f ca="1">HYPERLINK(EK507,EJ507)</f>
        <v/>
      </c>
      <c r="Q507" s="692" t="str">
        <f>Y507</f>
        <v xml:space="preserve"> </v>
      </c>
      <c r="R507" s="852"/>
      <c r="S507" s="784"/>
      <c r="T507" s="864"/>
      <c r="U507" s="1033" t="str">
        <f>"Senkende Einflüsse könnten dagegen in erheblichem Umfang wirksam werden: Optimierung hinsichtlich Einschränkungen beim Pflanzenschutz, Ökolandbau, Biodiversität. "</f>
        <v xml:space="preserve">Senkende Einflüsse könnten dagegen in erheblichem Umfang wirksam werden: Optimierung hinsichtlich Einschränkungen beim Pflanzenschutz, Ökolandbau, Biodiversität. </v>
      </c>
      <c r="V507" s="905" t="s">
        <v>126</v>
      </c>
      <c r="W507" s="1024"/>
      <c r="X507" s="672"/>
      <c r="Y507" s="672" t="s">
        <v>126</v>
      </c>
      <c r="Z507" s="1025"/>
      <c r="AA507" s="905"/>
      <c r="AB507" s="801"/>
      <c r="AC507" s="801"/>
      <c r="AD507" s="801"/>
      <c r="AE507" s="801"/>
      <c r="AF507" s="801"/>
      <c r="AG507" s="801"/>
      <c r="AH507" s="801"/>
      <c r="AI507" s="801"/>
      <c r="AJ507" s="801"/>
      <c r="AK507" s="801"/>
      <c r="AL507" s="801"/>
      <c r="AM507" s="801"/>
      <c r="AN507" s="801"/>
      <c r="AO507" s="801"/>
      <c r="AP507" s="801"/>
      <c r="AQ507" s="801"/>
      <c r="AR507" s="801"/>
      <c r="AS507" s="801"/>
      <c r="AT507" s="801"/>
      <c r="AU507" s="801"/>
      <c r="AV507" s="801"/>
      <c r="BF507" s="657"/>
      <c r="BI507" s="656" t="s">
        <v>126</v>
      </c>
      <c r="BJ507" s="666"/>
      <c r="BO507" s="656" t="s">
        <v>252</v>
      </c>
      <c r="CU507" s="663" t="str">
        <f>IF(U507="",BF507,U507)</f>
        <v xml:space="preserve">Senkende Einflüsse könnten dagegen in erheblichem Umfang wirksam werden: Optimierung hinsichtlich Einschränkungen beim Pflanzenschutz, Ökolandbau, Biodiversität. </v>
      </c>
      <c r="CW507" s="663"/>
      <c r="DT507" s="671"/>
      <c r="EJ507" s="656" t="str">
        <f>IF(X507=0,"",EJ$1&amp;X507)</f>
        <v/>
      </c>
      <c r="EK507" s="656" t="str">
        <f ca="1">EK$1&amp;X507</f>
        <v>[D_Python.xlsx]9.Quellen!C</v>
      </c>
      <c r="EV507" s="819">
        <f t="shared" si="218"/>
        <v>507</v>
      </c>
      <c r="EW507" s="819"/>
    </row>
    <row r="508" spans="1:153" s="478" customFormat="1" ht="4">
      <c r="A508" s="677" t="str">
        <f t="shared" ca="1" si="216"/>
        <v>D.1.508</v>
      </c>
      <c r="B508" s="677" t="str">
        <f t="shared" ca="1" si="217"/>
        <v>1.508</v>
      </c>
      <c r="C508" s="677" t="str">
        <f t="shared" si="229"/>
        <v>[508]</v>
      </c>
      <c r="D508" s="677">
        <f>ROW()</f>
        <v>508</v>
      </c>
      <c r="E508" s="548"/>
      <c r="F508" s="548"/>
      <c r="G508" s="548"/>
      <c r="H508" s="548"/>
      <c r="I508" s="549"/>
      <c r="J508" s="549"/>
      <c r="K508" s="549"/>
      <c r="L508" s="549"/>
      <c r="M508" s="549"/>
      <c r="N508" s="548"/>
      <c r="O508" s="871">
        <v>508</v>
      </c>
      <c r="P508" s="575"/>
      <c r="Q508" s="576"/>
      <c r="R508" s="888"/>
      <c r="S508" s="802"/>
      <c r="T508" s="882"/>
      <c r="U508" s="661"/>
      <c r="V508" s="661"/>
      <c r="W508" s="661"/>
      <c r="X508" s="661"/>
      <c r="Y508" s="661"/>
      <c r="Z508" s="661"/>
      <c r="AA508" s="661"/>
      <c r="AB508" s="675"/>
      <c r="AC508" s="675"/>
      <c r="AD508" s="675"/>
      <c r="AE508" s="675"/>
      <c r="AF508" s="675"/>
      <c r="AG508" s="675"/>
      <c r="AH508" s="675"/>
      <c r="AI508" s="675"/>
      <c r="AJ508" s="675"/>
      <c r="AK508" s="675"/>
      <c r="AL508" s="675"/>
      <c r="AM508" s="675"/>
      <c r="AN508" s="675"/>
      <c r="AO508" s="675"/>
      <c r="AP508" s="675"/>
      <c r="AQ508" s="675"/>
      <c r="AR508" s="675"/>
      <c r="AS508" s="675"/>
      <c r="AT508" s="675"/>
      <c r="AU508" s="675"/>
      <c r="AV508" s="675"/>
      <c r="AZ508" s="505"/>
      <c r="BB508" s="505"/>
      <c r="BI508" s="478" t="s">
        <v>126</v>
      </c>
      <c r="BJ508" s="489"/>
      <c r="BN508" s="661"/>
      <c r="CU508" s="479"/>
      <c r="CV508" s="661"/>
      <c r="CW508" s="479"/>
      <c r="DS508" s="661"/>
      <c r="EV508" s="818" t="str">
        <f t="shared" si="218"/>
        <v/>
      </c>
      <c r="EW508" s="818"/>
    </row>
    <row r="509" spans="1:153" s="475" customFormat="1" ht="13.5" customHeight="1">
      <c r="A509" s="654" t="str">
        <f t="shared" ca="1" si="216"/>
        <v>D.1.509</v>
      </c>
      <c r="B509" s="654" t="str">
        <f t="shared" ca="1" si="217"/>
        <v>1.509</v>
      </c>
      <c r="C509" s="654" t="str">
        <f t="shared" si="229"/>
        <v>[509]</v>
      </c>
      <c r="D509" s="654">
        <f>ROW()</f>
        <v>509</v>
      </c>
      <c r="E509" s="1129" t="str">
        <f>BP509</f>
        <v>Bioethanol aus Import (+) / Export (-)</v>
      </c>
      <c r="F509" s="1129"/>
      <c r="G509" s="1129"/>
      <c r="H509" s="1129"/>
      <c r="I509" s="1129"/>
      <c r="J509" s="471" t="s">
        <v>361</v>
      </c>
      <c r="K509" s="557">
        <f ca="1">INDIRECT($W$1&amp;U509)</f>
        <v>3019.7867876338496</v>
      </c>
      <c r="L509" s="485" t="str">
        <f ca="1">HYPERLINK($CK$1&amp;U509,$CE$1&amp;U509&amp;$CF$1)</f>
        <v>[510]</v>
      </c>
      <c r="M509" s="558">
        <f ca="1">INDIRECT($W$1&amp;W509)</f>
        <v>0</v>
      </c>
      <c r="N509" s="533" t="str">
        <f ca="1">HYPERLINK($CK$1&amp;W509,$CE$1&amp;W509&amp;$CF$1)</f>
        <v>[515]</v>
      </c>
      <c r="O509" s="869">
        <v>509</v>
      </c>
      <c r="P509" s="570"/>
      <c r="Q509" s="583"/>
      <c r="R509" s="852"/>
      <c r="S509" s="784"/>
      <c r="T509" s="864"/>
      <c r="U509" s="672">
        <f>D510</f>
        <v>510</v>
      </c>
      <c r="V509" s="905" t="s">
        <v>126</v>
      </c>
      <c r="W509" s="672">
        <f>D515</f>
        <v>515</v>
      </c>
      <c r="X509" s="658"/>
      <c r="Y509" s="658"/>
      <c r="Z509" s="658"/>
      <c r="AA509" s="658"/>
      <c r="AB509" s="801"/>
      <c r="AC509" s="801"/>
      <c r="AD509" s="674"/>
      <c r="AE509" s="674"/>
      <c r="AF509" s="674"/>
      <c r="AG509" s="674"/>
      <c r="AH509" s="674"/>
      <c r="AI509" s="674"/>
      <c r="AJ509" s="674"/>
      <c r="AK509" s="674"/>
      <c r="AL509" s="674"/>
      <c r="AM509" s="674"/>
      <c r="AN509" s="674"/>
      <c r="AO509" s="674"/>
      <c r="AP509" s="674"/>
      <c r="AQ509" s="674"/>
      <c r="AR509" s="674"/>
      <c r="AS509" s="674"/>
      <c r="AT509" s="674"/>
      <c r="AU509" s="674"/>
      <c r="AV509" s="674"/>
      <c r="AX509" s="475" t="s">
        <v>244</v>
      </c>
      <c r="AY509" s="500">
        <f ca="1">DA509</f>
        <v>172.54432197590052</v>
      </c>
      <c r="AZ509" s="508" t="str">
        <f ca="1">HYPERLINK(DN509,DC509)</f>
        <v xml:space="preserve"> 349</v>
      </c>
      <c r="BA509" s="500">
        <f ca="1">DB509</f>
        <v>100</v>
      </c>
      <c r="BB509" s="508" t="str">
        <f ca="1">HYPERLINK(DO509,DD509)</f>
        <v xml:space="preserve"> 350</v>
      </c>
      <c r="BC509" s="475" t="str">
        <f ca="1">CY509&amp;" | "&amp;CZ509</f>
        <v>Ölmühle | 1.1 Nutz-Anteil Pflanzenöl direkt  = Anteil an der Ölpflanzen-Anbaufläche</v>
      </c>
      <c r="BI509" s="475" t="s">
        <v>126</v>
      </c>
      <c r="BJ509" s="492" t="str">
        <f>E509</f>
        <v>Bioethanol aus Import (+) / Export (-)</v>
      </c>
      <c r="BK509" s="486">
        <f ca="1">K509</f>
        <v>3019.7867876338496</v>
      </c>
      <c r="BL509" s="486">
        <f ca="1">M509</f>
        <v>0</v>
      </c>
      <c r="BM509" s="472">
        <f>D509</f>
        <v>509</v>
      </c>
      <c r="BN509" s="658"/>
      <c r="BO509" s="475" t="s">
        <v>251</v>
      </c>
      <c r="BP509" s="676" t="s">
        <v>582</v>
      </c>
      <c r="CU509" s="476"/>
      <c r="CV509" s="658"/>
      <c r="CW509" s="518">
        <v>91</v>
      </c>
      <c r="CY509" s="472" t="str">
        <f t="shared" ref="CY509:DO509" ca="1" si="233">INDIRECT($CX$1&amp;CY$1&amp;$CW509)</f>
        <v>Ölmühle</v>
      </c>
      <c r="CZ509" s="472" t="str">
        <f t="shared" ca="1" si="233"/>
        <v>1.1 Nutz-Anteil Pflanzenöl direkt  = Anteil an der Ölpflanzen-Anbaufläche</v>
      </c>
      <c r="DA509" s="472">
        <f t="shared" ca="1" si="233"/>
        <v>172.54432197590052</v>
      </c>
      <c r="DB509" s="472">
        <f t="shared" ca="1" si="233"/>
        <v>100</v>
      </c>
      <c r="DC509" s="472" t="str">
        <f t="shared" ca="1" si="233"/>
        <v xml:space="preserve"> 349</v>
      </c>
      <c r="DD509" s="472" t="str">
        <f t="shared" ca="1" si="233"/>
        <v xml:space="preserve"> 350</v>
      </c>
      <c r="DE509" s="472" t="str">
        <f t="shared" ca="1" si="233"/>
        <v>EP101</v>
      </c>
      <c r="DF509" s="472" t="str">
        <f t="shared" ca="1" si="233"/>
        <v>EP101</v>
      </c>
      <c r="DG509" s="472" t="str">
        <f t="shared" ca="1" si="233"/>
        <v>EP</v>
      </c>
      <c r="DH509" s="472" t="str">
        <f t="shared" ca="1" si="233"/>
        <v>101</v>
      </c>
      <c r="DI509" s="472" t="str">
        <f t="shared" ca="1" si="233"/>
        <v>[EP.xls]TEXT!Z101S5</v>
      </c>
      <c r="DJ509" s="472" t="str">
        <f t="shared" ca="1" si="233"/>
        <v>EP</v>
      </c>
      <c r="DK509" s="472" t="str">
        <f t="shared" ca="1" si="233"/>
        <v>101</v>
      </c>
      <c r="DL509" s="472" t="str">
        <f t="shared" ca="1" si="233"/>
        <v>[EP.xls]TEXT!Z101S5</v>
      </c>
      <c r="DM509" s="472">
        <f t="shared" ca="1" si="233"/>
        <v>91</v>
      </c>
      <c r="DN509" s="472" t="str">
        <f t="shared" ca="1" si="233"/>
        <v>[Region.xls]PARAMETER!Z349S6</v>
      </c>
      <c r="DO509" s="472" t="str">
        <f t="shared" ca="1" si="233"/>
        <v>[Region.xls]PARAMETER!Z350S6</v>
      </c>
      <c r="DP509" s="472"/>
      <c r="DS509" s="656"/>
      <c r="DV509" s="472"/>
      <c r="DW509" s="472"/>
      <c r="DX509" s="472"/>
      <c r="DY509" s="472"/>
      <c r="DZ509" s="472"/>
      <c r="EA509" s="472"/>
      <c r="EB509" s="472"/>
      <c r="EC509" s="472"/>
      <c r="ED509" s="472"/>
      <c r="EE509" s="472"/>
      <c r="EF509" s="472"/>
      <c r="EG509" s="472"/>
      <c r="EH509" s="472"/>
      <c r="EI509" s="472"/>
      <c r="EJ509" s="472"/>
      <c r="EK509" s="472"/>
      <c r="EV509" s="819">
        <f t="shared" si="218"/>
        <v>509</v>
      </c>
      <c r="EW509" s="819"/>
    </row>
    <row r="510" spans="1:153" s="656" customFormat="1" ht="39">
      <c r="A510" s="654" t="str">
        <f t="shared" ca="1" si="216"/>
        <v>D.1.510</v>
      </c>
      <c r="B510" s="654" t="str">
        <f t="shared" ca="1" si="217"/>
        <v>1.510</v>
      </c>
      <c r="C510" s="654" t="str">
        <f t="shared" si="229"/>
        <v>[510]</v>
      </c>
      <c r="D510" s="654">
        <f>ROW()</f>
        <v>510</v>
      </c>
      <c r="E510" s="1130" t="str">
        <f t="shared" ref="E510:E513" ca="1" si="234">CU510</f>
        <v>- STATUS-Ansatz: Resultiert aus dem von den Energieverbrauchern Niedersachsens 2013 nach dem Verursacher-Prinzip verursachten Bioethanol-Verbrauch (vollständig als Beimischung zum Ottokraftstoff) gemäß [511], abzüglich der auf eigener Fläche erzeugten Menge [513]. Der Importanteil liegt bei 34,9 % vom Verbrauch.</v>
      </c>
      <c r="F510" s="1130"/>
      <c r="G510" s="1130"/>
      <c r="H510" s="1130"/>
      <c r="I510" s="1130"/>
      <c r="J510" s="1130"/>
      <c r="K510" s="1130"/>
      <c r="L510" s="1130"/>
      <c r="M510" s="1130"/>
      <c r="N510" s="1131"/>
      <c r="O510" s="869">
        <v>510</v>
      </c>
      <c r="P510" s="691" t="str">
        <f t="shared" ref="P510:P513" ca="1" si="235">HYPERLINK(EK510,EJ510)</f>
        <v/>
      </c>
      <c r="Q510" s="692" t="str">
        <f t="shared" ref="Q510:Q513" si="236">Y510</f>
        <v xml:space="preserve"> </v>
      </c>
      <c r="R510" s="852"/>
      <c r="S510" s="784"/>
      <c r="T510" s="864"/>
      <c r="U510" s="1023" t="str">
        <f ca="1">"Resultiert aus dem von den Energieverbrauchern Niedersachsens 2013 nach dem "&amp;AD510&amp;" verursachten Bioethanol-Verbrauch (vollständig als Beimischung zum Ottokraftstoff) gemäß "&amp;C511&amp;", abzüglich der auf eigener Fläche erzeugten Menge "&amp;C513&amp;". Der Importanteil liegt bei "&amp;TEXT(AL510,"0,0")&amp;" % vom Verbrauch."</f>
        <v>Resultiert aus dem von den Energieverbrauchern Niedersachsens 2013 nach dem Verursacher-Prinzip verursachten Bioethanol-Verbrauch (vollständig als Beimischung zum Ottokraftstoff) gemäß [511], abzüglich der auf eigener Fläche erzeugten Menge [513]. Der Importanteil liegt bei 34,9 % vom Verbrauch.</v>
      </c>
      <c r="V510" s="905" t="s">
        <v>126</v>
      </c>
      <c r="W510" s="1024">
        <f>AJ510</f>
        <v>3019.7867876338496</v>
      </c>
      <c r="X510" s="672"/>
      <c r="Y510" s="672" t="s">
        <v>126</v>
      </c>
      <c r="Z510" s="1025"/>
      <c r="AA510" s="658"/>
      <c r="AB510" s="801"/>
      <c r="AC510" s="801"/>
      <c r="AD510" s="700" t="str">
        <f ca="1">AJ511</f>
        <v>Verursacher-Prinzip</v>
      </c>
      <c r="AE510" s="801"/>
      <c r="AF510" s="801">
        <f>AD512</f>
        <v>8663</v>
      </c>
      <c r="AG510" s="801" t="s">
        <v>384</v>
      </c>
      <c r="AH510" s="801">
        <f>AH513</f>
        <v>5643.2132123661504</v>
      </c>
      <c r="AI510" s="801" t="str">
        <f>AI513</f>
        <v xml:space="preserve"> GWh </v>
      </c>
      <c r="AJ510" s="801">
        <f>AF510-AH510</f>
        <v>3019.7867876338496</v>
      </c>
      <c r="AK510" s="801" t="s">
        <v>384</v>
      </c>
      <c r="AL510" s="801">
        <f>AJ510/AF510%</f>
        <v>34.858441505642965</v>
      </c>
      <c r="AM510" s="801" t="s">
        <v>835</v>
      </c>
      <c r="AN510" s="801"/>
      <c r="AO510" s="801"/>
      <c r="AP510" s="801"/>
      <c r="AQ510" s="801"/>
      <c r="AR510" s="801"/>
      <c r="AS510" s="801"/>
      <c r="AT510" s="801"/>
      <c r="AU510" s="801"/>
      <c r="AV510" s="801"/>
      <c r="BF510" s="657"/>
      <c r="BI510" s="656" t="s">
        <v>126</v>
      </c>
      <c r="BJ510" s="666"/>
      <c r="BO510" s="656" t="s">
        <v>259</v>
      </c>
      <c r="CU510" s="663" t="str">
        <f ca="1">CG$1&amp;IF(U510="",BF510,U510)</f>
        <v>- STATUS-Ansatz: Resultiert aus dem von den Energieverbrauchern Niedersachsens 2013 nach dem Verursacher-Prinzip verursachten Bioethanol-Verbrauch (vollständig als Beimischung zum Ottokraftstoff) gemäß [511], abzüglich der auf eigener Fläche erzeugten Menge [513]. Der Importanteil liegt bei 34,9 % vom Verbrauch.</v>
      </c>
      <c r="CW510" s="663"/>
      <c r="DT510" s="671">
        <f>I_Basisdaten!A240</f>
        <v>0</v>
      </c>
      <c r="EJ510" s="656" t="str">
        <f>IF(X510=0,"",EJ$1&amp;X510)</f>
        <v/>
      </c>
      <c r="EK510" s="656" t="str">
        <f ca="1">EK$1&amp;X510</f>
        <v>[D_Python.xlsx]9.Quellen!C</v>
      </c>
      <c r="EV510" s="819">
        <f t="shared" ca="1" si="218"/>
        <v>510</v>
      </c>
      <c r="EW510" s="819"/>
    </row>
    <row r="511" spans="1:153" s="656" customFormat="1" ht="38.25" hidden="1" customHeight="1">
      <c r="A511" s="654" t="str">
        <f t="shared" ca="1" si="216"/>
        <v>D.1.511</v>
      </c>
      <c r="B511" s="654" t="str">
        <f t="shared" ca="1" si="217"/>
        <v>1.511</v>
      </c>
      <c r="C511" s="654" t="str">
        <f t="shared" si="229"/>
        <v>[511]</v>
      </c>
      <c r="D511" s="654">
        <f>ROW()</f>
        <v>511</v>
      </c>
      <c r="E511" s="1130" t="str">
        <f t="shared" ca="1" si="234"/>
        <v xml:space="preserve">8.663 GWh  Verbrauch von Bioethanol wurde in Niedersachsen 2013 nach dem Verursacher-Prinzip verursacht, resultierend aus dem  deutschen Verbrauch [512] und dem Einwohnerproporz (Verhältnis 'Energieverbraucher Niedersachsens nach dem Verursacher-Prinzip [37] zur deutschen Einwohnerzahl  [59]). </v>
      </c>
      <c r="F511" s="1130"/>
      <c r="G511" s="1130"/>
      <c r="H511" s="1130"/>
      <c r="I511" s="1130"/>
      <c r="J511" s="1130"/>
      <c r="K511" s="1130"/>
      <c r="L511" s="1130"/>
      <c r="M511" s="1130"/>
      <c r="N511" s="1131"/>
      <c r="O511" s="869">
        <v>511</v>
      </c>
      <c r="P511" s="691" t="str">
        <f t="shared" ca="1" si="235"/>
        <v/>
      </c>
      <c r="Q511" s="692" t="str">
        <f t="shared" si="236"/>
        <v xml:space="preserve"> </v>
      </c>
      <c r="R511" s="852"/>
      <c r="S511" s="784"/>
      <c r="T511" s="864"/>
      <c r="U511" s="1023" t="str">
        <f ca="1">TEXT(AK511,"0.000")&amp;AL511&amp;" Verbrauch von Bioethanol wurde in Niedersachsen 2013 nach dem "&amp;AJ511&amp;" verursacht, resultierend aus dem  deutschen Verbrauch "&amp;C512&amp;" und dem Einwohnerproporz (Verhältnis 'Energieverbraucher Niedersachsens nach dem "&amp;AJ511&amp;" "&amp;C37&amp;" zur deutschen Einwohnerzahl  "&amp;C59&amp;"). "</f>
        <v xml:space="preserve">8.663 GWh  Verbrauch von Bioethanol wurde in Niedersachsen 2013 nach dem Verursacher-Prinzip verursacht, resultierend aus dem  deutschen Verbrauch [512] und dem Einwohnerproporz (Verhältnis 'Energieverbraucher Niedersachsens nach dem Verursacher-Prinzip [37] zur deutschen Einwohnerzahl  [59]). </v>
      </c>
      <c r="V511" s="905" t="s">
        <v>126</v>
      </c>
      <c r="W511" s="1024"/>
      <c r="X511" s="672"/>
      <c r="Y511" s="672" t="s">
        <v>126</v>
      </c>
      <c r="Z511" s="1025"/>
      <c r="AA511" s="905"/>
      <c r="AB511" s="801"/>
      <c r="AC511" s="801"/>
      <c r="AD511" s="827">
        <f>AD512</f>
        <v>8663</v>
      </c>
      <c r="AE511" s="827" t="str">
        <f>AE512</f>
        <v xml:space="preserve"> GWh </v>
      </c>
      <c r="AF511" s="827">
        <f>W59</f>
        <v>82175684</v>
      </c>
      <c r="AG511" s="826" t="s">
        <v>549</v>
      </c>
      <c r="AH511" s="827">
        <f ca="1">K37</f>
        <v>82175684</v>
      </c>
      <c r="AI511" s="826" t="s">
        <v>547</v>
      </c>
      <c r="AJ511" s="1089" t="str">
        <f ca="1">J34</f>
        <v>Verursacher-Prinzip</v>
      </c>
      <c r="AK511" s="826">
        <f ca="1">AD511/AF511*AH511</f>
        <v>8663</v>
      </c>
      <c r="AL511" s="826" t="s">
        <v>384</v>
      </c>
      <c r="AM511" s="826"/>
      <c r="AN511" s="801"/>
      <c r="AO511" s="801"/>
      <c r="AP511" s="801"/>
      <c r="AQ511" s="801"/>
      <c r="AR511" s="801"/>
      <c r="AS511" s="801"/>
      <c r="AT511" s="801"/>
      <c r="AU511" s="801"/>
      <c r="AV511" s="801"/>
      <c r="BF511" s="657"/>
      <c r="BI511" s="656" t="s">
        <v>126</v>
      </c>
      <c r="BJ511" s="666"/>
      <c r="BO511" s="656" t="s">
        <v>252</v>
      </c>
      <c r="CU511" s="663" t="str">
        <f ca="1">IF(U511="",BF511,U511)</f>
        <v xml:space="preserve">8.663 GWh  Verbrauch von Bioethanol wurde in Niedersachsen 2013 nach dem Verursacher-Prinzip verursacht, resultierend aus dem  deutschen Verbrauch [512] und dem Einwohnerproporz (Verhältnis 'Energieverbraucher Niedersachsens nach dem Verursacher-Prinzip [37] zur deutschen Einwohnerzahl  [59]). </v>
      </c>
      <c r="CW511" s="663"/>
      <c r="DT511" s="671"/>
      <c r="EJ511" s="656" t="str">
        <f>IF(X511=0,"",EJ$1&amp;X511)</f>
        <v/>
      </c>
      <c r="EK511" s="656" t="str">
        <f ca="1">EK$1&amp;X511</f>
        <v>[D_Python.xlsx]9.Quellen!C</v>
      </c>
      <c r="EV511" s="819">
        <f t="shared" ca="1" si="218"/>
        <v>511</v>
      </c>
      <c r="EW511" s="819"/>
    </row>
    <row r="512" spans="1:153" s="656" customFormat="1">
      <c r="A512" s="654" t="str">
        <f t="shared" ca="1" si="216"/>
        <v>D.1.512</v>
      </c>
      <c r="B512" s="654" t="str">
        <f t="shared" ca="1" si="217"/>
        <v>1.512</v>
      </c>
      <c r="C512" s="654" t="str">
        <f t="shared" si="229"/>
        <v>[512]</v>
      </c>
      <c r="D512" s="654">
        <f>ROW()</f>
        <v>512</v>
      </c>
      <c r="E512" s="1130" t="str">
        <f t="shared" ca="1" si="234"/>
        <v xml:space="preserve">8.663 GWh  Verbrauch von Bioethanol im Verkehrssektor in Deutschland 2016 gemäß [9.72] S. 17. </v>
      </c>
      <c r="F512" s="1130"/>
      <c r="G512" s="1130"/>
      <c r="H512" s="1130"/>
      <c r="I512" s="1130"/>
      <c r="J512" s="1130"/>
      <c r="K512" s="1130"/>
      <c r="L512" s="1130"/>
      <c r="M512" s="1130"/>
      <c r="N512" s="1131"/>
      <c r="O512" s="869">
        <v>512</v>
      </c>
      <c r="P512" s="691" t="str">
        <f t="shared" ca="1" si="235"/>
        <v>9.72</v>
      </c>
      <c r="Q512" s="692" t="str">
        <f t="shared" si="236"/>
        <v>S. 17</v>
      </c>
      <c r="R512" s="852"/>
      <c r="S512" s="784"/>
      <c r="T512" s="864"/>
      <c r="U512" s="1023" t="str">
        <f ca="1">TEXT(AD512,"0.000")&amp;AE512&amp;" Verbrauch von Bioethanol im Verkehrssektor in Deutschland 2016 gemäß ["&amp;P512&amp;"] "&amp;Q512&amp;". "</f>
        <v xml:space="preserve">8.663 GWh  Verbrauch von Bioethanol im Verkehrssektor in Deutschland 2016 gemäß [9.72] S. 17. </v>
      </c>
      <c r="V512" s="905" t="s">
        <v>126</v>
      </c>
      <c r="W512" s="1024"/>
      <c r="X512" s="672">
        <f>'9.Quellen'!C72</f>
        <v>72</v>
      </c>
      <c r="Y512" s="672" t="s">
        <v>540</v>
      </c>
      <c r="Z512" s="1025"/>
      <c r="AA512" s="905"/>
      <c r="AB512" s="801"/>
      <c r="AC512" s="801"/>
      <c r="AD512" s="801">
        <v>8663</v>
      </c>
      <c r="AE512" s="801" t="s">
        <v>384</v>
      </c>
      <c r="AF512" s="801"/>
      <c r="AG512" s="801"/>
      <c r="AH512" s="801"/>
      <c r="AI512" s="801"/>
      <c r="AJ512" s="801"/>
      <c r="AK512" s="801"/>
      <c r="AL512" s="801"/>
      <c r="AM512" s="801"/>
      <c r="AN512" s="801"/>
      <c r="AO512" s="801"/>
      <c r="AP512" s="801"/>
      <c r="AQ512" s="801"/>
      <c r="AR512" s="801"/>
      <c r="AS512" s="801"/>
      <c r="AT512" s="801"/>
      <c r="AU512" s="801"/>
      <c r="AV512" s="801"/>
      <c r="BF512" s="657"/>
      <c r="BI512" s="656" t="s">
        <v>126</v>
      </c>
      <c r="BJ512" s="666"/>
      <c r="BO512" s="656" t="s">
        <v>252</v>
      </c>
      <c r="CU512" s="663" t="str">
        <f ca="1">IF(U512="",BF512,U512)</f>
        <v xml:space="preserve">8.663 GWh  Verbrauch von Bioethanol im Verkehrssektor in Deutschland 2016 gemäß [9.72] S. 17. </v>
      </c>
      <c r="CW512" s="663"/>
      <c r="DT512" s="671"/>
      <c r="EJ512" s="656" t="str">
        <f ca="1">IF(X512=0,"",EJ$1&amp;X512)</f>
        <v>9.72</v>
      </c>
      <c r="EK512" s="656" t="str">
        <f ca="1">EK$1&amp;X512</f>
        <v>[D_Python.xlsx]9.Quellen!C72</v>
      </c>
      <c r="EV512" s="819">
        <f t="shared" ca="1" si="218"/>
        <v>512</v>
      </c>
      <c r="EW512" s="819"/>
    </row>
    <row r="513" spans="1:153" s="656" customFormat="1" ht="39">
      <c r="A513" s="654" t="str">
        <f t="shared" ca="1" si="216"/>
        <v>D.1.513</v>
      </c>
      <c r="B513" s="654" t="str">
        <f t="shared" ca="1" si="217"/>
        <v>1.513</v>
      </c>
      <c r="C513" s="654" t="str">
        <f t="shared" si="229"/>
        <v>[513]</v>
      </c>
      <c r="D513" s="654">
        <f>ROW()</f>
        <v>513</v>
      </c>
      <c r="E513" s="1130" t="str">
        <f t="shared" si="234"/>
        <v xml:space="preserve">Ein Anteil von 5643 GWh  am Bioethanol-Aufkommen stammte2016 aus dem Anbau von Getreide und Zuckerrüben in Deutschland, resultierend aus einer Anbaufläche von 200.000 ha [495] und einem durchschnittlichen Energieertrag von 28,2 MWh/ha/a [500]  . </v>
      </c>
      <c r="F513" s="1130"/>
      <c r="G513" s="1130"/>
      <c r="H513" s="1130"/>
      <c r="I513" s="1130"/>
      <c r="J513" s="1130"/>
      <c r="K513" s="1130"/>
      <c r="L513" s="1130"/>
      <c r="M513" s="1130"/>
      <c r="N513" s="1131"/>
      <c r="O513" s="869">
        <v>513</v>
      </c>
      <c r="P513" s="691" t="str">
        <f t="shared" ca="1" si="235"/>
        <v/>
      </c>
      <c r="Q513" s="692" t="str">
        <f t="shared" si="236"/>
        <v xml:space="preserve"> </v>
      </c>
      <c r="R513" s="852"/>
      <c r="S513" s="784"/>
      <c r="T513" s="864"/>
      <c r="U513" s="1023" t="str">
        <f>"Ein Anteil von "&amp;TEXT(AH513,"0")&amp;AI513&amp;" am Bioethanol-Aufkommen stammte2016 aus dem Anbau von Getreide und Zuckerrüben in Deutschland, resultierend aus einer Anbaufläche von "&amp;TEXT(AD513,"0.000")&amp;AE513&amp;C495&amp;" und einem durchschnittlichen Energieertrag von "&amp;TEXT(AF513,"0,0")&amp;AG513&amp;C500&amp;"  . "</f>
        <v xml:space="preserve">Ein Anteil von 5643 GWh  am Bioethanol-Aufkommen stammte2016 aus dem Anbau von Getreide und Zuckerrüben in Deutschland, resultierend aus einer Anbaufläche von 200.000 ha [495] und einem durchschnittlichen Energieertrag von 28,2 MWh/ha/a [500]  . </v>
      </c>
      <c r="V513" s="905" t="s">
        <v>126</v>
      </c>
      <c r="W513" s="1024"/>
      <c r="X513" s="672"/>
      <c r="Y513" s="672" t="s">
        <v>126</v>
      </c>
      <c r="Z513" s="1025"/>
      <c r="AA513" s="905"/>
      <c r="AB513" s="801"/>
      <c r="AC513" s="801"/>
      <c r="AD513" s="687">
        <f>W495</f>
        <v>200000</v>
      </c>
      <c r="AE513" s="801" t="s">
        <v>382</v>
      </c>
      <c r="AF513" s="687">
        <f>W500</f>
        <v>28.216066061830755</v>
      </c>
      <c r="AG513" s="801" t="s">
        <v>410</v>
      </c>
      <c r="AH513" s="801">
        <f>AD513*AF513/1000</f>
        <v>5643.2132123661504</v>
      </c>
      <c r="AI513" s="801" t="s">
        <v>384</v>
      </c>
      <c r="AJ513" s="801"/>
      <c r="AK513" s="801"/>
      <c r="AL513" s="801"/>
      <c r="AM513" s="801"/>
      <c r="AN513" s="801"/>
      <c r="AO513" s="801"/>
      <c r="AP513" s="801"/>
      <c r="AQ513" s="801"/>
      <c r="AR513" s="801"/>
      <c r="AS513" s="801"/>
      <c r="AT513" s="801"/>
      <c r="AU513" s="801"/>
      <c r="AV513" s="801"/>
      <c r="BF513" s="657"/>
      <c r="BI513" s="656" t="s">
        <v>126</v>
      </c>
      <c r="BJ513" s="666"/>
      <c r="BO513" s="656" t="s">
        <v>252</v>
      </c>
      <c r="CU513" s="663" t="str">
        <f>IF(U513="",BF513,U513)</f>
        <v xml:space="preserve">Ein Anteil von 5643 GWh  am Bioethanol-Aufkommen stammte2016 aus dem Anbau von Getreide und Zuckerrüben in Deutschland, resultierend aus einer Anbaufläche von 200.000 ha [495] und einem durchschnittlichen Energieertrag von 28,2 MWh/ha/a [500]  . </v>
      </c>
      <c r="CW513" s="663"/>
      <c r="DT513" s="671"/>
      <c r="EJ513" s="656" t="str">
        <f>IF(X513=0,"",EJ$1&amp;X513)</f>
        <v/>
      </c>
      <c r="EK513" s="656" t="str">
        <f ca="1">EK$1&amp;X513</f>
        <v>[D_Python.xlsx]9.Quellen!C</v>
      </c>
      <c r="EV513" s="819">
        <f t="shared" si="218"/>
        <v>513</v>
      </c>
      <c r="EW513" s="819"/>
    </row>
    <row r="514" spans="1:153" s="661" customFormat="1" ht="4">
      <c r="A514" s="677" t="str">
        <f t="shared" ca="1" si="216"/>
        <v>D.1.514</v>
      </c>
      <c r="B514" s="677" t="str">
        <f t="shared" ca="1" si="217"/>
        <v>1.514</v>
      </c>
      <c r="C514" s="677" t="str">
        <f t="shared" si="229"/>
        <v>[514]</v>
      </c>
      <c r="D514" s="677">
        <f>ROW()</f>
        <v>514</v>
      </c>
      <c r="E514" s="680"/>
      <c r="F514" s="680"/>
      <c r="G514" s="680"/>
      <c r="H514" s="680"/>
      <c r="I514" s="679"/>
      <c r="J514" s="679"/>
      <c r="K514" s="679"/>
      <c r="L514" s="679"/>
      <c r="M514" s="679"/>
      <c r="N514" s="680"/>
      <c r="O514" s="871">
        <v>514</v>
      </c>
      <c r="P514" s="688"/>
      <c r="Q514" s="689"/>
      <c r="R514" s="888"/>
      <c r="S514" s="810"/>
      <c r="T514" s="882"/>
      <c r="AB514" s="675"/>
      <c r="AC514" s="675"/>
      <c r="AD514" s="675"/>
      <c r="AE514" s="675"/>
      <c r="AF514" s="675"/>
      <c r="AG514" s="675"/>
      <c r="AH514" s="675"/>
      <c r="AI514" s="675"/>
      <c r="AJ514" s="675"/>
      <c r="AK514" s="675"/>
      <c r="AL514" s="675"/>
      <c r="AM514" s="675"/>
      <c r="AN514" s="675"/>
      <c r="AO514" s="675"/>
      <c r="AP514" s="675"/>
      <c r="AQ514" s="675"/>
      <c r="AR514" s="675"/>
      <c r="AS514" s="675"/>
      <c r="AT514" s="675"/>
      <c r="AU514" s="675"/>
      <c r="AV514" s="675"/>
      <c r="BI514" s="661" t="s">
        <v>126</v>
      </c>
      <c r="BJ514" s="665"/>
      <c r="CU514" s="662"/>
      <c r="CW514" s="662"/>
      <c r="EV514" s="818" t="str">
        <f t="shared" si="218"/>
        <v/>
      </c>
      <c r="EW514" s="818"/>
    </row>
    <row r="515" spans="1:153" s="656" customFormat="1" ht="39">
      <c r="A515" s="654" t="str">
        <f t="shared" ca="1" si="216"/>
        <v>D.1.515</v>
      </c>
      <c r="B515" s="654" t="str">
        <f t="shared" ca="1" si="217"/>
        <v>1.515</v>
      </c>
      <c r="C515" s="654" t="str">
        <f t="shared" si="229"/>
        <v>[515]</v>
      </c>
      <c r="D515" s="654">
        <f>ROW()</f>
        <v>515</v>
      </c>
      <c r="E515" s="1125" t="str">
        <f t="shared" ref="E515" si="237">CU515</f>
        <v>- ZIEL-Ansatz: Ein Import von Bioethanol bzw. dessen Ausgangsprodukten für energetische Zwecke ist nicht mehr vorgesehen. Vor dem Hintergrund gravierender globaler Probleme erscheint die Inanspruchnahme von Anbauflächen im Ausland nicht sinnvoll: Welthungerproblem in Verbindung mit globalem Bevölkerungswachstum, Wüstenbildung.</v>
      </c>
      <c r="F515" s="1125"/>
      <c r="G515" s="1125"/>
      <c r="H515" s="1125"/>
      <c r="I515" s="1125"/>
      <c r="J515" s="1125"/>
      <c r="K515" s="1125"/>
      <c r="L515" s="1125"/>
      <c r="M515" s="1125"/>
      <c r="N515" s="1132"/>
      <c r="O515" s="869">
        <v>515</v>
      </c>
      <c r="P515" s="691" t="str">
        <f ca="1">HYPERLINK(EK515,EJ515)</f>
        <v/>
      </c>
      <c r="Q515" s="692" t="str">
        <f>Y515</f>
        <v xml:space="preserve"> </v>
      </c>
      <c r="R515" s="852"/>
      <c r="S515" s="811"/>
      <c r="T515" s="864"/>
      <c r="U515" s="1023" t="s">
        <v>583</v>
      </c>
      <c r="V515" s="905" t="s">
        <v>126</v>
      </c>
      <c r="W515" s="1024"/>
      <c r="X515" s="672"/>
      <c r="Y515" s="672" t="s">
        <v>126</v>
      </c>
      <c r="Z515" s="1025"/>
      <c r="AA515" s="905"/>
      <c r="AB515" s="801"/>
      <c r="AC515" s="801"/>
      <c r="AD515" s="801"/>
      <c r="AE515" s="801"/>
      <c r="AF515" s="801"/>
      <c r="AG515" s="801"/>
      <c r="AH515" s="801"/>
      <c r="AI515" s="801"/>
      <c r="AJ515" s="801"/>
      <c r="AK515" s="801"/>
      <c r="AL515" s="801"/>
      <c r="AM515" s="801"/>
      <c r="AN515" s="801"/>
      <c r="AO515" s="801"/>
      <c r="AP515" s="801"/>
      <c r="AQ515" s="801"/>
      <c r="AR515" s="801"/>
      <c r="AS515" s="801"/>
      <c r="AT515" s="801"/>
      <c r="AU515" s="801"/>
      <c r="AV515" s="801"/>
      <c r="BF515" s="657"/>
      <c r="BI515" s="656" t="s">
        <v>126</v>
      </c>
      <c r="BJ515" s="666"/>
      <c r="BO515" s="656" t="s">
        <v>259</v>
      </c>
      <c r="CU515" s="663" t="str">
        <f>CH$1&amp;IF(U515="",BF515,U515)</f>
        <v>- ZIEL-Ansatz: Ein Import von Bioethanol bzw. dessen Ausgangsprodukten für energetische Zwecke ist nicht mehr vorgesehen. Vor dem Hintergrund gravierender globaler Probleme erscheint die Inanspruchnahme von Anbauflächen im Ausland nicht sinnvoll: Welthungerproblem in Verbindung mit globalem Bevölkerungswachstum, Wüstenbildung.</v>
      </c>
      <c r="CW515" s="663"/>
      <c r="DT515" s="671">
        <v>53</v>
      </c>
      <c r="EJ515" s="656" t="str">
        <f>IF(X515=0,"",EJ$1&amp;X515)</f>
        <v/>
      </c>
      <c r="EK515" s="656" t="str">
        <f ca="1">EK$1&amp;X515</f>
        <v>[D_Python.xlsx]9.Quellen!C</v>
      </c>
      <c r="EV515" s="819">
        <f t="shared" si="218"/>
        <v>515</v>
      </c>
      <c r="EW515" s="819"/>
    </row>
    <row r="516" spans="1:153" s="528" customFormat="1" ht="4">
      <c r="A516" s="540" t="str">
        <f t="shared" ca="1" si="216"/>
        <v>D.1.516</v>
      </c>
      <c r="B516" s="540" t="str">
        <f t="shared" ca="1" si="217"/>
        <v>1.516</v>
      </c>
      <c r="C516" s="540" t="str">
        <f t="shared" si="229"/>
        <v>[516]</v>
      </c>
      <c r="D516" s="540">
        <f>ROW()</f>
        <v>516</v>
      </c>
      <c r="I516" s="527"/>
      <c r="J516" s="527"/>
      <c r="K516" s="527"/>
      <c r="L516" s="527"/>
      <c r="M516" s="527"/>
      <c r="O516" s="870">
        <v>516</v>
      </c>
      <c r="P516" s="566"/>
      <c r="Q516" s="567"/>
      <c r="R516" s="889"/>
      <c r="S516" s="802"/>
      <c r="T516" s="883"/>
      <c r="U516" s="661"/>
      <c r="V516" s="661"/>
      <c r="W516" s="661"/>
      <c r="X516" s="661"/>
      <c r="Y516" s="661"/>
      <c r="Z516" s="661"/>
      <c r="AA516" s="661"/>
      <c r="AB516" s="675"/>
      <c r="AC516" s="675"/>
      <c r="AD516" s="675"/>
      <c r="AE516" s="675"/>
      <c r="AF516" s="675"/>
      <c r="AG516" s="675"/>
      <c r="AH516" s="675"/>
      <c r="AI516" s="675"/>
      <c r="AJ516" s="675"/>
      <c r="AK516" s="675"/>
      <c r="AL516" s="675"/>
      <c r="AM516" s="675"/>
      <c r="AN516" s="675"/>
      <c r="AO516" s="675"/>
      <c r="AP516" s="675"/>
      <c r="AQ516" s="675"/>
      <c r="AR516" s="675"/>
      <c r="AS516" s="675"/>
      <c r="AT516" s="675"/>
      <c r="AU516" s="675"/>
      <c r="AV516" s="675"/>
      <c r="AZ516" s="541"/>
      <c r="BB516" s="541"/>
      <c r="BI516" s="528" t="s">
        <v>126</v>
      </c>
      <c r="BJ516" s="542"/>
      <c r="BN516" s="680"/>
      <c r="CU516" s="543"/>
      <c r="CV516" s="680"/>
      <c r="CW516" s="543"/>
      <c r="DS516" s="680"/>
      <c r="EV516" s="820" t="str">
        <f t="shared" si="218"/>
        <v/>
      </c>
      <c r="EW516" s="820"/>
    </row>
    <row r="517" spans="1:153" s="472" customFormat="1" ht="13">
      <c r="A517" s="654" t="str">
        <f t="shared" ca="1" si="216"/>
        <v>D.1.517</v>
      </c>
      <c r="B517" s="654" t="str">
        <f t="shared" ca="1" si="217"/>
        <v>1.517</v>
      </c>
      <c r="C517" s="654" t="str">
        <f t="shared" si="229"/>
        <v>[517]</v>
      </c>
      <c r="D517" s="654">
        <f>ROW()</f>
        <v>517</v>
      </c>
      <c r="E517" s="481" t="str">
        <f>BP517</f>
        <v>Umgebungswärme (Wärmepumpe)</v>
      </c>
      <c r="F517" s="482"/>
      <c r="G517" s="482"/>
      <c r="H517" s="482"/>
      <c r="I517" s="483"/>
      <c r="J517" s="484"/>
      <c r="K517" s="484"/>
      <c r="L517" s="484"/>
      <c r="M517" s="484"/>
      <c r="N517" s="532"/>
      <c r="O517" s="869">
        <v>517</v>
      </c>
      <c r="P517" s="568"/>
      <c r="Q517" s="569"/>
      <c r="R517" s="852"/>
      <c r="S517" s="804"/>
      <c r="T517" s="864"/>
      <c r="U517" s="905"/>
      <c r="V517" s="905"/>
      <c r="W517" s="905"/>
      <c r="X517" s="905"/>
      <c r="Y517" s="905"/>
      <c r="Z517" s="905"/>
      <c r="AA517" s="905"/>
      <c r="AB517" s="801"/>
      <c r="AC517" s="801"/>
      <c r="AD517" s="801"/>
      <c r="AE517" s="801"/>
      <c r="AF517" s="801"/>
      <c r="AG517" s="801"/>
      <c r="AH517" s="801"/>
      <c r="AI517" s="801"/>
      <c r="AJ517" s="801"/>
      <c r="AK517" s="801"/>
      <c r="AL517" s="801"/>
      <c r="AM517" s="801"/>
      <c r="AN517" s="801"/>
      <c r="AO517" s="801"/>
      <c r="AP517" s="801"/>
      <c r="AQ517" s="801"/>
      <c r="AR517" s="801"/>
      <c r="AS517" s="801"/>
      <c r="AT517" s="801"/>
      <c r="AU517" s="801"/>
      <c r="AV517" s="801"/>
      <c r="AZ517" s="504"/>
      <c r="BB517" s="506"/>
      <c r="BI517" s="472" t="s">
        <v>126</v>
      </c>
      <c r="BJ517" s="490"/>
      <c r="BN517" s="656"/>
      <c r="BO517" s="472" t="s">
        <v>250</v>
      </c>
      <c r="BP517" s="518" t="s">
        <v>589</v>
      </c>
      <c r="CU517" s="480"/>
      <c r="CV517" s="656"/>
      <c r="CW517" s="480"/>
      <c r="DS517" s="656"/>
      <c r="EV517" s="819">
        <f t="shared" si="218"/>
        <v>517</v>
      </c>
      <c r="EW517" s="819"/>
    </row>
    <row r="518" spans="1:153" s="478" customFormat="1" ht="4">
      <c r="A518" s="677" t="str">
        <f t="shared" ca="1" si="216"/>
        <v>D.1.518</v>
      </c>
      <c r="B518" s="677" t="str">
        <f t="shared" ca="1" si="217"/>
        <v>1.518</v>
      </c>
      <c r="C518" s="677" t="str">
        <f t="shared" si="229"/>
        <v>[518]</v>
      </c>
      <c r="D518" s="677">
        <f>ROW()</f>
        <v>518</v>
      </c>
      <c r="E518" s="528"/>
      <c r="F518" s="528"/>
      <c r="G518" s="528"/>
      <c r="H518" s="528"/>
      <c r="I518" s="527"/>
      <c r="J518" s="527"/>
      <c r="K518" s="527"/>
      <c r="L518" s="527"/>
      <c r="M518" s="527"/>
      <c r="N518" s="528"/>
      <c r="O518" s="871">
        <v>518</v>
      </c>
      <c r="P518" s="566"/>
      <c r="Q518" s="567"/>
      <c r="R518" s="888"/>
      <c r="S518" s="802"/>
      <c r="T518" s="882"/>
      <c r="U518" s="661"/>
      <c r="V518" s="661"/>
      <c r="W518" s="661"/>
      <c r="X518" s="661"/>
      <c r="Y518" s="661"/>
      <c r="Z518" s="661"/>
      <c r="AA518" s="661"/>
      <c r="AB518" s="675"/>
      <c r="AC518" s="675"/>
      <c r="AD518" s="675"/>
      <c r="AE518" s="675"/>
      <c r="AF518" s="675"/>
      <c r="AG518" s="675"/>
      <c r="AH518" s="675"/>
      <c r="AI518" s="675"/>
      <c r="AJ518" s="675"/>
      <c r="AK518" s="675"/>
      <c r="AL518" s="675"/>
      <c r="AM518" s="675"/>
      <c r="AN518" s="675"/>
      <c r="AO518" s="675"/>
      <c r="AP518" s="675"/>
      <c r="AQ518" s="675"/>
      <c r="AR518" s="675"/>
      <c r="AS518" s="675"/>
      <c r="AT518" s="675"/>
      <c r="AU518" s="675"/>
      <c r="AV518" s="675"/>
      <c r="AZ518" s="505"/>
      <c r="BB518" s="505"/>
      <c r="BI518" s="478" t="s">
        <v>126</v>
      </c>
      <c r="BJ518" s="489"/>
      <c r="BN518" s="661"/>
      <c r="CU518" s="479"/>
      <c r="CV518" s="661"/>
      <c r="CW518" s="479"/>
      <c r="DS518" s="661"/>
      <c r="EV518" s="818" t="str">
        <f t="shared" si="218"/>
        <v/>
      </c>
      <c r="EW518" s="818"/>
    </row>
    <row r="519" spans="1:153" s="475" customFormat="1" ht="13.5" customHeight="1">
      <c r="A519" s="654" t="str">
        <f t="shared" ca="1" si="216"/>
        <v>D.1.519</v>
      </c>
      <c r="B519" s="654" t="str">
        <f t="shared" ca="1" si="217"/>
        <v>1.519</v>
      </c>
      <c r="C519" s="654" t="str">
        <f t="shared" si="229"/>
        <v>[519]</v>
      </c>
      <c r="D519" s="654">
        <f>ROW()</f>
        <v>519</v>
      </c>
      <c r="E519" s="1129" t="str">
        <f>BP519</f>
        <v>Wärmepumpen - Stromverbrauch jährlich</v>
      </c>
      <c r="F519" s="1129"/>
      <c r="G519" s="1129"/>
      <c r="H519" s="1129"/>
      <c r="I519" s="1129"/>
      <c r="J519" s="831" t="s">
        <v>361</v>
      </c>
      <c r="K519" s="546">
        <f ca="1">INDIRECT($W$1&amp;U519)</f>
        <v>3646.4516129032263</v>
      </c>
      <c r="L519" s="485" t="str">
        <f ca="1">HYPERLINK($CK$1&amp;U519,$CE$1&amp;U519&amp;$CF$1)</f>
        <v>[520]</v>
      </c>
      <c r="M519" s="547">
        <f ca="1">INDIRECT($W$1&amp;W519)</f>
        <v>74744.173736210025</v>
      </c>
      <c r="N519" s="533" t="str">
        <f ca="1">HYPERLINK($CK$1&amp;W519,$CE$1&amp;W519&amp;$CF$1)</f>
        <v>[524]</v>
      </c>
      <c r="O519" s="869">
        <v>519</v>
      </c>
      <c r="P519" s="570"/>
      <c r="Q519" s="583"/>
      <c r="R519" s="852"/>
      <c r="S519" s="784"/>
      <c r="T519" s="864"/>
      <c r="U519" s="672">
        <f>D520</f>
        <v>520</v>
      </c>
      <c r="V519" s="905" t="s">
        <v>126</v>
      </c>
      <c r="W519" s="672">
        <f>D524</f>
        <v>524</v>
      </c>
      <c r="X519" s="658"/>
      <c r="Y519" s="658"/>
      <c r="Z519" s="658"/>
      <c r="AA519" s="658"/>
      <c r="AB519" s="801"/>
      <c r="AC519" s="801"/>
      <c r="AD519" s="674"/>
      <c r="AE519" s="674"/>
      <c r="AF519" s="674"/>
      <c r="AG519" s="674"/>
      <c r="AH519" s="674"/>
      <c r="AI519" s="674"/>
      <c r="AJ519" s="674"/>
      <c r="AK519" s="674"/>
      <c r="AL519" s="674"/>
      <c r="AM519" s="674"/>
      <c r="AN519" s="674"/>
      <c r="AO519" s="674"/>
      <c r="AP519" s="674"/>
      <c r="AQ519" s="674"/>
      <c r="AR519" s="674"/>
      <c r="AS519" s="674"/>
      <c r="AT519" s="674"/>
      <c r="AU519" s="674"/>
      <c r="AV519" s="674"/>
      <c r="AX519" s="475" t="s">
        <v>244</v>
      </c>
      <c r="AY519" s="500">
        <f ca="1">DA519</f>
        <v>1500</v>
      </c>
      <c r="AZ519" s="508" t="str">
        <f ca="1">HYPERLINK(DN519,DC519)</f>
        <v xml:space="preserve"> 385</v>
      </c>
      <c r="BA519" s="500">
        <f ca="1">DB519</f>
        <v>1500</v>
      </c>
      <c r="BB519" s="508" t="str">
        <f ca="1">HYPERLINK(DO519,DD519)</f>
        <v xml:space="preserve"> 386</v>
      </c>
      <c r="BC519" s="475" t="str">
        <f ca="1">CY519&amp;" | "&amp;CZ519</f>
        <v>Wärme | 2. Energieertrag Umgebungswärme</v>
      </c>
      <c r="BI519" s="475" t="s">
        <v>126</v>
      </c>
      <c r="BJ519" s="492" t="str">
        <f>E519</f>
        <v>Wärmepumpen - Stromverbrauch jährlich</v>
      </c>
      <c r="BK519" s="486">
        <f ca="1">K519</f>
        <v>3646.4516129032263</v>
      </c>
      <c r="BL519" s="486">
        <f ca="1">M519</f>
        <v>74744.173736210025</v>
      </c>
      <c r="BM519" s="472">
        <f>D519</f>
        <v>519</v>
      </c>
      <c r="BN519" s="658"/>
      <c r="BO519" s="475" t="s">
        <v>251</v>
      </c>
      <c r="BP519" s="521" t="s">
        <v>714</v>
      </c>
      <c r="CU519" s="476"/>
      <c r="CV519" s="658"/>
      <c r="CW519" s="518">
        <v>99</v>
      </c>
      <c r="CY519" s="472" t="str">
        <f t="shared" ref="CY519:DO519" ca="1" si="238">INDIRECT($CX$1&amp;CY$1&amp;$CW519)</f>
        <v>Wärme</v>
      </c>
      <c r="CZ519" s="472" t="str">
        <f t="shared" ca="1" si="238"/>
        <v>2. Energieertrag Umgebungswärme</v>
      </c>
      <c r="DA519" s="472">
        <f t="shared" ca="1" si="238"/>
        <v>1500</v>
      </c>
      <c r="DB519" s="472">
        <f t="shared" ca="1" si="238"/>
        <v>1500</v>
      </c>
      <c r="DC519" s="472" t="str">
        <f t="shared" ca="1" si="238"/>
        <v xml:space="preserve"> 385</v>
      </c>
      <c r="DD519" s="472" t="str">
        <f t="shared" ca="1" si="238"/>
        <v xml:space="preserve"> 386</v>
      </c>
      <c r="DE519" s="472" t="str">
        <f t="shared" ca="1" si="238"/>
        <v>UG40</v>
      </c>
      <c r="DF519" s="472" t="str">
        <f t="shared" ca="1" si="238"/>
        <v>UG44</v>
      </c>
      <c r="DG519" s="472" t="str">
        <f t="shared" ca="1" si="238"/>
        <v>UG</v>
      </c>
      <c r="DH519" s="472" t="str">
        <f t="shared" ca="1" si="238"/>
        <v>40</v>
      </c>
      <c r="DI519" s="472" t="str">
        <f t="shared" ca="1" si="238"/>
        <v>[UG.xls]TEXT!Z40S5</v>
      </c>
      <c r="DJ519" s="472" t="str">
        <f t="shared" ca="1" si="238"/>
        <v>UG</v>
      </c>
      <c r="DK519" s="472" t="str">
        <f t="shared" ca="1" si="238"/>
        <v>44</v>
      </c>
      <c r="DL519" s="472" t="str">
        <f t="shared" ca="1" si="238"/>
        <v>[UG.xls]TEXT!Z44S5</v>
      </c>
      <c r="DM519" s="472">
        <f t="shared" ca="1" si="238"/>
        <v>99</v>
      </c>
      <c r="DN519" s="472" t="str">
        <f t="shared" ca="1" si="238"/>
        <v>[Region.xls]PARAMETER!Z385S6</v>
      </c>
      <c r="DO519" s="472" t="str">
        <f t="shared" ca="1" si="238"/>
        <v>[Region.xls]PARAMETER!Z386S6</v>
      </c>
      <c r="DP519" s="472"/>
      <c r="DS519" s="656"/>
      <c r="DV519" s="472"/>
      <c r="DW519" s="472"/>
      <c r="DX519" s="472"/>
      <c r="DY519" s="472"/>
      <c r="DZ519" s="472"/>
      <c r="EA519" s="472"/>
      <c r="EB519" s="472"/>
      <c r="EC519" s="472"/>
      <c r="ED519" s="472"/>
      <c r="EE519" s="472"/>
      <c r="EF519" s="472"/>
      <c r="EG519" s="472"/>
      <c r="EH519" s="472"/>
      <c r="EI519" s="472"/>
      <c r="EJ519" s="472"/>
      <c r="EK519" s="472"/>
      <c r="EV519" s="819">
        <f t="shared" si="218"/>
        <v>519</v>
      </c>
      <c r="EW519" s="819"/>
    </row>
    <row r="520" spans="1:153" s="472" customFormat="1">
      <c r="A520" s="654" t="str">
        <f t="shared" ca="1" si="216"/>
        <v>D.1.520</v>
      </c>
      <c r="B520" s="654" t="str">
        <f t="shared" ca="1" si="217"/>
        <v>1.520</v>
      </c>
      <c r="C520" s="654" t="str">
        <f t="shared" si="229"/>
        <v>[520]</v>
      </c>
      <c r="D520" s="654">
        <f>ROW()</f>
        <v>520</v>
      </c>
      <c r="E520" s="1130" t="str">
        <f>CU520</f>
        <v>- STATUS-Ansatz: Gemäß [521]:</v>
      </c>
      <c r="F520" s="1130"/>
      <c r="G520" s="1130"/>
      <c r="H520" s="1130"/>
      <c r="I520" s="1130"/>
      <c r="J520" s="1130"/>
      <c r="K520" s="1130"/>
      <c r="L520" s="1130"/>
      <c r="M520" s="1130"/>
      <c r="N520" s="1131"/>
      <c r="O520" s="869">
        <v>520</v>
      </c>
      <c r="P520" s="573" t="str">
        <f ca="1">HYPERLINK(EK520,EJ520)</f>
        <v/>
      </c>
      <c r="Q520" s="574" t="str">
        <f>Y520</f>
        <v xml:space="preserve"> </v>
      </c>
      <c r="R520" s="852"/>
      <c r="S520" s="784"/>
      <c r="T520" s="864"/>
      <c r="U520" s="1023" t="str">
        <f>"Gemäß "&amp;C521&amp;":"</f>
        <v>Gemäß [521]:</v>
      </c>
      <c r="V520" s="905" t="s">
        <v>126</v>
      </c>
      <c r="W520" s="1024">
        <f>W521</f>
        <v>3646.4516129032263</v>
      </c>
      <c r="X520" s="672"/>
      <c r="Y520" s="672" t="s">
        <v>126</v>
      </c>
      <c r="Z520" s="1025"/>
      <c r="AA520" s="658"/>
      <c r="AB520" s="801"/>
      <c r="AC520" s="801"/>
      <c r="AD520" s="801">
        <f>AQ521</f>
        <v>70</v>
      </c>
      <c r="AE520" s="801" t="str">
        <f>AR521</f>
        <v xml:space="preserve"> MW </v>
      </c>
      <c r="AF520" s="801">
        <f>AD522</f>
        <v>1900</v>
      </c>
      <c r="AG520" s="801" t="str">
        <f>AE522</f>
        <v xml:space="preserve"> h/a </v>
      </c>
      <c r="AH520" s="801">
        <f>AD520*AF520/1000</f>
        <v>133</v>
      </c>
      <c r="AI520" s="801" t="s">
        <v>385</v>
      </c>
      <c r="AJ520" s="801"/>
      <c r="AK520" s="801"/>
      <c r="AL520" s="801"/>
      <c r="AM520" s="801"/>
      <c r="AN520" s="801"/>
      <c r="AO520" s="801"/>
      <c r="AP520" s="801"/>
      <c r="AQ520" s="801"/>
      <c r="AR520" s="801"/>
      <c r="AS520" s="801"/>
      <c r="AT520" s="801"/>
      <c r="AU520" s="801"/>
      <c r="AV520" s="801"/>
      <c r="BF520" s="473"/>
      <c r="BI520" s="472" t="s">
        <v>126</v>
      </c>
      <c r="BJ520" s="490"/>
      <c r="BN520" s="656"/>
      <c r="BO520" s="472" t="s">
        <v>259</v>
      </c>
      <c r="CU520" s="480" t="str">
        <f>CG$1&amp;IF(U520="",BF520,U520)</f>
        <v>- STATUS-Ansatz: Gemäß [521]:</v>
      </c>
      <c r="CV520" s="656"/>
      <c r="CW520" s="480"/>
      <c r="DS520" s="656"/>
      <c r="DT520" s="518">
        <f>I_Basisdaten!A245</f>
        <v>0</v>
      </c>
      <c r="EJ520" s="472" t="str">
        <f>IF(X520=0,"",EJ$1&amp;X520)</f>
        <v/>
      </c>
      <c r="EK520" s="472" t="str">
        <f ca="1">EK$1&amp;X520</f>
        <v>[D_Python.xlsx]9.Quellen!C</v>
      </c>
      <c r="EV520" s="819">
        <f t="shared" si="218"/>
        <v>520</v>
      </c>
      <c r="EW520" s="819"/>
    </row>
    <row r="521" spans="1:153" s="656" customFormat="1" ht="65">
      <c r="A521" s="654" t="str">
        <f t="shared" ca="1" si="216"/>
        <v>D.1.521</v>
      </c>
      <c r="B521" s="654" t="str">
        <f t="shared" ca="1" si="217"/>
        <v>1.521</v>
      </c>
      <c r="C521" s="654" t="str">
        <f t="shared" ref="C521" si="239">CE$1&amp;D521&amp;CF$1</f>
        <v>[521]</v>
      </c>
      <c r="D521" s="654">
        <f>ROW()</f>
        <v>521</v>
      </c>
      <c r="E521" s="1130" t="str">
        <f ca="1">CU521</f>
        <v>Gemäß BMWI [9.72] S. 13 lag die durch Wärmepumpen nutzbar gemachte erneuerbare Wärme (Luft/Wasser-, Wasser/Wasser- und Sole/Wasser-Wärmepumpen sowie Brauchwasser- und Gaswärmepumpen) in Deutschland 2016 bei 11.304 GWh. Mit einer durchschnittlichen Jahrearbeitszahl von 3,1 aus dem gewichteten Mittel der Luftgekoppelten [528][534] und der Erdreichgekoppelten [521][542] Wärmepumpen ergibt sich eine Stromaufnahme von 3.646 GWh.</v>
      </c>
      <c r="F521" s="1130"/>
      <c r="G521" s="1130"/>
      <c r="H521" s="1130"/>
      <c r="I521" s="1130"/>
      <c r="J521" s="1130"/>
      <c r="K521" s="1130"/>
      <c r="L521" s="1130"/>
      <c r="M521" s="1130"/>
      <c r="N521" s="1131"/>
      <c r="O521" s="869">
        <v>521</v>
      </c>
      <c r="P521" s="691" t="str">
        <f t="shared" ref="P521" ca="1" si="240">HYPERLINK(EK521,EJ521)</f>
        <v>9.72</v>
      </c>
      <c r="Q521" s="692" t="str">
        <f t="shared" ref="Q521" si="241">Y521</f>
        <v>S. 13</v>
      </c>
      <c r="R521" s="852"/>
      <c r="S521" s="784"/>
      <c r="T521" s="864"/>
      <c r="U521" s="1023" t="str">
        <f ca="1">"Gemäß BMWI ["&amp;P521&amp;"] "&amp;Q521&amp;" lag die durch Wärmepumpen nutzbar gemachte erneuerbare Wärme (Luft/Wasser-, Wasser/Wasser- und Sole/Wasser-Wärmepumpen sowie Brauchwasser- und Gaswärmepumpen) in Deutschland 2016 bei "&amp;TEXT(AD521,"0.000")&amp;AE521&amp;". Mit einer durchschnittlichen Jahrearbeitszahl von "&amp;TEXT(AL521,"0,0")&amp;" aus dem gewichteten Mittel der Luftgekoppelten "&amp;C528&amp;C534&amp;" und der Erdreichgekoppelten "&amp;C521&amp;C542&amp;" Wärmepumpen ergibt sich eine Stromaufnahme von "&amp;TEXT(AM521,"0.000")&amp;AN521&amp;"."</f>
        <v>Gemäß BMWI [9.72] S. 13 lag die durch Wärmepumpen nutzbar gemachte erneuerbare Wärme (Luft/Wasser-, Wasser/Wasser- und Sole/Wasser-Wärmepumpen sowie Brauchwasser- und Gaswärmepumpen) in Deutschland 2016 bei 11.304 GWh. Mit einer durchschnittlichen Jahrearbeitszahl von 3,1 aus dem gewichteten Mittel der Luftgekoppelten [528][534] und der Erdreichgekoppelten [521][542] Wärmepumpen ergibt sich eine Stromaufnahme von 3.646 GWh.</v>
      </c>
      <c r="V521" s="905" t="s">
        <v>126</v>
      </c>
      <c r="W521" s="1024">
        <f>AM521</f>
        <v>3646.4516129032263</v>
      </c>
      <c r="X521" s="672">
        <f>'9.Quellen'!C72</f>
        <v>72</v>
      </c>
      <c r="Y521" s="672" t="s">
        <v>336</v>
      </c>
      <c r="Z521" s="1025"/>
      <c r="AA521" s="658"/>
      <c r="AB521" s="801"/>
      <c r="AC521" s="801"/>
      <c r="AD521" s="801">
        <v>11304</v>
      </c>
      <c r="AE521" s="801" t="s">
        <v>325</v>
      </c>
      <c r="AF521" s="562">
        <f>W534</f>
        <v>2.8</v>
      </c>
      <c r="AG521" s="562">
        <f>W528</f>
        <v>50</v>
      </c>
      <c r="AH521" s="801" t="s">
        <v>531</v>
      </c>
      <c r="AI521" s="562">
        <f>W542</f>
        <v>3.4</v>
      </c>
      <c r="AJ521" s="562">
        <f>100-AG521</f>
        <v>50</v>
      </c>
      <c r="AK521" s="801" t="s">
        <v>972</v>
      </c>
      <c r="AL521" s="801">
        <f>AF521*AG521%+AI521*AJ521%</f>
        <v>3.0999999999999996</v>
      </c>
      <c r="AM521" s="801">
        <f>AD521/(AL521)</f>
        <v>3646.4516129032263</v>
      </c>
      <c r="AN521" s="801" t="s">
        <v>325</v>
      </c>
      <c r="AO521" s="801"/>
      <c r="AP521" s="801"/>
      <c r="AQ521" s="826">
        <v>70</v>
      </c>
      <c r="AR521" s="826" t="s">
        <v>378</v>
      </c>
      <c r="AS521" s="801"/>
      <c r="AT521" s="801"/>
      <c r="AU521" s="801"/>
      <c r="AV521" s="801"/>
      <c r="BF521" s="657"/>
      <c r="BI521" s="656" t="s">
        <v>126</v>
      </c>
      <c r="BJ521" s="666"/>
      <c r="BO521" s="656" t="s">
        <v>252</v>
      </c>
      <c r="CU521" s="663" t="str">
        <f ca="1">IF(U521="",BF521,U521)</f>
        <v>Gemäß BMWI [9.72] S. 13 lag die durch Wärmepumpen nutzbar gemachte erneuerbare Wärme (Luft/Wasser-, Wasser/Wasser- und Sole/Wasser-Wärmepumpen sowie Brauchwasser- und Gaswärmepumpen) in Deutschland 2016 bei 11.304 GWh. Mit einer durchschnittlichen Jahrearbeitszahl von 3,1 aus dem gewichteten Mittel der Luftgekoppelten [528][534] und der Erdreichgekoppelten [521][542] Wärmepumpen ergibt sich eine Stromaufnahme von 3.646 GWh.</v>
      </c>
      <c r="CW521" s="663"/>
      <c r="DT521" s="671"/>
      <c r="EJ521" s="656" t="str">
        <f ca="1">IF(X521=0,"",EJ$1&amp;X521)</f>
        <v>9.72</v>
      </c>
      <c r="EK521" s="656" t="str">
        <f ca="1">EK$1&amp;X521</f>
        <v>[D_Python.xlsx]9.Quellen!C72</v>
      </c>
      <c r="EV521" s="819">
        <f t="shared" ca="1" si="218"/>
        <v>521</v>
      </c>
      <c r="EW521" s="819"/>
    </row>
    <row r="522" spans="1:153" s="656" customFormat="1" ht="39" hidden="1">
      <c r="A522" s="654" t="str">
        <f t="shared" ca="1" si="216"/>
        <v>D.1.522</v>
      </c>
      <c r="B522" s="654" t="str">
        <f t="shared" ca="1" si="217"/>
        <v>1.522</v>
      </c>
      <c r="C522" s="654" t="str">
        <f t="shared" ref="C522" si="242">CE$1&amp;D522&amp;CF$1</f>
        <v>[522]</v>
      </c>
      <c r="D522" s="654">
        <f>ROW()</f>
        <v>522</v>
      </c>
      <c r="E522" s="1130" t="str">
        <f t="shared" ref="E522" si="243">CU522</f>
        <v>Gemäß Bundesverband Wärmepumpe werden  die Jahresvollbenutzungsstunden der Heizungswärmepumpen im Feldbestand Deutschlands (Jahr 2010) mit 1.900 h/a  angegeben, dieser Wert wird für Niedersachsen 2013 übernommen.</v>
      </c>
      <c r="F522" s="1130"/>
      <c r="G522" s="1130"/>
      <c r="H522" s="1130"/>
      <c r="I522" s="1130"/>
      <c r="J522" s="1130"/>
      <c r="K522" s="1130"/>
      <c r="L522" s="1130"/>
      <c r="M522" s="1130"/>
      <c r="N522" s="1131"/>
      <c r="O522" s="869">
        <v>522</v>
      </c>
      <c r="P522" s="691" t="str">
        <f t="shared" ref="P522" ca="1" si="244">HYPERLINK(EK522,EJ522)</f>
        <v>9.81</v>
      </c>
      <c r="Q522" s="692" t="str">
        <f t="shared" ref="Q522" si="245">Y522</f>
        <v>S. 27</v>
      </c>
      <c r="R522" s="852"/>
      <c r="S522" s="784"/>
      <c r="T522" s="864"/>
      <c r="U522" s="1023" t="str">
        <f>"Gemäß Bundesverband Wärmepumpe werden  die Jahresvollbenutzungsstunden der Heizungswärmepumpen im Feldbestand Deutschlands (Jahr 2010) mit "&amp;TEXT('1.'!AD522,"0.000")&amp;'1.'!AE522&amp;" angegeben, dieser Wert wird für Niedersachsen 2013 übernommen."</f>
        <v>Gemäß Bundesverband Wärmepumpe werden  die Jahresvollbenutzungsstunden der Heizungswärmepumpen im Feldbestand Deutschlands (Jahr 2010) mit 1.900 h/a  angegeben, dieser Wert wird für Niedersachsen 2013 übernommen.</v>
      </c>
      <c r="V522" s="905" t="s">
        <v>126</v>
      </c>
      <c r="W522" s="1024">
        <f>AD522</f>
        <v>1900</v>
      </c>
      <c r="X522" s="672">
        <f>'9.Quellen'!C81</f>
        <v>81</v>
      </c>
      <c r="Y522" s="672" t="s">
        <v>577</v>
      </c>
      <c r="Z522" s="1025"/>
      <c r="AA522" s="658"/>
      <c r="AB522" s="801"/>
      <c r="AC522" s="801"/>
      <c r="AD522" s="801">
        <v>1900</v>
      </c>
      <c r="AE522" s="801" t="s">
        <v>598</v>
      </c>
      <c r="AF522" s="801">
        <v>11.3</v>
      </c>
      <c r="AG522" s="801" t="s">
        <v>1029</v>
      </c>
      <c r="AH522" s="801">
        <v>10</v>
      </c>
      <c r="AI522" s="801" t="s">
        <v>1030</v>
      </c>
      <c r="AJ522" s="801">
        <f>AF522*1000/AH522</f>
        <v>1130</v>
      </c>
      <c r="AK522" s="801" t="s">
        <v>326</v>
      </c>
      <c r="AL522" s="801"/>
      <c r="AM522" s="801"/>
      <c r="AN522" s="801"/>
      <c r="AO522" s="801"/>
      <c r="AP522" s="801"/>
      <c r="AQ522" s="801"/>
      <c r="AR522" s="801"/>
      <c r="AS522" s="801"/>
      <c r="AT522" s="801"/>
      <c r="AU522" s="801"/>
      <c r="AV522" s="801"/>
      <c r="BF522" s="657"/>
      <c r="BI522" s="656" t="s">
        <v>126</v>
      </c>
      <c r="BJ522" s="666"/>
      <c r="BO522" s="656" t="s">
        <v>252</v>
      </c>
      <c r="CU522" s="663" t="str">
        <f>IF(U522="",BF522,U522)</f>
        <v>Gemäß Bundesverband Wärmepumpe werden  die Jahresvollbenutzungsstunden der Heizungswärmepumpen im Feldbestand Deutschlands (Jahr 2010) mit 1.900 h/a  angegeben, dieser Wert wird für Niedersachsen 2013 übernommen.</v>
      </c>
      <c r="CW522" s="663"/>
      <c r="DT522" s="671"/>
      <c r="EJ522" s="656" t="str">
        <f ca="1">IF(X522=0,"",EJ$1&amp;X522)</f>
        <v>9.81</v>
      </c>
      <c r="EK522" s="656" t="str">
        <f ca="1">EK$1&amp;X522</f>
        <v>[D_Python.xlsx]9.Quellen!C81</v>
      </c>
      <c r="EV522" s="819">
        <f t="shared" si="218"/>
        <v>522</v>
      </c>
      <c r="EW522" s="819"/>
    </row>
    <row r="523" spans="1:153" s="661" customFormat="1" ht="4">
      <c r="A523" s="677" t="str">
        <f t="shared" ca="1" si="216"/>
        <v>D.1.523</v>
      </c>
      <c r="B523" s="677" t="str">
        <f t="shared" ca="1" si="217"/>
        <v>1.523</v>
      </c>
      <c r="C523" s="677" t="str">
        <f t="shared" si="229"/>
        <v>[523]</v>
      </c>
      <c r="D523" s="677">
        <f>ROW()</f>
        <v>523</v>
      </c>
      <c r="E523" s="680"/>
      <c r="F523" s="680"/>
      <c r="G523" s="680"/>
      <c r="H523" s="680"/>
      <c r="I523" s="679"/>
      <c r="J523" s="679"/>
      <c r="K523" s="679"/>
      <c r="L523" s="679"/>
      <c r="M523" s="679"/>
      <c r="N523" s="680"/>
      <c r="O523" s="871">
        <v>523</v>
      </c>
      <c r="P523" s="688"/>
      <c r="Q523" s="689"/>
      <c r="R523" s="888"/>
      <c r="S523" s="810"/>
      <c r="T523" s="882"/>
      <c r="AB523" s="675"/>
      <c r="AC523" s="675"/>
      <c r="AD523" s="675"/>
      <c r="AE523" s="675"/>
      <c r="AF523" s="675"/>
      <c r="AG523" s="675"/>
      <c r="AH523" s="675"/>
      <c r="AI523" s="675"/>
      <c r="AJ523" s="675"/>
      <c r="AK523" s="675"/>
      <c r="AL523" s="675"/>
      <c r="AM523" s="675"/>
      <c r="AN523" s="675"/>
      <c r="AO523" s="675"/>
      <c r="AP523" s="675"/>
      <c r="AQ523" s="675"/>
      <c r="AR523" s="675"/>
      <c r="AS523" s="675"/>
      <c r="AT523" s="675"/>
      <c r="AU523" s="675"/>
      <c r="AV523" s="675"/>
      <c r="BI523" s="661" t="s">
        <v>126</v>
      </c>
      <c r="BJ523" s="665"/>
      <c r="CU523" s="662"/>
      <c r="CW523" s="662"/>
      <c r="EV523" s="818" t="str">
        <f t="shared" si="218"/>
        <v/>
      </c>
      <c r="EW523" s="818"/>
    </row>
    <row r="524" spans="1:153" s="472" customFormat="1" ht="78">
      <c r="A524" s="654" t="str">
        <f t="shared" ca="1" si="216"/>
        <v>D.1.524</v>
      </c>
      <c r="B524" s="654" t="str">
        <f t="shared" ca="1" si="217"/>
        <v>1.524</v>
      </c>
      <c r="C524" s="654" t="str">
        <f t="shared" si="229"/>
        <v>[524]</v>
      </c>
      <c r="D524" s="654">
        <f>ROW()</f>
        <v>524</v>
      </c>
      <c r="E524" s="1125" t="str">
        <f t="shared" ref="E524" si="246">CU524</f>
        <v xml:space="preserve">- ZIEL-Ansatz: (Bei Abweichungen gilt Abgleichergebnis in _S.xlsx) Gewählt entsprechend dem Bedarf an Gebäudewärme, der nicht aus anderen Quellen (Abwärme aus Kraft-Wärme-Kopplung, Solarthermie, Brennstoffen, elektrische Widerstandsheizungen) gedeckt wird. Hier werden Wärmepumpen als ideale Lösung zur Schonung der begrenzten  Brennstoffpotenziale und wegen der 3-4 fachen Wärmeausbeute auch zum Ersatz der strombetriebenen Widerstandsheizungen eingesetzt. Unter Annahme der Jahresvollbenutzungstunden gemäß [525] resultiert eine elektrische Anschlussleistung von 43.967 MW . </v>
      </c>
      <c r="F524" s="1125"/>
      <c r="G524" s="1125"/>
      <c r="H524" s="1125"/>
      <c r="I524" s="1125"/>
      <c r="J524" s="1125"/>
      <c r="K524" s="1125"/>
      <c r="L524" s="1125"/>
      <c r="M524" s="1125"/>
      <c r="N524" s="1132"/>
      <c r="O524" s="869">
        <v>524</v>
      </c>
      <c r="P524" s="573" t="str">
        <f ca="1">HYPERLINK(EK524,EJ524)</f>
        <v/>
      </c>
      <c r="Q524" s="574" t="str">
        <f>Y524</f>
        <v xml:space="preserve"> </v>
      </c>
      <c r="R524" s="852"/>
      <c r="S524" s="784"/>
      <c r="T524" s="864" t="s">
        <v>813</v>
      </c>
      <c r="U524" s="1023" t="str">
        <f>"(Bei Abweichungen gilt Abgleichergebnis in _S.xlsx) Gewählt entsprechend dem Bedarf an Gebäudewärme, der nicht aus anderen Quellen (Abwärme aus Kraft-Wärme-Kopplung, Solarthermie, Brennstoffen, elektrische Widerstandsheizungen) gedeckt wird. "&amp;"Hier werden Wärmepumpen als ideale Lösung zur Schonung der begrenzten  Brennstoffpotenziale und wegen der 3-4 fachen Wärmeausbeute auch zum Ersatz der strombetriebenen Widerstandsheizungen eingesetzt. "&amp;"Unter Annahme der Jahresvollbenutzungstunden gemäß "&amp;C525&amp;" resultiert eine elektrische Anschlussleistung von "&amp;TEXT(AH524,"0.000")&amp;AI524&amp;". "</f>
        <v xml:space="preserve">(Bei Abweichungen gilt Abgleichergebnis in _S.xlsx) Gewählt entsprechend dem Bedarf an Gebäudewärme, der nicht aus anderen Quellen (Abwärme aus Kraft-Wärme-Kopplung, Solarthermie, Brennstoffen, elektrische Widerstandsheizungen) gedeckt wird. Hier werden Wärmepumpen als ideale Lösung zur Schonung der begrenzten  Brennstoffpotenziale und wegen der 3-4 fachen Wärmeausbeute auch zum Ersatz der strombetriebenen Widerstandsheizungen eingesetzt. Unter Annahme der Jahresvollbenutzungstunden gemäß [525] resultiert eine elektrische Anschlussleistung von 43.967 MW . </v>
      </c>
      <c r="V524" s="905" t="s">
        <v>126</v>
      </c>
      <c r="W524" s="823">
        <v>74744.173736210025</v>
      </c>
      <c r="X524" s="672"/>
      <c r="Y524" s="672" t="s">
        <v>126</v>
      </c>
      <c r="Z524" s="1025"/>
      <c r="AA524" s="905"/>
      <c r="AB524" s="801"/>
      <c r="AC524" s="1020"/>
      <c r="AD524" s="687">
        <f>W524</f>
        <v>74744.173736210025</v>
      </c>
      <c r="AE524" s="801" t="s">
        <v>385</v>
      </c>
      <c r="AF524" s="801">
        <f>AD525</f>
        <v>1700</v>
      </c>
      <c r="AG524" s="801" t="str">
        <f>AE525</f>
        <v xml:space="preserve"> h/a</v>
      </c>
      <c r="AH524" s="801">
        <f>AD524/AF524*1000</f>
        <v>43967.161021300017</v>
      </c>
      <c r="AI524" s="801" t="s">
        <v>378</v>
      </c>
      <c r="AJ524" s="801"/>
      <c r="AK524" s="801"/>
      <c r="AL524" s="801"/>
      <c r="AM524" s="801"/>
      <c r="AN524" s="801"/>
      <c r="AO524" s="801"/>
      <c r="AP524" s="801"/>
      <c r="AQ524" s="801"/>
      <c r="AR524" s="801"/>
      <c r="AS524" s="801"/>
      <c r="AT524" s="801"/>
      <c r="AU524" s="801"/>
      <c r="AV524" s="801"/>
      <c r="BF524" s="473"/>
      <c r="BI524" s="472" t="s">
        <v>126</v>
      </c>
      <c r="BJ524" s="490"/>
      <c r="BN524" s="656"/>
      <c r="BO524" s="472" t="s">
        <v>259</v>
      </c>
      <c r="CU524" s="480" t="str">
        <f>CH$1&amp;IF(U524="",BF524,U524)</f>
        <v xml:space="preserve">- ZIEL-Ansatz: (Bei Abweichungen gilt Abgleichergebnis in _S.xlsx) Gewählt entsprechend dem Bedarf an Gebäudewärme, der nicht aus anderen Quellen (Abwärme aus Kraft-Wärme-Kopplung, Solarthermie, Brennstoffen, elektrische Widerstandsheizungen) gedeckt wird. Hier werden Wärmepumpen als ideale Lösung zur Schonung der begrenzten  Brennstoffpotenziale und wegen der 3-4 fachen Wärmeausbeute auch zum Ersatz der strombetriebenen Widerstandsheizungen eingesetzt. Unter Annahme der Jahresvollbenutzungstunden gemäß [525] resultiert eine elektrische Anschlussleistung von 43.967 MW . </v>
      </c>
      <c r="CV524" s="656"/>
      <c r="CW524" s="480"/>
      <c r="DS524" s="656"/>
      <c r="DT524" s="518">
        <v>53</v>
      </c>
      <c r="EJ524" s="472" t="str">
        <f>IF(X524=0,"",EJ$1&amp;X524)</f>
        <v/>
      </c>
      <c r="EK524" s="472" t="str">
        <f ca="1">EK$1&amp;X524</f>
        <v>[D_Python.xlsx]9.Quellen!C</v>
      </c>
      <c r="EV524" s="819">
        <f t="shared" si="218"/>
        <v>524</v>
      </c>
      <c r="EW524" s="819"/>
    </row>
    <row r="525" spans="1:153" s="656" customFormat="1" ht="52">
      <c r="A525" s="654" t="str">
        <f t="shared" ca="1" si="216"/>
        <v>D.1.525</v>
      </c>
      <c r="B525" s="654" t="str">
        <f t="shared" ca="1" si="217"/>
        <v>1.525</v>
      </c>
      <c r="C525" s="654" t="str">
        <f t="shared" ref="C525" si="247">CE$1&amp;D525&amp;CF$1</f>
        <v>[525]</v>
      </c>
      <c r="D525" s="654">
        <f>ROW()</f>
        <v>525</v>
      </c>
      <c r="E525" s="1125" t="str">
        <f ca="1">CU525</f>
        <v xml:space="preserve">Nach Untersuchungen des Bundesverbandes Wärmepumpe hat  eine bessere Wärmedämmung durch energetische Sanierung und  zunehmenden Anteil energieeffizienter Neubauten einen senkenden Einfluss auf die Jahresvollbenutzungsstunden, 1.700 h/a werden für die neu installierten Wärmepumpen im Jahr 2030 prognostiziert [9.81] S. 27. </v>
      </c>
      <c r="F525" s="1125"/>
      <c r="G525" s="1125"/>
      <c r="H525" s="1125"/>
      <c r="I525" s="1125"/>
      <c r="J525" s="1125"/>
      <c r="K525" s="1125"/>
      <c r="L525" s="1125"/>
      <c r="M525" s="1125"/>
      <c r="N525" s="1132"/>
      <c r="O525" s="869">
        <v>525</v>
      </c>
      <c r="P525" s="691" t="str">
        <f ca="1">HYPERLINK(EK525,EJ525)</f>
        <v>9.81</v>
      </c>
      <c r="Q525" s="692" t="str">
        <f>Y525</f>
        <v>S. 27</v>
      </c>
      <c r="R525" s="852"/>
      <c r="S525" s="784"/>
      <c r="T525" s="864"/>
      <c r="U525" s="1023" t="str">
        <f ca="1">"Nach Untersuchungen des Bundesverbandes Wärmepumpe hat  eine bessere Wärmedämmung durch energetische Sanierung und  zunehmenden Anteil energieeffizienter Neubauten einen senkenden Einfluss auf die Jahresvollbenutzungsstunden, "&amp;TEXT(AD525,"0.000")&amp;AE525&amp;" werden für die neu installierten Wärmepumpen im Jahr 2030 prognostiziert ["&amp;P525&amp;"] "&amp;Q525&amp;". "</f>
        <v xml:space="preserve">Nach Untersuchungen des Bundesverbandes Wärmepumpe hat  eine bessere Wärmedämmung durch energetische Sanierung und  zunehmenden Anteil energieeffizienter Neubauten einen senkenden Einfluss auf die Jahresvollbenutzungsstunden, 1.700 h/a werden für die neu installierten Wärmepumpen im Jahr 2030 prognostiziert [9.81] S. 27. </v>
      </c>
      <c r="V525" s="905" t="s">
        <v>126</v>
      </c>
      <c r="W525" s="1024">
        <f>AD525</f>
        <v>1700</v>
      </c>
      <c r="X525" s="672">
        <f>'9.Quellen'!C81</f>
        <v>81</v>
      </c>
      <c r="Y525" s="672" t="s">
        <v>577</v>
      </c>
      <c r="Z525" s="1025"/>
      <c r="AA525" s="905"/>
      <c r="AB525" s="801"/>
      <c r="AC525" s="801"/>
      <c r="AD525" s="801">
        <v>1700</v>
      </c>
      <c r="AE525" s="801" t="s">
        <v>326</v>
      </c>
      <c r="AF525" s="801"/>
      <c r="AG525" s="801"/>
      <c r="AH525" s="801"/>
      <c r="AI525" s="801"/>
      <c r="AJ525" s="801"/>
      <c r="AK525" s="801"/>
      <c r="AL525" s="801"/>
      <c r="AM525" s="801"/>
      <c r="AN525" s="801"/>
      <c r="AO525" s="801"/>
      <c r="AP525" s="801"/>
      <c r="AQ525" s="801"/>
      <c r="AR525" s="801"/>
      <c r="AS525" s="801"/>
      <c r="AT525" s="801"/>
      <c r="AU525" s="801"/>
      <c r="AV525" s="801"/>
      <c r="BF525" s="657"/>
      <c r="BI525" s="656" t="s">
        <v>126</v>
      </c>
      <c r="BJ525" s="666"/>
      <c r="BO525" s="656" t="s">
        <v>252</v>
      </c>
      <c r="CU525" s="663" t="str">
        <f ca="1">IF(U525="",BF525,U525)</f>
        <v xml:space="preserve">Nach Untersuchungen des Bundesverbandes Wärmepumpe hat  eine bessere Wärmedämmung durch energetische Sanierung und  zunehmenden Anteil energieeffizienter Neubauten einen senkenden Einfluss auf die Jahresvollbenutzungsstunden, 1.700 h/a werden für die neu installierten Wärmepumpen im Jahr 2030 prognostiziert [9.81] S. 27. </v>
      </c>
      <c r="CW525" s="663"/>
      <c r="DT525" s="671"/>
      <c r="EJ525" s="656" t="str">
        <f ca="1">IF(X525=0,"",EJ$1&amp;X525)</f>
        <v>9.81</v>
      </c>
      <c r="EK525" s="656" t="str">
        <f ca="1">EK$1&amp;X525</f>
        <v>[D_Python.xlsx]9.Quellen!C81</v>
      </c>
      <c r="EV525" s="819">
        <f t="shared" ca="1" si="218"/>
        <v>525</v>
      </c>
      <c r="EW525" s="819"/>
    </row>
    <row r="526" spans="1:153" s="478" customFormat="1" ht="4">
      <c r="A526" s="677" t="str">
        <f t="shared" ca="1" si="216"/>
        <v>D.1.526</v>
      </c>
      <c r="B526" s="677" t="str">
        <f t="shared" ca="1" si="217"/>
        <v>1.526</v>
      </c>
      <c r="C526" s="677" t="str">
        <f t="shared" si="229"/>
        <v>[526]</v>
      </c>
      <c r="D526" s="677">
        <f>ROW()</f>
        <v>526</v>
      </c>
      <c r="E526" s="548"/>
      <c r="F526" s="548"/>
      <c r="G526" s="548"/>
      <c r="H526" s="548"/>
      <c r="I526" s="549"/>
      <c r="J526" s="549"/>
      <c r="K526" s="549"/>
      <c r="L526" s="549"/>
      <c r="M526" s="549"/>
      <c r="N526" s="548"/>
      <c r="O526" s="871">
        <v>526</v>
      </c>
      <c r="P526" s="575"/>
      <c r="Q526" s="576"/>
      <c r="R526" s="888"/>
      <c r="S526" s="802"/>
      <c r="T526" s="882"/>
      <c r="U526" s="661"/>
      <c r="V526" s="661"/>
      <c r="W526" s="661"/>
      <c r="X526" s="661"/>
      <c r="Y526" s="661"/>
      <c r="Z526" s="661"/>
      <c r="AA526" s="661"/>
      <c r="AB526" s="675"/>
      <c r="AC526" s="675"/>
      <c r="AD526" s="675"/>
      <c r="AE526" s="675"/>
      <c r="AF526" s="675"/>
      <c r="AG526" s="675"/>
      <c r="AH526" s="675"/>
      <c r="AI526" s="675"/>
      <c r="AJ526" s="675"/>
      <c r="AK526" s="675"/>
      <c r="AL526" s="675"/>
      <c r="AM526" s="675"/>
      <c r="AN526" s="675"/>
      <c r="AO526" s="675"/>
      <c r="AP526" s="675"/>
      <c r="AQ526" s="675"/>
      <c r="AR526" s="675"/>
      <c r="AS526" s="675"/>
      <c r="AT526" s="675"/>
      <c r="AU526" s="675"/>
      <c r="AV526" s="675"/>
      <c r="AZ526" s="505"/>
      <c r="BB526" s="505"/>
      <c r="BI526" s="478" t="s">
        <v>126</v>
      </c>
      <c r="BJ526" s="489"/>
      <c r="BN526" s="661"/>
      <c r="CU526" s="479"/>
      <c r="CV526" s="661"/>
      <c r="CW526" s="479"/>
      <c r="DS526" s="661"/>
      <c r="EV526" s="818" t="str">
        <f t="shared" si="218"/>
        <v/>
      </c>
      <c r="EW526" s="818"/>
    </row>
    <row r="527" spans="1:153" s="475" customFormat="1" ht="13.5" customHeight="1">
      <c r="A527" s="654" t="str">
        <f t="shared" ref="A527:A592" ca="1" si="248">BT$1&amp;D527</f>
        <v>D.1.527</v>
      </c>
      <c r="B527" s="654" t="str">
        <f t="shared" ref="B527:B592" ca="1" si="249">BW$1&amp;D527</f>
        <v>1.527</v>
      </c>
      <c r="C527" s="654" t="str">
        <f t="shared" si="229"/>
        <v>[527]</v>
      </c>
      <c r="D527" s="654">
        <f>ROW()</f>
        <v>527</v>
      </c>
      <c r="E527" s="1129" t="str">
        <f>BP527</f>
        <v>Wärmep. - Anteil Anlagen mit Luftkopplung</v>
      </c>
      <c r="F527" s="1129"/>
      <c r="G527" s="1129"/>
      <c r="H527" s="1129"/>
      <c r="I527" s="1129"/>
      <c r="J527" s="655" t="s">
        <v>38</v>
      </c>
      <c r="K527" s="557">
        <f ca="1">INDIRECT($W$1&amp;U527)</f>
        <v>50</v>
      </c>
      <c r="L527" s="485" t="str">
        <f ca="1">HYPERLINK($CK$1&amp;U527,$CE$1&amp;U527&amp;$CF$1)</f>
        <v>[528]</v>
      </c>
      <c r="M527" s="558">
        <f ca="1">INDIRECT($W$1&amp;W527)</f>
        <v>72</v>
      </c>
      <c r="N527" s="681" t="str">
        <f ca="1">HYPERLINK($CK$1&amp;W527,$CE$1&amp;W527&amp;$CF$1)</f>
        <v>[530]</v>
      </c>
      <c r="O527" s="869">
        <v>527</v>
      </c>
      <c r="P527" s="570"/>
      <c r="Q527" s="583"/>
      <c r="R527" s="852"/>
      <c r="S527" s="784"/>
      <c r="T527" s="864"/>
      <c r="U527" s="672">
        <f>D528</f>
        <v>528</v>
      </c>
      <c r="V527" s="905" t="s">
        <v>126</v>
      </c>
      <c r="W527" s="672">
        <f>D530</f>
        <v>530</v>
      </c>
      <c r="X527" s="658"/>
      <c r="Y527" s="658"/>
      <c r="Z527" s="658"/>
      <c r="AA527" s="658"/>
      <c r="AB527" s="801"/>
      <c r="AC527" s="801"/>
      <c r="AD527" s="674"/>
      <c r="AE527" s="674"/>
      <c r="AF527" s="674"/>
      <c r="AG527" s="674"/>
      <c r="AH527" s="674"/>
      <c r="AI527" s="674"/>
      <c r="AJ527" s="674"/>
      <c r="AK527" s="674"/>
      <c r="AL527" s="674"/>
      <c r="AM527" s="674"/>
      <c r="AN527" s="674"/>
      <c r="AO527" s="674"/>
      <c r="AP527" s="674"/>
      <c r="AQ527" s="674"/>
      <c r="AR527" s="674"/>
      <c r="AS527" s="674"/>
      <c r="AT527" s="674"/>
      <c r="AU527" s="674"/>
      <c r="AV527" s="674"/>
      <c r="AX527" s="475" t="s">
        <v>244</v>
      </c>
      <c r="AY527" s="500">
        <f ca="1">DA527</f>
        <v>-500</v>
      </c>
      <c r="AZ527" s="508" t="str">
        <f ca="1">HYPERLINK(DN527,DC527)</f>
        <v xml:space="preserve"> 389</v>
      </c>
      <c r="BA527" s="500">
        <f ca="1">DB527</f>
        <v>-500</v>
      </c>
      <c r="BB527" s="508" t="str">
        <f ca="1">HYPERLINK(DO527,DD527)</f>
        <v xml:space="preserve"> 390</v>
      </c>
      <c r="BC527" s="475" t="str">
        <f ca="1">CY527&amp;" | "&amp;CZ527</f>
        <v>0 | 3. Energieertrag Strom für Wärmepumpen-Antrieb</v>
      </c>
      <c r="BI527" s="475" t="s">
        <v>126</v>
      </c>
      <c r="BJ527" s="492" t="str">
        <f>E527</f>
        <v>Wärmep. - Anteil Anlagen mit Luftkopplung</v>
      </c>
      <c r="BK527" s="486">
        <f ca="1">K527</f>
        <v>50</v>
      </c>
      <c r="BL527" s="486">
        <f ca="1">M527</f>
        <v>72</v>
      </c>
      <c r="BM527" s="472">
        <f>D527</f>
        <v>527</v>
      </c>
      <c r="BN527" s="658"/>
      <c r="BO527" s="475" t="s">
        <v>251</v>
      </c>
      <c r="BP527" s="521" t="s">
        <v>590</v>
      </c>
      <c r="CU527" s="476"/>
      <c r="CV527" s="658"/>
      <c r="CW527" s="518">
        <v>100</v>
      </c>
      <c r="CY527" s="472">
        <f t="shared" ref="CY527:DO527" ca="1" si="250">INDIRECT($CX$1&amp;CY$1&amp;$CW527)</f>
        <v>0</v>
      </c>
      <c r="CZ527" s="472" t="str">
        <f t="shared" ca="1" si="250"/>
        <v>3. Energieertrag Strom für Wärmepumpen-Antrieb</v>
      </c>
      <c r="DA527" s="472">
        <f t="shared" ca="1" si="250"/>
        <v>-500</v>
      </c>
      <c r="DB527" s="472">
        <f t="shared" ca="1" si="250"/>
        <v>-500</v>
      </c>
      <c r="DC527" s="472" t="str">
        <f t="shared" ca="1" si="250"/>
        <v xml:space="preserve"> 389</v>
      </c>
      <c r="DD527" s="472" t="str">
        <f t="shared" ca="1" si="250"/>
        <v xml:space="preserve"> 390</v>
      </c>
      <c r="DE527" s="472" t="str">
        <f t="shared" ca="1" si="250"/>
        <v>UG40</v>
      </c>
      <c r="DF527" s="472" t="str">
        <f t="shared" ca="1" si="250"/>
        <v>UG44</v>
      </c>
      <c r="DG527" s="472" t="str">
        <f t="shared" ca="1" si="250"/>
        <v>UG</v>
      </c>
      <c r="DH527" s="472" t="str">
        <f t="shared" ca="1" si="250"/>
        <v>40</v>
      </c>
      <c r="DI527" s="472" t="str">
        <f t="shared" ca="1" si="250"/>
        <v>[UG.xls]TEXT!Z40S5</v>
      </c>
      <c r="DJ527" s="472" t="str">
        <f t="shared" ca="1" si="250"/>
        <v>UG</v>
      </c>
      <c r="DK527" s="472" t="str">
        <f t="shared" ca="1" si="250"/>
        <v>44</v>
      </c>
      <c r="DL527" s="472" t="str">
        <f t="shared" ca="1" si="250"/>
        <v>[UG.xls]TEXT!Z44S5</v>
      </c>
      <c r="DM527" s="472">
        <f t="shared" ca="1" si="250"/>
        <v>100</v>
      </c>
      <c r="DN527" s="472" t="str">
        <f t="shared" ca="1" si="250"/>
        <v>[Region.xls]PARAMETER!Z389S6</v>
      </c>
      <c r="DO527" s="472" t="str">
        <f t="shared" ca="1" si="250"/>
        <v>[Region.xls]PARAMETER!Z390S6</v>
      </c>
      <c r="DP527" s="472"/>
      <c r="DS527" s="656"/>
      <c r="DV527" s="472"/>
      <c r="DW527" s="472"/>
      <c r="DX527" s="472"/>
      <c r="DY527" s="472"/>
      <c r="DZ527" s="472"/>
      <c r="EA527" s="472"/>
      <c r="EB527" s="472"/>
      <c r="EC527" s="472"/>
      <c r="ED527" s="472"/>
      <c r="EE527" s="472"/>
      <c r="EF527" s="472"/>
      <c r="EG527" s="472"/>
      <c r="EH527" s="472"/>
      <c r="EI527" s="472"/>
      <c r="EJ527" s="472"/>
      <c r="EK527" s="472"/>
      <c r="EV527" s="819">
        <f t="shared" ref="EV527:EV592" si="251">IF(U527&amp;BP527="","",D527)</f>
        <v>527</v>
      </c>
      <c r="EW527" s="819"/>
    </row>
    <row r="528" spans="1:153" s="472" customFormat="1" ht="78">
      <c r="A528" s="654" t="str">
        <f t="shared" ca="1" si="248"/>
        <v>D.1.528</v>
      </c>
      <c r="B528" s="654" t="str">
        <f t="shared" ca="1" si="249"/>
        <v>1.528</v>
      </c>
      <c r="C528" s="654" t="str">
        <f t="shared" si="229"/>
        <v>[528]</v>
      </c>
      <c r="D528" s="654">
        <f>ROW()</f>
        <v>528</v>
      </c>
      <c r="E528" s="1130" t="str">
        <f ca="1">CU528</f>
        <v>- STATUS-Ansatz: Nach einer Auswertung der Absatzzahlen für Heizungswärmepumpen in Deutschland von 1993 bis 2013 gemäß Bundesverband Wärmepumpe [9.81], S. 41, hatten die luftgekoppelten Anlagen im Feldbestand Deutschlands 2013 einen Anteil von 45,7%. Bei einem anhaltenden Trend zu Luftgekoppelten Anlagen wird für 2016 ein Anteil von 50 % geschätzt. Der übrige Anteil besteht aus Anlagen mit Erdreichkopplung (Erdkollektoren, Erdsonden) und Wasserkopplung (Brunnen), die von der Jahresarbeitszahl höher liegen und daher gesondert zu betrachten sind.</v>
      </c>
      <c r="F528" s="1130"/>
      <c r="G528" s="1130"/>
      <c r="H528" s="1130"/>
      <c r="I528" s="1130"/>
      <c r="J528" s="1130"/>
      <c r="K528" s="1130"/>
      <c r="L528" s="1130"/>
      <c r="M528" s="1130"/>
      <c r="N528" s="1131"/>
      <c r="O528" s="869">
        <v>528</v>
      </c>
      <c r="P528" s="573" t="str">
        <f ca="1">HYPERLINK(EK528,EJ528)</f>
        <v>9.81</v>
      </c>
      <c r="Q528" s="574" t="str">
        <f>Y528</f>
        <v>S. 41</v>
      </c>
      <c r="R528" s="852"/>
      <c r="S528" s="784"/>
      <c r="T528" s="864"/>
      <c r="U528" s="1023" t="str">
        <f ca="1">"Nach einer Auswertung der Absatzzahlen für Heizungswärmepumpen in Deutschland von 1993 bis 2013 gemäß Bundesverband Wärmepumpe ["&amp;P528&amp;"], "&amp;Q528&amp;", hatten die luftgekoppelten Anlagen im Feldbestand Deutschlands 2013 einen Anteil von "&amp;AD528&amp;AE528&amp;". Bei einem anhaltenden Trend zu Luftgekoppelten Anlagen wird für 2016 ein Anteil von "&amp;W528&amp;" % geschätzt. "&amp;"Der übrige Anteil besteht aus Anlagen mit Erdreichkopplung (Erdkollektoren, Erdsonden) und Wasserkopplung (Brunnen), die von der Jahresarbeitszahl höher liegen und daher gesondert zu betrachten sind."</f>
        <v>Nach einer Auswertung der Absatzzahlen für Heizungswärmepumpen in Deutschland von 1993 bis 2013 gemäß Bundesverband Wärmepumpe [9.81], S. 41, hatten die luftgekoppelten Anlagen im Feldbestand Deutschlands 2013 einen Anteil von 45,7%. Bei einem anhaltenden Trend zu Luftgekoppelten Anlagen wird für 2016 ein Anteil von 50 % geschätzt. Der übrige Anteil besteht aus Anlagen mit Erdreichkopplung (Erdkollektoren, Erdsonden) und Wasserkopplung (Brunnen), die von der Jahresarbeitszahl höher liegen und daher gesondert zu betrachten sind.</v>
      </c>
      <c r="V528" s="905" t="s">
        <v>126</v>
      </c>
      <c r="W528" s="1034">
        <v>50</v>
      </c>
      <c r="X528" s="672">
        <f>'9.Quellen'!C81</f>
        <v>81</v>
      </c>
      <c r="Y528" s="672" t="s">
        <v>530</v>
      </c>
      <c r="Z528" s="1025"/>
      <c r="AA528" s="658"/>
      <c r="AB528" s="801"/>
      <c r="AC528" s="801"/>
      <c r="AD528" s="801">
        <v>45.7</v>
      </c>
      <c r="AE528" s="801" t="s">
        <v>38</v>
      </c>
      <c r="AF528" s="801"/>
      <c r="AG528" s="801"/>
      <c r="AH528" s="801"/>
      <c r="AI528" s="801"/>
      <c r="AJ528" s="801"/>
      <c r="AK528" s="801"/>
      <c r="AL528" s="801"/>
      <c r="AM528" s="801"/>
      <c r="AN528" s="801"/>
      <c r="AO528" s="801"/>
      <c r="AP528" s="801"/>
      <c r="AQ528" s="801"/>
      <c r="AR528" s="801"/>
      <c r="AS528" s="801"/>
      <c r="AT528" s="801"/>
      <c r="AU528" s="801"/>
      <c r="AV528" s="801"/>
      <c r="BF528" s="473"/>
      <c r="BI528" s="472" t="s">
        <v>126</v>
      </c>
      <c r="BJ528" s="490"/>
      <c r="BN528" s="656"/>
      <c r="BO528" s="472" t="s">
        <v>259</v>
      </c>
      <c r="CU528" s="480" t="str">
        <f ca="1">CG$1&amp;IF(U528="",BF528,U528)</f>
        <v>- STATUS-Ansatz: Nach einer Auswertung der Absatzzahlen für Heizungswärmepumpen in Deutschland von 1993 bis 2013 gemäß Bundesverband Wärmepumpe [9.81], S. 41, hatten die luftgekoppelten Anlagen im Feldbestand Deutschlands 2013 einen Anteil von 45,7%. Bei einem anhaltenden Trend zu Luftgekoppelten Anlagen wird für 2016 ein Anteil von 50 % geschätzt. Der übrige Anteil besteht aus Anlagen mit Erdreichkopplung (Erdkollektoren, Erdsonden) und Wasserkopplung (Brunnen), die von der Jahresarbeitszahl höher liegen und daher gesondert zu betrachten sind.</v>
      </c>
      <c r="CV528" s="656"/>
      <c r="CW528" s="480"/>
      <c r="DS528" s="656"/>
      <c r="DT528" s="518">
        <f>I_Basisdaten!A249</f>
        <v>0</v>
      </c>
      <c r="EJ528" s="472" t="str">
        <f ca="1">IF(X528=0,"",EJ$1&amp;X528)</f>
        <v>9.81</v>
      </c>
      <c r="EK528" s="472" t="str">
        <f ca="1">EK$1&amp;X528</f>
        <v>[D_Python.xlsx]9.Quellen!C81</v>
      </c>
      <c r="EV528" s="819">
        <f t="shared" ca="1" si="251"/>
        <v>528</v>
      </c>
      <c r="EW528" s="819"/>
    </row>
    <row r="529" spans="1:153" s="661" customFormat="1" ht="4">
      <c r="A529" s="677" t="str">
        <f t="shared" ca="1" si="248"/>
        <v>D.1.529</v>
      </c>
      <c r="B529" s="677" t="str">
        <f t="shared" ca="1" si="249"/>
        <v>1.529</v>
      </c>
      <c r="C529" s="677" t="str">
        <f t="shared" si="229"/>
        <v>[529]</v>
      </c>
      <c r="D529" s="677">
        <f>ROW()</f>
        <v>529</v>
      </c>
      <c r="E529" s="680"/>
      <c r="F529" s="680"/>
      <c r="G529" s="680"/>
      <c r="H529" s="680"/>
      <c r="I529" s="679"/>
      <c r="J529" s="679"/>
      <c r="K529" s="679"/>
      <c r="L529" s="679"/>
      <c r="M529" s="679"/>
      <c r="N529" s="680"/>
      <c r="O529" s="871">
        <v>529</v>
      </c>
      <c r="P529" s="688"/>
      <c r="Q529" s="689"/>
      <c r="R529" s="888"/>
      <c r="S529" s="810"/>
      <c r="T529" s="882"/>
      <c r="AB529" s="675"/>
      <c r="AC529" s="675"/>
      <c r="AD529" s="675"/>
      <c r="AE529" s="675"/>
      <c r="AF529" s="675"/>
      <c r="AG529" s="675"/>
      <c r="AH529" s="675"/>
      <c r="AI529" s="675"/>
      <c r="AJ529" s="675"/>
      <c r="AK529" s="675"/>
      <c r="AL529" s="675"/>
      <c r="AM529" s="675"/>
      <c r="AN529" s="675"/>
      <c r="AO529" s="675"/>
      <c r="AP529" s="675"/>
      <c r="AQ529" s="675"/>
      <c r="AR529" s="675"/>
      <c r="AS529" s="675"/>
      <c r="AT529" s="675"/>
      <c r="AU529" s="675"/>
      <c r="AV529" s="675"/>
      <c r="BI529" s="661" t="s">
        <v>126</v>
      </c>
      <c r="BJ529" s="665"/>
      <c r="CU529" s="662"/>
      <c r="CW529" s="662"/>
      <c r="EV529" s="818" t="str">
        <f t="shared" si="251"/>
        <v/>
      </c>
      <c r="EW529" s="818"/>
    </row>
    <row r="530" spans="1:153" s="472" customFormat="1" ht="65">
      <c r="A530" s="654" t="str">
        <f t="shared" ca="1" si="248"/>
        <v>D.1.530</v>
      </c>
      <c r="B530" s="654" t="str">
        <f t="shared" ca="1" si="249"/>
        <v>1.530</v>
      </c>
      <c r="C530" s="654" t="str">
        <f t="shared" si="229"/>
        <v>[530]</v>
      </c>
      <c r="D530" s="654">
        <f>ROW()</f>
        <v>530</v>
      </c>
      <c r="E530" s="1125" t="str">
        <f t="shared" ref="E530" ca="1" si="252">CU530</f>
        <v xml:space="preserve">- ZIEL-Ansatz: Nach Untersuchungen des Bundesverbandes Wärmepumpe  [9.81], S. 41, wird ein künftig zunehmender Anteil luftgekoppelter Heizungwärmepumpen trotz geringerer Jahresarbeitszahlen prognostiziert, begründet durch die einfachere Installation und geringeren Kosten (keine Erdsonden bzw. Brunnen erforderlich).  Für den betrachteten Prognosezeitraum 2015 bis 2030 wird ein Anteil von 72,0% angegeben, der hier als Zielwert übernommen wird. </v>
      </c>
      <c r="F530" s="1125"/>
      <c r="G530" s="1125"/>
      <c r="H530" s="1125"/>
      <c r="I530" s="1125"/>
      <c r="J530" s="1125"/>
      <c r="K530" s="1125"/>
      <c r="L530" s="1125"/>
      <c r="M530" s="1125"/>
      <c r="N530" s="1132"/>
      <c r="O530" s="869">
        <v>530</v>
      </c>
      <c r="P530" s="573" t="str">
        <f ca="1">HYPERLINK(EK530,EJ530)</f>
        <v>9.81</v>
      </c>
      <c r="Q530" s="574" t="str">
        <f>Y530</f>
        <v>S. 41</v>
      </c>
      <c r="R530" s="852"/>
      <c r="S530" s="784"/>
      <c r="T530" s="864"/>
      <c r="U530" s="1023" t="str">
        <f ca="1">"Nach Untersuchungen des Bundesverbandes Wärmepumpe  ["&amp;P530&amp;"], "&amp;Q530&amp;", wird ein künftig zunehmender Anteil luftgekoppelter Heizungwärmepumpen trotz geringerer Jahresarbeitszahlen prognostiziert, begründet durch die einfachere Installation und geringeren Kosten (keine Erdsonden bzw. Brunnen erforderlich).  "&amp;"Für den betrachteten Prognosezeitraum 2015 bis 2030 wird ein Anteil von "&amp;TEXT(AD530,"0,0")&amp;AE530&amp;" angegeben, der hier als Zielwert übernommen wird. "</f>
        <v xml:space="preserve">Nach Untersuchungen des Bundesverbandes Wärmepumpe  [9.81], S. 41, wird ein künftig zunehmender Anteil luftgekoppelter Heizungwärmepumpen trotz geringerer Jahresarbeitszahlen prognostiziert, begründet durch die einfachere Installation und geringeren Kosten (keine Erdsonden bzw. Brunnen erforderlich).  Für den betrachteten Prognosezeitraum 2015 bis 2030 wird ein Anteil von 72,0% angegeben, der hier als Zielwert übernommen wird. </v>
      </c>
      <c r="V530" s="905" t="s">
        <v>126</v>
      </c>
      <c r="W530" s="1034">
        <f>AD530</f>
        <v>72</v>
      </c>
      <c r="X530" s="672">
        <f>'9.Quellen'!C81</f>
        <v>81</v>
      </c>
      <c r="Y530" s="672" t="s">
        <v>530</v>
      </c>
      <c r="Z530" s="1025"/>
      <c r="AA530" s="905"/>
      <c r="AB530" s="801"/>
      <c r="AC530" s="1020">
        <v>44046</v>
      </c>
      <c r="AD530" s="801">
        <v>72</v>
      </c>
      <c r="AE530" s="801" t="s">
        <v>38</v>
      </c>
      <c r="AF530" s="801"/>
      <c r="AG530" s="801"/>
      <c r="AH530" s="801"/>
      <c r="AI530" s="801"/>
      <c r="AJ530" s="801"/>
      <c r="AK530" s="801"/>
      <c r="AL530" s="801"/>
      <c r="AM530" s="801"/>
      <c r="AN530" s="801"/>
      <c r="AO530" s="801"/>
      <c r="AP530" s="801"/>
      <c r="AQ530" s="801"/>
      <c r="AR530" s="801"/>
      <c r="AS530" s="801"/>
      <c r="AT530" s="801"/>
      <c r="AU530" s="801"/>
      <c r="AV530" s="801"/>
      <c r="BF530" s="473"/>
      <c r="BI530" s="472" t="s">
        <v>126</v>
      </c>
      <c r="BJ530" s="490"/>
      <c r="BN530" s="656"/>
      <c r="BO530" s="472" t="s">
        <v>259</v>
      </c>
      <c r="CU530" s="480" t="str">
        <f ca="1">CH$1&amp;IF(U530="",BF530,U530)</f>
        <v xml:space="preserve">- ZIEL-Ansatz: Nach Untersuchungen des Bundesverbandes Wärmepumpe  [9.81], S. 41, wird ein künftig zunehmender Anteil luftgekoppelter Heizungwärmepumpen trotz geringerer Jahresarbeitszahlen prognostiziert, begründet durch die einfachere Installation und geringeren Kosten (keine Erdsonden bzw. Brunnen erforderlich).  Für den betrachteten Prognosezeitraum 2015 bis 2030 wird ein Anteil von 72,0% angegeben, der hier als Zielwert übernommen wird. </v>
      </c>
      <c r="CV530" s="656"/>
      <c r="CW530" s="480"/>
      <c r="DS530" s="656"/>
      <c r="DT530" s="518">
        <v>53</v>
      </c>
      <c r="EJ530" s="472" t="str">
        <f ca="1">IF(X530=0,"",EJ$1&amp;X530)</f>
        <v>9.81</v>
      </c>
      <c r="EK530" s="472" t="str">
        <f ca="1">EK$1&amp;X530</f>
        <v>[D_Python.xlsx]9.Quellen!C81</v>
      </c>
      <c r="EV530" s="819">
        <f t="shared" ca="1" si="251"/>
        <v>530</v>
      </c>
      <c r="EW530" s="819"/>
    </row>
    <row r="531" spans="1:153" s="661" customFormat="1" ht="4">
      <c r="A531" s="677" t="str">
        <f t="shared" ca="1" si="248"/>
        <v>D.1.531</v>
      </c>
      <c r="B531" s="677" t="str">
        <f t="shared" ca="1" si="249"/>
        <v>1.531</v>
      </c>
      <c r="C531" s="677" t="str">
        <f t="shared" si="229"/>
        <v>[531]</v>
      </c>
      <c r="D531" s="677">
        <f>ROW()</f>
        <v>531</v>
      </c>
      <c r="E531" s="685"/>
      <c r="F531" s="685"/>
      <c r="G531" s="685"/>
      <c r="H531" s="685"/>
      <c r="I531" s="686"/>
      <c r="J531" s="686"/>
      <c r="K531" s="686"/>
      <c r="L531" s="686"/>
      <c r="M531" s="686"/>
      <c r="N531" s="685"/>
      <c r="O531" s="871">
        <v>531</v>
      </c>
      <c r="P531" s="693"/>
      <c r="Q531" s="694"/>
      <c r="R531" s="888"/>
      <c r="S531" s="802"/>
      <c r="T531" s="882"/>
      <c r="AB531" s="675"/>
      <c r="AC531" s="675"/>
      <c r="AD531" s="675"/>
      <c r="AE531" s="675"/>
      <c r="AF531" s="675"/>
      <c r="AG531" s="675"/>
      <c r="AH531" s="675"/>
      <c r="AI531" s="675"/>
      <c r="AJ531" s="675"/>
      <c r="AK531" s="675"/>
      <c r="AL531" s="675"/>
      <c r="AM531" s="675"/>
      <c r="AN531" s="675"/>
      <c r="AO531" s="675"/>
      <c r="AP531" s="675"/>
      <c r="AQ531" s="675"/>
      <c r="AR531" s="675"/>
      <c r="AS531" s="675"/>
      <c r="AT531" s="675"/>
      <c r="AU531" s="675"/>
      <c r="AV531" s="675"/>
      <c r="AZ531" s="669"/>
      <c r="BB531" s="669"/>
      <c r="BI531" s="661" t="s">
        <v>126</v>
      </c>
      <c r="BJ531" s="665"/>
      <c r="CU531" s="662"/>
      <c r="CW531" s="662"/>
      <c r="EV531" s="818" t="str">
        <f t="shared" si="251"/>
        <v/>
      </c>
      <c r="EW531" s="818"/>
    </row>
    <row r="532" spans="1:153" s="658" customFormat="1" ht="13.5" customHeight="1">
      <c r="A532" s="654" t="str">
        <f t="shared" ca="1" si="248"/>
        <v>D.1.532</v>
      </c>
      <c r="B532" s="654" t="str">
        <f t="shared" ca="1" si="249"/>
        <v>1.532</v>
      </c>
      <c r="C532" s="654" t="str">
        <f t="shared" si="229"/>
        <v>[532]</v>
      </c>
      <c r="D532" s="654">
        <f>ROW()</f>
        <v>532</v>
      </c>
      <c r="E532" s="1129" t="str">
        <f>BP532</f>
        <v>Wärmep. Luftkopplung - Jahresarbeitszahl</v>
      </c>
      <c r="F532" s="1129"/>
      <c r="G532" s="1129"/>
      <c r="H532" s="1129"/>
      <c r="I532" s="1129"/>
      <c r="J532" s="655"/>
      <c r="K532" s="557">
        <f ca="1">INDIRECT($W$1&amp;U532)</f>
        <v>2.8</v>
      </c>
      <c r="L532" s="485" t="str">
        <f ca="1">HYPERLINK($CK$1&amp;U532,$CE$1&amp;U532&amp;$CF$1)</f>
        <v>[534]</v>
      </c>
      <c r="M532" s="558">
        <f ca="1">INDIRECT($W$1&amp;W532)</f>
        <v>3.3</v>
      </c>
      <c r="N532" s="681" t="str">
        <f ca="1">HYPERLINK($CK$1&amp;W532,$CE$1&amp;W532&amp;$CF$1)</f>
        <v>[536]</v>
      </c>
      <c r="O532" s="869">
        <v>532</v>
      </c>
      <c r="P532" s="690"/>
      <c r="Q532" s="695"/>
      <c r="R532" s="852"/>
      <c r="S532" s="784"/>
      <c r="T532" s="864"/>
      <c r="U532" s="672">
        <f>D534</f>
        <v>534</v>
      </c>
      <c r="V532" s="905" t="s">
        <v>126</v>
      </c>
      <c r="W532" s="672">
        <f>D536</f>
        <v>536</v>
      </c>
      <c r="AB532" s="801"/>
      <c r="AC532" s="801"/>
      <c r="AD532" s="674"/>
      <c r="AE532" s="674"/>
      <c r="AF532" s="674"/>
      <c r="AG532" s="674"/>
      <c r="AH532" s="674"/>
      <c r="AI532" s="674"/>
      <c r="AJ532" s="674"/>
      <c r="AK532" s="674"/>
      <c r="AL532" s="674"/>
      <c r="AM532" s="674"/>
      <c r="AN532" s="674"/>
      <c r="AO532" s="674"/>
      <c r="AP532" s="674"/>
      <c r="AQ532" s="674"/>
      <c r="AR532" s="674"/>
      <c r="AS532" s="674"/>
      <c r="AT532" s="674"/>
      <c r="AU532" s="674"/>
      <c r="AV532" s="674"/>
      <c r="AX532" s="658" t="s">
        <v>244</v>
      </c>
      <c r="AY532" s="668">
        <f ca="1">DA532</f>
        <v>-500</v>
      </c>
      <c r="AZ532" s="670" t="str">
        <f ca="1">HYPERLINK(DN532,DC532)</f>
        <v xml:space="preserve"> 389</v>
      </c>
      <c r="BA532" s="668">
        <f ca="1">DB532</f>
        <v>-500</v>
      </c>
      <c r="BB532" s="670" t="str">
        <f ca="1">HYPERLINK(DO532,DD532)</f>
        <v xml:space="preserve"> 390</v>
      </c>
      <c r="BC532" s="658" t="str">
        <f ca="1">CY532&amp;" | "&amp;CZ532</f>
        <v>0 | 3. Energieertrag Strom für Wärmepumpen-Antrieb</v>
      </c>
      <c r="BI532" s="658" t="s">
        <v>126</v>
      </c>
      <c r="BJ532" s="667" t="str">
        <f>E532</f>
        <v>Wärmep. Luftkopplung - Jahresarbeitszahl</v>
      </c>
      <c r="BK532" s="664">
        <f ca="1">K532</f>
        <v>2.8</v>
      </c>
      <c r="BL532" s="664">
        <f ca="1">M532</f>
        <v>3.3</v>
      </c>
      <c r="BM532" s="656">
        <f>D532</f>
        <v>532</v>
      </c>
      <c r="BO532" s="658" t="s">
        <v>251</v>
      </c>
      <c r="BP532" s="676" t="s">
        <v>591</v>
      </c>
      <c r="CU532" s="659"/>
      <c r="CW532" s="671">
        <v>100</v>
      </c>
      <c r="CY532" s="656">
        <f t="shared" ref="CY532:DO532" ca="1" si="253">INDIRECT($CX$1&amp;CY$1&amp;$CW532)</f>
        <v>0</v>
      </c>
      <c r="CZ532" s="656" t="str">
        <f t="shared" ca="1" si="253"/>
        <v>3. Energieertrag Strom für Wärmepumpen-Antrieb</v>
      </c>
      <c r="DA532" s="656">
        <f t="shared" ca="1" si="253"/>
        <v>-500</v>
      </c>
      <c r="DB532" s="656">
        <f t="shared" ca="1" si="253"/>
        <v>-500</v>
      </c>
      <c r="DC532" s="656" t="str">
        <f t="shared" ca="1" si="253"/>
        <v xml:space="preserve"> 389</v>
      </c>
      <c r="DD532" s="656" t="str">
        <f t="shared" ca="1" si="253"/>
        <v xml:space="preserve"> 390</v>
      </c>
      <c r="DE532" s="656" t="str">
        <f t="shared" ca="1" si="253"/>
        <v>UG40</v>
      </c>
      <c r="DF532" s="656" t="str">
        <f t="shared" ca="1" si="253"/>
        <v>UG44</v>
      </c>
      <c r="DG532" s="656" t="str">
        <f t="shared" ca="1" si="253"/>
        <v>UG</v>
      </c>
      <c r="DH532" s="656" t="str">
        <f t="shared" ca="1" si="253"/>
        <v>40</v>
      </c>
      <c r="DI532" s="656" t="str">
        <f t="shared" ca="1" si="253"/>
        <v>[UG.xls]TEXT!Z40S5</v>
      </c>
      <c r="DJ532" s="656" t="str">
        <f t="shared" ca="1" si="253"/>
        <v>UG</v>
      </c>
      <c r="DK532" s="656" t="str">
        <f t="shared" ca="1" si="253"/>
        <v>44</v>
      </c>
      <c r="DL532" s="656" t="str">
        <f t="shared" ca="1" si="253"/>
        <v>[UG.xls]TEXT!Z44S5</v>
      </c>
      <c r="DM532" s="656">
        <f t="shared" ca="1" si="253"/>
        <v>100</v>
      </c>
      <c r="DN532" s="656" t="str">
        <f t="shared" ca="1" si="253"/>
        <v>[Region.xls]PARAMETER!Z389S6</v>
      </c>
      <c r="DO532" s="656" t="str">
        <f t="shared" ca="1" si="253"/>
        <v>[Region.xls]PARAMETER!Z390S6</v>
      </c>
      <c r="DP532" s="656"/>
      <c r="DS532" s="656"/>
      <c r="DV532" s="656"/>
      <c r="DW532" s="656"/>
      <c r="DX532" s="656"/>
      <c r="DY532" s="656"/>
      <c r="DZ532" s="656"/>
      <c r="EA532" s="656"/>
      <c r="EB532" s="656"/>
      <c r="EC532" s="656"/>
      <c r="ED532" s="656"/>
      <c r="EE532" s="656"/>
      <c r="EF532" s="656"/>
      <c r="EG532" s="656"/>
      <c r="EH532" s="656"/>
      <c r="EI532" s="656"/>
      <c r="EJ532" s="656"/>
      <c r="EK532" s="656"/>
      <c r="EV532" s="819">
        <f t="shared" si="251"/>
        <v>532</v>
      </c>
      <c r="EW532" s="819"/>
    </row>
    <row r="533" spans="1:153" s="656" customFormat="1" ht="39">
      <c r="A533" s="654" t="str">
        <f t="shared" ca="1" si="248"/>
        <v>D.1.533</v>
      </c>
      <c r="B533" s="654" t="str">
        <f t="shared" ca="1" si="249"/>
        <v>1.533</v>
      </c>
      <c r="C533" s="654" t="str">
        <f t="shared" si="229"/>
        <v>[533]</v>
      </c>
      <c r="D533" s="654">
        <f>ROW()</f>
        <v>533</v>
      </c>
      <c r="E533" s="1125" t="str">
        <f>CU533</f>
        <v>Die Jahresarbeitszahl einer Wärmepumpen-Anlage gibt an, das wievielfache der eingesetzten Antriebsenergie als Nutzwärme bereit gestellt wird. Die Differenz zum Energieeinsatz = 1 (Antriebsenergie für die Wärmepumpe) resultiert aus gewonnener Umgebungswärme (aus dem Erdreich, dem Grundwasser oder der Umgebungsluft).</v>
      </c>
      <c r="F533" s="1125"/>
      <c r="G533" s="1125"/>
      <c r="H533" s="1125"/>
      <c r="I533" s="1125"/>
      <c r="J533" s="1125"/>
      <c r="K533" s="1125"/>
      <c r="L533" s="1125"/>
      <c r="M533" s="1125"/>
      <c r="N533" s="1132"/>
      <c r="O533" s="869">
        <v>533</v>
      </c>
      <c r="P533" s="691" t="str">
        <f ca="1">HYPERLINK(EK533,EJ533)</f>
        <v/>
      </c>
      <c r="Q533" s="692" t="str">
        <f>Y533</f>
        <v xml:space="preserve"> </v>
      </c>
      <c r="R533" s="852"/>
      <c r="S533" s="784"/>
      <c r="T533" s="864"/>
      <c r="U533" s="1033" t="str">
        <f>"Die Jahresarbeitszahl einer Wärmepumpen-Anlage gibt an, das wievielfache der eingesetzten Antriebsenergie als Nutzwärme bereit gestellt wird. "&amp;"Die Differenz zum Energieeinsatz = 1 (Antriebsenergie für die Wärmepumpe) resultiert aus gewonnener Umgebungswärme (aus dem Erdreich, dem Grundwasser oder der Umgebungsluft)."</f>
        <v>Die Jahresarbeitszahl einer Wärmepumpen-Anlage gibt an, das wievielfache der eingesetzten Antriebsenergie als Nutzwärme bereit gestellt wird. Die Differenz zum Energieeinsatz = 1 (Antriebsenergie für die Wärmepumpe) resultiert aus gewonnener Umgebungswärme (aus dem Erdreich, dem Grundwasser oder der Umgebungsluft).</v>
      </c>
      <c r="V533" s="905" t="s">
        <v>126</v>
      </c>
      <c r="W533" s="1024"/>
      <c r="X533" s="672"/>
      <c r="Y533" s="672" t="s">
        <v>126</v>
      </c>
      <c r="Z533" s="1025"/>
      <c r="AA533" s="1025"/>
      <c r="AB533" s="1025"/>
      <c r="AC533" s="1025"/>
      <c r="AD533" s="1025"/>
      <c r="AE533" s="1025"/>
      <c r="AF533" s="1025"/>
      <c r="AG533" s="1025"/>
      <c r="AH533" s="1025"/>
      <c r="AI533" s="1025"/>
      <c r="AJ533" s="1025"/>
      <c r="AK533" s="1025"/>
      <c r="AL533" s="1025"/>
      <c r="AM533" s="1025"/>
      <c r="AN533" s="1025"/>
      <c r="AO533" s="1025"/>
      <c r="AP533" s="1025"/>
      <c r="AQ533" s="1025"/>
      <c r="AR533" s="1025"/>
      <c r="AS533" s="1025"/>
      <c r="AT533" s="1025"/>
      <c r="AU533" s="1025"/>
      <c r="AV533" s="1025"/>
      <c r="AW533" s="644"/>
      <c r="BF533" s="657"/>
      <c r="BI533" s="656" t="s">
        <v>126</v>
      </c>
      <c r="BJ533" s="666"/>
      <c r="BO533" s="656" t="s">
        <v>252</v>
      </c>
      <c r="CU533" s="663" t="str">
        <f>IF(U533="",BF533,U533)</f>
        <v>Die Jahresarbeitszahl einer Wärmepumpen-Anlage gibt an, das wievielfache der eingesetzten Antriebsenergie als Nutzwärme bereit gestellt wird. Die Differenz zum Energieeinsatz = 1 (Antriebsenergie für die Wärmepumpe) resultiert aus gewonnener Umgebungswärme (aus dem Erdreich, dem Grundwasser oder der Umgebungsluft).</v>
      </c>
      <c r="CW533" s="663"/>
      <c r="DT533" s="671"/>
      <c r="EJ533" s="656" t="str">
        <f>IF(X533=0,"",EJ$1&amp;X533)</f>
        <v/>
      </c>
      <c r="EK533" s="656" t="str">
        <f ca="1">EK$1&amp;X533</f>
        <v>[D_Python.xlsx]9.Quellen!C</v>
      </c>
      <c r="EV533" s="819">
        <f t="shared" si="251"/>
        <v>533</v>
      </c>
      <c r="EW533" s="819"/>
    </row>
    <row r="534" spans="1:153" s="656" customFormat="1" ht="39">
      <c r="A534" s="654" t="str">
        <f t="shared" ca="1" si="248"/>
        <v>D.1.534</v>
      </c>
      <c r="B534" s="654" t="str">
        <f t="shared" ca="1" si="249"/>
        <v>1.534</v>
      </c>
      <c r="C534" s="654" t="str">
        <f t="shared" si="229"/>
        <v>[534]</v>
      </c>
      <c r="D534" s="654">
        <f>ROW()</f>
        <v>534</v>
      </c>
      <c r="E534" s="1130" t="str">
        <f ca="1">CU534</f>
        <v xml:space="preserve">- STATUS-Ansatz: Nach einer Auswertung der Jahresarbeitszahlen der  in Deutschland von 1993 bis 2013 abgesetzten Heizungswärmepumpen gemäß Bundesverband Wärmepumpe [9.81], S. 32, kommen die luftgekoppelten Anlagen im Feldbestand auf eine durchschnittliche Jahresarbeitszahl (gewichtetes Mittel) von 2,8. </v>
      </c>
      <c r="F534" s="1130"/>
      <c r="G534" s="1130"/>
      <c r="H534" s="1130"/>
      <c r="I534" s="1130"/>
      <c r="J534" s="1130"/>
      <c r="K534" s="1130"/>
      <c r="L534" s="1130"/>
      <c r="M534" s="1130"/>
      <c r="N534" s="1131"/>
      <c r="O534" s="869">
        <v>534</v>
      </c>
      <c r="P534" s="691" t="str">
        <f ca="1">HYPERLINK(EK534,EJ534)</f>
        <v>9.81</v>
      </c>
      <c r="Q534" s="692" t="str">
        <f>Y534</f>
        <v>S. 32</v>
      </c>
      <c r="R534" s="852"/>
      <c r="S534" s="784"/>
      <c r="T534" s="864"/>
      <c r="U534" s="1023" t="str">
        <f ca="1">"Nach einer Auswertung der Jahresarbeitszahlen der  in Deutschland von 1993 bis 2013 abgesetzten Heizungswärmepumpen gemäß Bundesverband Wärmepumpe ["&amp;P534&amp;"], "&amp;Q534&amp;", kommen die luftgekoppelten Anlagen im Feldbestand auf eine durchschnittliche Jahresarbeitszahl (gewichtetes Mittel) von "&amp;AD534&amp;". "</f>
        <v xml:space="preserve">Nach einer Auswertung der Jahresarbeitszahlen der  in Deutschland von 1993 bis 2013 abgesetzten Heizungswärmepumpen gemäß Bundesverband Wärmepumpe [9.81], S. 32, kommen die luftgekoppelten Anlagen im Feldbestand auf eine durchschnittliche Jahresarbeitszahl (gewichtetes Mittel) von 2,8. </v>
      </c>
      <c r="V534" s="905" t="s">
        <v>126</v>
      </c>
      <c r="W534" s="1034">
        <f>AD534</f>
        <v>2.8</v>
      </c>
      <c r="X534" s="672">
        <f>'9.Quellen'!C81</f>
        <v>81</v>
      </c>
      <c r="Y534" s="672" t="s">
        <v>601</v>
      </c>
      <c r="Z534" s="1025"/>
      <c r="AA534" s="658"/>
      <c r="AB534" s="801"/>
      <c r="AC534" s="801"/>
      <c r="AD534" s="801">
        <v>2.8</v>
      </c>
      <c r="AE534" s="801"/>
      <c r="AF534" s="801"/>
      <c r="AG534" s="801"/>
      <c r="AH534" s="801"/>
      <c r="AI534" s="801"/>
      <c r="AJ534" s="801"/>
      <c r="AK534" s="801"/>
      <c r="AL534" s="801"/>
      <c r="AM534" s="801"/>
      <c r="AN534" s="801"/>
      <c r="AO534" s="801"/>
      <c r="AP534" s="801"/>
      <c r="AQ534" s="801"/>
      <c r="AR534" s="801"/>
      <c r="AS534" s="801"/>
      <c r="AT534" s="801"/>
      <c r="AU534" s="801"/>
      <c r="AV534" s="801"/>
      <c r="BF534" s="657"/>
      <c r="BI534" s="656" t="s">
        <v>126</v>
      </c>
      <c r="BJ534" s="666"/>
      <c r="BO534" s="656" t="s">
        <v>259</v>
      </c>
      <c r="CU534" s="663" t="str">
        <f ca="1">CG$1&amp;IF(U534="",BF534,U534)</f>
        <v xml:space="preserve">- STATUS-Ansatz: Nach einer Auswertung der Jahresarbeitszahlen der  in Deutschland von 1993 bis 2013 abgesetzten Heizungswärmepumpen gemäß Bundesverband Wärmepumpe [9.81], S. 32, kommen die luftgekoppelten Anlagen im Feldbestand auf eine durchschnittliche Jahresarbeitszahl (gewichtetes Mittel) von 2,8. </v>
      </c>
      <c r="CW534" s="663"/>
      <c r="DT534" s="671">
        <f>I_Basisdaten!A254</f>
        <v>0</v>
      </c>
      <c r="EJ534" s="656" t="str">
        <f ca="1">IF(X534=0,"",EJ$1&amp;X534)</f>
        <v>9.81</v>
      </c>
      <c r="EK534" s="656" t="str">
        <f ca="1">EK$1&amp;X534</f>
        <v>[D_Python.xlsx]9.Quellen!C81</v>
      </c>
      <c r="EV534" s="819">
        <f t="shared" ca="1" si="251"/>
        <v>534</v>
      </c>
      <c r="EW534" s="819"/>
    </row>
    <row r="535" spans="1:153" s="661" customFormat="1" ht="4">
      <c r="A535" s="677" t="str">
        <f t="shared" ca="1" si="248"/>
        <v>D.1.535</v>
      </c>
      <c r="B535" s="677" t="str">
        <f t="shared" ca="1" si="249"/>
        <v>1.535</v>
      </c>
      <c r="C535" s="677" t="str">
        <f t="shared" si="229"/>
        <v>[535]</v>
      </c>
      <c r="D535" s="677">
        <f>ROW()</f>
        <v>535</v>
      </c>
      <c r="E535" s="680"/>
      <c r="F535" s="680"/>
      <c r="G535" s="680"/>
      <c r="H535" s="680"/>
      <c r="I535" s="679"/>
      <c r="J535" s="679"/>
      <c r="K535" s="679"/>
      <c r="L535" s="679"/>
      <c r="M535" s="679"/>
      <c r="N535" s="680"/>
      <c r="O535" s="871">
        <v>535</v>
      </c>
      <c r="P535" s="688"/>
      <c r="Q535" s="689"/>
      <c r="R535" s="888"/>
      <c r="S535" s="810"/>
      <c r="T535" s="882"/>
      <c r="AB535" s="675"/>
      <c r="AC535" s="675"/>
      <c r="AD535" s="675"/>
      <c r="AE535" s="675"/>
      <c r="AF535" s="675"/>
      <c r="AG535" s="675"/>
      <c r="AH535" s="675"/>
      <c r="AI535" s="675"/>
      <c r="AJ535" s="675"/>
      <c r="AK535" s="675"/>
      <c r="AL535" s="675"/>
      <c r="AM535" s="675"/>
      <c r="AN535" s="675"/>
      <c r="AO535" s="675"/>
      <c r="AP535" s="675"/>
      <c r="AQ535" s="675"/>
      <c r="AR535" s="675"/>
      <c r="AS535" s="675"/>
      <c r="AT535" s="675"/>
      <c r="AU535" s="675"/>
      <c r="AV535" s="675"/>
      <c r="BI535" s="661" t="s">
        <v>126</v>
      </c>
      <c r="BJ535" s="665"/>
      <c r="CU535" s="662"/>
      <c r="CW535" s="662"/>
      <c r="EV535" s="818" t="str">
        <f t="shared" si="251"/>
        <v/>
      </c>
      <c r="EW535" s="818"/>
    </row>
    <row r="536" spans="1:153" s="656" customFormat="1" ht="26">
      <c r="A536" s="654" t="str">
        <f t="shared" ca="1" si="248"/>
        <v>D.1.536</v>
      </c>
      <c r="B536" s="654" t="str">
        <f t="shared" ca="1" si="249"/>
        <v>1.536</v>
      </c>
      <c r="C536" s="654" t="str">
        <f t="shared" si="229"/>
        <v>[536]</v>
      </c>
      <c r="D536" s="654">
        <f>ROW()</f>
        <v>536</v>
      </c>
      <c r="E536" s="1139" t="str">
        <f t="shared" ref="E536" si="254">CU536</f>
        <v xml:space="preserve">- ZIEL-Ansatz: 3,3 gemäß [537] erscheint aus Gutachtersicht erreichbar, die Branchenangabe gemäß [538] ist offensichtlich zu optimistisch. </v>
      </c>
      <c r="F536" s="1139"/>
      <c r="G536" s="1139"/>
      <c r="H536" s="1139"/>
      <c r="I536" s="1139"/>
      <c r="J536" s="1139"/>
      <c r="K536" s="1139"/>
      <c r="L536" s="1139"/>
      <c r="M536" s="1139"/>
      <c r="N536" s="1140"/>
      <c r="O536" s="873">
        <v>536</v>
      </c>
      <c r="P536" s="691" t="str">
        <f ca="1">HYPERLINK(EK536,EJ536)</f>
        <v/>
      </c>
      <c r="Q536" s="692" t="str">
        <f>Y536</f>
        <v xml:space="preserve"> </v>
      </c>
      <c r="R536" s="852"/>
      <c r="S536" s="784"/>
      <c r="T536" s="864"/>
      <c r="U536" s="1023" t="str">
        <f>TEXT(W536,"0,0")&amp;" gemäß "&amp;C537&amp;" erscheint aus Gutachtersicht erreichbar, die Branchenangabe gemäß "&amp;C538&amp;" ist offensichtlich zu optimistisch. "</f>
        <v xml:space="preserve">3,3 gemäß [537] erscheint aus Gutachtersicht erreichbar, die Branchenangabe gemäß [538] ist offensichtlich zu optimistisch. </v>
      </c>
      <c r="V536" s="905" t="s">
        <v>126</v>
      </c>
      <c r="W536" s="1034">
        <f>W537</f>
        <v>3.3</v>
      </c>
      <c r="X536" s="672"/>
      <c r="Y536" s="672" t="s">
        <v>126</v>
      </c>
      <c r="Z536" s="1025"/>
      <c r="AA536" s="905"/>
      <c r="AB536" s="801"/>
      <c r="AC536" s="1020"/>
      <c r="AD536" s="801"/>
      <c r="AE536" s="801"/>
      <c r="AF536" s="801"/>
      <c r="AG536" s="801"/>
      <c r="AH536" s="801"/>
      <c r="AI536" s="801"/>
      <c r="AJ536" s="801"/>
      <c r="AK536" s="801"/>
      <c r="AL536" s="801"/>
      <c r="AM536" s="801"/>
      <c r="AN536" s="801"/>
      <c r="AO536" s="801"/>
      <c r="AP536" s="801"/>
      <c r="AQ536" s="801"/>
      <c r="AR536" s="801"/>
      <c r="AS536" s="801"/>
      <c r="AT536" s="801"/>
      <c r="AU536" s="801"/>
      <c r="AV536" s="801"/>
      <c r="BF536" s="657"/>
      <c r="BI536" s="656" t="s">
        <v>126</v>
      </c>
      <c r="BJ536" s="666"/>
      <c r="BO536" s="656" t="s">
        <v>259</v>
      </c>
      <c r="CU536" s="663" t="str">
        <f>CH$1&amp;IF(U536="",BF536,U536)</f>
        <v xml:space="preserve">- ZIEL-Ansatz: 3,3 gemäß [537] erscheint aus Gutachtersicht erreichbar, die Branchenangabe gemäß [538] ist offensichtlich zu optimistisch. </v>
      </c>
      <c r="CW536" s="663"/>
      <c r="DT536" s="671">
        <v>53</v>
      </c>
      <c r="EJ536" s="656" t="str">
        <f>IF(X536=0,"",EJ$1&amp;X536)</f>
        <v/>
      </c>
      <c r="EK536" s="656" t="str">
        <f ca="1">EK$1&amp;X536</f>
        <v>[D_Python.xlsx]9.Quellen!C</v>
      </c>
      <c r="EV536" s="819">
        <f>IF(U536&amp;BP536="","",D536)</f>
        <v>536</v>
      </c>
      <c r="EW536" s="819"/>
    </row>
    <row r="537" spans="1:153" s="798" customFormat="1" ht="52">
      <c r="A537" s="654" t="str">
        <f t="shared" ref="A537" ca="1" si="255">BT$1&amp;D537</f>
        <v>D.1.537</v>
      </c>
      <c r="B537" s="654" t="str">
        <f t="shared" ref="B537" ca="1" si="256">BW$1&amp;D537</f>
        <v>1.537</v>
      </c>
      <c r="C537" s="654" t="str">
        <f t="shared" ref="C537" si="257">CE$1&amp;D537&amp;CF$1</f>
        <v>[537]</v>
      </c>
      <c r="D537" s="654">
        <f>ROW()</f>
        <v>537</v>
      </c>
      <c r="E537" s="1139" t="str">
        <f ca="1">CU537</f>
        <v>In einer Untersuchung des Fraunhofer ISE von Wärmepumpen im realen Betrieb  [9.114], S. 30, Bild 19, übertrafen nur zwei von 18 untersuchten luftgekoppelten Anlagen die Jahresarbeitszahl 3,3, während der Bestwert nur ganz knapp bei 3,4 lag. Viel mehr als die heutigen Spitzenwerte dürften im Jahr 2050 im Rahmen der Lernkurve im Durchschnitt über alle Anlagen wohl kaum erreicht werden können.</v>
      </c>
      <c r="F537" s="1139"/>
      <c r="G537" s="1139"/>
      <c r="H537" s="1139"/>
      <c r="I537" s="1139"/>
      <c r="J537" s="1139"/>
      <c r="K537" s="1139"/>
      <c r="L537" s="1139"/>
      <c r="M537" s="1139"/>
      <c r="N537" s="1140"/>
      <c r="O537" s="873">
        <v>537</v>
      </c>
      <c r="P537" s="691" t="str">
        <f ca="1">HYPERLINK(EK537,EJ537)</f>
        <v>9.114</v>
      </c>
      <c r="Q537" s="692" t="str">
        <f>Y537</f>
        <v>S. 30, Bild 19</v>
      </c>
      <c r="R537" s="852"/>
      <c r="S537" s="784"/>
      <c r="T537" s="864"/>
      <c r="U537" s="1023" t="str">
        <f ca="1">"In einer Untersuchung des Fraunhofer ISE von Wärmepumpen im realen Betrieb  ["&amp;P537&amp;"], "&amp;Q537&amp;", übertrafen nur zwei von 18 untersuchten luftgekoppelten Anlagen die Jahresarbeitszahl "&amp;W537&amp;", während der Bestwert nur ganz knapp bei 3,4 lag. "&amp;"Viel mehr als die heutigen Spitzenwerte dürften im Jahr 2050 im Rahmen der Lernkurve im Durchschnitt über alle Anlagen wohl kaum erreicht werden können."</f>
        <v>In einer Untersuchung des Fraunhofer ISE von Wärmepumpen im realen Betrieb  [9.114], S. 30, Bild 19, übertrafen nur zwei von 18 untersuchten luftgekoppelten Anlagen die Jahresarbeitszahl 3,3, während der Bestwert nur ganz knapp bei 3,4 lag. Viel mehr als die heutigen Spitzenwerte dürften im Jahr 2050 im Rahmen der Lernkurve im Durchschnitt über alle Anlagen wohl kaum erreicht werden können.</v>
      </c>
      <c r="V537" s="905"/>
      <c r="W537" s="1034">
        <v>3.3</v>
      </c>
      <c r="X537" s="672">
        <f>'9.Quellen'!C114</f>
        <v>114</v>
      </c>
      <c r="Y537" s="672" t="s">
        <v>892</v>
      </c>
      <c r="Z537" s="1025"/>
      <c r="AA537" s="905"/>
      <c r="AB537" s="801"/>
      <c r="AC537" s="801"/>
      <c r="AD537" s="801"/>
      <c r="AE537" s="801"/>
      <c r="AF537" s="801"/>
      <c r="AG537" s="801"/>
      <c r="AH537" s="801"/>
      <c r="AI537" s="801"/>
      <c r="AJ537" s="801"/>
      <c r="AK537" s="801"/>
      <c r="AL537" s="801"/>
      <c r="AM537" s="801"/>
      <c r="AN537" s="801"/>
      <c r="AO537" s="801"/>
      <c r="AP537" s="801"/>
      <c r="AQ537" s="801"/>
      <c r="AR537" s="801"/>
      <c r="AS537" s="801"/>
      <c r="AT537" s="801"/>
      <c r="AU537" s="801"/>
      <c r="AV537" s="801"/>
      <c r="BF537" s="657"/>
      <c r="BI537" s="798" t="s">
        <v>126</v>
      </c>
      <c r="BJ537" s="666"/>
      <c r="BO537" s="798" t="s">
        <v>252</v>
      </c>
      <c r="CU537" s="663" t="str">
        <f ca="1">IF(U537="",BF537,U537)</f>
        <v>In einer Untersuchung des Fraunhofer ISE von Wärmepumpen im realen Betrieb  [9.114], S. 30, Bild 19, übertrafen nur zwei von 18 untersuchten luftgekoppelten Anlagen die Jahresarbeitszahl 3,3, während der Bestwert nur ganz knapp bei 3,4 lag. Viel mehr als die heutigen Spitzenwerte dürften im Jahr 2050 im Rahmen der Lernkurve im Durchschnitt über alle Anlagen wohl kaum erreicht werden können.</v>
      </c>
      <c r="CW537" s="663"/>
      <c r="DT537" s="671"/>
      <c r="EJ537" s="798" t="str">
        <f ca="1">IF(X537=0,"",EJ$1&amp;X537)</f>
        <v>9.114</v>
      </c>
      <c r="EK537" s="798" t="str">
        <f ca="1">EK$1&amp;X537</f>
        <v>[D_Python.xlsx]9.Quellen!C114</v>
      </c>
      <c r="EV537" s="819">
        <f ca="1">IF(U537&amp;BP537="","",D537)</f>
        <v>537</v>
      </c>
      <c r="EW537" s="819"/>
    </row>
    <row r="538" spans="1:153" s="798" customFormat="1" ht="52">
      <c r="A538" s="654" t="str">
        <f t="shared" ca="1" si="248"/>
        <v>D.1.538</v>
      </c>
      <c r="B538" s="654" t="str">
        <f t="shared" ca="1" si="249"/>
        <v>1.538</v>
      </c>
      <c r="C538" s="654" t="str">
        <f t="shared" si="229"/>
        <v>[538]</v>
      </c>
      <c r="D538" s="654">
        <f>ROW()</f>
        <v>538</v>
      </c>
      <c r="E538" s="1139" t="str">
        <f ca="1">CU538</f>
        <v xml:space="preserve">Nach Angaben des Bundesverbandes Wärmepumpe  [9.81], S. 32, kann durch technische Weiterentwicklungen und niedrigere Vorlauftemperaturen besser gedämmter Gebäude mit einer Erhöhung der durchschnittlichen Jahresarbeitszahl für luftgekoppelte Anlagen auf einen im Jahr 2020 erreichbaren Endwert von 3,8 gerechnet werden. </v>
      </c>
      <c r="F538" s="1139"/>
      <c r="G538" s="1139"/>
      <c r="H538" s="1139"/>
      <c r="I538" s="1139"/>
      <c r="J538" s="1139"/>
      <c r="K538" s="1139"/>
      <c r="L538" s="1139"/>
      <c r="M538" s="1139"/>
      <c r="N538" s="1140"/>
      <c r="O538" s="869">
        <v>538</v>
      </c>
      <c r="P538" s="691" t="str">
        <f ca="1">HYPERLINK(EK538,EJ538)</f>
        <v>9.81</v>
      </c>
      <c r="Q538" s="692" t="str">
        <f>Y538</f>
        <v>S. 32</v>
      </c>
      <c r="R538" s="852"/>
      <c r="S538" s="784"/>
      <c r="T538" s="864"/>
      <c r="U538" s="1023" t="str">
        <f ca="1">"Nach Angaben des Bundesverbandes Wärmepumpe  ["&amp;P538&amp;"], "&amp;Q538&amp;", kann durch technische Weiterentwicklungen und niedrigere Vorlauftemperaturen besser gedämmter Gebäude mit einer Erhöhung der durchschnittlichen Jahresarbeitszahl für luftgekoppelte Anlagen auf einen im Jahr 2020 erreichbaren Endwert von "&amp;TEXT(W538,"0,0")&amp;" gerechnet werden. "</f>
        <v xml:space="preserve">Nach Angaben des Bundesverbandes Wärmepumpe  [9.81], S. 32, kann durch technische Weiterentwicklungen und niedrigere Vorlauftemperaturen besser gedämmter Gebäude mit einer Erhöhung der durchschnittlichen Jahresarbeitszahl für luftgekoppelte Anlagen auf einen im Jahr 2020 erreichbaren Endwert von 3,8 gerechnet werden. </v>
      </c>
      <c r="V538" s="905"/>
      <c r="W538" s="1034">
        <v>3.8</v>
      </c>
      <c r="X538" s="672">
        <f>'9.Quellen'!C81</f>
        <v>81</v>
      </c>
      <c r="Y538" s="672" t="s">
        <v>601</v>
      </c>
      <c r="Z538" s="1025"/>
      <c r="AA538" s="905"/>
      <c r="AB538" s="801"/>
      <c r="AC538" s="801"/>
      <c r="AD538" s="801"/>
      <c r="AE538" s="801"/>
      <c r="AF538" s="801"/>
      <c r="AG538" s="801"/>
      <c r="AH538" s="801"/>
      <c r="AI538" s="801"/>
      <c r="AJ538" s="801"/>
      <c r="AK538" s="801"/>
      <c r="AL538" s="801"/>
      <c r="AM538" s="801"/>
      <c r="AN538" s="801"/>
      <c r="AO538" s="801"/>
      <c r="AP538" s="801"/>
      <c r="AQ538" s="801"/>
      <c r="AR538" s="801"/>
      <c r="AS538" s="801"/>
      <c r="AT538" s="801"/>
      <c r="AU538" s="801"/>
      <c r="AV538" s="801"/>
      <c r="BF538" s="657"/>
      <c r="BI538" s="798" t="s">
        <v>126</v>
      </c>
      <c r="BJ538" s="666"/>
      <c r="BO538" s="798" t="s">
        <v>252</v>
      </c>
      <c r="CU538" s="663" t="str">
        <f ca="1">IF(U538="",BF538,U538)</f>
        <v xml:space="preserve">Nach Angaben des Bundesverbandes Wärmepumpe  [9.81], S. 32, kann durch technische Weiterentwicklungen und niedrigere Vorlauftemperaturen besser gedämmter Gebäude mit einer Erhöhung der durchschnittlichen Jahresarbeitszahl für luftgekoppelte Anlagen auf einen im Jahr 2020 erreichbaren Endwert von 3,8 gerechnet werden. </v>
      </c>
      <c r="CW538" s="663"/>
      <c r="DT538" s="671"/>
      <c r="EJ538" s="798" t="str">
        <f ca="1">IF(X538=0,"",EJ$1&amp;X538)</f>
        <v>9.81</v>
      </c>
      <c r="EK538" s="798" t="str">
        <f ca="1">EK$1&amp;X538</f>
        <v>[D_Python.xlsx]9.Quellen!C81</v>
      </c>
      <c r="EV538" s="819">
        <f ca="1">IF(U538&amp;BP538="","",D538)</f>
        <v>538</v>
      </c>
      <c r="EW538" s="819"/>
    </row>
    <row r="539" spans="1:153" s="661" customFormat="1" ht="4">
      <c r="A539" s="677" t="str">
        <f t="shared" ca="1" si="248"/>
        <v>D.1.539</v>
      </c>
      <c r="B539" s="677" t="str">
        <f t="shared" ca="1" si="249"/>
        <v>1.539</v>
      </c>
      <c r="C539" s="677" t="str">
        <f t="shared" si="229"/>
        <v>[539]</v>
      </c>
      <c r="D539" s="677">
        <f>ROW()</f>
        <v>539</v>
      </c>
      <c r="E539" s="685"/>
      <c r="F539" s="685"/>
      <c r="G539" s="685"/>
      <c r="H539" s="685"/>
      <c r="I539" s="686"/>
      <c r="J539" s="686"/>
      <c r="K539" s="686"/>
      <c r="L539" s="686"/>
      <c r="M539" s="686"/>
      <c r="N539" s="685"/>
      <c r="O539" s="871">
        <v>539</v>
      </c>
      <c r="P539" s="693"/>
      <c r="Q539" s="694"/>
      <c r="R539" s="888"/>
      <c r="S539" s="802"/>
      <c r="T539" s="882"/>
      <c r="AB539" s="675"/>
      <c r="AC539" s="675"/>
      <c r="AD539" s="675"/>
      <c r="AE539" s="675"/>
      <c r="AF539" s="675"/>
      <c r="AG539" s="675"/>
      <c r="AH539" s="675"/>
      <c r="AI539" s="675"/>
      <c r="AJ539" s="675"/>
      <c r="AK539" s="675"/>
      <c r="AL539" s="675"/>
      <c r="AM539" s="675"/>
      <c r="AN539" s="675"/>
      <c r="AO539" s="675"/>
      <c r="AP539" s="675"/>
      <c r="AQ539" s="675"/>
      <c r="AR539" s="675"/>
      <c r="AS539" s="675"/>
      <c r="AT539" s="675"/>
      <c r="AU539" s="675"/>
      <c r="AV539" s="675"/>
      <c r="AZ539" s="669"/>
      <c r="BB539" s="669"/>
      <c r="BI539" s="661" t="s">
        <v>126</v>
      </c>
      <c r="BJ539" s="665"/>
      <c r="CU539" s="662"/>
      <c r="CW539" s="662"/>
      <c r="EV539" s="818" t="str">
        <f t="shared" si="251"/>
        <v/>
      </c>
      <c r="EW539" s="818"/>
    </row>
    <row r="540" spans="1:153" s="658" customFormat="1" ht="13.5" customHeight="1">
      <c r="A540" s="654" t="str">
        <f t="shared" ca="1" si="248"/>
        <v>D.1.540</v>
      </c>
      <c r="B540" s="654" t="str">
        <f t="shared" ca="1" si="249"/>
        <v>1.540</v>
      </c>
      <c r="C540" s="654" t="str">
        <f t="shared" si="229"/>
        <v>[540]</v>
      </c>
      <c r="D540" s="654">
        <f>ROW()</f>
        <v>540</v>
      </c>
      <c r="E540" s="1129" t="str">
        <f>BP540</f>
        <v>Wärmep. Erdreich-/Wasserk. - Jahresarbeitszahl</v>
      </c>
      <c r="F540" s="1129"/>
      <c r="G540" s="1129"/>
      <c r="H540" s="1129"/>
      <c r="I540" s="1129"/>
      <c r="J540" s="655"/>
      <c r="K540" s="557">
        <f ca="1">INDIRECT($W$1&amp;U540)</f>
        <v>3.4</v>
      </c>
      <c r="L540" s="485" t="str">
        <f ca="1">HYPERLINK($CK$1&amp;U540,$CE$1&amp;U540&amp;$CF$1)</f>
        <v>[542]</v>
      </c>
      <c r="M540" s="558">
        <f ca="1">INDIRECT($W$1&amp;W540)</f>
        <v>4.4000000000000004</v>
      </c>
      <c r="N540" s="681" t="str">
        <f ca="1">HYPERLINK($CK$1&amp;W540,$CE$1&amp;W540&amp;$CF$1)</f>
        <v>[544]</v>
      </c>
      <c r="O540" s="869">
        <v>540</v>
      </c>
      <c r="P540" s="690"/>
      <c r="Q540" s="695"/>
      <c r="R540" s="852"/>
      <c r="S540" s="784"/>
      <c r="T540" s="864"/>
      <c r="U540" s="672">
        <f>D542</f>
        <v>542</v>
      </c>
      <c r="V540" s="905" t="s">
        <v>126</v>
      </c>
      <c r="W540" s="672">
        <f>D544</f>
        <v>544</v>
      </c>
      <c r="AB540" s="801"/>
      <c r="AC540" s="801"/>
      <c r="AD540" s="674"/>
      <c r="AE540" s="674"/>
      <c r="AF540" s="674"/>
      <c r="AG540" s="674"/>
      <c r="AH540" s="674"/>
      <c r="AI540" s="674"/>
      <c r="AJ540" s="674"/>
      <c r="AK540" s="674"/>
      <c r="AL540" s="674"/>
      <c r="AM540" s="674"/>
      <c r="AN540" s="674"/>
      <c r="AO540" s="674"/>
      <c r="AP540" s="674"/>
      <c r="AQ540" s="674"/>
      <c r="AR540" s="674"/>
      <c r="AS540" s="674"/>
      <c r="AT540" s="674"/>
      <c r="AU540" s="674"/>
      <c r="AV540" s="674"/>
      <c r="AX540" s="658" t="s">
        <v>244</v>
      </c>
      <c r="AY540" s="668">
        <f ca="1">DA540</f>
        <v>-500</v>
      </c>
      <c r="AZ540" s="670" t="str">
        <f ca="1">HYPERLINK(DN540,DC540)</f>
        <v xml:space="preserve"> 389</v>
      </c>
      <c r="BA540" s="668">
        <f ca="1">DB540</f>
        <v>-500</v>
      </c>
      <c r="BB540" s="670" t="str">
        <f ca="1">HYPERLINK(DO540,DD540)</f>
        <v xml:space="preserve"> 390</v>
      </c>
      <c r="BC540" s="658" t="str">
        <f ca="1">CY540&amp;" | "&amp;CZ540</f>
        <v>0 | 3. Energieertrag Strom für Wärmepumpen-Antrieb</v>
      </c>
      <c r="BI540" s="658" t="s">
        <v>126</v>
      </c>
      <c r="BJ540" s="667" t="str">
        <f>E540</f>
        <v>Wärmep. Erdreich-/Wasserk. - Jahresarbeitszahl</v>
      </c>
      <c r="BK540" s="664">
        <f ca="1">K540</f>
        <v>3.4</v>
      </c>
      <c r="BL540" s="664">
        <f ca="1">M540</f>
        <v>4.4000000000000004</v>
      </c>
      <c r="BM540" s="656">
        <f>D540</f>
        <v>540</v>
      </c>
      <c r="BO540" s="658" t="s">
        <v>251</v>
      </c>
      <c r="BP540" s="676" t="s">
        <v>592</v>
      </c>
      <c r="CU540" s="659"/>
      <c r="CW540" s="671">
        <v>100</v>
      </c>
      <c r="CY540" s="656">
        <f t="shared" ref="CY540:DO540" ca="1" si="258">INDIRECT($CX$1&amp;CY$1&amp;$CW540)</f>
        <v>0</v>
      </c>
      <c r="CZ540" s="656" t="str">
        <f t="shared" ca="1" si="258"/>
        <v>3. Energieertrag Strom für Wärmepumpen-Antrieb</v>
      </c>
      <c r="DA540" s="656">
        <f t="shared" ca="1" si="258"/>
        <v>-500</v>
      </c>
      <c r="DB540" s="656">
        <f t="shared" ca="1" si="258"/>
        <v>-500</v>
      </c>
      <c r="DC540" s="656" t="str">
        <f t="shared" ca="1" si="258"/>
        <v xml:space="preserve"> 389</v>
      </c>
      <c r="DD540" s="656" t="str">
        <f t="shared" ca="1" si="258"/>
        <v xml:space="preserve"> 390</v>
      </c>
      <c r="DE540" s="656" t="str">
        <f t="shared" ca="1" si="258"/>
        <v>UG40</v>
      </c>
      <c r="DF540" s="656" t="str">
        <f t="shared" ca="1" si="258"/>
        <v>UG44</v>
      </c>
      <c r="DG540" s="656" t="str">
        <f t="shared" ca="1" si="258"/>
        <v>UG</v>
      </c>
      <c r="DH540" s="656" t="str">
        <f t="shared" ca="1" si="258"/>
        <v>40</v>
      </c>
      <c r="DI540" s="656" t="str">
        <f t="shared" ca="1" si="258"/>
        <v>[UG.xls]TEXT!Z40S5</v>
      </c>
      <c r="DJ540" s="656" t="str">
        <f t="shared" ca="1" si="258"/>
        <v>UG</v>
      </c>
      <c r="DK540" s="656" t="str">
        <f t="shared" ca="1" si="258"/>
        <v>44</v>
      </c>
      <c r="DL540" s="656" t="str">
        <f t="shared" ca="1" si="258"/>
        <v>[UG.xls]TEXT!Z44S5</v>
      </c>
      <c r="DM540" s="656">
        <f t="shared" ca="1" si="258"/>
        <v>100</v>
      </c>
      <c r="DN540" s="656" t="str">
        <f t="shared" ca="1" si="258"/>
        <v>[Region.xls]PARAMETER!Z389S6</v>
      </c>
      <c r="DO540" s="656" t="str">
        <f t="shared" ca="1" si="258"/>
        <v>[Region.xls]PARAMETER!Z390S6</v>
      </c>
      <c r="DP540" s="656"/>
      <c r="DS540" s="656"/>
      <c r="DV540" s="656"/>
      <c r="DW540" s="656"/>
      <c r="DX540" s="656"/>
      <c r="DY540" s="656"/>
      <c r="DZ540" s="656"/>
      <c r="EA540" s="656"/>
      <c r="EB540" s="656"/>
      <c r="EC540" s="656"/>
      <c r="ED540" s="656"/>
      <c r="EE540" s="656"/>
      <c r="EF540" s="656"/>
      <c r="EG540" s="656"/>
      <c r="EH540" s="656"/>
      <c r="EI540" s="656"/>
      <c r="EJ540" s="656"/>
      <c r="EK540" s="656"/>
      <c r="EV540" s="819">
        <f t="shared" si="251"/>
        <v>540</v>
      </c>
      <c r="EW540" s="819"/>
    </row>
    <row r="541" spans="1:153" s="656" customFormat="1">
      <c r="A541" s="654" t="str">
        <f t="shared" ca="1" si="248"/>
        <v>D.1.541</v>
      </c>
      <c r="B541" s="654" t="str">
        <f t="shared" ca="1" si="249"/>
        <v>1.541</v>
      </c>
      <c r="C541" s="654" t="str">
        <f t="shared" si="229"/>
        <v>[541]</v>
      </c>
      <c r="D541" s="654">
        <f>ROW()</f>
        <v>541</v>
      </c>
      <c r="E541" s="1125" t="str">
        <f>CU541</f>
        <v>Begriffsbestimmung siehe [533].</v>
      </c>
      <c r="F541" s="1125"/>
      <c r="G541" s="1125"/>
      <c r="H541" s="1125"/>
      <c r="I541" s="1125"/>
      <c r="J541" s="1125"/>
      <c r="K541" s="1125"/>
      <c r="L541" s="1125"/>
      <c r="M541" s="1125"/>
      <c r="N541" s="1132"/>
      <c r="O541" s="869">
        <v>541</v>
      </c>
      <c r="P541" s="691" t="str">
        <f ca="1">HYPERLINK(EK541,EJ541)</f>
        <v/>
      </c>
      <c r="Q541" s="692" t="str">
        <f>Y541</f>
        <v xml:space="preserve"> </v>
      </c>
      <c r="R541" s="852"/>
      <c r="S541" s="784"/>
      <c r="T541" s="864"/>
      <c r="U541" s="1033" t="str">
        <f>"Begriffsbestimmung siehe "&amp;C533&amp;"."</f>
        <v>Begriffsbestimmung siehe [533].</v>
      </c>
      <c r="V541" s="905" t="s">
        <v>126</v>
      </c>
      <c r="W541" s="1024"/>
      <c r="X541" s="672"/>
      <c r="Y541" s="672" t="s">
        <v>126</v>
      </c>
      <c r="Z541" s="1025"/>
      <c r="AA541" s="1025"/>
      <c r="AB541" s="1025"/>
      <c r="AC541" s="1025"/>
      <c r="AD541" s="1025"/>
      <c r="AE541" s="1025"/>
      <c r="AF541" s="1025"/>
      <c r="AG541" s="1025"/>
      <c r="AH541" s="1025"/>
      <c r="AI541" s="1025"/>
      <c r="AJ541" s="1025"/>
      <c r="AK541" s="1025"/>
      <c r="AL541" s="1025"/>
      <c r="AM541" s="1025"/>
      <c r="AN541" s="1025"/>
      <c r="AO541" s="1025"/>
      <c r="AP541" s="1025"/>
      <c r="AQ541" s="1025"/>
      <c r="AR541" s="1025"/>
      <c r="AS541" s="1025"/>
      <c r="AT541" s="1025"/>
      <c r="AU541" s="1025"/>
      <c r="AV541" s="1025"/>
      <c r="AW541" s="644"/>
      <c r="BF541" s="657"/>
      <c r="BI541" s="656" t="s">
        <v>126</v>
      </c>
      <c r="BJ541" s="666"/>
      <c r="BO541" s="656" t="s">
        <v>252</v>
      </c>
      <c r="CU541" s="663" t="str">
        <f>IF(U541="",BF541,U541)</f>
        <v>Begriffsbestimmung siehe [533].</v>
      </c>
      <c r="CW541" s="663"/>
      <c r="DT541" s="671"/>
      <c r="EJ541" s="656" t="str">
        <f>IF(X541=0,"",EJ$1&amp;X541)</f>
        <v/>
      </c>
      <c r="EK541" s="656" t="str">
        <f ca="1">EK$1&amp;X541</f>
        <v>[D_Python.xlsx]9.Quellen!C</v>
      </c>
      <c r="EV541" s="819">
        <f t="shared" si="251"/>
        <v>541</v>
      </c>
      <c r="EW541" s="819"/>
    </row>
    <row r="542" spans="1:153" s="656" customFormat="1" ht="52">
      <c r="A542" s="654" t="str">
        <f t="shared" ca="1" si="248"/>
        <v>D.1.542</v>
      </c>
      <c r="B542" s="654" t="str">
        <f t="shared" ca="1" si="249"/>
        <v>1.542</v>
      </c>
      <c r="C542" s="654" t="str">
        <f t="shared" si="229"/>
        <v>[542]</v>
      </c>
      <c r="D542" s="654">
        <f>ROW()</f>
        <v>542</v>
      </c>
      <c r="E542" s="1130" t="str">
        <f ca="1">CU542</f>
        <v xml:space="preserve">- STATUS-Ansatz: Nach einer Auswertung der Jahresarbeitszahlen der  in Deutschland von 1993 bis 2013 abgesetzten Heizungswärmepumpen gemäß Bundesverband Wärmepumpe [9.81], S. 32, kommen die Erdreich- und Wassergekoppelten Anlagen im Feldbestand auf eine durchschnittliche Jahresarbeitszahl (gewichtetes Mittel) von 3,4. </v>
      </c>
      <c r="F542" s="1130"/>
      <c r="G542" s="1130"/>
      <c r="H542" s="1130"/>
      <c r="I542" s="1130"/>
      <c r="J542" s="1130"/>
      <c r="K542" s="1130"/>
      <c r="L542" s="1130"/>
      <c r="M542" s="1130"/>
      <c r="N542" s="1131"/>
      <c r="O542" s="869">
        <v>542</v>
      </c>
      <c r="P542" s="691" t="str">
        <f ca="1">HYPERLINK(EK542,EJ542)</f>
        <v>9.81</v>
      </c>
      <c r="Q542" s="692" t="str">
        <f>Y542</f>
        <v>S. 32</v>
      </c>
      <c r="R542" s="852"/>
      <c r="S542" s="784"/>
      <c r="T542" s="864"/>
      <c r="U542" s="1023" t="str">
        <f ca="1">"Nach einer Auswertung der Jahresarbeitszahlen der  in Deutschland von 1993 bis 2013 abgesetzten Heizungswärmepumpen gemäß Bundesverband Wärmepumpe ["&amp;P542&amp;"], "&amp;Q542&amp;", kommen die Erdreich- und Wassergekoppelten Anlagen im Feldbestand auf eine durchschnittliche Jahresarbeitszahl (gewichtetes Mittel) von "&amp;AD542&amp;". "</f>
        <v xml:space="preserve">Nach einer Auswertung der Jahresarbeitszahlen der  in Deutschland von 1993 bis 2013 abgesetzten Heizungswärmepumpen gemäß Bundesverband Wärmepumpe [9.81], S. 32, kommen die Erdreich- und Wassergekoppelten Anlagen im Feldbestand auf eine durchschnittliche Jahresarbeitszahl (gewichtetes Mittel) von 3,4. </v>
      </c>
      <c r="V542" s="905" t="s">
        <v>126</v>
      </c>
      <c r="W542" s="1034">
        <v>3.4</v>
      </c>
      <c r="X542" s="672">
        <f>'9.Quellen'!C81</f>
        <v>81</v>
      </c>
      <c r="Y542" s="672" t="s">
        <v>601</v>
      </c>
      <c r="Z542" s="1025"/>
      <c r="AA542" s="658"/>
      <c r="AB542" s="801"/>
      <c r="AC542" s="801"/>
      <c r="AD542" s="801">
        <v>3.4</v>
      </c>
      <c r="AE542" s="801"/>
      <c r="AF542" s="801"/>
      <c r="AG542" s="801"/>
      <c r="AH542" s="801"/>
      <c r="AI542" s="801"/>
      <c r="AJ542" s="801"/>
      <c r="AK542" s="801"/>
      <c r="AL542" s="801"/>
      <c r="AM542" s="801"/>
      <c r="AN542" s="801"/>
      <c r="AO542" s="801"/>
      <c r="AP542" s="801"/>
      <c r="AQ542" s="801"/>
      <c r="AR542" s="801"/>
      <c r="AS542" s="801"/>
      <c r="AT542" s="801"/>
      <c r="AU542" s="801"/>
      <c r="AV542" s="801"/>
      <c r="BF542" s="657"/>
      <c r="BI542" s="656" t="s">
        <v>126</v>
      </c>
      <c r="BJ542" s="666"/>
      <c r="BO542" s="656" t="s">
        <v>259</v>
      </c>
      <c r="CU542" s="663" t="str">
        <f ca="1">CG$1&amp;IF(U542="",BF542,U542)</f>
        <v xml:space="preserve">- STATUS-Ansatz: Nach einer Auswertung der Jahresarbeitszahlen der  in Deutschland von 1993 bis 2013 abgesetzten Heizungswärmepumpen gemäß Bundesverband Wärmepumpe [9.81], S. 32, kommen die Erdreich- und Wassergekoppelten Anlagen im Feldbestand auf eine durchschnittliche Jahresarbeitszahl (gewichtetes Mittel) von 3,4. </v>
      </c>
      <c r="CW542" s="663"/>
      <c r="DT542" s="671">
        <f>I_Basisdaten!A264</f>
        <v>0</v>
      </c>
      <c r="EJ542" s="656" t="str">
        <f ca="1">IF(X542=0,"",EJ$1&amp;X542)</f>
        <v>9.81</v>
      </c>
      <c r="EK542" s="656" t="str">
        <f ca="1">EK$1&amp;X542</f>
        <v>[D_Python.xlsx]9.Quellen!C81</v>
      </c>
      <c r="EV542" s="819">
        <f t="shared" ca="1" si="251"/>
        <v>542</v>
      </c>
      <c r="EW542" s="819"/>
    </row>
    <row r="543" spans="1:153" s="661" customFormat="1" ht="4">
      <c r="A543" s="677" t="str">
        <f t="shared" ca="1" si="248"/>
        <v>D.1.543</v>
      </c>
      <c r="B543" s="677" t="str">
        <f t="shared" ca="1" si="249"/>
        <v>1.543</v>
      </c>
      <c r="C543" s="677" t="str">
        <f t="shared" si="229"/>
        <v>[543]</v>
      </c>
      <c r="D543" s="677">
        <f>ROW()</f>
        <v>543</v>
      </c>
      <c r="E543" s="680"/>
      <c r="F543" s="680"/>
      <c r="G543" s="680"/>
      <c r="H543" s="680"/>
      <c r="I543" s="679"/>
      <c r="J543" s="679"/>
      <c r="K543" s="679"/>
      <c r="L543" s="679"/>
      <c r="M543" s="679"/>
      <c r="N543" s="680"/>
      <c r="O543" s="871">
        <v>543</v>
      </c>
      <c r="P543" s="688"/>
      <c r="Q543" s="689"/>
      <c r="R543" s="888"/>
      <c r="S543" s="810"/>
      <c r="T543" s="882"/>
      <c r="AB543" s="675"/>
      <c r="AC543" s="675"/>
      <c r="AD543" s="675"/>
      <c r="AE543" s="675"/>
      <c r="AF543" s="675"/>
      <c r="AG543" s="675"/>
      <c r="AH543" s="675"/>
      <c r="AI543" s="675"/>
      <c r="AJ543" s="675"/>
      <c r="AK543" s="675"/>
      <c r="AL543" s="675"/>
      <c r="AM543" s="675"/>
      <c r="AN543" s="675"/>
      <c r="AO543" s="675"/>
      <c r="AP543" s="675"/>
      <c r="AQ543" s="675"/>
      <c r="AR543" s="675"/>
      <c r="AS543" s="675"/>
      <c r="AT543" s="675"/>
      <c r="AU543" s="675"/>
      <c r="AV543" s="675"/>
      <c r="BI543" s="661" t="s">
        <v>126</v>
      </c>
      <c r="BJ543" s="665"/>
      <c r="CU543" s="662"/>
      <c r="CW543" s="662"/>
      <c r="EV543" s="818" t="str">
        <f t="shared" si="251"/>
        <v/>
      </c>
      <c r="EW543" s="818"/>
    </row>
    <row r="544" spans="1:153" s="656" customFormat="1" ht="65">
      <c r="A544" s="654" t="str">
        <f t="shared" ca="1" si="248"/>
        <v>D.1.544</v>
      </c>
      <c r="B544" s="654" t="str">
        <f t="shared" ca="1" si="249"/>
        <v>1.544</v>
      </c>
      <c r="C544" s="654" t="str">
        <f t="shared" si="229"/>
        <v>[544]</v>
      </c>
      <c r="D544" s="654">
        <f>ROW()</f>
        <v>544</v>
      </c>
      <c r="E544" s="1125" t="str">
        <f t="shared" ref="E544" ca="1" si="259">CU544</f>
        <v xml:space="preserve">- ZIEL-Ansatz: Nach Angaben des Bundesverbandes Wärmepumpe  [9.81], S. 32, ist durch technische Weiterentwicklungen und niedrigere Vorlauftemperaturen besser gedämmter Gebäude mit einer Erhöhung der durchschnittlichen Jahresarbeitszahl für Erdreich- und Wassergekoppelte Anlagen (letztere nur geringfügig höher, hier zusammengefasst) zu rechnen. Hier wird der für das Jahr 2030 prognostizierte Wert von 4,4 als Zielwert für Niedersachsen angenommen. </v>
      </c>
      <c r="F544" s="1125"/>
      <c r="G544" s="1125"/>
      <c r="H544" s="1125"/>
      <c r="I544" s="1125"/>
      <c r="J544" s="1125"/>
      <c r="K544" s="1125"/>
      <c r="L544" s="1125"/>
      <c r="M544" s="1125"/>
      <c r="N544" s="1132"/>
      <c r="O544" s="869">
        <v>544</v>
      </c>
      <c r="P544" s="691" t="str">
        <f ca="1">HYPERLINK(EK544,EJ544)</f>
        <v>9.81</v>
      </c>
      <c r="Q544" s="692" t="str">
        <f>Y544</f>
        <v>S. 32</v>
      </c>
      <c r="R544" s="852"/>
      <c r="S544" s="784"/>
      <c r="T544" s="864"/>
      <c r="U544" s="1023" t="str">
        <f ca="1">"Nach Angaben des Bundesverbandes Wärmepumpe  ["&amp;P544&amp;"], "&amp;Q544&amp;", ist durch technische Weiterentwicklungen und niedrigere Vorlauftemperaturen besser gedämmter Gebäude mit einer Erhöhung der durchschnittlichen Jahresarbeitszahl für Erdreich- und Wassergekoppelte Anlagen "&amp;"(letztere nur geringfügig höher, hier zusammengefasst) zu rechnen. Hier wird der für das Jahr 2030 prognostizierte Wert von "&amp;TEXT(AD544,"0,0")&amp;" als Zielwert für Niedersachsen angenommen. "</f>
        <v xml:space="preserve">Nach Angaben des Bundesverbandes Wärmepumpe  [9.81], S. 32, ist durch technische Weiterentwicklungen und niedrigere Vorlauftemperaturen besser gedämmter Gebäude mit einer Erhöhung der durchschnittlichen Jahresarbeitszahl für Erdreich- und Wassergekoppelte Anlagen (letztere nur geringfügig höher, hier zusammengefasst) zu rechnen. Hier wird der für das Jahr 2030 prognostizierte Wert von 4,4 als Zielwert für Niedersachsen angenommen. </v>
      </c>
      <c r="V544" s="905" t="s">
        <v>126</v>
      </c>
      <c r="W544" s="1034">
        <v>4.4000000000000004</v>
      </c>
      <c r="X544" s="672">
        <f>'9.Quellen'!C81</f>
        <v>81</v>
      </c>
      <c r="Y544" s="672" t="s">
        <v>601</v>
      </c>
      <c r="Z544" s="1025"/>
      <c r="AA544" s="905"/>
      <c r="AB544" s="801"/>
      <c r="AC544" s="801"/>
      <c r="AD544" s="801">
        <v>4.4000000000000004</v>
      </c>
      <c r="AE544" s="801"/>
      <c r="AF544" s="801"/>
      <c r="AG544" s="801"/>
      <c r="AH544" s="801"/>
      <c r="AI544" s="801"/>
      <c r="AJ544" s="801"/>
      <c r="AK544" s="801"/>
      <c r="AL544" s="801"/>
      <c r="AM544" s="801"/>
      <c r="AN544" s="801"/>
      <c r="AO544" s="801"/>
      <c r="AP544" s="801"/>
      <c r="AQ544" s="801"/>
      <c r="AR544" s="801"/>
      <c r="AS544" s="801"/>
      <c r="AT544" s="801"/>
      <c r="AU544" s="801"/>
      <c r="AV544" s="801"/>
      <c r="BF544" s="657"/>
      <c r="BI544" s="656" t="s">
        <v>126</v>
      </c>
      <c r="BJ544" s="666"/>
      <c r="BO544" s="656" t="s">
        <v>259</v>
      </c>
      <c r="CU544" s="663" t="str">
        <f ca="1">CH$1&amp;IF(U544="",BF544,U544)</f>
        <v xml:space="preserve">- ZIEL-Ansatz: Nach Angaben des Bundesverbandes Wärmepumpe  [9.81], S. 32, ist durch technische Weiterentwicklungen und niedrigere Vorlauftemperaturen besser gedämmter Gebäude mit einer Erhöhung der durchschnittlichen Jahresarbeitszahl für Erdreich- und Wassergekoppelte Anlagen (letztere nur geringfügig höher, hier zusammengefasst) zu rechnen. Hier wird der für das Jahr 2030 prognostizierte Wert von 4,4 als Zielwert für Niedersachsen angenommen. </v>
      </c>
      <c r="CW544" s="663"/>
      <c r="DT544" s="671">
        <v>53</v>
      </c>
      <c r="EJ544" s="656" t="str">
        <f ca="1">IF(X544=0,"",EJ$1&amp;X544)</f>
        <v>9.81</v>
      </c>
      <c r="EK544" s="656" t="str">
        <f ca="1">EK$1&amp;X544</f>
        <v>[D_Python.xlsx]9.Quellen!C81</v>
      </c>
      <c r="EV544" s="819">
        <f t="shared" ca="1" si="251"/>
        <v>544</v>
      </c>
      <c r="EW544" s="819"/>
    </row>
    <row r="545" spans="1:153" s="661" customFormat="1" ht="4">
      <c r="A545" s="677" t="str">
        <f t="shared" ca="1" si="248"/>
        <v>D.1.545</v>
      </c>
      <c r="B545" s="677" t="str">
        <f t="shared" ca="1" si="249"/>
        <v>1.545</v>
      </c>
      <c r="C545" s="677" t="str">
        <f t="shared" si="229"/>
        <v>[545]</v>
      </c>
      <c r="D545" s="677">
        <f>ROW()</f>
        <v>545</v>
      </c>
      <c r="E545" s="685"/>
      <c r="F545" s="685"/>
      <c r="G545" s="685"/>
      <c r="H545" s="685"/>
      <c r="I545" s="686"/>
      <c r="J545" s="686"/>
      <c r="K545" s="686"/>
      <c r="L545" s="686"/>
      <c r="M545" s="686"/>
      <c r="N545" s="685"/>
      <c r="O545" s="871">
        <v>545</v>
      </c>
      <c r="P545" s="693"/>
      <c r="Q545" s="694"/>
      <c r="R545" s="888"/>
      <c r="S545" s="802"/>
      <c r="T545" s="882"/>
      <c r="AB545" s="675"/>
      <c r="AC545" s="675"/>
      <c r="AD545" s="675"/>
      <c r="AE545" s="675"/>
      <c r="AF545" s="675"/>
      <c r="AG545" s="675"/>
      <c r="AH545" s="675"/>
      <c r="AI545" s="675"/>
      <c r="AJ545" s="675"/>
      <c r="AK545" s="675"/>
      <c r="AL545" s="675"/>
      <c r="AM545" s="675"/>
      <c r="AN545" s="675"/>
      <c r="AO545" s="675"/>
      <c r="AP545" s="675"/>
      <c r="AQ545" s="675"/>
      <c r="AR545" s="675"/>
      <c r="AS545" s="675"/>
      <c r="AT545" s="675"/>
      <c r="AU545" s="675"/>
      <c r="AV545" s="675"/>
      <c r="AZ545" s="669"/>
      <c r="BB545" s="669"/>
      <c r="BI545" s="661" t="s">
        <v>126</v>
      </c>
      <c r="BJ545" s="665"/>
      <c r="CU545" s="662"/>
      <c r="CW545" s="662"/>
      <c r="EV545" s="818" t="str">
        <f t="shared" si="251"/>
        <v/>
      </c>
      <c r="EW545" s="818"/>
    </row>
    <row r="546" spans="1:153" s="658" customFormat="1">
      <c r="A546" s="654" t="str">
        <f t="shared" ca="1" si="248"/>
        <v>D.1.546</v>
      </c>
      <c r="B546" s="654" t="str">
        <f t="shared" ca="1" si="249"/>
        <v>1.546</v>
      </c>
      <c r="C546" s="654" t="str">
        <f t="shared" si="229"/>
        <v>[546]</v>
      </c>
      <c r="D546" s="654">
        <f>ROW()</f>
        <v>546</v>
      </c>
      <c r="E546" s="1129" t="str">
        <f>BP546</f>
        <v>Wärmeertrag Erdreich/Grundwasser (oberflächennah)</v>
      </c>
      <c r="F546" s="1129"/>
      <c r="G546" s="1129"/>
      <c r="H546" s="1129"/>
      <c r="I546" s="1129"/>
      <c r="J546" s="655" t="s">
        <v>38</v>
      </c>
      <c r="K546" s="684">
        <f ca="1">INDIRECT($W$1&amp;U546)</f>
        <v>1000</v>
      </c>
      <c r="L546" s="485" t="str">
        <f ca="1">HYPERLINK($CK$1&amp;U546,$CE$1&amp;U546&amp;$CF$1)</f>
        <v>[547]</v>
      </c>
      <c r="M546" s="547">
        <f ca="1">INDIRECT($W$1&amp;W546)</f>
        <v>1000</v>
      </c>
      <c r="N546" s="681" t="str">
        <f ca="1">HYPERLINK($CK$1&amp;W546,$CE$1&amp;W546&amp;$CF$1)</f>
        <v>[549]</v>
      </c>
      <c r="O546" s="869">
        <v>546</v>
      </c>
      <c r="P546" s="690"/>
      <c r="Q546" s="695"/>
      <c r="R546" s="852"/>
      <c r="S546" s="784"/>
      <c r="T546" s="864"/>
      <c r="U546" s="672">
        <f>D547</f>
        <v>547</v>
      </c>
      <c r="V546" s="905" t="s">
        <v>126</v>
      </c>
      <c r="W546" s="672">
        <f>D549</f>
        <v>549</v>
      </c>
      <c r="AB546" s="801"/>
      <c r="AC546" s="801"/>
      <c r="AD546" s="674"/>
      <c r="AE546" s="674"/>
      <c r="AF546" s="674"/>
      <c r="AG546" s="674"/>
      <c r="AH546" s="674"/>
      <c r="AI546" s="674"/>
      <c r="AJ546" s="674"/>
      <c r="AK546" s="674"/>
      <c r="AL546" s="674"/>
      <c r="AM546" s="674"/>
      <c r="AN546" s="674"/>
      <c r="AO546" s="674"/>
      <c r="AP546" s="674"/>
      <c r="AQ546" s="674"/>
      <c r="AR546" s="674"/>
      <c r="AS546" s="674"/>
      <c r="AT546" s="674"/>
      <c r="AU546" s="674"/>
      <c r="AV546" s="674"/>
      <c r="AX546" s="658" t="s">
        <v>244</v>
      </c>
      <c r="AY546" s="668">
        <f ca="1">DA546</f>
        <v>-500</v>
      </c>
      <c r="AZ546" s="670" t="str">
        <f ca="1">HYPERLINK(DN546,DC546)</f>
        <v xml:space="preserve"> 389</v>
      </c>
      <c r="BA546" s="668">
        <f ca="1">DB546</f>
        <v>-500</v>
      </c>
      <c r="BB546" s="670" t="str">
        <f ca="1">HYPERLINK(DO546,DD546)</f>
        <v xml:space="preserve"> 390</v>
      </c>
      <c r="BC546" s="658" t="str">
        <f ca="1">CY546&amp;" | "&amp;CZ546</f>
        <v>0 | 3. Energieertrag Strom für Wärmepumpen-Antrieb</v>
      </c>
      <c r="BI546" s="658" t="s">
        <v>126</v>
      </c>
      <c r="BJ546" s="667" t="str">
        <f>E546</f>
        <v>Wärmeertrag Erdreich/Grundwasser (oberflächennah)</v>
      </c>
      <c r="BK546" s="664">
        <f ca="1">K546</f>
        <v>1000</v>
      </c>
      <c r="BL546" s="664">
        <f ca="1">M546</f>
        <v>1000</v>
      </c>
      <c r="BM546" s="656">
        <f>D546</f>
        <v>546</v>
      </c>
      <c r="BO546" s="658" t="s">
        <v>251</v>
      </c>
      <c r="BP546" s="676" t="s">
        <v>593</v>
      </c>
      <c r="CU546" s="659"/>
      <c r="CW546" s="671">
        <v>100</v>
      </c>
      <c r="CY546" s="656">
        <f t="shared" ref="CY546:DO546" ca="1" si="260">INDIRECT($CX$1&amp;CY$1&amp;$CW546)</f>
        <v>0</v>
      </c>
      <c r="CZ546" s="656" t="str">
        <f t="shared" ca="1" si="260"/>
        <v>3. Energieertrag Strom für Wärmepumpen-Antrieb</v>
      </c>
      <c r="DA546" s="656">
        <f t="shared" ca="1" si="260"/>
        <v>-500</v>
      </c>
      <c r="DB546" s="656">
        <f t="shared" ca="1" si="260"/>
        <v>-500</v>
      </c>
      <c r="DC546" s="656" t="str">
        <f t="shared" ca="1" si="260"/>
        <v xml:space="preserve"> 389</v>
      </c>
      <c r="DD546" s="656" t="str">
        <f t="shared" ca="1" si="260"/>
        <v xml:space="preserve"> 390</v>
      </c>
      <c r="DE546" s="656" t="str">
        <f t="shared" ca="1" si="260"/>
        <v>UG40</v>
      </c>
      <c r="DF546" s="656" t="str">
        <f t="shared" ca="1" si="260"/>
        <v>UG44</v>
      </c>
      <c r="DG546" s="656" t="str">
        <f t="shared" ca="1" si="260"/>
        <v>UG</v>
      </c>
      <c r="DH546" s="656" t="str">
        <f t="shared" ca="1" si="260"/>
        <v>40</v>
      </c>
      <c r="DI546" s="656" t="str">
        <f t="shared" ca="1" si="260"/>
        <v>[UG.xls]TEXT!Z40S5</v>
      </c>
      <c r="DJ546" s="656" t="str">
        <f t="shared" ca="1" si="260"/>
        <v>UG</v>
      </c>
      <c r="DK546" s="656" t="str">
        <f t="shared" ca="1" si="260"/>
        <v>44</v>
      </c>
      <c r="DL546" s="656" t="str">
        <f t="shared" ca="1" si="260"/>
        <v>[UG.xls]TEXT!Z44S5</v>
      </c>
      <c r="DM546" s="656">
        <f t="shared" ca="1" si="260"/>
        <v>100</v>
      </c>
      <c r="DN546" s="656" t="str">
        <f t="shared" ca="1" si="260"/>
        <v>[Region.xls]PARAMETER!Z389S6</v>
      </c>
      <c r="DO546" s="656" t="str">
        <f t="shared" ca="1" si="260"/>
        <v>[Region.xls]PARAMETER!Z390S6</v>
      </c>
      <c r="DP546" s="656"/>
      <c r="DS546" s="656"/>
      <c r="DV546" s="656"/>
      <c r="DW546" s="656"/>
      <c r="DX546" s="656"/>
      <c r="DY546" s="656"/>
      <c r="DZ546" s="656"/>
      <c r="EA546" s="656"/>
      <c r="EB546" s="656"/>
      <c r="EC546" s="656"/>
      <c r="ED546" s="656"/>
      <c r="EE546" s="656"/>
      <c r="EF546" s="656"/>
      <c r="EG546" s="656"/>
      <c r="EH546" s="656"/>
      <c r="EI546" s="656"/>
      <c r="EJ546" s="656"/>
      <c r="EK546" s="656"/>
      <c r="EV546" s="819">
        <f t="shared" si="251"/>
        <v>546</v>
      </c>
      <c r="EW546" s="819"/>
    </row>
    <row r="547" spans="1:153" s="656" customFormat="1" ht="65">
      <c r="A547" s="654" t="str">
        <f t="shared" ca="1" si="248"/>
        <v>D.1.547</v>
      </c>
      <c r="B547" s="654" t="str">
        <f t="shared" ca="1" si="249"/>
        <v>1.547</v>
      </c>
      <c r="C547" s="654" t="str">
        <f t="shared" si="229"/>
        <v>[547]</v>
      </c>
      <c r="D547" s="654">
        <f>ROW()</f>
        <v>547</v>
      </c>
      <c r="E547" s="1130" t="str">
        <f ca="1">CU547</f>
        <v>- STATUS-Ansatz: Für Erdreichgekoppelte Wärmepumpenanlagen wird in [9.153], S. 410, ein durchschnittliches Wärmeentzugspotenzial von jährlich 360 MJ/qm  angegeben, entsprechend 100 kWh/qm  bzw. 1.000 MWh/ha. Dieser Durchschnittswert dient im Szenario zur Abschätzung der für Wärmeentzug beanspruchten Fläche, um Überbeanspruchungen zu vermeiden. Gemäß [9.153], S. 452 können etwa 13% der Siedlungsflächen als geeignete Potenzialflächen für oberflächennahe Erdwärme angesehen werden.</v>
      </c>
      <c r="F547" s="1130"/>
      <c r="G547" s="1130"/>
      <c r="H547" s="1130"/>
      <c r="I547" s="1130"/>
      <c r="J547" s="1130"/>
      <c r="K547" s="1130"/>
      <c r="L547" s="1130"/>
      <c r="M547" s="1130"/>
      <c r="N547" s="1131"/>
      <c r="O547" s="869">
        <v>547</v>
      </c>
      <c r="P547" s="691" t="str">
        <f ca="1">HYPERLINK(EK547,EJ547)</f>
        <v>9.153</v>
      </c>
      <c r="Q547" s="692" t="str">
        <f>Y547</f>
        <v>S. 410</v>
      </c>
      <c r="R547" s="852"/>
      <c r="S547" s="784"/>
      <c r="T547" s="864"/>
      <c r="U547" s="1023" t="str">
        <f ca="1">"Für Erdreichgekoppelte Wärmepumpenanlagen wird in ["&amp;P547&amp;"], "&amp;Q547&amp;", ein durchschnittliches Wärmeentzugspotenzial von jährlich "&amp;AD547&amp;AE547&amp;" angegeben, entsprechend "&amp;AF547&amp;AG547&amp;" bzw. "&amp;TEXT(AH547,"0.000")&amp;AI547&amp;". Dieser Durchschnittswert dient im Szenario zur Abschätzung der für Wärmeentzug beanspruchten Fläche, um Überbeanspruchungen zu vermeiden. Gemäß ["&amp;P547&amp;"], S. 452 können etwa 13% der Siedlungsflächen als geeignete Potenzialflächen für oberflächennahe Erdwärme angesehen werden."</f>
        <v>Für Erdreichgekoppelte Wärmepumpenanlagen wird in [9.153], S. 410, ein durchschnittliches Wärmeentzugspotenzial von jährlich 360 MJ/qm  angegeben, entsprechend 100 kWh/qm  bzw. 1.000 MWh/ha. Dieser Durchschnittswert dient im Szenario zur Abschätzung der für Wärmeentzug beanspruchten Fläche, um Überbeanspruchungen zu vermeiden. Gemäß [9.153], S. 452 können etwa 13% der Siedlungsflächen als geeignete Potenzialflächen für oberflächennahe Erdwärme angesehen werden.</v>
      </c>
      <c r="V547" s="905" t="s">
        <v>126</v>
      </c>
      <c r="W547" s="1024">
        <v>1000</v>
      </c>
      <c r="X547" s="672">
        <f>'9.Quellen'!C153</f>
        <v>153</v>
      </c>
      <c r="Y547" s="672" t="s">
        <v>603</v>
      </c>
      <c r="Z547" s="1025"/>
      <c r="AA547" s="658"/>
      <c r="AB547" s="801"/>
      <c r="AC547" s="801"/>
      <c r="AD547" s="801">
        <v>360</v>
      </c>
      <c r="AE547" s="801" t="s">
        <v>604</v>
      </c>
      <c r="AF547" s="801">
        <f>AD547/3600*1000</f>
        <v>100</v>
      </c>
      <c r="AG547" s="801" t="s">
        <v>605</v>
      </c>
      <c r="AH547" s="801">
        <f>AF547*10000/1000</f>
        <v>1000</v>
      </c>
      <c r="AI547" s="801" t="s">
        <v>606</v>
      </c>
      <c r="AJ547" s="801"/>
      <c r="AK547" s="801"/>
      <c r="AL547" s="801"/>
      <c r="AM547" s="801"/>
      <c r="AN547" s="801"/>
      <c r="AO547" s="801"/>
      <c r="AP547" s="801"/>
      <c r="AQ547" s="801"/>
      <c r="AR547" s="801"/>
      <c r="AS547" s="801"/>
      <c r="AT547" s="801"/>
      <c r="AU547" s="801"/>
      <c r="AV547" s="801"/>
      <c r="BF547" s="657"/>
      <c r="BI547" s="656" t="s">
        <v>126</v>
      </c>
      <c r="BJ547" s="666"/>
      <c r="BO547" s="656" t="s">
        <v>259</v>
      </c>
      <c r="CU547" s="663" t="str">
        <f ca="1">CG$1&amp;IF(U547="",BF547,U547)</f>
        <v>- STATUS-Ansatz: Für Erdreichgekoppelte Wärmepumpenanlagen wird in [9.153], S. 410, ein durchschnittliches Wärmeentzugspotenzial von jährlich 360 MJ/qm  angegeben, entsprechend 100 kWh/qm  bzw. 1.000 MWh/ha. Dieser Durchschnittswert dient im Szenario zur Abschätzung der für Wärmeentzug beanspruchten Fläche, um Überbeanspruchungen zu vermeiden. Gemäß [9.153], S. 452 können etwa 13% der Siedlungsflächen als geeignete Potenzialflächen für oberflächennahe Erdwärme angesehen werden.</v>
      </c>
      <c r="CW547" s="663"/>
      <c r="DT547" s="671">
        <f>I_Basisdaten!A269</f>
        <v>0</v>
      </c>
      <c r="EJ547" s="656" t="str">
        <f ca="1">IF(X547=0,"",EJ$1&amp;X547)</f>
        <v>9.153</v>
      </c>
      <c r="EK547" s="656" t="str">
        <f ca="1">EK$1&amp;X547</f>
        <v>[D_Python.xlsx]9.Quellen!C153</v>
      </c>
      <c r="EV547" s="819">
        <f t="shared" ca="1" si="251"/>
        <v>547</v>
      </c>
      <c r="EW547" s="819"/>
    </row>
    <row r="548" spans="1:153" s="661" customFormat="1" ht="4">
      <c r="A548" s="677" t="str">
        <f t="shared" ca="1" si="248"/>
        <v>D.1.548</v>
      </c>
      <c r="B548" s="677" t="str">
        <f t="shared" ca="1" si="249"/>
        <v>1.548</v>
      </c>
      <c r="C548" s="677" t="str">
        <f t="shared" si="229"/>
        <v>[548]</v>
      </c>
      <c r="D548" s="677">
        <f>ROW()</f>
        <v>548</v>
      </c>
      <c r="E548" s="680"/>
      <c r="F548" s="680"/>
      <c r="G548" s="680"/>
      <c r="H548" s="680"/>
      <c r="I548" s="679"/>
      <c r="J548" s="679"/>
      <c r="K548" s="679"/>
      <c r="L548" s="679"/>
      <c r="M548" s="679"/>
      <c r="N548" s="680"/>
      <c r="O548" s="871">
        <v>548</v>
      </c>
      <c r="P548" s="688"/>
      <c r="Q548" s="689"/>
      <c r="R548" s="888"/>
      <c r="S548" s="810"/>
      <c r="T548" s="882"/>
      <c r="AB548" s="675"/>
      <c r="AC548" s="675"/>
      <c r="AD548" s="675"/>
      <c r="AE548" s="675"/>
      <c r="AF548" s="675"/>
      <c r="AG548" s="675"/>
      <c r="AH548" s="675"/>
      <c r="AI548" s="675"/>
      <c r="AJ548" s="675"/>
      <c r="AK548" s="675"/>
      <c r="AL548" s="675"/>
      <c r="AM548" s="675"/>
      <c r="AN548" s="675"/>
      <c r="AO548" s="675"/>
      <c r="AP548" s="675"/>
      <c r="AQ548" s="675"/>
      <c r="AR548" s="675"/>
      <c r="AS548" s="675"/>
      <c r="AT548" s="675"/>
      <c r="AU548" s="675"/>
      <c r="AV548" s="675"/>
      <c r="BI548" s="661" t="s">
        <v>126</v>
      </c>
      <c r="BJ548" s="665"/>
      <c r="CU548" s="662"/>
      <c r="CW548" s="662"/>
      <c r="EV548" s="818" t="str">
        <f t="shared" si="251"/>
        <v/>
      </c>
      <c r="EW548" s="818"/>
    </row>
    <row r="549" spans="1:153" s="656" customFormat="1" ht="26">
      <c r="A549" s="654" t="str">
        <f t="shared" ca="1" si="248"/>
        <v>D.1.549</v>
      </c>
      <c r="B549" s="654" t="str">
        <f t="shared" ca="1" si="249"/>
        <v>1.549</v>
      </c>
      <c r="C549" s="654" t="str">
        <f t="shared" si="229"/>
        <v>[549]</v>
      </c>
      <c r="D549" s="654">
        <f>ROW()</f>
        <v>549</v>
      </c>
      <c r="E549" s="1125" t="str">
        <f t="shared" ref="E549" si="261">CU549</f>
        <v>- ZIEL-Ansatz: Status-Wert wird übernommen, da der Wärmeertrag von der Bodenbeschaffenheit abhängt, die als konstant vorausgesetzt werden kann.</v>
      </c>
      <c r="F549" s="1125"/>
      <c r="G549" s="1125"/>
      <c r="H549" s="1125"/>
      <c r="I549" s="1125"/>
      <c r="J549" s="1125"/>
      <c r="K549" s="1125"/>
      <c r="L549" s="1125"/>
      <c r="M549" s="1125"/>
      <c r="N549" s="1132"/>
      <c r="O549" s="869">
        <v>549</v>
      </c>
      <c r="P549" s="691" t="str">
        <f ca="1">HYPERLINK(EK549,EJ549)</f>
        <v/>
      </c>
      <c r="Q549" s="692" t="str">
        <f>Y549</f>
        <v xml:space="preserve"> </v>
      </c>
      <c r="R549" s="852"/>
      <c r="S549" s="784"/>
      <c r="T549" s="864"/>
      <c r="U549" s="1023" t="s">
        <v>607</v>
      </c>
      <c r="V549" s="905" t="s">
        <v>126</v>
      </c>
      <c r="W549" s="1024">
        <f>W547</f>
        <v>1000</v>
      </c>
      <c r="X549" s="672"/>
      <c r="Y549" s="672" t="s">
        <v>126</v>
      </c>
      <c r="Z549" s="1025"/>
      <c r="AA549" s="905"/>
      <c r="AB549" s="801"/>
      <c r="AC549" s="801"/>
      <c r="AD549" s="801"/>
      <c r="AE549" s="801"/>
      <c r="AF549" s="801"/>
      <c r="AG549" s="801"/>
      <c r="AH549" s="801"/>
      <c r="AI549" s="801"/>
      <c r="AJ549" s="801"/>
      <c r="AK549" s="801"/>
      <c r="AL549" s="801"/>
      <c r="AM549" s="801"/>
      <c r="AN549" s="801"/>
      <c r="AO549" s="801"/>
      <c r="AP549" s="801"/>
      <c r="AQ549" s="801"/>
      <c r="AR549" s="801"/>
      <c r="AS549" s="801"/>
      <c r="AT549" s="801"/>
      <c r="AU549" s="801"/>
      <c r="AV549" s="801"/>
      <c r="BF549" s="657"/>
      <c r="BI549" s="656" t="s">
        <v>126</v>
      </c>
      <c r="BJ549" s="666"/>
      <c r="BO549" s="656" t="s">
        <v>259</v>
      </c>
      <c r="CU549" s="663" t="str">
        <f>CH$1&amp;IF(U549="",BF549,U549)</f>
        <v>- ZIEL-Ansatz: Status-Wert wird übernommen, da der Wärmeertrag von der Bodenbeschaffenheit abhängt, die als konstant vorausgesetzt werden kann.</v>
      </c>
      <c r="CW549" s="663"/>
      <c r="DT549" s="671">
        <v>53</v>
      </c>
      <c r="EJ549" s="656" t="str">
        <f>IF(X549=0,"",EJ$1&amp;X549)</f>
        <v/>
      </c>
      <c r="EK549" s="656" t="str">
        <f ca="1">EK$1&amp;X549</f>
        <v>[D_Python.xlsx]9.Quellen!C</v>
      </c>
      <c r="EV549" s="819">
        <f t="shared" si="251"/>
        <v>549</v>
      </c>
      <c r="EW549" s="819"/>
    </row>
    <row r="550" spans="1:153" s="528" customFormat="1" ht="4">
      <c r="A550" s="540" t="str">
        <f t="shared" ca="1" si="248"/>
        <v>D.1.550</v>
      </c>
      <c r="B550" s="540" t="str">
        <f t="shared" ca="1" si="249"/>
        <v>1.550</v>
      </c>
      <c r="C550" s="540" t="str">
        <f t="shared" si="229"/>
        <v>[550]</v>
      </c>
      <c r="D550" s="540">
        <f>ROW()</f>
        <v>550</v>
      </c>
      <c r="I550" s="527"/>
      <c r="J550" s="527"/>
      <c r="K550" s="527"/>
      <c r="L550" s="527"/>
      <c r="M550" s="527"/>
      <c r="O550" s="870">
        <v>550</v>
      </c>
      <c r="P550" s="566"/>
      <c r="Q550" s="567"/>
      <c r="R550" s="889"/>
      <c r="S550" s="802"/>
      <c r="T550" s="883"/>
      <c r="U550" s="661"/>
      <c r="V550" s="661"/>
      <c r="W550" s="661"/>
      <c r="X550" s="661"/>
      <c r="Y550" s="661"/>
      <c r="Z550" s="661"/>
      <c r="AA550" s="661"/>
      <c r="AB550" s="675"/>
      <c r="AC550" s="675"/>
      <c r="AD550" s="675"/>
      <c r="AE550" s="675"/>
      <c r="AF550" s="675"/>
      <c r="AG550" s="675"/>
      <c r="AH550" s="675"/>
      <c r="AI550" s="675"/>
      <c r="AJ550" s="675"/>
      <c r="AK550" s="675"/>
      <c r="AL550" s="675"/>
      <c r="AM550" s="675"/>
      <c r="AN550" s="675"/>
      <c r="AO550" s="675"/>
      <c r="AP550" s="675"/>
      <c r="AQ550" s="675"/>
      <c r="AR550" s="675"/>
      <c r="AS550" s="675"/>
      <c r="AT550" s="675"/>
      <c r="AU550" s="675"/>
      <c r="AV550" s="675"/>
      <c r="AZ550" s="541"/>
      <c r="BB550" s="541"/>
      <c r="BI550" s="528" t="s">
        <v>126</v>
      </c>
      <c r="BJ550" s="542"/>
      <c r="BN550" s="680"/>
      <c r="CU550" s="543"/>
      <c r="CV550" s="680"/>
      <c r="CW550" s="543"/>
      <c r="DS550" s="680"/>
      <c r="EV550" s="820" t="str">
        <f t="shared" si="251"/>
        <v/>
      </c>
      <c r="EW550" s="820"/>
    </row>
    <row r="551" spans="1:153" s="472" customFormat="1" ht="13">
      <c r="A551" s="654" t="str">
        <f t="shared" ca="1" si="248"/>
        <v>D.1.551</v>
      </c>
      <c r="B551" s="654" t="str">
        <f t="shared" ca="1" si="249"/>
        <v>1.551</v>
      </c>
      <c r="C551" s="654" t="str">
        <f t="shared" si="229"/>
        <v>[551]</v>
      </c>
      <c r="D551" s="654">
        <f>ROW()</f>
        <v>551</v>
      </c>
      <c r="E551" s="481" t="str">
        <f>BP551</f>
        <v>Tiefen-Geothermie</v>
      </c>
      <c r="F551" s="482"/>
      <c r="G551" s="482"/>
      <c r="H551" s="482"/>
      <c r="I551" s="483"/>
      <c r="J551" s="484"/>
      <c r="K551" s="484"/>
      <c r="L551" s="484"/>
      <c r="M551" s="484"/>
      <c r="N551" s="532"/>
      <c r="O551" s="869">
        <v>551</v>
      </c>
      <c r="P551" s="568"/>
      <c r="Q551" s="569"/>
      <c r="R551" s="852"/>
      <c r="S551" s="804"/>
      <c r="T551" s="864"/>
      <c r="U551" s="905"/>
      <c r="V551" s="905"/>
      <c r="W551" s="905"/>
      <c r="X551" s="905"/>
      <c r="Y551" s="905"/>
      <c r="Z551" s="905"/>
      <c r="AA551" s="905"/>
      <c r="AB551" s="801"/>
      <c r="AC551" s="801"/>
      <c r="AD551" s="801"/>
      <c r="AE551" s="801"/>
      <c r="AF551" s="801"/>
      <c r="AG551" s="801"/>
      <c r="AH551" s="801"/>
      <c r="AI551" s="801"/>
      <c r="AJ551" s="801"/>
      <c r="AK551" s="801"/>
      <c r="AL551" s="801"/>
      <c r="AM551" s="801"/>
      <c r="AN551" s="801"/>
      <c r="AO551" s="801"/>
      <c r="AP551" s="801"/>
      <c r="AQ551" s="801"/>
      <c r="AR551" s="801"/>
      <c r="AS551" s="801"/>
      <c r="AT551" s="801"/>
      <c r="AU551" s="801"/>
      <c r="AV551" s="801"/>
      <c r="AZ551" s="504"/>
      <c r="BB551" s="506"/>
      <c r="BI551" s="472" t="s">
        <v>126</v>
      </c>
      <c r="BJ551" s="490"/>
      <c r="BN551" s="656"/>
      <c r="BO551" s="472" t="s">
        <v>250</v>
      </c>
      <c r="BP551" s="518" t="s">
        <v>191</v>
      </c>
      <c r="CU551" s="480"/>
      <c r="CV551" s="656"/>
      <c r="CW551" s="480"/>
      <c r="DS551" s="656"/>
      <c r="EV551" s="819">
        <f t="shared" si="251"/>
        <v>551</v>
      </c>
      <c r="EW551" s="819"/>
    </row>
    <row r="552" spans="1:153" s="478" customFormat="1" ht="4">
      <c r="A552" s="677" t="str">
        <f t="shared" ca="1" si="248"/>
        <v>D.1.552</v>
      </c>
      <c r="B552" s="677" t="str">
        <f t="shared" ca="1" si="249"/>
        <v>1.552</v>
      </c>
      <c r="C552" s="677" t="str">
        <f t="shared" si="229"/>
        <v>[552]</v>
      </c>
      <c r="D552" s="677">
        <f>ROW()</f>
        <v>552</v>
      </c>
      <c r="E552" s="528"/>
      <c r="F552" s="528"/>
      <c r="G552" s="528"/>
      <c r="H552" s="528"/>
      <c r="I552" s="527"/>
      <c r="J552" s="527"/>
      <c r="K552" s="527"/>
      <c r="L552" s="527"/>
      <c r="M552" s="527"/>
      <c r="N552" s="528"/>
      <c r="O552" s="871">
        <v>552</v>
      </c>
      <c r="P552" s="566"/>
      <c r="Q552" s="567"/>
      <c r="R552" s="888"/>
      <c r="S552" s="802"/>
      <c r="T552" s="882"/>
      <c r="U552" s="661"/>
      <c r="V552" s="661"/>
      <c r="W552" s="661"/>
      <c r="X552" s="661"/>
      <c r="Y552" s="661"/>
      <c r="Z552" s="661"/>
      <c r="AA552" s="661"/>
      <c r="AB552" s="675"/>
      <c r="AC552" s="675"/>
      <c r="AD552" s="675"/>
      <c r="AE552" s="675"/>
      <c r="AF552" s="675"/>
      <c r="AG552" s="675"/>
      <c r="AH552" s="675"/>
      <c r="AI552" s="675"/>
      <c r="AJ552" s="675"/>
      <c r="AK552" s="675"/>
      <c r="AL552" s="675"/>
      <c r="AM552" s="675"/>
      <c r="AN552" s="675"/>
      <c r="AO552" s="675"/>
      <c r="AP552" s="675"/>
      <c r="AQ552" s="675"/>
      <c r="AR552" s="675"/>
      <c r="AS552" s="675"/>
      <c r="AT552" s="675"/>
      <c r="AU552" s="675"/>
      <c r="AV552" s="675"/>
      <c r="AZ552" s="505"/>
      <c r="BB552" s="505"/>
      <c r="BI552" s="478" t="s">
        <v>126</v>
      </c>
      <c r="BJ552" s="489"/>
      <c r="BN552" s="661"/>
      <c r="CU552" s="479"/>
      <c r="CV552" s="661"/>
      <c r="CW552" s="479"/>
      <c r="DS552" s="661"/>
      <c r="EV552" s="818" t="str">
        <f t="shared" si="251"/>
        <v/>
      </c>
      <c r="EW552" s="818"/>
    </row>
    <row r="553" spans="1:153" s="475" customFormat="1" ht="13.5" customHeight="1">
      <c r="A553" s="654" t="str">
        <f t="shared" ca="1" si="248"/>
        <v>D.1.553</v>
      </c>
      <c r="B553" s="654" t="str">
        <f t="shared" ca="1" si="249"/>
        <v>1.553</v>
      </c>
      <c r="C553" s="654" t="str">
        <f t="shared" si="229"/>
        <v>[553]</v>
      </c>
      <c r="D553" s="654">
        <f>ROW()</f>
        <v>553</v>
      </c>
      <c r="E553" s="1129" t="str">
        <f>BP553</f>
        <v>Tiefen-Geoth. - Netzanschlussleistung (elektrisch)</v>
      </c>
      <c r="F553" s="1129"/>
      <c r="G553" s="1129"/>
      <c r="H553" s="1129"/>
      <c r="I553" s="1129"/>
      <c r="J553" s="471" t="s">
        <v>608</v>
      </c>
      <c r="K553" s="684">
        <f ca="1">INDIRECT($W$1&amp;U553)</f>
        <v>39</v>
      </c>
      <c r="L553" s="485" t="str">
        <f ca="1">HYPERLINK($CK$1&amp;U553,$CE$1&amp;U553&amp;$CF$1)</f>
        <v>[554]</v>
      </c>
      <c r="M553" s="547">
        <f ca="1">INDIRECT($W$1&amp;W553)</f>
        <v>0</v>
      </c>
      <c r="N553" s="533" t="str">
        <f ca="1">HYPERLINK($CK$1&amp;W553,$CE$1&amp;W553&amp;$CF$1)</f>
        <v>[556]</v>
      </c>
      <c r="O553" s="869">
        <v>553</v>
      </c>
      <c r="P553" s="570"/>
      <c r="Q553" s="583"/>
      <c r="R553" s="852"/>
      <c r="S553" s="784"/>
      <c r="T553" s="864"/>
      <c r="U553" s="672">
        <f>D554</f>
        <v>554</v>
      </c>
      <c r="V553" s="905" t="s">
        <v>126</v>
      </c>
      <c r="W553" s="672">
        <f>D556</f>
        <v>556</v>
      </c>
      <c r="X553" s="658"/>
      <c r="Y553" s="658"/>
      <c r="Z553" s="658"/>
      <c r="AA553" s="658"/>
      <c r="AB553" s="801"/>
      <c r="AC553" s="801"/>
      <c r="AD553" s="674"/>
      <c r="AE553" s="674"/>
      <c r="AF553" s="674"/>
      <c r="AG553" s="674"/>
      <c r="AH553" s="674"/>
      <c r="AI553" s="674"/>
      <c r="AJ553" s="674"/>
      <c r="AK553" s="674"/>
      <c r="AL553" s="674"/>
      <c r="AM553" s="674"/>
      <c r="AN553" s="674"/>
      <c r="AO553" s="674"/>
      <c r="AP553" s="674"/>
      <c r="AQ553" s="674"/>
      <c r="AR553" s="674"/>
      <c r="AS553" s="674"/>
      <c r="AT553" s="674"/>
      <c r="AU553" s="674"/>
      <c r="AV553" s="674"/>
      <c r="AX553" s="475" t="s">
        <v>244</v>
      </c>
      <c r="AY553" s="500">
        <f ca="1">DA553</f>
        <v>0</v>
      </c>
      <c r="AZ553" s="508" t="str">
        <f ca="1">HYPERLINK(DN553,DC553)</f>
        <v xml:space="preserve"> 400</v>
      </c>
      <c r="BA553" s="500">
        <f ca="1">DB553</f>
        <v>0</v>
      </c>
      <c r="BB553" s="508" t="str">
        <f ca="1">HYPERLINK(DO553,DD553)</f>
        <v xml:space="preserve"> 401</v>
      </c>
      <c r="BC553" s="475" t="str">
        <f ca="1">CY553&amp;" | "&amp;CZ553</f>
        <v>Direktnutz. | 1.1 Nutzanteil TG für reine Wärmegewinnung</v>
      </c>
      <c r="BI553" s="475" t="s">
        <v>126</v>
      </c>
      <c r="BJ553" s="492" t="str">
        <f>E553</f>
        <v>Tiefen-Geoth. - Netzanschlussleistung (elektrisch)</v>
      </c>
      <c r="BK553" s="486">
        <f ca="1">K553</f>
        <v>39</v>
      </c>
      <c r="BL553" s="486">
        <f ca="1">M553</f>
        <v>0</v>
      </c>
      <c r="BM553" s="472">
        <f>D553</f>
        <v>553</v>
      </c>
      <c r="BN553" s="658"/>
      <c r="BO553" s="475" t="s">
        <v>251</v>
      </c>
      <c r="BP553" s="521" t="s">
        <v>611</v>
      </c>
      <c r="CU553" s="476"/>
      <c r="CV553" s="658"/>
      <c r="CW553" s="518">
        <v>102</v>
      </c>
      <c r="CY553" s="472" t="str">
        <f t="shared" ref="CY553:DO553" ca="1" si="262">INDIRECT($CX$1&amp;CY$1&amp;$CW553)</f>
        <v>Direktnutz.</v>
      </c>
      <c r="CZ553" s="472" t="str">
        <f t="shared" ca="1" si="262"/>
        <v>1.1 Nutzanteil TG für reine Wärmegewinnung</v>
      </c>
      <c r="DA553" s="472">
        <f t="shared" ca="1" si="262"/>
        <v>0</v>
      </c>
      <c r="DB553" s="472">
        <f t="shared" ca="1" si="262"/>
        <v>0</v>
      </c>
      <c r="DC553" s="472" t="str">
        <f t="shared" ca="1" si="262"/>
        <v xml:space="preserve"> 400</v>
      </c>
      <c r="DD553" s="472" t="str">
        <f t="shared" ca="1" si="262"/>
        <v xml:space="preserve"> 401</v>
      </c>
      <c r="DE553" s="472" t="str">
        <f t="shared" ca="1" si="262"/>
        <v/>
      </c>
      <c r="DF553" s="472" t="str">
        <f t="shared" ca="1" si="262"/>
        <v/>
      </c>
      <c r="DG553" s="472" t="str">
        <f t="shared" ca="1" si="262"/>
        <v/>
      </c>
      <c r="DH553" s="472" t="str">
        <f t="shared" ca="1" si="262"/>
        <v/>
      </c>
      <c r="DI553" s="472" t="str">
        <f t="shared" ca="1" si="262"/>
        <v>[.xls]TEXT!ZS5</v>
      </c>
      <c r="DJ553" s="472" t="str">
        <f t="shared" ca="1" si="262"/>
        <v/>
      </c>
      <c r="DK553" s="472" t="str">
        <f t="shared" ca="1" si="262"/>
        <v/>
      </c>
      <c r="DL553" s="472" t="str">
        <f t="shared" ca="1" si="262"/>
        <v>[.xls]TEXT!ZS5</v>
      </c>
      <c r="DM553" s="472">
        <f t="shared" ca="1" si="262"/>
        <v>102</v>
      </c>
      <c r="DN553" s="472" t="str">
        <f t="shared" ca="1" si="262"/>
        <v>[Region.xls]PARAMETER!Z400S6</v>
      </c>
      <c r="DO553" s="472" t="str">
        <f t="shared" ca="1" si="262"/>
        <v>[Region.xls]PARAMETER!Z401S6</v>
      </c>
      <c r="DP553" s="472"/>
      <c r="DS553" s="656"/>
      <c r="DV553" s="472"/>
      <c r="DW553" s="472"/>
      <c r="DX553" s="472"/>
      <c r="DY553" s="472"/>
      <c r="DZ553" s="472"/>
      <c r="EA553" s="472"/>
      <c r="EB553" s="472"/>
      <c r="EC553" s="472"/>
      <c r="ED553" s="472"/>
      <c r="EE553" s="472"/>
      <c r="EF553" s="472"/>
      <c r="EG553" s="472"/>
      <c r="EH553" s="472"/>
      <c r="EI553" s="472"/>
      <c r="EJ553" s="472"/>
      <c r="EK553" s="472"/>
      <c r="EV553" s="819">
        <f t="shared" si="251"/>
        <v>553</v>
      </c>
      <c r="EW553" s="819"/>
    </row>
    <row r="554" spans="1:153" s="472" customFormat="1">
      <c r="A554" s="654" t="str">
        <f t="shared" ca="1" si="248"/>
        <v>D.1.554</v>
      </c>
      <c r="B554" s="654" t="str">
        <f t="shared" ca="1" si="249"/>
        <v>1.554</v>
      </c>
      <c r="C554" s="654" t="str">
        <f t="shared" si="229"/>
        <v>[554]</v>
      </c>
      <c r="D554" s="654">
        <f>ROW()</f>
        <v>554</v>
      </c>
      <c r="E554" s="1130" t="str">
        <f ca="1">CU554</f>
        <v>- STATUS-Ansatz: Gemäß BMWi [9.72] S. 12 im Jahr 2016 elektrische Leistung von 39 MW.</v>
      </c>
      <c r="F554" s="1130"/>
      <c r="G554" s="1130"/>
      <c r="H554" s="1130"/>
      <c r="I554" s="1130"/>
      <c r="J554" s="1130"/>
      <c r="K554" s="1130"/>
      <c r="L554" s="1130"/>
      <c r="M554" s="1130"/>
      <c r="N554" s="1131"/>
      <c r="O554" s="869">
        <v>554</v>
      </c>
      <c r="P554" s="573" t="str">
        <f ca="1">HYPERLINK(EK554,EJ554)</f>
        <v>9.72</v>
      </c>
      <c r="Q554" s="574" t="str">
        <f>Y554</f>
        <v>S. 12</v>
      </c>
      <c r="R554" s="852"/>
      <c r="S554" s="784"/>
      <c r="T554" s="864"/>
      <c r="U554" s="1023" t="str">
        <f ca="1">"Gemäß BMWi ["&amp;'1.'!P554&amp;"] "&amp;'1.'!Q554&amp;" im Jahr 2016 elektrische Leistung von "&amp;AD554&amp;AE554&amp;"."</f>
        <v>Gemäß BMWi [9.72] S. 12 im Jahr 2016 elektrische Leistung von 39 MW.</v>
      </c>
      <c r="V554" s="905" t="s">
        <v>126</v>
      </c>
      <c r="W554" s="1024">
        <f>AD554</f>
        <v>39</v>
      </c>
      <c r="X554" s="672">
        <f>'9.Quellen'!C72</f>
        <v>72</v>
      </c>
      <c r="Y554" s="672" t="s">
        <v>356</v>
      </c>
      <c r="Z554" s="1025"/>
      <c r="AA554" s="658"/>
      <c r="AB554" s="801"/>
      <c r="AC554" s="801"/>
      <c r="AD554" s="801">
        <v>39</v>
      </c>
      <c r="AE554" s="801" t="s">
        <v>324</v>
      </c>
      <c r="AF554" s="801"/>
      <c r="AG554" s="801"/>
      <c r="AH554" s="801"/>
      <c r="AI554" s="801"/>
      <c r="AJ554" s="801"/>
      <c r="AK554" s="801"/>
      <c r="AL554" s="801"/>
      <c r="AM554" s="801"/>
      <c r="AN554" s="801"/>
      <c r="AO554" s="801"/>
      <c r="AP554" s="801"/>
      <c r="AQ554" s="801"/>
      <c r="AR554" s="801"/>
      <c r="AS554" s="801"/>
      <c r="AT554" s="801"/>
      <c r="AU554" s="801"/>
      <c r="AV554" s="801"/>
      <c r="BF554" s="473"/>
      <c r="BI554" s="472" t="s">
        <v>126</v>
      </c>
      <c r="BJ554" s="490"/>
      <c r="BN554" s="656"/>
      <c r="BO554" s="472" t="s">
        <v>259</v>
      </c>
      <c r="CU554" s="480" t="str">
        <f ca="1">CG$1&amp;IF(U554="",BF554,U554)</f>
        <v>- STATUS-Ansatz: Gemäß BMWi [9.72] S. 12 im Jahr 2016 elektrische Leistung von 39 MW.</v>
      </c>
      <c r="CV554" s="656"/>
      <c r="CW554" s="480"/>
      <c r="DS554" s="656"/>
      <c r="DT554" s="518">
        <f>I_Basisdaten!A255</f>
        <v>0</v>
      </c>
      <c r="EJ554" s="472" t="str">
        <f ca="1">IF(X554=0,"",EJ$1&amp;X554)</f>
        <v>9.72</v>
      </c>
      <c r="EK554" s="472" t="str">
        <f ca="1">EK$1&amp;X554</f>
        <v>[D_Python.xlsx]9.Quellen!C72</v>
      </c>
      <c r="EV554" s="819">
        <f t="shared" ca="1" si="251"/>
        <v>554</v>
      </c>
      <c r="EW554" s="819"/>
    </row>
    <row r="555" spans="1:153" s="661" customFormat="1" ht="4">
      <c r="A555" s="677" t="str">
        <f t="shared" ca="1" si="248"/>
        <v>D.1.555</v>
      </c>
      <c r="B555" s="677" t="str">
        <f t="shared" ca="1" si="249"/>
        <v>1.555</v>
      </c>
      <c r="C555" s="677" t="str">
        <f t="shared" si="229"/>
        <v>[555]</v>
      </c>
      <c r="D555" s="677">
        <f>ROW()</f>
        <v>555</v>
      </c>
      <c r="E555" s="680"/>
      <c r="F555" s="680"/>
      <c r="G555" s="680"/>
      <c r="H555" s="680"/>
      <c r="I555" s="679"/>
      <c r="J555" s="679"/>
      <c r="K555" s="679"/>
      <c r="L555" s="679"/>
      <c r="M555" s="679"/>
      <c r="N555" s="680"/>
      <c r="O555" s="871">
        <v>555</v>
      </c>
      <c r="P555" s="688"/>
      <c r="Q555" s="689"/>
      <c r="R555" s="888"/>
      <c r="S555" s="810"/>
      <c r="T555" s="882"/>
      <c r="AB555" s="675"/>
      <c r="AC555" s="675"/>
      <c r="AD555" s="675"/>
      <c r="AE555" s="675"/>
      <c r="AF555" s="675"/>
      <c r="AG555" s="675"/>
      <c r="AH555" s="675"/>
      <c r="AI555" s="675"/>
      <c r="AJ555" s="675"/>
      <c r="AK555" s="675"/>
      <c r="AL555" s="675"/>
      <c r="AM555" s="675"/>
      <c r="AN555" s="675"/>
      <c r="AO555" s="675"/>
      <c r="AP555" s="675"/>
      <c r="AQ555" s="675"/>
      <c r="AR555" s="675"/>
      <c r="AS555" s="675"/>
      <c r="AT555" s="675"/>
      <c r="AU555" s="675"/>
      <c r="AV555" s="675"/>
      <c r="BI555" s="661" t="s">
        <v>126</v>
      </c>
      <c r="BJ555" s="665"/>
      <c r="CU555" s="662"/>
      <c r="CW555" s="662"/>
      <c r="EV555" s="818" t="str">
        <f t="shared" si="251"/>
        <v/>
      </c>
      <c r="EW555" s="818"/>
    </row>
    <row r="556" spans="1:153" s="472" customFormat="1" ht="52">
      <c r="A556" s="654" t="str">
        <f t="shared" ca="1" si="248"/>
        <v>D.1.556</v>
      </c>
      <c r="B556" s="654" t="str">
        <f t="shared" ca="1" si="249"/>
        <v>1.556</v>
      </c>
      <c r="C556" s="654" t="str">
        <f t="shared" si="229"/>
        <v>[556]</v>
      </c>
      <c r="D556" s="654">
        <f>ROW()</f>
        <v>556</v>
      </c>
      <c r="E556" s="1135" t="str">
        <f t="shared" ref="E556" si="263">CU556</f>
        <v xml:space="preserve">- ZIEL-Ansatz: Wegen der mangelnden Aussicht auf nennenswerte Netto-Stromerzeugung (abzüglich des Pumpen- und Lüfterstrombedarfs, nach Auskunft  Geschäftsführung Geothermiekraftwerk Unterhaching  vom 11.08.2017 an H.-H. Schmdit-Kanefendt reicht die Stromerzeugung im Sommer gerade aus, um den ganzjährigen Pumpenstrom zu decken) wird hier eine Netzeinspeisung von rechnerisch Null vorgesehen. </v>
      </c>
      <c r="F556" s="1135"/>
      <c r="G556" s="1135"/>
      <c r="H556" s="1135"/>
      <c r="I556" s="1135"/>
      <c r="J556" s="1135"/>
      <c r="K556" s="1135"/>
      <c r="L556" s="1135"/>
      <c r="M556" s="1135"/>
      <c r="N556" s="1136"/>
      <c r="O556" s="869">
        <v>556</v>
      </c>
      <c r="P556" s="573" t="str">
        <f ca="1">HYPERLINK(EK556,EJ556)</f>
        <v/>
      </c>
      <c r="Q556" s="574" t="str">
        <f>Y556</f>
        <v xml:space="preserve"> </v>
      </c>
      <c r="R556" s="852"/>
      <c r="S556" s="784"/>
      <c r="T556" s="864"/>
      <c r="U556" s="1023" t="str">
        <f>"Wegen der mangelnden Aussicht auf nennenswerte Netto-Stromerzeugung (abzüglich des Pumpen- und Lüfterstrombedarfs, nach Auskunft  Geschäftsführung Geothermiekraftwerk Unterhaching  vom 11.08.2017 an H.-H. Schmdit-Kanefendt "&amp;"reicht die Stromerzeugung im Sommer gerade aus, um den ganzjährigen Pumpenstrom zu decken) wird hier eine Netzeinspeisung von rechnerisch Null vorgesehen. "</f>
        <v xml:space="preserve">Wegen der mangelnden Aussicht auf nennenswerte Netto-Stromerzeugung (abzüglich des Pumpen- und Lüfterstrombedarfs, nach Auskunft  Geschäftsführung Geothermiekraftwerk Unterhaching  vom 11.08.2017 an H.-H. Schmdit-Kanefendt reicht die Stromerzeugung im Sommer gerade aus, um den ganzjährigen Pumpenstrom zu decken) wird hier eine Netzeinspeisung von rechnerisch Null vorgesehen. </v>
      </c>
      <c r="V556" s="905" t="s">
        <v>126</v>
      </c>
      <c r="W556" s="1024">
        <v>0</v>
      </c>
      <c r="X556" s="672"/>
      <c r="Y556" s="672" t="s">
        <v>126</v>
      </c>
      <c r="Z556" s="1025"/>
      <c r="AA556" s="905"/>
      <c r="AB556" s="801"/>
      <c r="AC556" s="801"/>
      <c r="AD556" s="801"/>
      <c r="AE556" s="801"/>
      <c r="AF556" s="801"/>
      <c r="AG556" s="801"/>
      <c r="AH556" s="801"/>
      <c r="AI556" s="801"/>
      <c r="AJ556" s="801"/>
      <c r="AK556" s="801"/>
      <c r="AL556" s="801"/>
      <c r="AM556" s="801"/>
      <c r="AN556" s="801"/>
      <c r="AO556" s="801"/>
      <c r="AP556" s="801"/>
      <c r="AQ556" s="801"/>
      <c r="AR556" s="801"/>
      <c r="AS556" s="801"/>
      <c r="AT556" s="801"/>
      <c r="AU556" s="801"/>
      <c r="AV556" s="801"/>
      <c r="BF556" s="473"/>
      <c r="BI556" s="472" t="s">
        <v>126</v>
      </c>
      <c r="BJ556" s="490"/>
      <c r="BN556" s="656"/>
      <c r="BO556" s="472" t="s">
        <v>259</v>
      </c>
      <c r="CU556" s="480" t="str">
        <f>CH$1&amp;IF(U556="",BF556,U556)</f>
        <v xml:space="preserve">- ZIEL-Ansatz: Wegen der mangelnden Aussicht auf nennenswerte Netto-Stromerzeugung (abzüglich des Pumpen- und Lüfterstrombedarfs, nach Auskunft  Geschäftsführung Geothermiekraftwerk Unterhaching  vom 11.08.2017 an H.-H. Schmdit-Kanefendt reicht die Stromerzeugung im Sommer gerade aus, um den ganzjährigen Pumpenstrom zu decken) wird hier eine Netzeinspeisung von rechnerisch Null vorgesehen. </v>
      </c>
      <c r="CV556" s="656"/>
      <c r="CW556" s="480"/>
      <c r="DS556" s="656"/>
      <c r="DT556" s="518">
        <v>53</v>
      </c>
      <c r="EJ556" s="472" t="str">
        <f>IF(X556=0,"",EJ$1&amp;X556)</f>
        <v/>
      </c>
      <c r="EK556" s="472" t="str">
        <f ca="1">EK$1&amp;X556</f>
        <v>[D_Python.xlsx]9.Quellen!C</v>
      </c>
      <c r="EV556" s="819">
        <f t="shared" si="251"/>
        <v>556</v>
      </c>
      <c r="EW556" s="819"/>
    </row>
    <row r="557" spans="1:153" s="478" customFormat="1" ht="4">
      <c r="A557" s="677" t="str">
        <f t="shared" ca="1" si="248"/>
        <v>D.1.557</v>
      </c>
      <c r="B557" s="677" t="str">
        <f t="shared" ca="1" si="249"/>
        <v>1.557</v>
      </c>
      <c r="C557" s="677" t="str">
        <f t="shared" si="229"/>
        <v>[557]</v>
      </c>
      <c r="D557" s="677">
        <f>ROW()</f>
        <v>557</v>
      </c>
      <c r="E557" s="548"/>
      <c r="F557" s="548"/>
      <c r="G557" s="548"/>
      <c r="H557" s="548"/>
      <c r="I557" s="549"/>
      <c r="J557" s="549"/>
      <c r="K557" s="549"/>
      <c r="L557" s="549"/>
      <c r="M557" s="549"/>
      <c r="N557" s="548"/>
      <c r="O557" s="871">
        <v>557</v>
      </c>
      <c r="P557" s="575"/>
      <c r="Q557" s="576"/>
      <c r="R557" s="888"/>
      <c r="S557" s="802"/>
      <c r="T557" s="882"/>
      <c r="U557" s="661"/>
      <c r="V557" s="661"/>
      <c r="W557" s="661"/>
      <c r="X557" s="661"/>
      <c r="Y557" s="661"/>
      <c r="Z557" s="661"/>
      <c r="AA557" s="661"/>
      <c r="AB557" s="675"/>
      <c r="AC557" s="675"/>
      <c r="AD557" s="675"/>
      <c r="AE557" s="675"/>
      <c r="AF557" s="675"/>
      <c r="AG557" s="675"/>
      <c r="AH557" s="675"/>
      <c r="AI557" s="675"/>
      <c r="AJ557" s="675"/>
      <c r="AK557" s="675"/>
      <c r="AL557" s="675"/>
      <c r="AM557" s="675"/>
      <c r="AN557" s="675"/>
      <c r="AO557" s="675"/>
      <c r="AP557" s="675"/>
      <c r="AQ557" s="675"/>
      <c r="AR557" s="675"/>
      <c r="AS557" s="675"/>
      <c r="AT557" s="675"/>
      <c r="AU557" s="675"/>
      <c r="AV557" s="675"/>
      <c r="AZ557" s="505"/>
      <c r="BB557" s="505"/>
      <c r="BI557" s="478" t="s">
        <v>126</v>
      </c>
      <c r="BJ557" s="489"/>
      <c r="BN557" s="661"/>
      <c r="CU557" s="479"/>
      <c r="CV557" s="661"/>
      <c r="CW557" s="479"/>
      <c r="DS557" s="661"/>
      <c r="EV557" s="818" t="str">
        <f t="shared" si="251"/>
        <v/>
      </c>
      <c r="EW557" s="818"/>
    </row>
    <row r="558" spans="1:153" s="475" customFormat="1" ht="13.5" customHeight="1">
      <c r="A558" s="654" t="str">
        <f t="shared" ca="1" si="248"/>
        <v>D.1.558</v>
      </c>
      <c r="B558" s="654" t="str">
        <f t="shared" ca="1" si="249"/>
        <v>1.558</v>
      </c>
      <c r="C558" s="654" t="str">
        <f t="shared" si="229"/>
        <v>[558]</v>
      </c>
      <c r="D558" s="654">
        <f>ROW()</f>
        <v>558</v>
      </c>
      <c r="E558" s="1129" t="str">
        <f>BP558</f>
        <v>Tiefen-Geoth. - Vollbetriebsstunden (Stromerzeug.)</v>
      </c>
      <c r="F558" s="1129"/>
      <c r="G558" s="1129"/>
      <c r="H558" s="1129"/>
      <c r="I558" s="1129"/>
      <c r="J558" s="559" t="s">
        <v>280</v>
      </c>
      <c r="K558" s="684">
        <f ca="1">INDIRECT($W$1&amp;U558)</f>
        <v>4153.8461538461543</v>
      </c>
      <c r="L558" s="485" t="str">
        <f ca="1">HYPERLINK($CK$1&amp;U558,$CE$1&amp;U558&amp;$CF$1)</f>
        <v>[559]</v>
      </c>
      <c r="M558" s="547">
        <f ca="1">INDIRECT($W$1&amp;W558)</f>
        <v>4153.8461538461543</v>
      </c>
      <c r="N558" s="533" t="str">
        <f ca="1">HYPERLINK($CK$1&amp;W558,$CE$1&amp;W558&amp;$CF$1)</f>
        <v>[561]</v>
      </c>
      <c r="O558" s="869">
        <v>558</v>
      </c>
      <c r="P558" s="570"/>
      <c r="Q558" s="583"/>
      <c r="R558" s="852"/>
      <c r="S558" s="784"/>
      <c r="T558" s="864"/>
      <c r="U558" s="672">
        <f>D559</f>
        <v>559</v>
      </c>
      <c r="V558" s="905" t="s">
        <v>126</v>
      </c>
      <c r="W558" s="672">
        <f>D561</f>
        <v>561</v>
      </c>
      <c r="X558" s="658"/>
      <c r="Y558" s="658"/>
      <c r="Z558" s="658"/>
      <c r="AA558" s="658"/>
      <c r="AB558" s="801"/>
      <c r="AC558" s="801"/>
      <c r="AD558" s="674"/>
      <c r="AE558" s="674"/>
      <c r="AF558" s="674"/>
      <c r="AG558" s="674"/>
      <c r="AH558" s="674"/>
      <c r="AI558" s="674"/>
      <c r="AJ558" s="674"/>
      <c r="AK558" s="674"/>
      <c r="AL558" s="674"/>
      <c r="AM558" s="674"/>
      <c r="AN558" s="674"/>
      <c r="AO558" s="674"/>
      <c r="AP558" s="674"/>
      <c r="AQ558" s="674"/>
      <c r="AR558" s="674"/>
      <c r="AS558" s="674"/>
      <c r="AT558" s="674"/>
      <c r="AU558" s="674"/>
      <c r="AV558" s="674"/>
      <c r="AX558" s="475" t="s">
        <v>244</v>
      </c>
      <c r="AY558" s="500">
        <f ca="1">DA558</f>
        <v>3.3112799999999996</v>
      </c>
      <c r="AZ558" s="508" t="str">
        <f ca="1">HYPERLINK(DN558,DC558)</f>
        <v xml:space="preserve"> 404</v>
      </c>
      <c r="BA558" s="500">
        <f ca="1">DB558</f>
        <v>3.8631599999999997</v>
      </c>
      <c r="BB558" s="508" t="str">
        <f ca="1">HYPERLINK(DO558,DD558)</f>
        <v xml:space="preserve"> 405</v>
      </c>
      <c r="BC558" s="475" t="str">
        <f ca="1">CY558&amp;" | "&amp;CZ558</f>
        <v>Wärme | 1.2 Energieertrag bei Wärmenutzung der Tiefen-Geothermie</v>
      </c>
      <c r="BI558" s="475" t="s">
        <v>126</v>
      </c>
      <c r="BJ558" s="492" t="str">
        <f>E558</f>
        <v>Tiefen-Geoth. - Vollbetriebsstunden (Stromerzeug.)</v>
      </c>
      <c r="BK558" s="486">
        <f ca="1">K558</f>
        <v>4153.8461538461543</v>
      </c>
      <c r="BL558" s="486">
        <f ca="1">M558</f>
        <v>4153.8461538461543</v>
      </c>
      <c r="BM558" s="472">
        <f>D558</f>
        <v>558</v>
      </c>
      <c r="BN558" s="658"/>
      <c r="BO558" s="475" t="s">
        <v>251</v>
      </c>
      <c r="BP558" s="521" t="s">
        <v>609</v>
      </c>
      <c r="CU558" s="476"/>
      <c r="CV558" s="658"/>
      <c r="CW558" s="518">
        <v>103</v>
      </c>
      <c r="CY558" s="472" t="str">
        <f t="shared" ref="CY558:DO558" ca="1" si="264">INDIRECT($CX$1&amp;CY$1&amp;$CW558)</f>
        <v>Wärme</v>
      </c>
      <c r="CZ558" s="472" t="str">
        <f t="shared" ca="1" si="264"/>
        <v>1.2 Energieertrag bei Wärmenutzung der Tiefen-Geothermie</v>
      </c>
      <c r="DA558" s="472">
        <f t="shared" ca="1" si="264"/>
        <v>3.3112799999999996</v>
      </c>
      <c r="DB558" s="472">
        <f t="shared" ca="1" si="264"/>
        <v>3.8631599999999997</v>
      </c>
      <c r="DC558" s="472" t="str">
        <f t="shared" ca="1" si="264"/>
        <v xml:space="preserve"> 404</v>
      </c>
      <c r="DD558" s="472" t="str">
        <f t="shared" ca="1" si="264"/>
        <v xml:space="preserve"> 405</v>
      </c>
      <c r="DE558" s="472" t="str">
        <f t="shared" ca="1" si="264"/>
        <v>UG93</v>
      </c>
      <c r="DF558" s="472" t="str">
        <f t="shared" ca="1" si="264"/>
        <v>UG93</v>
      </c>
      <c r="DG558" s="472" t="str">
        <f t="shared" ca="1" si="264"/>
        <v>UG</v>
      </c>
      <c r="DH558" s="472" t="str">
        <f t="shared" ca="1" si="264"/>
        <v>93</v>
      </c>
      <c r="DI558" s="472" t="str">
        <f t="shared" ca="1" si="264"/>
        <v>[UG.xls]TEXT!Z93S5</v>
      </c>
      <c r="DJ558" s="472" t="str">
        <f t="shared" ca="1" si="264"/>
        <v>UG</v>
      </c>
      <c r="DK558" s="472" t="str">
        <f t="shared" ca="1" si="264"/>
        <v>93</v>
      </c>
      <c r="DL558" s="472" t="str">
        <f t="shared" ca="1" si="264"/>
        <v>[UG.xls]TEXT!Z93S5</v>
      </c>
      <c r="DM558" s="472">
        <f t="shared" ca="1" si="264"/>
        <v>103</v>
      </c>
      <c r="DN558" s="472" t="str">
        <f t="shared" ca="1" si="264"/>
        <v>[Region.xls]PARAMETER!Z404S6</v>
      </c>
      <c r="DO558" s="472" t="str">
        <f t="shared" ca="1" si="264"/>
        <v>[Region.xls]PARAMETER!Z405S6</v>
      </c>
      <c r="DP558" s="472"/>
      <c r="DS558" s="656"/>
      <c r="DV558" s="472"/>
      <c r="DW558" s="472"/>
      <c r="DX558" s="472"/>
      <c r="DY558" s="472"/>
      <c r="DZ558" s="472"/>
      <c r="EA558" s="472"/>
      <c r="EB558" s="472"/>
      <c r="EC558" s="472"/>
      <c r="ED558" s="472"/>
      <c r="EE558" s="472"/>
      <c r="EF558" s="472"/>
      <c r="EG558" s="472"/>
      <c r="EH558" s="472"/>
      <c r="EI558" s="472"/>
      <c r="EJ558" s="472"/>
      <c r="EK558" s="472"/>
      <c r="EV558" s="819">
        <f t="shared" si="251"/>
        <v>558</v>
      </c>
      <c r="EW558" s="819"/>
    </row>
    <row r="559" spans="1:153" s="472" customFormat="1" ht="26">
      <c r="A559" s="654" t="str">
        <f t="shared" ca="1" si="248"/>
        <v>D.1.559</v>
      </c>
      <c r="B559" s="654" t="str">
        <f t="shared" ca="1" si="249"/>
        <v>1.559</v>
      </c>
      <c r="C559" s="654" t="str">
        <f t="shared" si="229"/>
        <v>[559]</v>
      </c>
      <c r="D559" s="654">
        <f>ROW()</f>
        <v>559</v>
      </c>
      <c r="E559" s="1130" t="str">
        <f ca="1">CU559</f>
        <v>- STATUS-Ansatz: 4.154 h/a  resultieren aus einer Stromerzeugung von 162 GWh/a gemäß [9.72] S. 10 und einer installierten Leistung von 39 MW [550].</v>
      </c>
      <c r="F559" s="1130"/>
      <c r="G559" s="1130"/>
      <c r="H559" s="1130"/>
      <c r="I559" s="1130"/>
      <c r="J559" s="1130"/>
      <c r="K559" s="1130"/>
      <c r="L559" s="1130"/>
      <c r="M559" s="1130"/>
      <c r="N559" s="1131"/>
      <c r="O559" s="869">
        <v>559</v>
      </c>
      <c r="P559" s="573" t="str">
        <f ca="1">HYPERLINK(EK559,EJ559)</f>
        <v>9.72</v>
      </c>
      <c r="Q559" s="574" t="str">
        <f>Y559</f>
        <v>S. 10</v>
      </c>
      <c r="R559" s="852"/>
      <c r="S559" s="784"/>
      <c r="T559" s="864"/>
      <c r="U559" s="1023" t="str">
        <f ca="1">TEXT(AH559,"0.000")&amp;AI559&amp;" resultieren aus einer Stromerzeugung von "&amp;AD559&amp;AE559&amp;" gemäß ["&amp;P559&amp;"] "&amp;Q559&amp;" und einer installierten Leistung von "&amp;AF559&amp;AG559&amp;C550&amp;"."</f>
        <v>4.154 h/a  resultieren aus einer Stromerzeugung von 162 GWh/a gemäß [9.72] S. 10 und einer installierten Leistung von 39 MW [550].</v>
      </c>
      <c r="V559" s="905" t="s">
        <v>126</v>
      </c>
      <c r="W559" s="1024">
        <f>AH559</f>
        <v>4153.8461538461543</v>
      </c>
      <c r="X559" s="672">
        <f>'9.Quellen'!C72</f>
        <v>72</v>
      </c>
      <c r="Y559" s="672" t="s">
        <v>333</v>
      </c>
      <c r="Z559" s="1025"/>
      <c r="AA559" s="658"/>
      <c r="AB559" s="801"/>
      <c r="AC559" s="801"/>
      <c r="AD559" s="801">
        <v>162</v>
      </c>
      <c r="AE559" s="801" t="s">
        <v>288</v>
      </c>
      <c r="AF559" s="801">
        <f>AD554</f>
        <v>39</v>
      </c>
      <c r="AG559" s="801" t="s">
        <v>378</v>
      </c>
      <c r="AH559" s="801">
        <f>AD559*1000/AF559</f>
        <v>4153.8461538461543</v>
      </c>
      <c r="AI559" s="801" t="s">
        <v>598</v>
      </c>
      <c r="AJ559" s="801"/>
      <c r="AK559" s="801"/>
      <c r="AL559" s="801"/>
      <c r="AM559" s="801"/>
      <c r="AN559" s="801"/>
      <c r="AO559" s="801"/>
      <c r="AP559" s="801"/>
      <c r="AQ559" s="801"/>
      <c r="AR559" s="801"/>
      <c r="AS559" s="801"/>
      <c r="AT559" s="801"/>
      <c r="AU559" s="801"/>
      <c r="AV559" s="801"/>
      <c r="BF559" s="473"/>
      <c r="BI559" s="472" t="s">
        <v>126</v>
      </c>
      <c r="BJ559" s="490"/>
      <c r="BN559" s="656"/>
      <c r="BO559" s="472" t="s">
        <v>259</v>
      </c>
      <c r="CU559" s="480" t="str">
        <f ca="1">CG$1&amp;IF(U559="",BF559,U559)</f>
        <v>- STATUS-Ansatz: 4.154 h/a  resultieren aus einer Stromerzeugung von 162 GWh/a gemäß [9.72] S. 10 und einer installierten Leistung von 39 MW [550].</v>
      </c>
      <c r="CV559" s="656"/>
      <c r="CW559" s="480"/>
      <c r="DS559" s="656"/>
      <c r="DT559" s="518">
        <f>I_Basisdaten!A259</f>
        <v>0</v>
      </c>
      <c r="EJ559" s="472" t="str">
        <f ca="1">IF(X559=0,"",EJ$1&amp;X559)</f>
        <v>9.72</v>
      </c>
      <c r="EK559" s="472" t="str">
        <f ca="1">EK$1&amp;X559</f>
        <v>[D_Python.xlsx]9.Quellen!C72</v>
      </c>
      <c r="EV559" s="819">
        <f t="shared" ca="1" si="251"/>
        <v>559</v>
      </c>
      <c r="EW559" s="819"/>
    </row>
    <row r="560" spans="1:153" s="661" customFormat="1" ht="4">
      <c r="A560" s="677" t="str">
        <f t="shared" ca="1" si="248"/>
        <v>D.1.560</v>
      </c>
      <c r="B560" s="677" t="str">
        <f t="shared" ca="1" si="249"/>
        <v>1.560</v>
      </c>
      <c r="C560" s="677" t="str">
        <f t="shared" si="229"/>
        <v>[560]</v>
      </c>
      <c r="D560" s="677">
        <f>ROW()</f>
        <v>560</v>
      </c>
      <c r="E560" s="680"/>
      <c r="F560" s="680"/>
      <c r="G560" s="680"/>
      <c r="H560" s="680"/>
      <c r="I560" s="679"/>
      <c r="J560" s="679"/>
      <c r="K560" s="679"/>
      <c r="L560" s="679"/>
      <c r="M560" s="679"/>
      <c r="N560" s="680"/>
      <c r="O560" s="871">
        <v>560</v>
      </c>
      <c r="P560" s="688"/>
      <c r="Q560" s="689"/>
      <c r="R560" s="888"/>
      <c r="S560" s="810"/>
      <c r="T560" s="882"/>
      <c r="AB560" s="675"/>
      <c r="AC560" s="675"/>
      <c r="AD560" s="675"/>
      <c r="AE560" s="675"/>
      <c r="AF560" s="675"/>
      <c r="AG560" s="675"/>
      <c r="AH560" s="675"/>
      <c r="AI560" s="675"/>
      <c r="AJ560" s="675"/>
      <c r="AK560" s="675"/>
      <c r="AL560" s="675"/>
      <c r="AM560" s="675"/>
      <c r="AN560" s="675"/>
      <c r="AO560" s="675"/>
      <c r="AP560" s="675"/>
      <c r="AQ560" s="675"/>
      <c r="AR560" s="675"/>
      <c r="AS560" s="675"/>
      <c r="AT560" s="675"/>
      <c r="AU560" s="675"/>
      <c r="AV560" s="675"/>
      <c r="BI560" s="661" t="s">
        <v>126</v>
      </c>
      <c r="BJ560" s="665"/>
      <c r="CU560" s="662"/>
      <c r="CW560" s="662"/>
      <c r="EV560" s="818" t="str">
        <f t="shared" si="251"/>
        <v/>
      </c>
      <c r="EW560" s="818"/>
    </row>
    <row r="561" spans="1:153" s="472" customFormat="1" ht="26">
      <c r="A561" s="654" t="str">
        <f t="shared" ca="1" si="248"/>
        <v>D.1.561</v>
      </c>
      <c r="B561" s="654" t="str">
        <f t="shared" ca="1" si="249"/>
        <v>1.561</v>
      </c>
      <c r="C561" s="654" t="str">
        <f t="shared" ref="C561:C635" si="265">CE$1&amp;D561&amp;CF$1</f>
        <v>[561]</v>
      </c>
      <c r="D561" s="654">
        <f>ROW()</f>
        <v>561</v>
      </c>
      <c r="E561" s="1125" t="str">
        <f t="shared" ref="E561" si="266">CU561</f>
        <v>- ZIEL-Ansatz: Unter den gegebenen Umständen (Beschränkung auf Verstromung von sommerlichen Wärmeüberschüssen) ist eine nennenswerte Erhöhung nicht zu erwarten.</v>
      </c>
      <c r="F561" s="1125"/>
      <c r="G561" s="1125"/>
      <c r="H561" s="1125"/>
      <c r="I561" s="1125"/>
      <c r="J561" s="1125"/>
      <c r="K561" s="1125"/>
      <c r="L561" s="1125"/>
      <c r="M561" s="1125"/>
      <c r="N561" s="1132"/>
      <c r="O561" s="869">
        <v>561</v>
      </c>
      <c r="P561" s="573" t="str">
        <f ca="1">HYPERLINK(EK561,EJ561)</f>
        <v/>
      </c>
      <c r="Q561" s="574" t="str">
        <f>Y561</f>
        <v xml:space="preserve"> </v>
      </c>
      <c r="R561" s="852"/>
      <c r="S561" s="784"/>
      <c r="T561" s="864"/>
      <c r="U561" s="1023" t="str">
        <f>"Unter den gegebenen Umständen (Beschränkung auf Verstromung von sommerlichen Wärmeüberschüssen) ist eine nennenswerte Erhöhung nicht zu erwarten."</f>
        <v>Unter den gegebenen Umständen (Beschränkung auf Verstromung von sommerlichen Wärmeüberschüssen) ist eine nennenswerte Erhöhung nicht zu erwarten.</v>
      </c>
      <c r="V561" s="905" t="s">
        <v>126</v>
      </c>
      <c r="W561" s="1024">
        <f>AH559</f>
        <v>4153.8461538461543</v>
      </c>
      <c r="X561" s="672"/>
      <c r="Y561" s="672" t="s">
        <v>126</v>
      </c>
      <c r="Z561" s="1025"/>
      <c r="AA561" s="905"/>
      <c r="AB561" s="801"/>
      <c r="AC561" s="801"/>
      <c r="AD561" s="801"/>
      <c r="AE561" s="801"/>
      <c r="AF561" s="801"/>
      <c r="AG561" s="801"/>
      <c r="AH561" s="801"/>
      <c r="AI561" s="801"/>
      <c r="AJ561" s="801"/>
      <c r="AK561" s="801"/>
      <c r="AL561" s="801"/>
      <c r="AM561" s="801"/>
      <c r="AN561" s="801"/>
      <c r="AO561" s="801"/>
      <c r="AP561" s="801"/>
      <c r="AQ561" s="801"/>
      <c r="AR561" s="801"/>
      <c r="AS561" s="801"/>
      <c r="AT561" s="801"/>
      <c r="AU561" s="801"/>
      <c r="AV561" s="801"/>
      <c r="BF561" s="473"/>
      <c r="BI561" s="472" t="s">
        <v>126</v>
      </c>
      <c r="BJ561" s="490"/>
      <c r="BN561" s="656"/>
      <c r="BO561" s="472" t="s">
        <v>259</v>
      </c>
      <c r="CU561" s="480" t="str">
        <f>CH$1&amp;IF(U561="",BF561,U561)</f>
        <v>- ZIEL-Ansatz: Unter den gegebenen Umständen (Beschränkung auf Verstromung von sommerlichen Wärmeüberschüssen) ist eine nennenswerte Erhöhung nicht zu erwarten.</v>
      </c>
      <c r="CV561" s="656"/>
      <c r="CW561" s="480"/>
      <c r="DS561" s="656"/>
      <c r="DT561" s="518">
        <v>53</v>
      </c>
      <c r="EJ561" s="472" t="str">
        <f>IF(X561=0,"",EJ$1&amp;X561)</f>
        <v/>
      </c>
      <c r="EK561" s="472" t="str">
        <f ca="1">EK$1&amp;X561</f>
        <v>[D_Python.xlsx]9.Quellen!C</v>
      </c>
      <c r="EV561" s="819">
        <f t="shared" si="251"/>
        <v>561</v>
      </c>
      <c r="EW561" s="819"/>
    </row>
    <row r="562" spans="1:153" s="478" customFormat="1" ht="4">
      <c r="A562" s="677" t="str">
        <f t="shared" ca="1" si="248"/>
        <v>D.1.562</v>
      </c>
      <c r="B562" s="677" t="str">
        <f t="shared" ca="1" si="249"/>
        <v>1.562</v>
      </c>
      <c r="C562" s="677" t="str">
        <f t="shared" si="265"/>
        <v>[562]</v>
      </c>
      <c r="D562" s="677">
        <f>ROW()</f>
        <v>562</v>
      </c>
      <c r="E562" s="548"/>
      <c r="F562" s="548"/>
      <c r="G562" s="548"/>
      <c r="H562" s="548"/>
      <c r="I562" s="549"/>
      <c r="J562" s="549"/>
      <c r="K562" s="549"/>
      <c r="L562" s="549"/>
      <c r="M562" s="549"/>
      <c r="N562" s="548"/>
      <c r="O562" s="871">
        <v>562</v>
      </c>
      <c r="P562" s="575"/>
      <c r="Q562" s="576"/>
      <c r="R562" s="888"/>
      <c r="S562" s="802"/>
      <c r="T562" s="882"/>
      <c r="U562" s="661"/>
      <c r="V562" s="661"/>
      <c r="W562" s="661"/>
      <c r="X562" s="661"/>
      <c r="Y562" s="661"/>
      <c r="Z562" s="661"/>
      <c r="AA562" s="661"/>
      <c r="AB562" s="675"/>
      <c r="AC562" s="675"/>
      <c r="AD562" s="675"/>
      <c r="AE562" s="675"/>
      <c r="AF562" s="675"/>
      <c r="AG562" s="675"/>
      <c r="AH562" s="675"/>
      <c r="AI562" s="675"/>
      <c r="AJ562" s="675"/>
      <c r="AK562" s="675"/>
      <c r="AL562" s="675"/>
      <c r="AM562" s="675"/>
      <c r="AN562" s="675"/>
      <c r="AO562" s="675"/>
      <c r="AP562" s="675"/>
      <c r="AQ562" s="675"/>
      <c r="AR562" s="675"/>
      <c r="AS562" s="675"/>
      <c r="AT562" s="675"/>
      <c r="AU562" s="675"/>
      <c r="AV562" s="675"/>
      <c r="AZ562" s="505"/>
      <c r="BB562" s="505"/>
      <c r="BI562" s="478" t="s">
        <v>126</v>
      </c>
      <c r="BJ562" s="489"/>
      <c r="BN562" s="661"/>
      <c r="CU562" s="479"/>
      <c r="CV562" s="661"/>
      <c r="CW562" s="479"/>
      <c r="DS562" s="661"/>
      <c r="EV562" s="818" t="str">
        <f t="shared" si="251"/>
        <v/>
      </c>
      <c r="EW562" s="818"/>
    </row>
    <row r="563" spans="1:153" s="475" customFormat="1" ht="13.5" customHeight="1">
      <c r="A563" s="654" t="str">
        <f t="shared" ca="1" si="248"/>
        <v>D.1.563</v>
      </c>
      <c r="B563" s="654" t="str">
        <f t="shared" ca="1" si="249"/>
        <v>1.563</v>
      </c>
      <c r="C563" s="654" t="str">
        <f t="shared" si="265"/>
        <v>[563]</v>
      </c>
      <c r="D563" s="654">
        <f>ROW()</f>
        <v>563</v>
      </c>
      <c r="E563" s="1129" t="str">
        <f>BP563</f>
        <v>Tiefen-Geoth. - Nutzungsgrad (elektrisch)</v>
      </c>
      <c r="F563" s="1129"/>
      <c r="G563" s="1129"/>
      <c r="H563" s="1129"/>
      <c r="I563" s="1129"/>
      <c r="J563" s="471" t="s">
        <v>38</v>
      </c>
      <c r="K563" s="557">
        <f ca="1">INDIRECT($W$1&amp;U563)</f>
        <v>0</v>
      </c>
      <c r="L563" s="485" t="str">
        <f ca="1">HYPERLINK($CK$1&amp;U563,$CE$1&amp;U563&amp;$CF$1)</f>
        <v>[564]</v>
      </c>
      <c r="M563" s="558">
        <f ca="1">INDIRECT($W$1&amp;W563)</f>
        <v>0</v>
      </c>
      <c r="N563" s="533" t="str">
        <f ca="1">HYPERLINK($CK$1&amp;W563,$CE$1&amp;W563&amp;$CF$1)</f>
        <v>[566]</v>
      </c>
      <c r="O563" s="869">
        <v>563</v>
      </c>
      <c r="P563" s="570"/>
      <c r="Q563" s="583"/>
      <c r="R563" s="852"/>
      <c r="S563" s="784"/>
      <c r="T563" s="864"/>
      <c r="U563" s="672">
        <f>D564</f>
        <v>564</v>
      </c>
      <c r="V563" s="905" t="s">
        <v>126</v>
      </c>
      <c r="W563" s="672">
        <f>D566</f>
        <v>566</v>
      </c>
      <c r="X563" s="658"/>
      <c r="Y563" s="658"/>
      <c r="Z563" s="658"/>
      <c r="AA563" s="658"/>
      <c r="AB563" s="801"/>
      <c r="AC563" s="801"/>
      <c r="AD563" s="674"/>
      <c r="AE563" s="674"/>
      <c r="AF563" s="674"/>
      <c r="AG563" s="674"/>
      <c r="AH563" s="674"/>
      <c r="AI563" s="674"/>
      <c r="AJ563" s="674"/>
      <c r="AK563" s="674"/>
      <c r="AL563" s="674"/>
      <c r="AM563" s="674"/>
      <c r="AN563" s="674"/>
      <c r="AO563" s="674"/>
      <c r="AP563" s="674"/>
      <c r="AQ563" s="674"/>
      <c r="AR563" s="674"/>
      <c r="AS563" s="674"/>
      <c r="AT563" s="674"/>
      <c r="AU563" s="674"/>
      <c r="AV563" s="674"/>
      <c r="AX563" s="475" t="s">
        <v>244</v>
      </c>
      <c r="AY563" s="500">
        <f ca="1">DA563</f>
        <v>0</v>
      </c>
      <c r="AZ563" s="508" t="str">
        <f ca="1">HYPERLINK(DN563,DC563)</f>
        <v xml:space="preserve"> 406</v>
      </c>
      <c r="BA563" s="500">
        <f ca="1">DB563</f>
        <v>57.083940196240775</v>
      </c>
      <c r="BB563" s="508" t="str">
        <f ca="1">HYPERLINK(DO563,DD563)</f>
        <v xml:space="preserve"> 407</v>
      </c>
      <c r="BC563" s="475" t="str">
        <f ca="1">CY563&amp;" | "&amp;CZ563</f>
        <v>Kraftwerk | 2.1 Nutzanteil TG Stromgewinnung mit Abwärmenutzung</v>
      </c>
      <c r="BI563" s="475" t="s">
        <v>126</v>
      </c>
      <c r="BJ563" s="492" t="str">
        <f>E563</f>
        <v>Tiefen-Geoth. - Nutzungsgrad (elektrisch)</v>
      </c>
      <c r="BK563" s="486">
        <f ca="1">K563</f>
        <v>0</v>
      </c>
      <c r="BL563" s="486">
        <f ca="1">M563</f>
        <v>0</v>
      </c>
      <c r="BM563" s="472">
        <f>D563</f>
        <v>563</v>
      </c>
      <c r="BN563" s="658"/>
      <c r="BO563" s="475" t="s">
        <v>251</v>
      </c>
      <c r="BP563" s="521" t="s">
        <v>610</v>
      </c>
      <c r="CU563" s="476"/>
      <c r="CV563" s="658"/>
      <c r="CW563" s="518">
        <v>105</v>
      </c>
      <c r="CY563" s="472" t="str">
        <f t="shared" ref="CY563:DO563" ca="1" si="267">INDIRECT($CX$1&amp;CY$1&amp;$CW563)</f>
        <v>Kraftwerk</v>
      </c>
      <c r="CZ563" s="472" t="str">
        <f t="shared" ca="1" si="267"/>
        <v>2.1 Nutzanteil TG Stromgewinnung mit Abwärmenutzung</v>
      </c>
      <c r="DA563" s="472">
        <f t="shared" ca="1" si="267"/>
        <v>0</v>
      </c>
      <c r="DB563" s="472">
        <f t="shared" ca="1" si="267"/>
        <v>57.083940196240775</v>
      </c>
      <c r="DC563" s="472" t="str">
        <f t="shared" ca="1" si="267"/>
        <v xml:space="preserve"> 406</v>
      </c>
      <c r="DD563" s="472" t="str">
        <f t="shared" ca="1" si="267"/>
        <v xml:space="preserve"> 407</v>
      </c>
      <c r="DE563" s="472" t="str">
        <f t="shared" ca="1" si="267"/>
        <v/>
      </c>
      <c r="DF563" s="472" t="str">
        <f t="shared" ca="1" si="267"/>
        <v/>
      </c>
      <c r="DG563" s="472" t="str">
        <f t="shared" ca="1" si="267"/>
        <v/>
      </c>
      <c r="DH563" s="472" t="str">
        <f t="shared" ca="1" si="267"/>
        <v/>
      </c>
      <c r="DI563" s="472" t="str">
        <f t="shared" ca="1" si="267"/>
        <v>[.xls]TEXT!ZS5</v>
      </c>
      <c r="DJ563" s="472" t="str">
        <f t="shared" ca="1" si="267"/>
        <v/>
      </c>
      <c r="DK563" s="472" t="str">
        <f t="shared" ca="1" si="267"/>
        <v/>
      </c>
      <c r="DL563" s="472" t="str">
        <f t="shared" ca="1" si="267"/>
        <v>[.xls]TEXT!ZS5</v>
      </c>
      <c r="DM563" s="472">
        <f t="shared" ca="1" si="267"/>
        <v>105</v>
      </c>
      <c r="DN563" s="472" t="str">
        <f t="shared" ca="1" si="267"/>
        <v>[Region.xls]PARAMETER!Z406S6</v>
      </c>
      <c r="DO563" s="472" t="str">
        <f t="shared" ca="1" si="267"/>
        <v>[Region.xls]PARAMETER!Z407S6</v>
      </c>
      <c r="DP563" s="472"/>
      <c r="DS563" s="656"/>
      <c r="DV563" s="472"/>
      <c r="DW563" s="472"/>
      <c r="DX563" s="472"/>
      <c r="DY563" s="472"/>
      <c r="DZ563" s="472"/>
      <c r="EA563" s="472"/>
      <c r="EB563" s="472"/>
      <c r="EC563" s="472"/>
      <c r="ED563" s="472"/>
      <c r="EE563" s="472"/>
      <c r="EF563" s="472"/>
      <c r="EG563" s="472"/>
      <c r="EH563" s="472"/>
      <c r="EI563" s="472"/>
      <c r="EJ563" s="472"/>
      <c r="EK563" s="472"/>
      <c r="EV563" s="819">
        <f t="shared" si="251"/>
        <v>563</v>
      </c>
      <c r="EW563" s="819"/>
    </row>
    <row r="564" spans="1:153" s="472" customFormat="1" ht="26">
      <c r="A564" s="654" t="str">
        <f t="shared" ca="1" si="248"/>
        <v>D.1.564</v>
      </c>
      <c r="B564" s="654" t="str">
        <f t="shared" ca="1" si="249"/>
        <v>1.564</v>
      </c>
      <c r="C564" s="654" t="str">
        <f t="shared" si="265"/>
        <v>[564]</v>
      </c>
      <c r="D564" s="654">
        <f>ROW()</f>
        <v>564</v>
      </c>
      <c r="E564" s="1130" t="str">
        <f>CU564</f>
        <v>- STATUS-Ansatz: Aus den in [556] angeführten gründen liegt der elektrische Nutzungsgrad der Gesamtanlage etwa bei Null.</v>
      </c>
      <c r="F564" s="1130"/>
      <c r="G564" s="1130"/>
      <c r="H564" s="1130"/>
      <c r="I564" s="1130"/>
      <c r="J564" s="1130"/>
      <c r="K564" s="1130"/>
      <c r="L564" s="1130"/>
      <c r="M564" s="1130"/>
      <c r="N564" s="1131"/>
      <c r="O564" s="869">
        <v>564</v>
      </c>
      <c r="P564" s="573" t="str">
        <f ca="1">HYPERLINK(EK564,EJ564)</f>
        <v/>
      </c>
      <c r="Q564" s="574" t="str">
        <f>Y564</f>
        <v xml:space="preserve"> </v>
      </c>
      <c r="R564" s="852"/>
      <c r="S564" s="784"/>
      <c r="T564" s="864"/>
      <c r="U564" s="1023" t="str">
        <f>"Aus den in "&amp;C556&amp;" angeführten gründen liegt der elektrische Nutzungsgrad der Gesamtanlage etwa bei Null."</f>
        <v>Aus den in [556] angeführten gründen liegt der elektrische Nutzungsgrad der Gesamtanlage etwa bei Null.</v>
      </c>
      <c r="V564" s="905" t="s">
        <v>126</v>
      </c>
      <c r="W564" s="1024">
        <v>0</v>
      </c>
      <c r="X564" s="672"/>
      <c r="Y564" s="672" t="s">
        <v>126</v>
      </c>
      <c r="Z564" s="1025"/>
      <c r="AA564" s="658"/>
      <c r="AB564" s="801"/>
      <c r="AC564" s="801"/>
      <c r="AD564" s="801"/>
      <c r="AE564" s="801"/>
      <c r="AF564" s="801"/>
      <c r="AG564" s="801"/>
      <c r="AH564" s="801"/>
      <c r="AI564" s="801"/>
      <c r="AJ564" s="801"/>
      <c r="AK564" s="801"/>
      <c r="AL564" s="801"/>
      <c r="AM564" s="801"/>
      <c r="AN564" s="801"/>
      <c r="AO564" s="801"/>
      <c r="AP564" s="801"/>
      <c r="AQ564" s="801"/>
      <c r="AR564" s="801"/>
      <c r="AS564" s="801"/>
      <c r="AT564" s="801"/>
      <c r="AU564" s="801"/>
      <c r="AV564" s="801"/>
      <c r="BF564" s="473"/>
      <c r="BI564" s="472" t="s">
        <v>126</v>
      </c>
      <c r="BJ564" s="490"/>
      <c r="BN564" s="656"/>
      <c r="BO564" s="472" t="s">
        <v>259</v>
      </c>
      <c r="CU564" s="480" t="str">
        <f>CG$1&amp;IF(U564="",BF564,U564)</f>
        <v>- STATUS-Ansatz: Aus den in [556] angeführten gründen liegt der elektrische Nutzungsgrad der Gesamtanlage etwa bei Null.</v>
      </c>
      <c r="CV564" s="656"/>
      <c r="CW564" s="480"/>
      <c r="DS564" s="656"/>
      <c r="DT564" s="518">
        <f>I_Basisdaten!A245</f>
        <v>0</v>
      </c>
      <c r="EJ564" s="472" t="str">
        <f>IF(X564=0,"",EJ$1&amp;X564)</f>
        <v/>
      </c>
      <c r="EK564" s="472" t="str">
        <f ca="1">EK$1&amp;X564</f>
        <v>[D_Python.xlsx]9.Quellen!C</v>
      </c>
      <c r="EV564" s="819">
        <f t="shared" si="251"/>
        <v>564</v>
      </c>
      <c r="EW564" s="819"/>
    </row>
    <row r="565" spans="1:153" s="661" customFormat="1" ht="4">
      <c r="A565" s="677" t="str">
        <f t="shared" ca="1" si="248"/>
        <v>D.1.565</v>
      </c>
      <c r="B565" s="677" t="str">
        <f t="shared" ca="1" si="249"/>
        <v>1.565</v>
      </c>
      <c r="C565" s="677" t="str">
        <f t="shared" si="265"/>
        <v>[565]</v>
      </c>
      <c r="D565" s="677">
        <f>ROW()</f>
        <v>565</v>
      </c>
      <c r="E565" s="680"/>
      <c r="F565" s="680"/>
      <c r="G565" s="680"/>
      <c r="H565" s="680"/>
      <c r="I565" s="679"/>
      <c r="J565" s="679"/>
      <c r="K565" s="679"/>
      <c r="L565" s="679"/>
      <c r="M565" s="679"/>
      <c r="N565" s="680"/>
      <c r="O565" s="871">
        <v>565</v>
      </c>
      <c r="P565" s="688"/>
      <c r="Q565" s="689"/>
      <c r="R565" s="888"/>
      <c r="S565" s="810"/>
      <c r="T565" s="882"/>
      <c r="AB565" s="675"/>
      <c r="AC565" s="675"/>
      <c r="AD565" s="675"/>
      <c r="AE565" s="675"/>
      <c r="AF565" s="675"/>
      <c r="AG565" s="675"/>
      <c r="AH565" s="675"/>
      <c r="AI565" s="675"/>
      <c r="AJ565" s="675"/>
      <c r="AK565" s="675"/>
      <c r="AL565" s="675"/>
      <c r="AM565" s="675"/>
      <c r="AN565" s="675"/>
      <c r="AO565" s="675"/>
      <c r="AP565" s="675"/>
      <c r="AQ565" s="675"/>
      <c r="AR565" s="675"/>
      <c r="AS565" s="675"/>
      <c r="AT565" s="675"/>
      <c r="AU565" s="675"/>
      <c r="AV565" s="675"/>
      <c r="BI565" s="661" t="s">
        <v>126</v>
      </c>
      <c r="BJ565" s="665"/>
      <c r="CU565" s="662"/>
      <c r="CW565" s="662"/>
      <c r="EV565" s="818" t="str">
        <f t="shared" si="251"/>
        <v/>
      </c>
      <c r="EW565" s="818"/>
    </row>
    <row r="566" spans="1:153" s="472" customFormat="1" ht="26">
      <c r="A566" s="654" t="str">
        <f t="shared" ca="1" si="248"/>
        <v>D.1.566</v>
      </c>
      <c r="B566" s="654" t="str">
        <f t="shared" ca="1" si="249"/>
        <v>1.566</v>
      </c>
      <c r="C566" s="654" t="str">
        <f t="shared" si="265"/>
        <v>[566]</v>
      </c>
      <c r="D566" s="654">
        <f>ROW()</f>
        <v>566</v>
      </c>
      <c r="E566" s="1125" t="str">
        <f t="shared" ref="E566" si="268">CU566</f>
        <v>- ZIEL-Ansatz: Unter den gegebenen Umständen (Beschränkung auf Verstromung von sommerlichen Wärmeüberschüssen) ist ein nennenswerter Nutzungsgrad nicht zu erwarten.</v>
      </c>
      <c r="F566" s="1125"/>
      <c r="G566" s="1125"/>
      <c r="H566" s="1125"/>
      <c r="I566" s="1125"/>
      <c r="J566" s="1125"/>
      <c r="K566" s="1125"/>
      <c r="L566" s="1125"/>
      <c r="M566" s="1125"/>
      <c r="N566" s="1132"/>
      <c r="O566" s="869">
        <v>566</v>
      </c>
      <c r="P566" s="573" t="str">
        <f ca="1">HYPERLINK(EK566,EJ566)</f>
        <v>9.244</v>
      </c>
      <c r="Q566" s="574" t="str">
        <f>Y566</f>
        <v>S. 52</v>
      </c>
      <c r="R566" s="852"/>
      <c r="S566" s="784"/>
      <c r="T566" s="864"/>
      <c r="U566" s="1023" t="str">
        <f>"Unter den gegebenen Umständen (Beschränkung auf Verstromung von sommerlichen Wärmeüberschüssen) ist ein nennenswerter Nutzungsgrad nicht zu erwarten."</f>
        <v>Unter den gegebenen Umständen (Beschränkung auf Verstromung von sommerlichen Wärmeüberschüssen) ist ein nennenswerter Nutzungsgrad nicht zu erwarten.</v>
      </c>
      <c r="V566" s="905" t="s">
        <v>126</v>
      </c>
      <c r="W566" s="1024">
        <v>0</v>
      </c>
      <c r="X566" s="672">
        <f>'9.Quellen'!C244</f>
        <v>244</v>
      </c>
      <c r="Y566" s="672" t="s">
        <v>621</v>
      </c>
      <c r="Z566" s="1025"/>
      <c r="AA566" s="905"/>
      <c r="AB566" s="801"/>
      <c r="AC566" s="801"/>
      <c r="AD566" s="801">
        <v>10</v>
      </c>
      <c r="AE566" s="801" t="s">
        <v>835</v>
      </c>
      <c r="AF566" s="801"/>
      <c r="AG566" s="801"/>
      <c r="AH566" s="801"/>
      <c r="AI566" s="801"/>
      <c r="AJ566" s="801"/>
      <c r="AK566" s="801"/>
      <c r="AL566" s="801"/>
      <c r="AM566" s="801"/>
      <c r="AN566" s="801"/>
      <c r="AO566" s="801"/>
      <c r="AP566" s="801"/>
      <c r="AQ566" s="801"/>
      <c r="AR566" s="801"/>
      <c r="AS566" s="801"/>
      <c r="AT566" s="801"/>
      <c r="AU566" s="801"/>
      <c r="AV566" s="801"/>
      <c r="BF566" s="473"/>
      <c r="BI566" s="472" t="s">
        <v>126</v>
      </c>
      <c r="BJ566" s="490"/>
      <c r="BN566" s="656"/>
      <c r="BO566" s="472" t="s">
        <v>259</v>
      </c>
      <c r="CU566" s="480" t="str">
        <f>CH$1&amp;IF(U566="",BF566,U566)</f>
        <v>- ZIEL-Ansatz: Unter den gegebenen Umständen (Beschränkung auf Verstromung von sommerlichen Wärmeüberschüssen) ist ein nennenswerter Nutzungsgrad nicht zu erwarten.</v>
      </c>
      <c r="CV566" s="656"/>
      <c r="CW566" s="480"/>
      <c r="DS566" s="656"/>
      <c r="DT566" s="518">
        <v>53</v>
      </c>
      <c r="EJ566" s="472" t="str">
        <f ca="1">IF(X566=0,"",EJ$1&amp;X566)</f>
        <v>9.244</v>
      </c>
      <c r="EK566" s="472" t="str">
        <f ca="1">EK$1&amp;X566</f>
        <v>[D_Python.xlsx]9.Quellen!C244</v>
      </c>
      <c r="EV566" s="819">
        <f t="shared" si="251"/>
        <v>566</v>
      </c>
      <c r="EW566" s="819"/>
    </row>
    <row r="567" spans="1:153" s="478" customFormat="1" ht="4">
      <c r="A567" s="677" t="str">
        <f t="shared" ca="1" si="248"/>
        <v>D.1.567</v>
      </c>
      <c r="B567" s="677" t="str">
        <f t="shared" ca="1" si="249"/>
        <v>1.567</v>
      </c>
      <c r="C567" s="677" t="str">
        <f t="shared" si="265"/>
        <v>[567]</v>
      </c>
      <c r="D567" s="677">
        <f>ROW()</f>
        <v>567</v>
      </c>
      <c r="E567" s="548"/>
      <c r="F567" s="548"/>
      <c r="G567" s="548"/>
      <c r="H567" s="548"/>
      <c r="I567" s="549"/>
      <c r="J567" s="549"/>
      <c r="K567" s="549"/>
      <c r="L567" s="549"/>
      <c r="M567" s="549"/>
      <c r="N567" s="548"/>
      <c r="O567" s="871">
        <v>567</v>
      </c>
      <c r="P567" s="575"/>
      <c r="Q567" s="576"/>
      <c r="R567" s="888"/>
      <c r="S567" s="802"/>
      <c r="T567" s="882"/>
      <c r="U567" s="661"/>
      <c r="V567" s="661"/>
      <c r="W567" s="661"/>
      <c r="X567" s="661"/>
      <c r="Y567" s="661"/>
      <c r="Z567" s="661"/>
      <c r="AA567" s="661"/>
      <c r="AB567" s="675"/>
      <c r="AC567" s="675"/>
      <c r="AD567" s="675"/>
      <c r="AE567" s="675"/>
      <c r="AF567" s="675"/>
      <c r="AG567" s="675"/>
      <c r="AH567" s="675"/>
      <c r="AI567" s="675"/>
      <c r="AJ567" s="675"/>
      <c r="AK567" s="675"/>
      <c r="AL567" s="675"/>
      <c r="AM567" s="675"/>
      <c r="AN567" s="675"/>
      <c r="AO567" s="675"/>
      <c r="AP567" s="675"/>
      <c r="AQ567" s="675"/>
      <c r="AR567" s="675"/>
      <c r="AS567" s="675"/>
      <c r="AT567" s="675"/>
      <c r="AU567" s="675"/>
      <c r="AV567" s="675"/>
      <c r="AZ567" s="505"/>
      <c r="BB567" s="505"/>
      <c r="BI567" s="478" t="s">
        <v>126</v>
      </c>
      <c r="BJ567" s="489"/>
      <c r="BN567" s="661"/>
      <c r="CU567" s="479"/>
      <c r="CV567" s="661"/>
      <c r="CW567" s="479"/>
      <c r="DS567" s="661"/>
      <c r="EV567" s="818" t="str">
        <f t="shared" si="251"/>
        <v/>
      </c>
      <c r="EW567" s="818"/>
    </row>
    <row r="568" spans="1:153" s="475" customFormat="1" ht="13.5" customHeight="1">
      <c r="A568" s="654" t="str">
        <f t="shared" ca="1" si="248"/>
        <v>D.1.568</v>
      </c>
      <c r="B568" s="654" t="str">
        <f t="shared" ca="1" si="249"/>
        <v>1.568</v>
      </c>
      <c r="C568" s="654" t="str">
        <f t="shared" si="265"/>
        <v>[568]</v>
      </c>
      <c r="D568" s="654">
        <f>ROW()</f>
        <v>568</v>
      </c>
      <c r="E568" s="1153" t="str">
        <f>BP568</f>
        <v>Techn. Aquifer-Pot. Norddeutsches Becken</v>
      </c>
      <c r="F568" s="1153"/>
      <c r="G568" s="1153"/>
      <c r="H568" s="1153"/>
      <c r="I568" s="1153"/>
      <c r="J568" s="559" t="s">
        <v>613</v>
      </c>
      <c r="K568" s="703">
        <f ca="1">INDIRECT($W$1&amp;U568)</f>
        <v>6296.2962962962956</v>
      </c>
      <c r="L568" s="485" t="str">
        <f ca="1">HYPERLINK($CK$1&amp;U568,$CE$1&amp;U568&amp;$CF$1)</f>
        <v>[569]</v>
      </c>
      <c r="M568" s="702" t="s">
        <v>612</v>
      </c>
      <c r="N568" s="533"/>
      <c r="O568" s="869">
        <v>568</v>
      </c>
      <c r="P568" s="570"/>
      <c r="Q568" s="583"/>
      <c r="R568" s="852"/>
      <c r="S568" s="784"/>
      <c r="T568" s="864"/>
      <c r="U568" s="672">
        <f>D569</f>
        <v>569</v>
      </c>
      <c r="V568" s="905" t="s">
        <v>126</v>
      </c>
      <c r="W568" s="658"/>
      <c r="X568" s="658"/>
      <c r="Y568" s="658"/>
      <c r="Z568" s="658"/>
      <c r="AA568" s="658"/>
      <c r="AB568" s="801"/>
      <c r="AC568" s="801"/>
      <c r="AD568" s="674"/>
      <c r="AE568" s="674"/>
      <c r="AF568" s="674"/>
      <c r="AG568" s="674"/>
      <c r="AH568" s="674"/>
      <c r="AI568" s="674"/>
      <c r="AJ568" s="674"/>
      <c r="AK568" s="674"/>
      <c r="AL568" s="674"/>
      <c r="AM568" s="674"/>
      <c r="AN568" s="674"/>
      <c r="AO568" s="674"/>
      <c r="AP568" s="674"/>
      <c r="AQ568" s="674"/>
      <c r="AR568" s="674"/>
      <c r="AS568" s="674"/>
      <c r="AT568" s="674"/>
      <c r="AU568" s="674"/>
      <c r="AV568" s="674"/>
      <c r="AX568" s="475" t="s">
        <v>244</v>
      </c>
      <c r="AY568" s="500">
        <f ca="1">DA568</f>
        <v>0.55188000000000004</v>
      </c>
      <c r="AZ568" s="508" t="str">
        <f ca="1">HYPERLINK(DN568,DC568)</f>
        <v xml:space="preserve"> 410</v>
      </c>
      <c r="BA568" s="500">
        <f ca="1">DB568</f>
        <v>0.55188000000000004</v>
      </c>
      <c r="BB568" s="508" t="str">
        <f ca="1">HYPERLINK(DO568,DD568)</f>
        <v xml:space="preserve"> 411</v>
      </c>
      <c r="BC568" s="475" t="str">
        <f ca="1">CY568&amp;" | "&amp;CZ568</f>
        <v>Strom | 2.2.1 Energieertrag Strom aus Tiefen-Geothermie</v>
      </c>
      <c r="BI568" s="475" t="s">
        <v>126</v>
      </c>
      <c r="BJ568" s="492" t="str">
        <f>E568</f>
        <v>Techn. Aquifer-Pot. Norddeutsches Becken</v>
      </c>
      <c r="BK568" s="486">
        <f ca="1">K568</f>
        <v>6296.2962962962956</v>
      </c>
      <c r="BL568" s="486" t="str">
        <f>M568</f>
        <v>(n.r.)</v>
      </c>
      <c r="BM568" s="472">
        <f>D568</f>
        <v>568</v>
      </c>
      <c r="BN568" s="658"/>
      <c r="BO568" s="475" t="s">
        <v>251</v>
      </c>
      <c r="BP568" s="521" t="s">
        <v>728</v>
      </c>
      <c r="CU568" s="476"/>
      <c r="CV568" s="658"/>
      <c r="CW568" s="518">
        <v>106</v>
      </c>
      <c r="CY568" s="472" t="str">
        <f t="shared" ref="CY568:DO568" ca="1" si="269">INDIRECT($CX$1&amp;CY$1&amp;$CW568)</f>
        <v>Strom</v>
      </c>
      <c r="CZ568" s="472" t="str">
        <f t="shared" ca="1" si="269"/>
        <v>2.2.1 Energieertrag Strom aus Tiefen-Geothermie</v>
      </c>
      <c r="DA568" s="472">
        <f t="shared" ca="1" si="269"/>
        <v>0.55188000000000004</v>
      </c>
      <c r="DB568" s="472">
        <f t="shared" ca="1" si="269"/>
        <v>0.55188000000000004</v>
      </c>
      <c r="DC568" s="472" t="str">
        <f t="shared" ca="1" si="269"/>
        <v xml:space="preserve"> 410</v>
      </c>
      <c r="DD568" s="472" t="str">
        <f t="shared" ca="1" si="269"/>
        <v xml:space="preserve"> 411</v>
      </c>
      <c r="DE568" s="472" t="str">
        <f t="shared" ca="1" si="269"/>
        <v>UG98</v>
      </c>
      <c r="DF568" s="472" t="str">
        <f t="shared" ca="1" si="269"/>
        <v>UG98</v>
      </c>
      <c r="DG568" s="472" t="str">
        <f t="shared" ca="1" si="269"/>
        <v>UG</v>
      </c>
      <c r="DH568" s="472" t="str">
        <f t="shared" ca="1" si="269"/>
        <v>98</v>
      </c>
      <c r="DI568" s="472" t="str">
        <f t="shared" ca="1" si="269"/>
        <v>[UG.xls]TEXT!Z98S5</v>
      </c>
      <c r="DJ568" s="472" t="str">
        <f t="shared" ca="1" si="269"/>
        <v>UG</v>
      </c>
      <c r="DK568" s="472" t="str">
        <f t="shared" ca="1" si="269"/>
        <v>98</v>
      </c>
      <c r="DL568" s="472" t="str">
        <f t="shared" ca="1" si="269"/>
        <v>[UG.xls]TEXT!Z98S5</v>
      </c>
      <c r="DM568" s="472">
        <f t="shared" ca="1" si="269"/>
        <v>106</v>
      </c>
      <c r="DN568" s="472" t="str">
        <f t="shared" ca="1" si="269"/>
        <v>[Region.xls]PARAMETER!Z410S6</v>
      </c>
      <c r="DO568" s="472" t="str">
        <f t="shared" ca="1" si="269"/>
        <v>[Region.xls]PARAMETER!Z411S6</v>
      </c>
      <c r="DP568" s="472"/>
      <c r="DS568" s="656"/>
      <c r="DV568" s="472"/>
      <c r="DW568" s="472"/>
      <c r="DX568" s="472"/>
      <c r="DY568" s="472"/>
      <c r="DZ568" s="472"/>
      <c r="EA568" s="472"/>
      <c r="EB568" s="472"/>
      <c r="EC568" s="472"/>
      <c r="ED568" s="472"/>
      <c r="EE568" s="472"/>
      <c r="EF568" s="472"/>
      <c r="EG568" s="472"/>
      <c r="EH568" s="472"/>
      <c r="EI568" s="472"/>
      <c r="EJ568" s="472"/>
      <c r="EK568" s="472"/>
      <c r="EV568" s="819">
        <f t="shared" si="251"/>
        <v>568</v>
      </c>
      <c r="EW568" s="819"/>
    </row>
    <row r="569" spans="1:153" s="656" customFormat="1" ht="78">
      <c r="A569" s="654" t="str">
        <f t="shared" ca="1" si="248"/>
        <v>D.1.569</v>
      </c>
      <c r="B569" s="654" t="str">
        <f t="shared" ca="1" si="249"/>
        <v>1.569</v>
      </c>
      <c r="C569" s="654" t="str">
        <f t="shared" si="265"/>
        <v>[569]</v>
      </c>
      <c r="D569" s="654">
        <f>ROW()</f>
        <v>569</v>
      </c>
      <c r="E569" s="1125" t="str">
        <f t="shared" ref="E569" ca="1" si="270">CU569</f>
        <v>Gemäß TAB [9.244], S. 35, liegt das in den Heißwasser-Aquiferen des norddeutschen Beckens gespeicherte technische Potenzial an Elektrischer Energie in der Größe von 6,8 EJ . Da auf Niedersachsen etwa ein Drittel des norddeutschen Beckens entfällt, wird dies hier vereinfachend auch für die Aquifere angenommen, dies entspricht 6.296 TWh . Mit einem Verstromungs-Wirkungsgrad von 10% [566] zurück gerechnet liegt das Heißwasser-Energiepotenzial bei 6.296 TWh . Diese Angabe dient im Sinne der Nachhaltigkeit zu der Abschätzung, nach welcher Betriebszeit das Potenzial erschöpft wäre (siehe dazu [570] und [571]).</v>
      </c>
      <c r="F569" s="1125"/>
      <c r="G569" s="1125"/>
      <c r="H569" s="1125"/>
      <c r="I569" s="1125"/>
      <c r="J569" s="1125"/>
      <c r="K569" s="1125"/>
      <c r="L569" s="1125"/>
      <c r="M569" s="1125"/>
      <c r="N569" s="1132"/>
      <c r="O569" s="869">
        <v>569</v>
      </c>
      <c r="P569" s="691" t="str">
        <f t="shared" ref="P569" ca="1" si="271">HYPERLINK(EK569,EJ569)</f>
        <v>9.244</v>
      </c>
      <c r="Q569" s="692" t="str">
        <f t="shared" ref="Q569" si="272">Y569</f>
        <v>S. 35</v>
      </c>
      <c r="R569" s="852"/>
      <c r="S569" s="784"/>
      <c r="T569" s="864"/>
      <c r="U569" s="1023" t="str">
        <f ca="1">"Gemäß TAB ["&amp;P569&amp;"], "&amp;Q569&amp;", liegt das in den Heißwasser-Aquiferen des norddeutschen Beckens gespeicherte technische Potenzial an Elektrischer Energie in der Größe von "&amp;AD569&amp;AE569&amp;". Da auf Niedersachsen etwa ein Drittel des norddeutschen Beckens entfällt, wird dies hier vereinfachend auch für die Aquifere angenommen, dies entspricht "&amp;TEXT(AN569,"0.000")&amp;AI569&amp;". Mit einem Verstromungs-Wirkungsgrad von "&amp;AL569&amp;AM569&amp;C566&amp;" zurück gerechnet liegt das Heißwasser-Energiepotenzial bei "&amp;TEXT(AN569,"0.000")&amp;AO569&amp;". Diese Angabe dient im Sinne der Nachhaltigkeit zu der Abschätzung, nach welcher Betriebszeit das Potenzial erschöpft wäre (siehe dazu "&amp;C570&amp;" und "&amp;C571&amp;")."</f>
        <v>Gemäß TAB [9.244], S. 35, liegt das in den Heißwasser-Aquiferen des norddeutschen Beckens gespeicherte technische Potenzial an Elektrischer Energie in der Größe von 6,8 EJ . Da auf Niedersachsen etwa ein Drittel des norddeutschen Beckens entfällt, wird dies hier vereinfachend auch für die Aquifere angenommen, dies entspricht 6.296 TWh . Mit einem Verstromungs-Wirkungsgrad von 10% [566] zurück gerechnet liegt das Heißwasser-Energiepotenzial bei 6.296 TWh . Diese Angabe dient im Sinne der Nachhaltigkeit zu der Abschätzung, nach welcher Betriebszeit das Potenzial erschöpft wäre (siehe dazu [570] und [571]).</v>
      </c>
      <c r="V569" s="905" t="s">
        <v>126</v>
      </c>
      <c r="W569" s="1024">
        <f>AN569</f>
        <v>6296.2962962962956</v>
      </c>
      <c r="X569" s="672">
        <f>'9.Quellen'!C244</f>
        <v>244</v>
      </c>
      <c r="Y569" s="672" t="s">
        <v>625</v>
      </c>
      <c r="Z569" s="1025"/>
      <c r="AA569" s="905"/>
      <c r="AB569" s="801"/>
      <c r="AC569" s="801"/>
      <c r="AD569" s="801">
        <v>6.8</v>
      </c>
      <c r="AE569" s="801" t="s">
        <v>622</v>
      </c>
      <c r="AF569" s="801">
        <f>1000/3.6</f>
        <v>277.77777777777777</v>
      </c>
      <c r="AG569" s="801" t="s">
        <v>623</v>
      </c>
      <c r="AH569" s="801">
        <f>AD569*AF569</f>
        <v>1888.8888888888887</v>
      </c>
      <c r="AI569" s="801" t="s">
        <v>624</v>
      </c>
      <c r="AJ569" s="801">
        <f>1/3</f>
        <v>0.33333333333333331</v>
      </c>
      <c r="AK569" s="801">
        <f>AH569*AJ569</f>
        <v>629.62962962962956</v>
      </c>
      <c r="AL569" s="801">
        <f>AD566</f>
        <v>10</v>
      </c>
      <c r="AM569" s="801" t="str">
        <f>AE566</f>
        <v xml:space="preserve">% </v>
      </c>
      <c r="AN569" s="801">
        <f>AK569/AL569%</f>
        <v>6296.2962962962956</v>
      </c>
      <c r="AO569" s="801" t="s">
        <v>624</v>
      </c>
      <c r="AP569" s="801"/>
      <c r="AQ569" s="801"/>
      <c r="AR569" s="801"/>
      <c r="AS569" s="801"/>
      <c r="AT569" s="801"/>
      <c r="AU569" s="801"/>
      <c r="AV569" s="801"/>
      <c r="BF569" s="657"/>
      <c r="BI569" s="656" t="s">
        <v>126</v>
      </c>
      <c r="BJ569" s="666"/>
      <c r="BO569" s="656" t="s">
        <v>252</v>
      </c>
      <c r="CU569" s="663" t="str">
        <f ca="1">IF(U569="",BF569,U569)</f>
        <v>Gemäß TAB [9.244], S. 35, liegt das in den Heißwasser-Aquiferen des norddeutschen Beckens gespeicherte technische Potenzial an Elektrischer Energie in der Größe von 6,8 EJ . Da auf Niedersachsen etwa ein Drittel des norddeutschen Beckens entfällt, wird dies hier vereinfachend auch für die Aquifere angenommen, dies entspricht 6.296 TWh . Mit einem Verstromungs-Wirkungsgrad von 10% [566] zurück gerechnet liegt das Heißwasser-Energiepotenzial bei 6.296 TWh . Diese Angabe dient im Sinne der Nachhaltigkeit zu der Abschätzung, nach welcher Betriebszeit das Potenzial erschöpft wäre (siehe dazu [570] und [571]).</v>
      </c>
      <c r="CW569" s="663"/>
      <c r="DT569" s="671"/>
      <c r="EJ569" s="656" t="str">
        <f ca="1">IF(X569=0,"",EJ$1&amp;X569)</f>
        <v>9.244</v>
      </c>
      <c r="EK569" s="656" t="str">
        <f ca="1">EK$1&amp;X569</f>
        <v>[D_Python.xlsx]9.Quellen!C244</v>
      </c>
      <c r="EV569" s="819">
        <f t="shared" ca="1" si="251"/>
        <v>569</v>
      </c>
      <c r="EW569" s="819"/>
    </row>
    <row r="570" spans="1:153" s="656" customFormat="1" ht="91">
      <c r="A570" s="654" t="str">
        <f t="shared" ca="1" si="248"/>
        <v>D.1.570</v>
      </c>
      <c r="B570" s="654" t="str">
        <f t="shared" ca="1" si="249"/>
        <v>1.570</v>
      </c>
      <c r="C570" s="654" t="str">
        <f t="shared" si="265"/>
        <v>[570]</v>
      </c>
      <c r="D570" s="654">
        <f>ROW()</f>
        <v>570</v>
      </c>
      <c r="E570" s="1125" t="str">
        <f t="shared" ref="E570" ca="1" si="273">CU570</f>
        <v xml:space="preserve">"Unter Nachhaltigkeitsaspekten sollte dieses (geothermische) technische Potenzial – auch vor dem Hintergrund seiner gewaltigen Dimensionen – nur innerhalb eines sehr langen Zeitraums erschlossen werden. Denn eine Regeneration der geothermischen Ressourcen infolge des natürlichen Wärmestroms ist über kürzere Zeiträume nicht möglich. Gründe hierfür liegen u. a. in der relativ geringen Eigenwärmeerzeugung des tieferen Untergrunds, in einem relativ kleinen Wärmestrom aus dem Erdinnern (im Bereich von rund 65 mW/m2) und der im Allgemeinen vergleichsweise schlechten Wärmeleitfähigkeit von Gesteinen. Eine einmal vollständig abgekühlte Gesteinformation benötigt einige Jahrhunderte oder länger, um wieder die ursprüngliche Temperatur zu erreichen." [9.244] S. 51. </v>
      </c>
      <c r="F570" s="1125"/>
      <c r="G570" s="1125"/>
      <c r="H570" s="1125"/>
      <c r="I570" s="1125"/>
      <c r="J570" s="1125"/>
      <c r="K570" s="1125"/>
      <c r="L570" s="1125"/>
      <c r="M570" s="1125"/>
      <c r="N570" s="1132"/>
      <c r="O570" s="869">
        <v>570</v>
      </c>
      <c r="P570" s="691" t="str">
        <f t="shared" ref="P570" ca="1" si="274">HYPERLINK(EK570,EJ570)</f>
        <v>9.244</v>
      </c>
      <c r="Q570" s="692" t="str">
        <f t="shared" ref="Q570" si="275">Y570</f>
        <v>S. 51</v>
      </c>
      <c r="R570" s="852"/>
      <c r="S570" s="784"/>
      <c r="T570" s="864"/>
      <c r="U570" s="1023" t="str">
        <f ca="1">"""Unter Nachhaltigkeitsaspekten sollte dieses (geothermische) technische Potenzial – auch vor dem Hintergrund seiner gewaltigen Dimensionen – nur innerhalb eines sehr langen Zeitraums erschlossen werden. "&amp;"Denn eine Regeneration der geothermischen Ressourcen infolge des natürlichen Wärmestroms ist über kürzere Zeiträume nicht möglich. "&amp;"Gründe hierfür liegen u. a. in der relativ geringen Eigenwärmeerzeugung des tieferen Untergrunds, "&amp;"in einem relativ kleinen Wärmestrom aus dem Erdinnern (im Bereich von rund 65 mW/m2) und der im Allgemeinen vergleichsweise schlechten Wärmeleitfähigkeit von Gesteinen. "&amp;"Eine einmal vollständig abgekühlte Gesteinformation benötigt einige Jahrhunderte oder länger, um wieder die ursprüngliche Temperatur zu erreichen."" ["&amp;P570&amp;"] "&amp;Q570&amp;". "</f>
        <v xml:space="preserve">"Unter Nachhaltigkeitsaspekten sollte dieses (geothermische) technische Potenzial – auch vor dem Hintergrund seiner gewaltigen Dimensionen – nur innerhalb eines sehr langen Zeitraums erschlossen werden. Denn eine Regeneration der geothermischen Ressourcen infolge des natürlichen Wärmestroms ist über kürzere Zeiträume nicht möglich. Gründe hierfür liegen u. a. in der relativ geringen Eigenwärmeerzeugung des tieferen Untergrunds, in einem relativ kleinen Wärmestrom aus dem Erdinnern (im Bereich von rund 65 mW/m2) und der im Allgemeinen vergleichsweise schlechten Wärmeleitfähigkeit von Gesteinen. Eine einmal vollständig abgekühlte Gesteinformation benötigt einige Jahrhunderte oder länger, um wieder die ursprüngliche Temperatur zu erreichen." [9.244] S. 51. </v>
      </c>
      <c r="V570" s="905" t="s">
        <v>126</v>
      </c>
      <c r="W570" s="1024">
        <f>AH570</f>
        <v>0</v>
      </c>
      <c r="X570" s="672">
        <f>'9.Quellen'!C244</f>
        <v>244</v>
      </c>
      <c r="Y570" s="672" t="s">
        <v>626</v>
      </c>
      <c r="Z570" s="1025"/>
      <c r="AA570" s="905"/>
      <c r="AB570" s="801"/>
      <c r="AC570" s="801"/>
      <c r="AD570" s="801"/>
      <c r="AE570" s="801"/>
      <c r="AF570" s="801"/>
      <c r="AG570" s="801"/>
      <c r="AH570" s="801"/>
      <c r="AI570" s="801"/>
      <c r="AJ570" s="801"/>
      <c r="AK570" s="801"/>
      <c r="AL570" s="801"/>
      <c r="AM570" s="801"/>
      <c r="AN570" s="801"/>
      <c r="AO570" s="801"/>
      <c r="AP570" s="801"/>
      <c r="AQ570" s="801"/>
      <c r="AR570" s="801"/>
      <c r="AS570" s="801"/>
      <c r="AT570" s="801"/>
      <c r="AU570" s="801"/>
      <c r="AV570" s="801"/>
      <c r="BF570" s="657"/>
      <c r="BI570" s="656" t="s">
        <v>126</v>
      </c>
      <c r="BJ570" s="666"/>
      <c r="BO570" s="656" t="s">
        <v>252</v>
      </c>
      <c r="CU570" s="663" t="str">
        <f ca="1">IF(U570="",BF570,U570)</f>
        <v xml:space="preserve">"Unter Nachhaltigkeitsaspekten sollte dieses (geothermische) technische Potenzial – auch vor dem Hintergrund seiner gewaltigen Dimensionen – nur innerhalb eines sehr langen Zeitraums erschlossen werden. Denn eine Regeneration der geothermischen Ressourcen infolge des natürlichen Wärmestroms ist über kürzere Zeiträume nicht möglich. Gründe hierfür liegen u. a. in der relativ geringen Eigenwärmeerzeugung des tieferen Untergrunds, in einem relativ kleinen Wärmestrom aus dem Erdinnern (im Bereich von rund 65 mW/m2) und der im Allgemeinen vergleichsweise schlechten Wärmeleitfähigkeit von Gesteinen. Eine einmal vollständig abgekühlte Gesteinformation benötigt einige Jahrhunderte oder länger, um wieder die ursprüngliche Temperatur zu erreichen." [9.244] S. 51. </v>
      </c>
      <c r="CW570" s="663"/>
      <c r="DT570" s="671"/>
      <c r="EJ570" s="656" t="str">
        <f ca="1">IF(X570=0,"",EJ$1&amp;X570)</f>
        <v>9.244</v>
      </c>
      <c r="EK570" s="656" t="str">
        <f ca="1">EK$1&amp;X570</f>
        <v>[D_Python.xlsx]9.Quellen!C244</v>
      </c>
      <c r="EV570" s="819">
        <f t="shared" ca="1" si="251"/>
        <v>570</v>
      </c>
      <c r="EW570" s="819"/>
    </row>
    <row r="571" spans="1:153" s="656" customFormat="1" ht="26">
      <c r="A571" s="654" t="str">
        <f t="shared" ca="1" si="248"/>
        <v>D.1.571</v>
      </c>
      <c r="B571" s="654" t="str">
        <f t="shared" ca="1" si="249"/>
        <v>1.571</v>
      </c>
      <c r="C571" s="654" t="str">
        <f t="shared" si="265"/>
        <v>[571]</v>
      </c>
      <c r="D571" s="654">
        <f>ROW()</f>
        <v>571</v>
      </c>
      <c r="E571" s="1125" t="str">
        <f t="shared" ref="E571" ca="1" si="276">CU571</f>
        <v xml:space="preserve">"...bei der Ermittlung des technischen Angebotspotenzials (...) wird davon ausgegangen, dass das o.g. technische Potenzial über einen Zeitraum von 1.000 Jahren sukzessive erschlossen werden kann." [9.244] S. 51. </v>
      </c>
      <c r="F571" s="1125"/>
      <c r="G571" s="1125"/>
      <c r="H571" s="1125"/>
      <c r="I571" s="1125"/>
      <c r="J571" s="1125"/>
      <c r="K571" s="1125"/>
      <c r="L571" s="1125"/>
      <c r="M571" s="1125"/>
      <c r="N571" s="1132"/>
      <c r="O571" s="869">
        <v>571</v>
      </c>
      <c r="P571" s="691" t="str">
        <f t="shared" ref="P571" ca="1" si="277">HYPERLINK(EK571,EJ571)</f>
        <v>9.244</v>
      </c>
      <c r="Q571" s="692" t="str">
        <f t="shared" ref="Q571" si="278">Y571</f>
        <v>S. 51</v>
      </c>
      <c r="R571" s="852"/>
      <c r="S571" s="784"/>
      <c r="T571" s="864"/>
      <c r="U571" s="1023" t="str">
        <f ca="1">"""...bei der Ermittlung des technischen Angebotspotenzials (...) wird davon ausgegangen, dass das o.g. technische Potenzial über einen Zeitraum von 1.000 Jahren sukzessive erschlossen werden kann."" ["&amp;P571&amp;"] "&amp;Q571&amp;". "</f>
        <v xml:space="preserve">"...bei der Ermittlung des technischen Angebotspotenzials (...) wird davon ausgegangen, dass das o.g. technische Potenzial über einen Zeitraum von 1.000 Jahren sukzessive erschlossen werden kann." [9.244] S. 51. </v>
      </c>
      <c r="V571" s="905" t="s">
        <v>126</v>
      </c>
      <c r="W571" s="1024">
        <f>AH571</f>
        <v>0</v>
      </c>
      <c r="X571" s="672">
        <f>'9.Quellen'!C244</f>
        <v>244</v>
      </c>
      <c r="Y571" s="672" t="s">
        <v>626</v>
      </c>
      <c r="Z571" s="1025"/>
      <c r="AA571" s="905"/>
      <c r="AB571" s="801"/>
      <c r="AC571" s="801"/>
      <c r="AD571" s="801"/>
      <c r="AE571" s="801"/>
      <c r="AF571" s="801"/>
      <c r="AG571" s="801"/>
      <c r="AH571" s="801"/>
      <c r="AI571" s="801"/>
      <c r="AJ571" s="801"/>
      <c r="AK571" s="801"/>
      <c r="AL571" s="801"/>
      <c r="AM571" s="801"/>
      <c r="AN571" s="801"/>
      <c r="AO571" s="801"/>
      <c r="AP571" s="801"/>
      <c r="AQ571" s="801"/>
      <c r="AR571" s="801"/>
      <c r="AS571" s="801"/>
      <c r="AT571" s="801"/>
      <c r="AU571" s="801"/>
      <c r="AV571" s="801"/>
      <c r="BF571" s="657"/>
      <c r="BI571" s="656" t="s">
        <v>126</v>
      </c>
      <c r="BJ571" s="666"/>
      <c r="BO571" s="656" t="s">
        <v>252</v>
      </c>
      <c r="CU571" s="663" t="str">
        <f ca="1">IF(U571="",BF571,U571)</f>
        <v xml:space="preserve">"...bei der Ermittlung des technischen Angebotspotenzials (...) wird davon ausgegangen, dass das o.g. technische Potenzial über einen Zeitraum von 1.000 Jahren sukzessive erschlossen werden kann." [9.244] S. 51. </v>
      </c>
      <c r="CW571" s="663"/>
      <c r="DT571" s="671"/>
      <c r="EJ571" s="656" t="str">
        <f ca="1">IF(X571=0,"",EJ$1&amp;X571)</f>
        <v>9.244</v>
      </c>
      <c r="EK571" s="656" t="str">
        <f ca="1">EK$1&amp;X571</f>
        <v>[D_Python.xlsx]9.Quellen!C244</v>
      </c>
      <c r="EV571" s="819">
        <f t="shared" ca="1" si="251"/>
        <v>571</v>
      </c>
      <c r="EW571" s="819"/>
    </row>
    <row r="572" spans="1:153" s="661" customFormat="1" ht="4">
      <c r="A572" s="677" t="str">
        <f t="shared" ca="1" si="248"/>
        <v>D.1.572</v>
      </c>
      <c r="B572" s="677" t="str">
        <f t="shared" ca="1" si="249"/>
        <v>1.572</v>
      </c>
      <c r="C572" s="677" t="str">
        <f t="shared" si="265"/>
        <v>[572]</v>
      </c>
      <c r="D572" s="677">
        <f>ROW()</f>
        <v>572</v>
      </c>
      <c r="E572" s="685"/>
      <c r="F572" s="685"/>
      <c r="G572" s="685"/>
      <c r="H572" s="685"/>
      <c r="I572" s="686"/>
      <c r="J572" s="686"/>
      <c r="K572" s="686"/>
      <c r="L572" s="686"/>
      <c r="M572" s="686"/>
      <c r="N572" s="685"/>
      <c r="O572" s="871">
        <v>572</v>
      </c>
      <c r="P572" s="693"/>
      <c r="Q572" s="694"/>
      <c r="R572" s="888"/>
      <c r="S572" s="802"/>
      <c r="T572" s="882"/>
      <c r="AB572" s="675"/>
      <c r="AC572" s="675"/>
      <c r="AD572" s="675"/>
      <c r="AE572" s="675"/>
      <c r="AF572" s="675"/>
      <c r="AG572" s="675"/>
      <c r="AH572" s="675"/>
      <c r="AI572" s="675"/>
      <c r="AJ572" s="675"/>
      <c r="AK572" s="675"/>
      <c r="AL572" s="675"/>
      <c r="AM572" s="675"/>
      <c r="AN572" s="675"/>
      <c r="AO572" s="675"/>
      <c r="AP572" s="675"/>
      <c r="AQ572" s="675"/>
      <c r="AR572" s="675"/>
      <c r="AS572" s="675"/>
      <c r="AT572" s="675"/>
      <c r="AU572" s="675"/>
      <c r="AV572" s="675"/>
      <c r="AZ572" s="669"/>
      <c r="BB572" s="669"/>
      <c r="BI572" s="661" t="s">
        <v>126</v>
      </c>
      <c r="BJ572" s="665"/>
      <c r="CU572" s="662"/>
      <c r="CW572" s="662"/>
      <c r="EV572" s="818" t="str">
        <f t="shared" si="251"/>
        <v/>
      </c>
      <c r="EW572" s="818"/>
    </row>
    <row r="573" spans="1:153" s="658" customFormat="1" ht="13.5" customHeight="1">
      <c r="A573" s="654" t="str">
        <f t="shared" ca="1" si="248"/>
        <v>D.1.573</v>
      </c>
      <c r="B573" s="654" t="str">
        <f t="shared" ca="1" si="249"/>
        <v>1.573</v>
      </c>
      <c r="C573" s="654" t="str">
        <f t="shared" si="265"/>
        <v>[573]</v>
      </c>
      <c r="D573" s="654">
        <f>ROW()</f>
        <v>573</v>
      </c>
      <c r="E573" s="1153" t="str">
        <f>BP573</f>
        <v>Tiefen-Geoth. - Technisches Gesamtpot.Nds.</v>
      </c>
      <c r="F573" s="1153"/>
      <c r="G573" s="1153"/>
      <c r="H573" s="1153"/>
      <c r="I573" s="1153"/>
      <c r="J573" s="559" t="s">
        <v>613</v>
      </c>
      <c r="K573" s="703">
        <f ca="1">INDIRECT($W$1&amp;U573)</f>
        <v>61111.111111111102</v>
      </c>
      <c r="L573" s="485" t="str">
        <f ca="1">HYPERLINK($CK$1&amp;U573,$CE$1&amp;U573&amp;$CF$1)</f>
        <v>[574]</v>
      </c>
      <c r="M573" s="702" t="s">
        <v>612</v>
      </c>
      <c r="N573" s="681"/>
      <c r="O573" s="869">
        <v>573</v>
      </c>
      <c r="P573" s="690"/>
      <c r="Q573" s="695"/>
      <c r="R573" s="852"/>
      <c r="S573" s="784"/>
      <c r="T573" s="864"/>
      <c r="U573" s="672">
        <f>D574</f>
        <v>574</v>
      </c>
      <c r="V573" s="905" t="s">
        <v>126</v>
      </c>
      <c r="AB573" s="801"/>
      <c r="AC573" s="801"/>
      <c r="AD573" s="674"/>
      <c r="AE573" s="674"/>
      <c r="AF573" s="674"/>
      <c r="AG573" s="674"/>
      <c r="AH573" s="674"/>
      <c r="AI573" s="674"/>
      <c r="AJ573" s="674"/>
      <c r="AK573" s="674"/>
      <c r="AL573" s="674"/>
      <c r="AM573" s="674"/>
      <c r="AN573" s="674"/>
      <c r="AO573" s="674"/>
      <c r="AP573" s="674"/>
      <c r="AQ573" s="674"/>
      <c r="AR573" s="674"/>
      <c r="AS573" s="674"/>
      <c r="AT573" s="674"/>
      <c r="AU573" s="674"/>
      <c r="AV573" s="674"/>
      <c r="AX573" s="658" t="s">
        <v>244</v>
      </c>
      <c r="AY573" s="668">
        <f ca="1">DA573</f>
        <v>0.55188000000000004</v>
      </c>
      <c r="AZ573" s="670" t="str">
        <f ca="1">HYPERLINK(DN573,DC573)</f>
        <v xml:space="preserve"> 410</v>
      </c>
      <c r="BA573" s="668">
        <f ca="1">DB573</f>
        <v>0.55188000000000004</v>
      </c>
      <c r="BB573" s="670" t="str">
        <f ca="1">HYPERLINK(DO573,DD573)</f>
        <v xml:space="preserve"> 411</v>
      </c>
      <c r="BC573" s="658" t="str">
        <f ca="1">CY573&amp;" | "&amp;CZ573</f>
        <v>Strom | 2.2.1 Energieertrag Strom aus Tiefen-Geothermie</v>
      </c>
      <c r="BI573" s="658" t="s">
        <v>126</v>
      </c>
      <c r="BJ573" s="667" t="str">
        <f>E573</f>
        <v>Tiefen-Geoth. - Technisches Gesamtpot.Nds.</v>
      </c>
      <c r="BK573" s="664">
        <f ca="1">K573</f>
        <v>61111.111111111102</v>
      </c>
      <c r="BL573" s="664" t="str">
        <f>M573</f>
        <v>(n.r.)</v>
      </c>
      <c r="BM573" s="656">
        <f>D573</f>
        <v>573</v>
      </c>
      <c r="BO573" s="658" t="s">
        <v>251</v>
      </c>
      <c r="BP573" s="676" t="s">
        <v>614</v>
      </c>
      <c r="CU573" s="659"/>
      <c r="CW573" s="671">
        <v>106</v>
      </c>
      <c r="CY573" s="656" t="str">
        <f t="shared" ref="CY573:DO573" ca="1" si="279">INDIRECT($CX$1&amp;CY$1&amp;$CW573)</f>
        <v>Strom</v>
      </c>
      <c r="CZ573" s="656" t="str">
        <f t="shared" ca="1" si="279"/>
        <v>2.2.1 Energieertrag Strom aus Tiefen-Geothermie</v>
      </c>
      <c r="DA573" s="656">
        <f t="shared" ca="1" si="279"/>
        <v>0.55188000000000004</v>
      </c>
      <c r="DB573" s="656">
        <f t="shared" ca="1" si="279"/>
        <v>0.55188000000000004</v>
      </c>
      <c r="DC573" s="656" t="str">
        <f t="shared" ca="1" si="279"/>
        <v xml:space="preserve"> 410</v>
      </c>
      <c r="DD573" s="656" t="str">
        <f t="shared" ca="1" si="279"/>
        <v xml:space="preserve"> 411</v>
      </c>
      <c r="DE573" s="656" t="str">
        <f t="shared" ca="1" si="279"/>
        <v>UG98</v>
      </c>
      <c r="DF573" s="656" t="str">
        <f t="shared" ca="1" si="279"/>
        <v>UG98</v>
      </c>
      <c r="DG573" s="656" t="str">
        <f t="shared" ca="1" si="279"/>
        <v>UG</v>
      </c>
      <c r="DH573" s="656" t="str">
        <f t="shared" ca="1" si="279"/>
        <v>98</v>
      </c>
      <c r="DI573" s="656" t="str">
        <f t="shared" ca="1" si="279"/>
        <v>[UG.xls]TEXT!Z98S5</v>
      </c>
      <c r="DJ573" s="656" t="str">
        <f t="shared" ca="1" si="279"/>
        <v>UG</v>
      </c>
      <c r="DK573" s="656" t="str">
        <f t="shared" ca="1" si="279"/>
        <v>98</v>
      </c>
      <c r="DL573" s="656" t="str">
        <f t="shared" ca="1" si="279"/>
        <v>[UG.xls]TEXT!Z98S5</v>
      </c>
      <c r="DM573" s="656">
        <f t="shared" ca="1" si="279"/>
        <v>106</v>
      </c>
      <c r="DN573" s="656" t="str">
        <f t="shared" ca="1" si="279"/>
        <v>[Region.xls]PARAMETER!Z410S6</v>
      </c>
      <c r="DO573" s="656" t="str">
        <f t="shared" ca="1" si="279"/>
        <v>[Region.xls]PARAMETER!Z411S6</v>
      </c>
      <c r="DP573" s="656"/>
      <c r="DS573" s="656"/>
      <c r="DV573" s="656"/>
      <c r="DW573" s="656"/>
      <c r="DX573" s="656"/>
      <c r="DY573" s="656"/>
      <c r="DZ573" s="656"/>
      <c r="EA573" s="656"/>
      <c r="EB573" s="656"/>
      <c r="EC573" s="656"/>
      <c r="ED573" s="656"/>
      <c r="EE573" s="656"/>
      <c r="EF573" s="656"/>
      <c r="EG573" s="656"/>
      <c r="EH573" s="656"/>
      <c r="EI573" s="656"/>
      <c r="EJ573" s="656"/>
      <c r="EK573" s="656"/>
      <c r="EV573" s="819">
        <f t="shared" si="251"/>
        <v>573</v>
      </c>
      <c r="EW573" s="819"/>
    </row>
    <row r="574" spans="1:153" s="656" customFormat="1" ht="78">
      <c r="A574" s="654" t="str">
        <f t="shared" ca="1" si="248"/>
        <v>D.1.574</v>
      </c>
      <c r="B574" s="654" t="str">
        <f t="shared" ca="1" si="249"/>
        <v>1.574</v>
      </c>
      <c r="C574" s="654" t="str">
        <f t="shared" si="265"/>
        <v>[574]</v>
      </c>
      <c r="D574" s="654">
        <f>ROW()</f>
        <v>574</v>
      </c>
      <c r="E574" s="1125" t="str">
        <f t="shared" ref="E574:E575" ca="1" si="280">CU574</f>
        <v>Gemäß TAB [9.244], S. 39, liegt das im Kristallinen Gestein des norddeutschen Beckens gespeicherte technische Potenzial an Elektrischer Energie in der Größe von 66 EJ . Da auf Niedersachsen etwa ein Drittel des norddeutschen Beckens entfällt, wird dies hier vereinfachend auch für das Potenzial angenommen, dies entspricht 6.111 TWh . Mit einem Verstromungs-Wirkungsgrad von 10% [571] zurück gerechnet liegt das Heißwasser-Energiepotenzial bei 61.111 TWh . Diese Angabe dient im Sinne der Nachhaltigkeit zu der Abschätzung, nach welcher Betriebszeit das Potenzial erschöpft wäre (siehe dazu [575]).</v>
      </c>
      <c r="F574" s="1125"/>
      <c r="G574" s="1125"/>
      <c r="H574" s="1125"/>
      <c r="I574" s="1125"/>
      <c r="J574" s="1125"/>
      <c r="K574" s="1125"/>
      <c r="L574" s="1125"/>
      <c r="M574" s="1125"/>
      <c r="N574" s="1132"/>
      <c r="O574" s="869">
        <v>574</v>
      </c>
      <c r="P574" s="691" t="str">
        <f t="shared" ref="P574:P575" ca="1" si="281">HYPERLINK(EK574,EJ574)</f>
        <v>9.244</v>
      </c>
      <c r="Q574" s="692" t="str">
        <f t="shared" ref="Q574:Q575" si="282">Y574</f>
        <v>S. 39</v>
      </c>
      <c r="R574" s="852"/>
      <c r="S574" s="784"/>
      <c r="T574" s="864"/>
      <c r="U574" s="1023" t="str">
        <f ca="1">"Gemäß TAB ["&amp;P574&amp;"], "&amp;Q574&amp;", liegt das im Kristallinen Gestein des norddeutschen Beckens gespeicherte technische Potenzial an Elektrischer Energie in der Größe von "&amp;AD574&amp;AE574&amp;". Da auf Niedersachsen etwa ein Drittel des norddeutschen Beckens entfällt, wird dies hier vereinfachend auch für das Potenzial angenommen, dies entspricht "&amp;TEXT(AK574,"0.000")&amp;AI574&amp;". Mit einem Verstromungs-Wirkungsgrad von "&amp;AL574&amp;AM574&amp;C571&amp;" zurück gerechnet liegt das Heißwasser-Energiepotenzial bei "&amp;TEXT(AN574,"0.000")&amp;AO574&amp;". Diese Angabe dient im Sinne der Nachhaltigkeit zu der Abschätzung, nach welcher Betriebszeit das Potenzial erschöpft wäre (siehe dazu "&amp;C575&amp;")."</f>
        <v>Gemäß TAB [9.244], S. 39, liegt das im Kristallinen Gestein des norddeutschen Beckens gespeicherte technische Potenzial an Elektrischer Energie in der Größe von 66 EJ . Da auf Niedersachsen etwa ein Drittel des norddeutschen Beckens entfällt, wird dies hier vereinfachend auch für das Potenzial angenommen, dies entspricht 6.111 TWh . Mit einem Verstromungs-Wirkungsgrad von 10% [571] zurück gerechnet liegt das Heißwasser-Energiepotenzial bei 61.111 TWh . Diese Angabe dient im Sinne der Nachhaltigkeit zu der Abschätzung, nach welcher Betriebszeit das Potenzial erschöpft wäre (siehe dazu [575]).</v>
      </c>
      <c r="V574" s="905" t="s">
        <v>126</v>
      </c>
      <c r="W574" s="1024">
        <f>AN574</f>
        <v>61111.111111111102</v>
      </c>
      <c r="X574" s="672">
        <f>'9.Quellen'!C244</f>
        <v>244</v>
      </c>
      <c r="Y574" s="672" t="s">
        <v>669</v>
      </c>
      <c r="Z574" s="1025"/>
      <c r="AA574" s="905"/>
      <c r="AB574" s="801"/>
      <c r="AC574" s="801"/>
      <c r="AD574" s="801">
        <v>66</v>
      </c>
      <c r="AE574" s="801" t="s">
        <v>622</v>
      </c>
      <c r="AF574" s="801">
        <f>1000/3.6</f>
        <v>277.77777777777777</v>
      </c>
      <c r="AG574" s="801" t="s">
        <v>623</v>
      </c>
      <c r="AH574" s="801">
        <f>AD574*AF574</f>
        <v>18333.333333333332</v>
      </c>
      <c r="AI574" s="801" t="s">
        <v>624</v>
      </c>
      <c r="AJ574" s="801">
        <f>1/3</f>
        <v>0.33333333333333331</v>
      </c>
      <c r="AK574" s="801">
        <f>AH574*AJ574</f>
        <v>6111.1111111111104</v>
      </c>
      <c r="AL574" s="801">
        <f>AD566</f>
        <v>10</v>
      </c>
      <c r="AM574" s="801" t="str">
        <f>AE566</f>
        <v xml:space="preserve">% </v>
      </c>
      <c r="AN574" s="801">
        <f>AK574/AL574%</f>
        <v>61111.111111111102</v>
      </c>
      <c r="AO574" s="801" t="s">
        <v>624</v>
      </c>
      <c r="AP574" s="801"/>
      <c r="AQ574" s="801"/>
      <c r="AR574" s="801"/>
      <c r="AS574" s="801"/>
      <c r="AT574" s="801"/>
      <c r="AU574" s="801"/>
      <c r="AV574" s="801"/>
      <c r="BF574" s="657"/>
      <c r="BI574" s="656" t="s">
        <v>126</v>
      </c>
      <c r="BJ574" s="666"/>
      <c r="BO574" s="656" t="s">
        <v>252</v>
      </c>
      <c r="CU574" s="663" t="str">
        <f ca="1">IF(U574="",BF574,U574)</f>
        <v>Gemäß TAB [9.244], S. 39, liegt das im Kristallinen Gestein des norddeutschen Beckens gespeicherte technische Potenzial an Elektrischer Energie in der Größe von 66 EJ . Da auf Niedersachsen etwa ein Drittel des norddeutschen Beckens entfällt, wird dies hier vereinfachend auch für das Potenzial angenommen, dies entspricht 6.111 TWh . Mit einem Verstromungs-Wirkungsgrad von 10% [571] zurück gerechnet liegt das Heißwasser-Energiepotenzial bei 61.111 TWh . Diese Angabe dient im Sinne der Nachhaltigkeit zu der Abschätzung, nach welcher Betriebszeit das Potenzial erschöpft wäre (siehe dazu [575]).</v>
      </c>
      <c r="CW574" s="663"/>
      <c r="DT574" s="671"/>
      <c r="EJ574" s="656" t="str">
        <f ca="1">IF(X574=0,"",EJ$1&amp;X574)</f>
        <v>9.244</v>
      </c>
      <c r="EK574" s="656" t="str">
        <f ca="1">EK$1&amp;X574</f>
        <v>[D_Python.xlsx]9.Quellen!C244</v>
      </c>
      <c r="EV574" s="819">
        <f t="shared" ca="1" si="251"/>
        <v>574</v>
      </c>
      <c r="EW574" s="819"/>
    </row>
    <row r="575" spans="1:153" s="656" customFormat="1" ht="52">
      <c r="A575" s="654" t="str">
        <f t="shared" ca="1" si="248"/>
        <v>D.1.575</v>
      </c>
      <c r="B575" s="654" t="str">
        <f t="shared" ca="1" si="249"/>
        <v>1.575</v>
      </c>
      <c r="C575" s="654" t="str">
        <f t="shared" si="265"/>
        <v>[575]</v>
      </c>
      <c r="D575" s="654">
        <f>ROW()</f>
        <v>575</v>
      </c>
      <c r="E575" s="1125" t="str">
        <f t="shared" ca="1" si="280"/>
        <v>3.000.000 TWh  Wärmepotenzial aus Geothermie sind in Deutschland über einen Zeitraum von 1000 Jahren zur Verstromung nutzbar, resultiernd aus einer Abschätzung des TAB [9.244], S. 55: 300.000 TWh  jährliches technisches Angebotspotenzial geothermischer Stromerzeugung, nutzbar mit einem Verstromungs-Wirkungsgrad von 10% [566]. Im Gestein gespeicherte Wärme macht mit 95% den größten Anteil aus.</v>
      </c>
      <c r="F575" s="1125"/>
      <c r="G575" s="1125"/>
      <c r="H575" s="1125"/>
      <c r="I575" s="1125"/>
      <c r="J575" s="1125"/>
      <c r="K575" s="1125"/>
      <c r="L575" s="1125"/>
      <c r="M575" s="1125"/>
      <c r="N575" s="1132"/>
      <c r="O575" s="869">
        <v>575</v>
      </c>
      <c r="P575" s="691" t="str">
        <f t="shared" ca="1" si="281"/>
        <v>9.244</v>
      </c>
      <c r="Q575" s="692" t="str">
        <f t="shared" si="282"/>
        <v>S. 55</v>
      </c>
      <c r="R575" s="852"/>
      <c r="S575" s="784"/>
      <c r="T575" s="864"/>
      <c r="U575" s="1023" t="str">
        <f ca="1">TEXT(AH575,"0.000")&amp;AI575&amp;" Wärmepotenzial aus Geothermie sind in Deutschland über einen Zeitraum von "&amp;AJ575&amp;" Jahren zur Verstromung nutzbar, resultiernd aus einer Abschätzung des TAB ["&amp;P575&amp;"], "&amp;Q575&amp;": "&amp;TEXT(AD575,"0.000")&amp;AE575&amp;" jährliches technisches Angebotspotenzial geothermischer Stromerzeugung, nutzbar mit einem Verstromungs-Wirkungsgrad von "&amp;AF575&amp;AG575&amp;C566&amp;". Im Gestein gespeicherte Wärme macht mit 95% den größten Anteil aus."</f>
        <v>3.000.000 TWh  Wärmepotenzial aus Geothermie sind in Deutschland über einen Zeitraum von 1000 Jahren zur Verstromung nutzbar, resultiernd aus einer Abschätzung des TAB [9.244], S. 55: 300.000 TWh  jährliches technisches Angebotspotenzial geothermischer Stromerzeugung, nutzbar mit einem Verstromungs-Wirkungsgrad von 10% [566]. Im Gestein gespeicherte Wärme macht mit 95% den größten Anteil aus.</v>
      </c>
      <c r="V575" s="905" t="s">
        <v>126</v>
      </c>
      <c r="W575" s="1024">
        <f>AH575</f>
        <v>3000000</v>
      </c>
      <c r="X575" s="672">
        <f>'9.Quellen'!C244</f>
        <v>244</v>
      </c>
      <c r="Y575" s="672" t="s">
        <v>628</v>
      </c>
      <c r="Z575" s="1025"/>
      <c r="AA575" s="905"/>
      <c r="AB575" s="801"/>
      <c r="AC575" s="801"/>
      <c r="AD575" s="801">
        <v>300000</v>
      </c>
      <c r="AE575" s="801" t="s">
        <v>624</v>
      </c>
      <c r="AF575" s="801">
        <f>AD566</f>
        <v>10</v>
      </c>
      <c r="AG575" s="801" t="str">
        <f>AE566</f>
        <v xml:space="preserve">% </v>
      </c>
      <c r="AH575" s="801">
        <f>AD575/AF575%</f>
        <v>3000000</v>
      </c>
      <c r="AI575" s="801" t="s">
        <v>624</v>
      </c>
      <c r="AJ575" s="801">
        <v>1000</v>
      </c>
      <c r="AK575" s="801" t="s">
        <v>627</v>
      </c>
      <c r="AL575" s="801"/>
      <c r="AM575" s="801"/>
      <c r="AN575" s="801"/>
      <c r="AO575" s="801"/>
      <c r="AP575" s="801"/>
      <c r="AQ575" s="801"/>
      <c r="AR575" s="801"/>
      <c r="AS575" s="801"/>
      <c r="AT575" s="801"/>
      <c r="AU575" s="801"/>
      <c r="AV575" s="801"/>
      <c r="BF575" s="657"/>
      <c r="BI575" s="656" t="s">
        <v>126</v>
      </c>
      <c r="BJ575" s="666"/>
      <c r="BO575" s="656" t="s">
        <v>252</v>
      </c>
      <c r="CU575" s="663" t="str">
        <f ca="1">IF(U575="",BF575,U575)</f>
        <v>3.000.000 TWh  Wärmepotenzial aus Geothermie sind in Deutschland über einen Zeitraum von 1000 Jahren zur Verstromung nutzbar, resultiernd aus einer Abschätzung des TAB [9.244], S. 55: 300.000 TWh  jährliches technisches Angebotspotenzial geothermischer Stromerzeugung, nutzbar mit einem Verstromungs-Wirkungsgrad von 10% [566]. Im Gestein gespeicherte Wärme macht mit 95% den größten Anteil aus.</v>
      </c>
      <c r="CW575" s="663"/>
      <c r="DT575" s="671"/>
      <c r="EJ575" s="656" t="str">
        <f ca="1">IF(X575=0,"",EJ$1&amp;X575)</f>
        <v>9.244</v>
      </c>
      <c r="EK575" s="656" t="str">
        <f ca="1">EK$1&amp;X575</f>
        <v>[D_Python.xlsx]9.Quellen!C244</v>
      </c>
      <c r="EV575" s="819">
        <f t="shared" ca="1" si="251"/>
        <v>575</v>
      </c>
      <c r="EW575" s="819"/>
    </row>
    <row r="576" spans="1:153" s="478" customFormat="1" ht="4">
      <c r="A576" s="677" t="str">
        <f t="shared" ca="1" si="248"/>
        <v>D.1.576</v>
      </c>
      <c r="B576" s="677" t="str">
        <f t="shared" ca="1" si="249"/>
        <v>1.576</v>
      </c>
      <c r="C576" s="677" t="str">
        <f t="shared" si="265"/>
        <v>[576]</v>
      </c>
      <c r="D576" s="677">
        <f>ROW()</f>
        <v>576</v>
      </c>
      <c r="E576" s="548"/>
      <c r="F576" s="548"/>
      <c r="G576" s="548"/>
      <c r="H576" s="548"/>
      <c r="I576" s="549"/>
      <c r="J576" s="549"/>
      <c r="K576" s="549"/>
      <c r="L576" s="549"/>
      <c r="M576" s="549"/>
      <c r="N576" s="548"/>
      <c r="O576" s="871">
        <v>576</v>
      </c>
      <c r="P576" s="575"/>
      <c r="Q576" s="576"/>
      <c r="R576" s="888"/>
      <c r="S576" s="802"/>
      <c r="T576" s="882"/>
      <c r="U576" s="661"/>
      <c r="V576" s="661"/>
      <c r="W576" s="661"/>
      <c r="X576" s="661"/>
      <c r="Y576" s="661"/>
      <c r="Z576" s="661"/>
      <c r="AA576" s="661"/>
      <c r="AB576" s="675"/>
      <c r="AC576" s="675"/>
      <c r="AD576" s="675"/>
      <c r="AE576" s="675"/>
      <c r="AF576" s="675"/>
      <c r="AG576" s="675"/>
      <c r="AH576" s="675"/>
      <c r="AI576" s="675"/>
      <c r="AJ576" s="675"/>
      <c r="AK576" s="675"/>
      <c r="AL576" s="675"/>
      <c r="AM576" s="675"/>
      <c r="AN576" s="675"/>
      <c r="AO576" s="675"/>
      <c r="AP576" s="675"/>
      <c r="AQ576" s="675"/>
      <c r="AR576" s="675"/>
      <c r="AS576" s="675"/>
      <c r="AT576" s="675"/>
      <c r="AU576" s="675"/>
      <c r="AV576" s="675"/>
      <c r="AZ576" s="505"/>
      <c r="BB576" s="505"/>
      <c r="BI576" s="478" t="s">
        <v>126</v>
      </c>
      <c r="BJ576" s="489"/>
      <c r="BN576" s="661"/>
      <c r="CU576" s="479"/>
      <c r="CV576" s="661"/>
      <c r="CW576" s="479"/>
      <c r="DS576" s="661"/>
      <c r="EV576" s="818" t="str">
        <f t="shared" si="251"/>
        <v/>
      </c>
      <c r="EW576" s="818"/>
    </row>
    <row r="577" spans="1:153" s="475" customFormat="1" ht="13.5" customHeight="1">
      <c r="A577" s="654" t="str">
        <f t="shared" ca="1" si="248"/>
        <v>D.1.577</v>
      </c>
      <c r="B577" s="654" t="str">
        <f t="shared" ca="1" si="249"/>
        <v>1.577</v>
      </c>
      <c r="C577" s="654" t="str">
        <f t="shared" si="265"/>
        <v>[577]</v>
      </c>
      <c r="D577" s="654">
        <f>ROW()</f>
        <v>577</v>
      </c>
      <c r="E577" s="1129" t="str">
        <f>BP577</f>
        <v>Tiefen-Geoth. - eff.Nutzungsgrad KWK-Abwärme</v>
      </c>
      <c r="F577" s="1129"/>
      <c r="G577" s="1129"/>
      <c r="H577" s="1129"/>
      <c r="I577" s="1129"/>
      <c r="J577" s="559" t="s">
        <v>38</v>
      </c>
      <c r="K577" s="557">
        <f ca="1">INDIRECT($W$1&amp;U577)</f>
        <v>0</v>
      </c>
      <c r="L577" s="485" t="str">
        <f ca="1">HYPERLINK($CK$1&amp;U577,$CE$1&amp;U577&amp;$CF$1)</f>
        <v>[578]</v>
      </c>
      <c r="M577" s="558">
        <f ca="1">INDIRECT($W$1&amp;W577)</f>
        <v>0</v>
      </c>
      <c r="N577" s="533" t="str">
        <f ca="1">HYPERLINK($CK$1&amp;W577,$CE$1&amp;W577&amp;$CF$1)</f>
        <v>[580]</v>
      </c>
      <c r="O577" s="869">
        <v>577</v>
      </c>
      <c r="P577" s="570"/>
      <c r="Q577" s="583"/>
      <c r="R577" s="852"/>
      <c r="S577" s="784"/>
      <c r="T577" s="864"/>
      <c r="U577" s="672">
        <f>D578</f>
        <v>578</v>
      </c>
      <c r="V577" s="905" t="s">
        <v>126</v>
      </c>
      <c r="W577" s="672">
        <f>D580</f>
        <v>580</v>
      </c>
      <c r="X577" s="658"/>
      <c r="Y577" s="658"/>
      <c r="Z577" s="658"/>
      <c r="AA577" s="658"/>
      <c r="AB577" s="801"/>
      <c r="AC577" s="801"/>
      <c r="AD577" s="674"/>
      <c r="AE577" s="674"/>
      <c r="AF577" s="674"/>
      <c r="AG577" s="674"/>
      <c r="AH577" s="674"/>
      <c r="AI577" s="674"/>
      <c r="AJ577" s="674"/>
      <c r="AK577" s="674"/>
      <c r="AL577" s="674"/>
      <c r="AM577" s="674"/>
      <c r="AN577" s="674"/>
      <c r="AO577" s="674"/>
      <c r="AP577" s="674"/>
      <c r="AQ577" s="674"/>
      <c r="AR577" s="674"/>
      <c r="AS577" s="674"/>
      <c r="AT577" s="674"/>
      <c r="AU577" s="674"/>
      <c r="AV577" s="674"/>
      <c r="AX577" s="475" t="s">
        <v>244</v>
      </c>
      <c r="AY577" s="500">
        <f ca="1">DA577</f>
        <v>2.3178959999999997</v>
      </c>
      <c r="AZ577" s="508" t="str">
        <f ca="1">HYPERLINK(DN577,DC577)</f>
        <v xml:space="preserve"> 414</v>
      </c>
      <c r="BA577" s="500">
        <f ca="1">DB577</f>
        <v>2.7042119999999996</v>
      </c>
      <c r="BB577" s="508" t="str">
        <f ca="1">HYPERLINK(DO577,DD577)</f>
        <v xml:space="preserve"> 415</v>
      </c>
      <c r="BC577" s="475" t="str">
        <f ca="1">CY577&amp;" | "&amp;CZ577</f>
        <v>Wärme | 2.2.2 Energieertrag Abwärme aus Verstromung von Tiefen-Geothermie</v>
      </c>
      <c r="BI577" s="475" t="s">
        <v>126</v>
      </c>
      <c r="BJ577" s="492" t="str">
        <f>E577</f>
        <v>Tiefen-Geoth. - eff.Nutzungsgrad KWK-Abwärme</v>
      </c>
      <c r="BK577" s="486">
        <f ca="1">K577</f>
        <v>0</v>
      </c>
      <c r="BL577" s="486">
        <f ca="1">M577</f>
        <v>0</v>
      </c>
      <c r="BM577" s="472">
        <f>D577</f>
        <v>577</v>
      </c>
      <c r="BN577" s="658"/>
      <c r="BO577" s="475" t="s">
        <v>251</v>
      </c>
      <c r="BP577" s="521" t="s">
        <v>615</v>
      </c>
      <c r="CU577" s="476"/>
      <c r="CV577" s="658"/>
      <c r="CW577" s="518">
        <v>107</v>
      </c>
      <c r="CY577" s="472" t="str">
        <f t="shared" ref="CY577:DO577" ca="1" si="283">INDIRECT($CX$1&amp;CY$1&amp;$CW577)</f>
        <v>Wärme</v>
      </c>
      <c r="CZ577" s="472" t="str">
        <f t="shared" ca="1" si="283"/>
        <v>2.2.2 Energieertrag Abwärme aus Verstromung von Tiefen-Geothermie</v>
      </c>
      <c r="DA577" s="472">
        <f t="shared" ca="1" si="283"/>
        <v>2.3178959999999997</v>
      </c>
      <c r="DB577" s="472">
        <f t="shared" ca="1" si="283"/>
        <v>2.7042119999999996</v>
      </c>
      <c r="DC577" s="472" t="str">
        <f t="shared" ca="1" si="283"/>
        <v xml:space="preserve"> 414</v>
      </c>
      <c r="DD577" s="472" t="str">
        <f t="shared" ca="1" si="283"/>
        <v xml:space="preserve"> 415</v>
      </c>
      <c r="DE577" s="472" t="str">
        <f t="shared" ca="1" si="283"/>
        <v>UG99</v>
      </c>
      <c r="DF577" s="472" t="str">
        <f t="shared" ca="1" si="283"/>
        <v>UG99</v>
      </c>
      <c r="DG577" s="472" t="str">
        <f t="shared" ca="1" si="283"/>
        <v>UG</v>
      </c>
      <c r="DH577" s="472" t="str">
        <f t="shared" ca="1" si="283"/>
        <v>99</v>
      </c>
      <c r="DI577" s="472" t="str">
        <f t="shared" ca="1" si="283"/>
        <v>[UG.xls]TEXT!Z99S5</v>
      </c>
      <c r="DJ577" s="472" t="str">
        <f t="shared" ca="1" si="283"/>
        <v>UG</v>
      </c>
      <c r="DK577" s="472" t="str">
        <f t="shared" ca="1" si="283"/>
        <v>99</v>
      </c>
      <c r="DL577" s="472" t="str">
        <f t="shared" ca="1" si="283"/>
        <v>[UG.xls]TEXT!Z99S5</v>
      </c>
      <c r="DM577" s="472">
        <f t="shared" ca="1" si="283"/>
        <v>107</v>
      </c>
      <c r="DN577" s="472" t="str">
        <f t="shared" ca="1" si="283"/>
        <v>[Region.xls]PARAMETER!Z414S6</v>
      </c>
      <c r="DO577" s="472" t="str">
        <f t="shared" ca="1" si="283"/>
        <v>[Region.xls]PARAMETER!Z415S6</v>
      </c>
      <c r="DP577" s="472"/>
      <c r="DS577" s="656"/>
      <c r="DV577" s="472"/>
      <c r="DW577" s="472"/>
      <c r="DX577" s="472"/>
      <c r="DY577" s="472"/>
      <c r="DZ577" s="472"/>
      <c r="EA577" s="472"/>
      <c r="EB577" s="472"/>
      <c r="EC577" s="472"/>
      <c r="ED577" s="472"/>
      <c r="EE577" s="472"/>
      <c r="EF577" s="472"/>
      <c r="EG577" s="472"/>
      <c r="EH577" s="472"/>
      <c r="EI577" s="472"/>
      <c r="EJ577" s="472"/>
      <c r="EK577" s="472"/>
      <c r="EV577" s="819">
        <f t="shared" si="251"/>
        <v>577</v>
      </c>
      <c r="EW577" s="819"/>
    </row>
    <row r="578" spans="1:153" s="472" customFormat="1" ht="15" customHeight="1">
      <c r="A578" s="654" t="str">
        <f t="shared" ca="1" si="248"/>
        <v>D.1.578</v>
      </c>
      <c r="B578" s="654" t="str">
        <f t="shared" ca="1" si="249"/>
        <v>1.578</v>
      </c>
      <c r="C578" s="654" t="str">
        <f t="shared" si="265"/>
        <v>[578]</v>
      </c>
      <c r="D578" s="654">
        <f>ROW()</f>
        <v>578</v>
      </c>
      <c r="E578" s="1130" t="str">
        <f>CU578</f>
        <v>- STATUS-Ansatz: (siehe [554])</v>
      </c>
      <c r="F578" s="1130"/>
      <c r="G578" s="1130"/>
      <c r="H578" s="1130"/>
      <c r="I578" s="1130"/>
      <c r="J578" s="1130"/>
      <c r="K578" s="1130"/>
      <c r="L578" s="1130"/>
      <c r="M578" s="1130"/>
      <c r="N578" s="1131"/>
      <c r="O578" s="869">
        <v>578</v>
      </c>
      <c r="P578" s="573" t="str">
        <f ca="1">HYPERLINK(EK578,EJ578)</f>
        <v/>
      </c>
      <c r="Q578" s="574" t="str">
        <f>Y578</f>
        <v xml:space="preserve"> </v>
      </c>
      <c r="R578" s="852"/>
      <c r="S578" s="784"/>
      <c r="T578" s="864"/>
      <c r="U578" s="1023" t="str">
        <f>"(siehe "&amp;C$554&amp;")"</f>
        <v>(siehe [554])</v>
      </c>
      <c r="V578" s="905" t="s">
        <v>126</v>
      </c>
      <c r="W578" s="1024">
        <v>0</v>
      </c>
      <c r="X578" s="672"/>
      <c r="Y578" s="672" t="s">
        <v>126</v>
      </c>
      <c r="Z578" s="1025"/>
      <c r="AA578" s="658"/>
      <c r="AB578" s="801"/>
      <c r="AC578" s="801"/>
      <c r="AD578" s="801"/>
      <c r="AE578" s="801"/>
      <c r="AF578" s="801"/>
      <c r="AG578" s="801"/>
      <c r="AH578" s="801"/>
      <c r="AI578" s="801"/>
      <c r="AJ578" s="801"/>
      <c r="AK578" s="801"/>
      <c r="AL578" s="801"/>
      <c r="AM578" s="801"/>
      <c r="AN578" s="801"/>
      <c r="AO578" s="801"/>
      <c r="AP578" s="801"/>
      <c r="AQ578" s="801"/>
      <c r="AR578" s="801"/>
      <c r="AS578" s="801"/>
      <c r="AT578" s="801"/>
      <c r="AU578" s="801"/>
      <c r="AV578" s="801"/>
      <c r="BF578" s="473"/>
      <c r="BI578" s="472" t="s">
        <v>126</v>
      </c>
      <c r="BJ578" s="490"/>
      <c r="BN578" s="656"/>
      <c r="BO578" s="472" t="s">
        <v>259</v>
      </c>
      <c r="CU578" s="480" t="str">
        <f>CG$1&amp;IF(U578="",BF578,U578)</f>
        <v>- STATUS-Ansatz: (siehe [554])</v>
      </c>
      <c r="CV578" s="656"/>
      <c r="CW578" s="480"/>
      <c r="DS578" s="656"/>
      <c r="DT578" s="518">
        <f>I_Basisdaten!A249</f>
        <v>0</v>
      </c>
      <c r="EJ578" s="472" t="str">
        <f>IF(X578=0,"",EJ$1&amp;X578)</f>
        <v/>
      </c>
      <c r="EK578" s="472" t="str">
        <f ca="1">EK$1&amp;X578</f>
        <v>[D_Python.xlsx]9.Quellen!C</v>
      </c>
      <c r="EV578" s="819">
        <f t="shared" si="251"/>
        <v>578</v>
      </c>
      <c r="EW578" s="819"/>
    </row>
    <row r="579" spans="1:153" s="661" customFormat="1" ht="4">
      <c r="A579" s="677" t="str">
        <f t="shared" ca="1" si="248"/>
        <v>D.1.579</v>
      </c>
      <c r="B579" s="677" t="str">
        <f t="shared" ca="1" si="249"/>
        <v>1.579</v>
      </c>
      <c r="C579" s="677" t="str">
        <f t="shared" si="265"/>
        <v>[579]</v>
      </c>
      <c r="D579" s="677">
        <f>ROW()</f>
        <v>579</v>
      </c>
      <c r="E579" s="680"/>
      <c r="F579" s="680"/>
      <c r="G579" s="680"/>
      <c r="H579" s="680"/>
      <c r="I579" s="679"/>
      <c r="J579" s="679"/>
      <c r="K579" s="679"/>
      <c r="L579" s="679"/>
      <c r="M579" s="679"/>
      <c r="N579" s="680"/>
      <c r="O579" s="871">
        <v>579</v>
      </c>
      <c r="P579" s="688"/>
      <c r="Q579" s="689"/>
      <c r="R579" s="888"/>
      <c r="S579" s="810"/>
      <c r="T579" s="882"/>
      <c r="AB579" s="675"/>
      <c r="AC579" s="675"/>
      <c r="AD579" s="675"/>
      <c r="AE579" s="675"/>
      <c r="AF579" s="675"/>
      <c r="AG579" s="675"/>
      <c r="AH579" s="675"/>
      <c r="AI579" s="675"/>
      <c r="AJ579" s="675"/>
      <c r="AK579" s="675"/>
      <c r="AL579" s="675"/>
      <c r="AM579" s="675"/>
      <c r="AN579" s="675"/>
      <c r="AO579" s="675"/>
      <c r="AP579" s="675"/>
      <c r="AQ579" s="675"/>
      <c r="AR579" s="675"/>
      <c r="AS579" s="675"/>
      <c r="AT579" s="675"/>
      <c r="AU579" s="675"/>
      <c r="AV579" s="675"/>
      <c r="BI579" s="661" t="s">
        <v>126</v>
      </c>
      <c r="BJ579" s="665"/>
      <c r="CU579" s="662"/>
      <c r="CW579" s="662"/>
      <c r="EV579" s="818" t="str">
        <f t="shared" si="251"/>
        <v/>
      </c>
      <c r="EW579" s="818"/>
    </row>
    <row r="580" spans="1:153" s="472" customFormat="1" ht="65">
      <c r="A580" s="654" t="str">
        <f t="shared" ca="1" si="248"/>
        <v>D.1.580</v>
      </c>
      <c r="B580" s="654" t="str">
        <f t="shared" ca="1" si="249"/>
        <v>1.580</v>
      </c>
      <c r="C580" s="654" t="str">
        <f t="shared" si="265"/>
        <v>[580]</v>
      </c>
      <c r="D580" s="654">
        <f>ROW()</f>
        <v>580</v>
      </c>
      <c r="E580" s="1125" t="str">
        <f t="shared" ref="E580" si="284">CU580</f>
        <v>- ZIEL-Ansatz: Wegen des geringen Temperaturniveaus der geothermischen Wärmequellen (in Unterhaching z.B. 122°C) liegen die Wirkungsgrade bei der Stromerzeugung niedrig (brutto etwa 10-13%). Aus dem gleichen Grund ist die Abwärmenutzung aus der Verstromung (Kraft-Wärme-Kopplung) physikalisch nicht möglich, der Nutzungsgrad wird hier daher mit Null angesetzt. In realen Projekten mit Wärmelieferung (z.B. Geothermiekraftwerk Unterhaching) handelt es sich um parallele Zweige von Stromerzeugung und Wärmelieferung.</v>
      </c>
      <c r="F580" s="1125"/>
      <c r="G580" s="1125"/>
      <c r="H580" s="1125"/>
      <c r="I580" s="1125"/>
      <c r="J580" s="1125"/>
      <c r="K580" s="1125"/>
      <c r="L580" s="1125"/>
      <c r="M580" s="1125"/>
      <c r="N580" s="1132"/>
      <c r="O580" s="869">
        <v>580</v>
      </c>
      <c r="P580" s="573" t="str">
        <f ca="1">HYPERLINK(EK580,EJ580)</f>
        <v/>
      </c>
      <c r="Q580" s="574" t="str">
        <f>Y580</f>
        <v xml:space="preserve"> </v>
      </c>
      <c r="R580" s="852"/>
      <c r="S580" s="784"/>
      <c r="T580" s="864"/>
      <c r="U580" s="1023" t="str">
        <f>"Wegen des geringen Temperaturniveaus der geothermischen Wärmequellen (in Unterhaching z.B. 122°C) liegen die Wirkungsgrade bei der Stromerzeugung niedrig (brutto etwa 10-13%). "&amp;"Aus dem gleichen Grund ist die Abwärmenutzung aus der Verstromung (Kraft-Wärme-Kopplung) physikalisch nicht möglich, der Nutzungsgrad wird hier daher mit Null angesetzt. "&amp;"In realen Projekten mit Wärmelieferung (z.B. Geothermiekraftwerk Unterhaching) handelt es sich um parallele Zweige von Stromerzeugung und Wärmelieferung."</f>
        <v>Wegen des geringen Temperaturniveaus der geothermischen Wärmequellen (in Unterhaching z.B. 122°C) liegen die Wirkungsgrade bei der Stromerzeugung niedrig (brutto etwa 10-13%). Aus dem gleichen Grund ist die Abwärmenutzung aus der Verstromung (Kraft-Wärme-Kopplung) physikalisch nicht möglich, der Nutzungsgrad wird hier daher mit Null angesetzt. In realen Projekten mit Wärmelieferung (z.B. Geothermiekraftwerk Unterhaching) handelt es sich um parallele Zweige von Stromerzeugung und Wärmelieferung.</v>
      </c>
      <c r="V580" s="905" t="s">
        <v>126</v>
      </c>
      <c r="W580" s="1024">
        <v>0</v>
      </c>
      <c r="X580" s="672"/>
      <c r="Y580" s="672" t="s">
        <v>126</v>
      </c>
      <c r="Z580" s="1025"/>
      <c r="AA580" s="905"/>
      <c r="AB580" s="801"/>
      <c r="AC580" s="801"/>
      <c r="AD580" s="801">
        <v>1.5</v>
      </c>
      <c r="AE580" s="801">
        <f>AD566</f>
        <v>10</v>
      </c>
      <c r="AF580" s="801" t="str">
        <f>AE566</f>
        <v xml:space="preserve">% </v>
      </c>
      <c r="AG580" s="801">
        <f>AD580*AE580</f>
        <v>15</v>
      </c>
      <c r="AH580" s="801" t="s">
        <v>835</v>
      </c>
      <c r="AI580" s="801"/>
      <c r="AJ580" s="801"/>
      <c r="AK580" s="801"/>
      <c r="AL580" s="801"/>
      <c r="AM580" s="801"/>
      <c r="AN580" s="801"/>
      <c r="AO580" s="801"/>
      <c r="AP580" s="801"/>
      <c r="AQ580" s="801"/>
      <c r="AR580" s="801"/>
      <c r="AS580" s="801"/>
      <c r="AT580" s="801"/>
      <c r="AU580" s="801"/>
      <c r="AV580" s="801"/>
      <c r="BF580" s="657" t="str">
        <f ca="1">"Gemäß ["&amp;P580&amp;"], "&amp;Q580&amp;": ""Das zusätzliche Potenzial an thermischer Energie (Wärme bei KWK-Nutzung) beträgt etwa das "&amp;AD580&amp;"-fache des Strompotenzials."" Mit einem elektrischen Nutzungsgrad von "&amp;AE580&amp;AF580&amp;C566&amp;" resultiert somit ein effektiver thermischer Nutzungsgrad von "&amp;AG580&amp;AH580&amp;", der wegen des Eigenstrombedarfs für Pumpen, der nur teilweisen zeitlichen Übereinstimmung von Wärmeangebot und Nachfrage und erheblicher Wärmenetzverluste erheblich unter den Verstromungsverlusten liegt. "</f>
        <v xml:space="preserve">Gemäß [],  : "Das zusätzliche Potenzial an thermischer Energie (Wärme bei KWK-Nutzung) beträgt etwa das 1,5-fache des Strompotenzials." Mit einem elektrischen Nutzungsgrad von 10% [566] resultiert somit ein effektiver thermischer Nutzungsgrad von 15% , der wegen des Eigenstrombedarfs für Pumpen, der nur teilweisen zeitlichen Übereinstimmung von Wärmeangebot und Nachfrage und erheblicher Wärmenetzverluste erheblich unter den Verstromungsverlusten liegt. </v>
      </c>
      <c r="BI580" s="472" t="s">
        <v>126</v>
      </c>
      <c r="BJ580" s="490"/>
      <c r="BN580" s="656"/>
      <c r="BO580" s="472" t="s">
        <v>259</v>
      </c>
      <c r="CU580" s="480" t="str">
        <f>CH$1&amp;IF(U580="",BF580,U580)</f>
        <v>- ZIEL-Ansatz: Wegen des geringen Temperaturniveaus der geothermischen Wärmequellen (in Unterhaching z.B. 122°C) liegen die Wirkungsgrade bei der Stromerzeugung niedrig (brutto etwa 10-13%). Aus dem gleichen Grund ist die Abwärmenutzung aus der Verstromung (Kraft-Wärme-Kopplung) physikalisch nicht möglich, der Nutzungsgrad wird hier daher mit Null angesetzt. In realen Projekten mit Wärmelieferung (z.B. Geothermiekraftwerk Unterhaching) handelt es sich um parallele Zweige von Stromerzeugung und Wärmelieferung.</v>
      </c>
      <c r="CV580" s="656"/>
      <c r="CW580" s="480"/>
      <c r="DS580" s="656"/>
      <c r="DT580" s="518">
        <v>53</v>
      </c>
      <c r="EJ580" s="472" t="str">
        <f>IF(X580=0,"",EJ$1&amp;X580)</f>
        <v/>
      </c>
      <c r="EK580" s="472" t="str">
        <f ca="1">EK$1&amp;X580</f>
        <v>[D_Python.xlsx]9.Quellen!C</v>
      </c>
      <c r="EV580" s="819">
        <f t="shared" si="251"/>
        <v>580</v>
      </c>
      <c r="EW580" s="819"/>
    </row>
    <row r="581" spans="1:153" s="661" customFormat="1" ht="4">
      <c r="A581" s="677" t="str">
        <f t="shared" ca="1" si="248"/>
        <v>D.1.581</v>
      </c>
      <c r="B581" s="677" t="str">
        <f t="shared" ca="1" si="249"/>
        <v>1.581</v>
      </c>
      <c r="C581" s="677" t="str">
        <f t="shared" si="265"/>
        <v>[581]</v>
      </c>
      <c r="D581" s="677">
        <f>ROW()</f>
        <v>581</v>
      </c>
      <c r="E581" s="680"/>
      <c r="F581" s="680"/>
      <c r="G581" s="680"/>
      <c r="H581" s="680"/>
      <c r="I581" s="679"/>
      <c r="J581" s="679"/>
      <c r="K581" s="679"/>
      <c r="L581" s="679"/>
      <c r="M581" s="679"/>
      <c r="N581" s="680"/>
      <c r="O581" s="871">
        <v>581</v>
      </c>
      <c r="P581" s="688"/>
      <c r="Q581" s="689"/>
      <c r="R581" s="888"/>
      <c r="S581" s="802"/>
      <c r="T581" s="882"/>
      <c r="AB581" s="675"/>
      <c r="AC581" s="675"/>
      <c r="AD581" s="675"/>
      <c r="AE581" s="675"/>
      <c r="AF581" s="675"/>
      <c r="AG581" s="675"/>
      <c r="AH581" s="675"/>
      <c r="AI581" s="675"/>
      <c r="AJ581" s="675"/>
      <c r="AK581" s="675"/>
      <c r="AL581" s="675"/>
      <c r="AM581" s="675"/>
      <c r="AN581" s="675"/>
      <c r="AO581" s="675"/>
      <c r="AP581" s="675"/>
      <c r="AQ581" s="675"/>
      <c r="AR581" s="675"/>
      <c r="AS581" s="675"/>
      <c r="AT581" s="675"/>
      <c r="AU581" s="675"/>
      <c r="AV581" s="675"/>
      <c r="BI581" s="661" t="s">
        <v>126</v>
      </c>
      <c r="BJ581" s="665"/>
      <c r="CU581" s="662"/>
      <c r="CW581" s="662"/>
      <c r="EV581" s="818" t="str">
        <f t="shared" si="251"/>
        <v/>
      </c>
      <c r="EW581" s="818"/>
    </row>
    <row r="582" spans="1:153" s="656" customFormat="1" ht="13">
      <c r="A582" s="654" t="str">
        <f t="shared" ca="1" si="248"/>
        <v>D.1.582</v>
      </c>
      <c r="B582" s="654" t="str">
        <f t="shared" ca="1" si="249"/>
        <v>1.582</v>
      </c>
      <c r="C582" s="654" t="str">
        <f t="shared" si="265"/>
        <v>[582]</v>
      </c>
      <c r="D582" s="654">
        <f>ROW()</f>
        <v>582</v>
      </c>
      <c r="E582" s="481" t="str">
        <f>BP582</f>
        <v>Wasserstofferzeugung (als Brennstoff, für Kraftstoff- und Grundstoffsynthese)</v>
      </c>
      <c r="F582" s="482"/>
      <c r="G582" s="482"/>
      <c r="H582" s="482"/>
      <c r="I582" s="483"/>
      <c r="J582" s="484"/>
      <c r="K582" s="484"/>
      <c r="L582" s="484"/>
      <c r="M582" s="484"/>
      <c r="N582" s="532"/>
      <c r="O582" s="869">
        <v>582</v>
      </c>
      <c r="P582" s="568"/>
      <c r="Q582" s="569"/>
      <c r="R582" s="852"/>
      <c r="S582" s="804"/>
      <c r="T582" s="864"/>
      <c r="U582" s="905"/>
      <c r="V582" s="905"/>
      <c r="W582" s="905"/>
      <c r="X582" s="905"/>
      <c r="Y582" s="905"/>
      <c r="Z582" s="905"/>
      <c r="AA582" s="905"/>
      <c r="AB582" s="801"/>
      <c r="AC582" s="801"/>
      <c r="AD582" s="801"/>
      <c r="AE582" s="801"/>
      <c r="AF582" s="801"/>
      <c r="AG582" s="801"/>
      <c r="AH582" s="801"/>
      <c r="AI582" s="801"/>
      <c r="AJ582" s="801"/>
      <c r="AK582" s="801"/>
      <c r="AL582" s="801"/>
      <c r="AM582" s="801"/>
      <c r="AN582" s="801"/>
      <c r="AO582" s="801"/>
      <c r="AP582" s="801"/>
      <c r="AQ582" s="801"/>
      <c r="AR582" s="801"/>
      <c r="AS582" s="801"/>
      <c r="AT582" s="801"/>
      <c r="AU582" s="801"/>
      <c r="AV582" s="801"/>
      <c r="AZ582" s="504"/>
      <c r="BB582" s="506"/>
      <c r="BI582" s="656" t="s">
        <v>126</v>
      </c>
      <c r="BJ582" s="666"/>
      <c r="BO582" s="656" t="s">
        <v>250</v>
      </c>
      <c r="BP582" s="671" t="s">
        <v>631</v>
      </c>
      <c r="CU582" s="663"/>
      <c r="CW582" s="663"/>
      <c r="EV582" s="819">
        <f t="shared" si="251"/>
        <v>582</v>
      </c>
      <c r="EW582" s="819"/>
    </row>
    <row r="583" spans="1:153" s="661" customFormat="1" ht="4">
      <c r="A583" s="677" t="str">
        <f t="shared" ca="1" si="248"/>
        <v>D.1.583</v>
      </c>
      <c r="B583" s="677" t="str">
        <f t="shared" ca="1" si="249"/>
        <v>1.583</v>
      </c>
      <c r="C583" s="677" t="str">
        <f t="shared" si="265"/>
        <v>[583]</v>
      </c>
      <c r="D583" s="677">
        <f>ROW()</f>
        <v>583</v>
      </c>
      <c r="E583" s="685"/>
      <c r="F583" s="685"/>
      <c r="G583" s="685"/>
      <c r="H583" s="685"/>
      <c r="I583" s="686"/>
      <c r="J583" s="686"/>
      <c r="K583" s="686"/>
      <c r="L583" s="686"/>
      <c r="M583" s="686"/>
      <c r="N583" s="685"/>
      <c r="O583" s="871">
        <v>583</v>
      </c>
      <c r="P583" s="693"/>
      <c r="Q583" s="694"/>
      <c r="R583" s="888"/>
      <c r="S583" s="802"/>
      <c r="T583" s="882"/>
      <c r="AB583" s="675"/>
      <c r="AC583" s="675"/>
      <c r="AD583" s="675"/>
      <c r="AE583" s="675"/>
      <c r="AF583" s="675"/>
      <c r="AG583" s="675"/>
      <c r="AH583" s="675"/>
      <c r="AI583" s="675"/>
      <c r="AJ583" s="675"/>
      <c r="AK583" s="675"/>
      <c r="AL583" s="675"/>
      <c r="AM583" s="675"/>
      <c r="AN583" s="675"/>
      <c r="AO583" s="675"/>
      <c r="AP583" s="675"/>
      <c r="AQ583" s="675"/>
      <c r="AR583" s="675"/>
      <c r="AS583" s="675"/>
      <c r="AT583" s="675"/>
      <c r="AU583" s="675"/>
      <c r="AV583" s="675"/>
      <c r="AZ583" s="669"/>
      <c r="BB583" s="669"/>
      <c r="BI583" s="661" t="s">
        <v>126</v>
      </c>
      <c r="BJ583" s="665"/>
      <c r="CU583" s="662"/>
      <c r="CW583" s="662"/>
      <c r="EV583" s="818" t="str">
        <f t="shared" si="251"/>
        <v/>
      </c>
      <c r="EW583" s="818"/>
    </row>
    <row r="584" spans="1:153" s="658" customFormat="1" ht="13.5" customHeight="1">
      <c r="A584" s="654" t="str">
        <f t="shared" ca="1" si="248"/>
        <v>D.1.584</v>
      </c>
      <c r="B584" s="654" t="str">
        <f t="shared" ca="1" si="249"/>
        <v>1.584</v>
      </c>
      <c r="C584" s="654" t="str">
        <f t="shared" si="265"/>
        <v>[584]</v>
      </c>
      <c r="D584" s="654">
        <f>ROW()</f>
        <v>584</v>
      </c>
      <c r="E584" s="1129" t="str">
        <f>BP584</f>
        <v>Grundstoffe für die Chemieindustrie</v>
      </c>
      <c r="F584" s="1129"/>
      <c r="G584" s="1129"/>
      <c r="H584" s="1129"/>
      <c r="I584" s="1129"/>
      <c r="J584" s="559" t="s">
        <v>1053</v>
      </c>
      <c r="K584" s="684">
        <f ca="1">INDIRECT($W$1&amp;U584)</f>
        <v>3367.4642177393648</v>
      </c>
      <c r="L584" s="485" t="str">
        <f ca="1">HYPERLINK($CK$1&amp;U584,$CE$1&amp;U584&amp;$CF$1)</f>
        <v>[585]</v>
      </c>
      <c r="M584" s="547">
        <f ca="1">INDIRECT($W$1&amp;W584)</f>
        <v>1784.7560354018635</v>
      </c>
      <c r="N584" s="681" t="str">
        <f ca="1">HYPERLINK($CK$1&amp;W584,$CE$1&amp;W584&amp;$CF$1)</f>
        <v>[587]</v>
      </c>
      <c r="O584" s="869">
        <v>584</v>
      </c>
      <c r="P584" s="690"/>
      <c r="Q584" s="695"/>
      <c r="R584" s="852"/>
      <c r="S584" s="784"/>
      <c r="T584" s="864"/>
      <c r="U584" s="672">
        <f>D585</f>
        <v>585</v>
      </c>
      <c r="V584" s="905" t="s">
        <v>126</v>
      </c>
      <c r="W584" s="672">
        <f>D587</f>
        <v>587</v>
      </c>
      <c r="AB584" s="801"/>
      <c r="AC584" s="801"/>
      <c r="AD584" s="674"/>
      <c r="AE584" s="674"/>
      <c r="AF584" s="674"/>
      <c r="AG584" s="674"/>
      <c r="AH584" s="674"/>
      <c r="AI584" s="674"/>
      <c r="AJ584" s="674"/>
      <c r="AK584" s="674"/>
      <c r="AL584" s="674"/>
      <c r="AM584" s="674"/>
      <c r="AN584" s="674"/>
      <c r="AO584" s="674"/>
      <c r="AP584" s="674"/>
      <c r="AQ584" s="674"/>
      <c r="AR584" s="674"/>
      <c r="AS584" s="674"/>
      <c r="AT584" s="674"/>
      <c r="AU584" s="674"/>
      <c r="AV584" s="674"/>
      <c r="AX584" s="658" t="s">
        <v>244</v>
      </c>
      <c r="AY584" s="668">
        <f ca="1">DA584</f>
        <v>2.3178959999999997</v>
      </c>
      <c r="AZ584" s="670" t="str">
        <f ca="1">HYPERLINK(DN584,DC584)</f>
        <v xml:space="preserve"> 414</v>
      </c>
      <c r="BA584" s="668">
        <f ca="1">DB584</f>
        <v>2.7042119999999996</v>
      </c>
      <c r="BB584" s="670" t="str">
        <f ca="1">HYPERLINK(DO584,DD584)</f>
        <v xml:space="preserve"> 415</v>
      </c>
      <c r="BC584" s="658" t="str">
        <f ca="1">CY584&amp;" | "&amp;CZ584</f>
        <v>Wärme | 2.2.2 Energieertrag Abwärme aus Verstromung von Tiefen-Geothermie</v>
      </c>
      <c r="BI584" s="658" t="s">
        <v>126</v>
      </c>
      <c r="BJ584" s="667" t="str">
        <f>E584</f>
        <v>Grundstoffe für die Chemieindustrie</v>
      </c>
      <c r="BK584" s="664">
        <f ca="1">K584</f>
        <v>3367.4642177393648</v>
      </c>
      <c r="BL584" s="664">
        <f ca="1">M584</f>
        <v>1784.7560354018635</v>
      </c>
      <c r="BM584" s="656">
        <f>D584</f>
        <v>584</v>
      </c>
      <c r="BO584" s="658" t="s">
        <v>251</v>
      </c>
      <c r="BP584" s="676" t="s">
        <v>1054</v>
      </c>
      <c r="CU584" s="659"/>
      <c r="CW584" s="671">
        <v>107</v>
      </c>
      <c r="CY584" s="656" t="str">
        <f t="shared" ref="CY584:DO584" ca="1" si="285">INDIRECT($CX$1&amp;CY$1&amp;$CW584)</f>
        <v>Wärme</v>
      </c>
      <c r="CZ584" s="656" t="str">
        <f t="shared" ca="1" si="285"/>
        <v>2.2.2 Energieertrag Abwärme aus Verstromung von Tiefen-Geothermie</v>
      </c>
      <c r="DA584" s="656">
        <f t="shared" ca="1" si="285"/>
        <v>2.3178959999999997</v>
      </c>
      <c r="DB584" s="656">
        <f t="shared" ca="1" si="285"/>
        <v>2.7042119999999996</v>
      </c>
      <c r="DC584" s="656" t="str">
        <f t="shared" ca="1" si="285"/>
        <v xml:space="preserve"> 414</v>
      </c>
      <c r="DD584" s="656" t="str">
        <f t="shared" ca="1" si="285"/>
        <v xml:space="preserve"> 415</v>
      </c>
      <c r="DE584" s="656" t="str">
        <f t="shared" ca="1" si="285"/>
        <v>UG99</v>
      </c>
      <c r="DF584" s="656" t="str">
        <f t="shared" ca="1" si="285"/>
        <v>UG99</v>
      </c>
      <c r="DG584" s="656" t="str">
        <f t="shared" ca="1" si="285"/>
        <v>UG</v>
      </c>
      <c r="DH584" s="656" t="str">
        <f t="shared" ca="1" si="285"/>
        <v>99</v>
      </c>
      <c r="DI584" s="656" t="str">
        <f t="shared" ca="1" si="285"/>
        <v>[UG.xls]TEXT!Z99S5</v>
      </c>
      <c r="DJ584" s="656" t="str">
        <f t="shared" ca="1" si="285"/>
        <v>UG</v>
      </c>
      <c r="DK584" s="656" t="str">
        <f t="shared" ca="1" si="285"/>
        <v>99</v>
      </c>
      <c r="DL584" s="656" t="str">
        <f t="shared" ca="1" si="285"/>
        <v>[UG.xls]TEXT!Z99S5</v>
      </c>
      <c r="DM584" s="656">
        <f t="shared" ca="1" si="285"/>
        <v>107</v>
      </c>
      <c r="DN584" s="656" t="str">
        <f t="shared" ca="1" si="285"/>
        <v>[Region.xls]PARAMETER!Z414S6</v>
      </c>
      <c r="DO584" s="656" t="str">
        <f t="shared" ca="1" si="285"/>
        <v>[Region.xls]PARAMETER!Z415S6</v>
      </c>
      <c r="DP584" s="656"/>
      <c r="DS584" s="656"/>
      <c r="DV584" s="656"/>
      <c r="DW584" s="656"/>
      <c r="DX584" s="656"/>
      <c r="DY584" s="656"/>
      <c r="DZ584" s="656"/>
      <c r="EA584" s="656"/>
      <c r="EB584" s="656"/>
      <c r="EC584" s="656"/>
      <c r="ED584" s="656"/>
      <c r="EE584" s="656"/>
      <c r="EF584" s="656"/>
      <c r="EG584" s="656"/>
      <c r="EH584" s="656"/>
      <c r="EI584" s="656"/>
      <c r="EJ584" s="656"/>
      <c r="EK584" s="656"/>
      <c r="EV584" s="819">
        <f t="shared" si="251"/>
        <v>584</v>
      </c>
      <c r="EW584" s="819"/>
    </row>
    <row r="585" spans="1:153" s="656" customFormat="1" ht="26">
      <c r="A585" s="654" t="str">
        <f t="shared" ca="1" si="248"/>
        <v>D.1.585</v>
      </c>
      <c r="B585" s="654" t="str">
        <f t="shared" ca="1" si="249"/>
        <v>1.585</v>
      </c>
      <c r="C585" s="654" t="str">
        <f t="shared" si="265"/>
        <v>[585]</v>
      </c>
      <c r="D585" s="654">
        <f>ROW()</f>
        <v>585</v>
      </c>
      <c r="E585" s="1133" t="str">
        <f ca="1">CU585</f>
        <v>- STATUS-Ansatz: Der Bedarf an Kohlenwasserstoffen als Grundstoff für die Chemieindustrie in Höhe von 3.367 kWh jährlich pro Person [7.61] wird heute ausschließlich aus fossilen Quellen gedeckt.</v>
      </c>
      <c r="F585" s="1133"/>
      <c r="G585" s="1133"/>
      <c r="H585" s="1133"/>
      <c r="I585" s="1133"/>
      <c r="J585" s="1133"/>
      <c r="K585" s="1133"/>
      <c r="L585" s="1133"/>
      <c r="M585" s="1133"/>
      <c r="N585" s="1134"/>
      <c r="O585" s="869">
        <v>585</v>
      </c>
      <c r="P585" s="691" t="str">
        <f ca="1">HYPERLINK(EK585,EJ585)</f>
        <v/>
      </c>
      <c r="Q585" s="692" t="str">
        <f>Y585</f>
        <v xml:space="preserve"> </v>
      </c>
      <c r="R585" s="852"/>
      <c r="S585" s="784"/>
      <c r="T585" s="864"/>
      <c r="U585" s="1023" t="str">
        <f ca="1">"Der Bedarf an Kohlenwasserstoffen als Grundstoff für die Chemieindustrie in Höhe von "&amp;TEXT(AD585,"0.000")&amp;AE585&amp;" ["&amp;'7.VerbrauchStatus'!B61&amp;"] wird heute ausschließlich aus fossilen Quellen gedeckt."</f>
        <v>Der Bedarf an Kohlenwasserstoffen als Grundstoff für die Chemieindustrie in Höhe von 3.367 kWh jährlich pro Person [7.61] wird heute ausschließlich aus fossilen Quellen gedeckt.</v>
      </c>
      <c r="V585" s="905" t="s">
        <v>126</v>
      </c>
      <c r="W585" s="1024">
        <f>AD585</f>
        <v>3367.4642177393648</v>
      </c>
      <c r="X585" s="672"/>
      <c r="Y585" s="672" t="s">
        <v>126</v>
      </c>
      <c r="Z585" s="1025"/>
      <c r="AA585" s="658"/>
      <c r="AB585" s="801"/>
      <c r="AC585" s="801"/>
      <c r="AD585" s="687">
        <f>'7.VerbrauchStatus'!U61</f>
        <v>3367.4642177393648</v>
      </c>
      <c r="AE585" s="801" t="s">
        <v>918</v>
      </c>
      <c r="AF585" s="801"/>
      <c r="AG585" s="687"/>
      <c r="AH585" s="801"/>
      <c r="AI585" s="801"/>
      <c r="AJ585" s="801"/>
      <c r="AK585" s="801"/>
      <c r="AL585" s="801"/>
      <c r="AM585" s="801"/>
      <c r="AN585" s="801"/>
      <c r="AO585" s="801"/>
      <c r="AP585" s="801"/>
      <c r="AQ585" s="801"/>
      <c r="AR585" s="801"/>
      <c r="AS585" s="801"/>
      <c r="AT585" s="801"/>
      <c r="AU585" s="801"/>
      <c r="AV585" s="801"/>
      <c r="BF585" s="657"/>
      <c r="BI585" s="656" t="s">
        <v>126</v>
      </c>
      <c r="BJ585" s="666"/>
      <c r="BO585" s="656" t="s">
        <v>259</v>
      </c>
      <c r="CU585" s="663" t="str">
        <f ca="1">CG$1&amp;IF(U585="",BF585,U585)</f>
        <v>- STATUS-Ansatz: Der Bedarf an Kohlenwasserstoffen als Grundstoff für die Chemieindustrie in Höhe von 3.367 kWh jährlich pro Person [7.61] wird heute ausschließlich aus fossilen Quellen gedeckt.</v>
      </c>
      <c r="CW585" s="663"/>
      <c r="DT585" s="671">
        <f>I_Basisdaten!A256</f>
        <v>0</v>
      </c>
      <c r="EJ585" s="656" t="str">
        <f>IF(X585=0,"",EJ$1&amp;X585)</f>
        <v/>
      </c>
      <c r="EK585" s="656" t="str">
        <f ca="1">EK$1&amp;X585</f>
        <v>[D_Python.xlsx]9.Quellen!C</v>
      </c>
      <c r="EV585" s="819">
        <f t="shared" ca="1" si="251"/>
        <v>585</v>
      </c>
      <c r="EW585" s="819"/>
    </row>
    <row r="586" spans="1:153" s="661" customFormat="1" ht="5.25" customHeight="1" thickBot="1">
      <c r="A586" s="677" t="str">
        <f t="shared" ca="1" si="248"/>
        <v>D.1.586</v>
      </c>
      <c r="B586" s="677" t="str">
        <f t="shared" ca="1" si="249"/>
        <v>1.586</v>
      </c>
      <c r="C586" s="677" t="str">
        <f t="shared" si="265"/>
        <v>[586]</v>
      </c>
      <c r="D586" s="677">
        <f>ROW()</f>
        <v>586</v>
      </c>
      <c r="E586" s="800"/>
      <c r="F586" s="800"/>
      <c r="G586" s="800"/>
      <c r="H586" s="800"/>
      <c r="I586" s="832"/>
      <c r="J586" s="832"/>
      <c r="K586" s="832"/>
      <c r="L586" s="832"/>
      <c r="M586" s="832"/>
      <c r="N586" s="800"/>
      <c r="O586" s="871">
        <v>586</v>
      </c>
      <c r="P586" s="688"/>
      <c r="Q586" s="689"/>
      <c r="R586" s="888"/>
      <c r="S586" s="810"/>
      <c r="T586" s="864"/>
      <c r="AB586" s="675"/>
      <c r="AC586" s="675"/>
      <c r="AD586" s="675"/>
      <c r="AE586" s="675"/>
      <c r="AF586" s="675"/>
      <c r="AG586" s="675"/>
      <c r="AH586" s="675"/>
      <c r="AI586" s="675"/>
      <c r="AJ586" s="675"/>
      <c r="AK586" s="675"/>
      <c r="AL586" s="675"/>
      <c r="AM586" s="675"/>
      <c r="AN586" s="675"/>
      <c r="AO586" s="675"/>
      <c r="AP586" s="675"/>
      <c r="AQ586" s="675"/>
      <c r="AR586" s="675"/>
      <c r="AS586" s="675"/>
      <c r="AT586" s="675"/>
      <c r="AU586" s="675"/>
      <c r="AV586" s="675"/>
      <c r="BI586" s="661" t="s">
        <v>126</v>
      </c>
      <c r="BJ586" s="665"/>
      <c r="CU586" s="662"/>
      <c r="CW586" s="662"/>
      <c r="EV586" s="818" t="str">
        <f t="shared" si="251"/>
        <v/>
      </c>
      <c r="EW586" s="818"/>
    </row>
    <row r="587" spans="1:153" s="656" customFormat="1" ht="74.5" customHeight="1" thickBot="1">
      <c r="A587" s="654" t="str">
        <f t="shared" ca="1" si="248"/>
        <v>D.1.587</v>
      </c>
      <c r="B587" s="654" t="str">
        <f t="shared" ca="1" si="249"/>
        <v>1.587</v>
      </c>
      <c r="C587" s="654" t="str">
        <f t="shared" si="265"/>
        <v>[587]</v>
      </c>
      <c r="D587" s="654">
        <f>ROW()</f>
        <v>587</v>
      </c>
      <c r="E587" s="1135" t="str">
        <f ca="1">CU587</f>
        <v>- ZIEL-Ansatz: Die Methansynthese mit elektrolytisch erzeugtem Wasserstoff aus Wind- und Solarstrom bietet die Möglichkeit zur Substitution, ohne die eng begrenzten Potenziale an stofflich nutzbarer Biomasse weiter zu belasten.  Dieser Ansatz geht von einer Reduzierung des jährlichen Kunststoffverbrauchs pro Kopf auf 53 %  des heutigen Wertes aus: 1.785 kWh jährlich pro Person.  Dabei wird davon ausgegangen, dass zum Einen die Einweg- durch Mehrweg-Verpackungen  ersetzt und zum anderen die Nutzungsdauer der Kunststoffprodukte erhöht werden, siehe eine Abschätzung unter [9.220]"</v>
      </c>
      <c r="F587" s="1135"/>
      <c r="G587" s="1135"/>
      <c r="H587" s="1135"/>
      <c r="I587" s="1135"/>
      <c r="J587" s="1135"/>
      <c r="K587" s="1135"/>
      <c r="L587" s="1135"/>
      <c r="M587" s="1135"/>
      <c r="N587" s="1136"/>
      <c r="O587" s="869">
        <v>587</v>
      </c>
      <c r="P587" s="691" t="str">
        <f ca="1">HYPERLINK(EK587,EJ587)</f>
        <v>9.220</v>
      </c>
      <c r="Q587" s="692" t="str">
        <f>Y587</f>
        <v>Ergebnisse</v>
      </c>
      <c r="R587" s="852"/>
      <c r="S587" s="784"/>
      <c r="T587" s="864"/>
      <c r="U587" s="1023" t="str">
        <f ca="1">"Die Methansynthese mit elektrolytisch erzeugtem Wasserstoff aus Wind- und Solarstrom bietet die Möglichkeit zur Substitution, ohne die eng begrenzten Potenziale an stofflich nutzbarer Biomasse weiter zu belasten."&amp;"  Dieser Ansatz geht von einer Reduzierung des jährlichen Kunststoffverbrauchs pro Kopf auf "&amp;AD587&amp;AE587&amp;" des heutigen Wertes aus: "&amp;TEXT(AF587,"0.000")&amp;AG587&amp;".  Dabei wird davon ausgegangen, dass zum Einen die Einweg- durch Mehrweg-Verpackungen  ersetzt und zum anderen die Nutzungsdauer der Kunststoffprodukte erhöht werden, siehe eine Abschätzung unter ["&amp;P587&amp;"]"""</f>
        <v>Die Methansynthese mit elektrolytisch erzeugtem Wasserstoff aus Wind- und Solarstrom bietet die Möglichkeit zur Substitution, ohne die eng begrenzten Potenziale an stofflich nutzbarer Biomasse weiter zu belasten.  Dieser Ansatz geht von einer Reduzierung des jährlichen Kunststoffverbrauchs pro Kopf auf 53 %  des heutigen Wertes aus: 1.785 kWh jährlich pro Person.  Dabei wird davon ausgegangen, dass zum Einen die Einweg- durch Mehrweg-Verpackungen  ersetzt und zum anderen die Nutzungsdauer der Kunststoffprodukte erhöht werden, siehe eine Abschätzung unter [9.220]"</v>
      </c>
      <c r="V587" s="905" t="s">
        <v>126</v>
      </c>
      <c r="W587" s="1090">
        <f>AF587</f>
        <v>1784.7560354018635</v>
      </c>
      <c r="X587" s="865">
        <f>'9.Quellen'!C220</f>
        <v>220</v>
      </c>
      <c r="Y587" s="672" t="s">
        <v>1890</v>
      </c>
      <c r="Z587" s="1025"/>
      <c r="AA587" s="905"/>
      <c r="AB587" s="801"/>
      <c r="AC587" s="1020">
        <v>44065</v>
      </c>
      <c r="AD587" s="1091">
        <v>53</v>
      </c>
      <c r="AE587" s="830" t="s">
        <v>531</v>
      </c>
      <c r="AF587" s="1092">
        <f>AD585*AD587%</f>
        <v>1784.7560354018635</v>
      </c>
      <c r="AG587" s="801" t="s">
        <v>918</v>
      </c>
      <c r="AH587" s="801"/>
      <c r="AI587" s="801"/>
      <c r="AJ587" s="687"/>
      <c r="AK587" s="801"/>
      <c r="AL587" s="866"/>
      <c r="AM587" s="801"/>
      <c r="AN587" s="801"/>
      <c r="AO587" s="801"/>
      <c r="AP587" s="801"/>
      <c r="AQ587" s="801"/>
      <c r="AR587" s="801"/>
      <c r="AS587" s="801"/>
      <c r="AT587" s="801"/>
      <c r="AU587" s="801"/>
      <c r="AV587" s="801"/>
      <c r="BF587" s="657"/>
      <c r="BI587" s="656" t="s">
        <v>126</v>
      </c>
      <c r="BJ587" s="666"/>
      <c r="BO587" s="656" t="s">
        <v>259</v>
      </c>
      <c r="CU587" s="663" t="str">
        <f ca="1">CH$1&amp;IF(U587="",BF587,U587)</f>
        <v>- ZIEL-Ansatz: Die Methansynthese mit elektrolytisch erzeugtem Wasserstoff aus Wind- und Solarstrom bietet die Möglichkeit zur Substitution, ohne die eng begrenzten Potenziale an stofflich nutzbarer Biomasse weiter zu belasten.  Dieser Ansatz geht von einer Reduzierung des jährlichen Kunststoffverbrauchs pro Kopf auf 53 %  des heutigen Wertes aus: 1.785 kWh jährlich pro Person.  Dabei wird davon ausgegangen, dass zum Einen die Einweg- durch Mehrweg-Verpackungen  ersetzt und zum anderen die Nutzungsdauer der Kunststoffprodukte erhöht werden, siehe eine Abschätzung unter [9.220]"</v>
      </c>
      <c r="CW587" s="663"/>
      <c r="DT587" s="671">
        <v>53</v>
      </c>
      <c r="EJ587" s="656" t="str">
        <f ca="1">IF(X587=0,"",EJ$1&amp;X587)</f>
        <v>9.220</v>
      </c>
      <c r="EK587" s="656" t="str">
        <f ca="1">EK$1&amp;X587</f>
        <v>[D_Python.xlsx]9.Quellen!C220</v>
      </c>
      <c r="EV587" s="819">
        <f t="shared" ca="1" si="251"/>
        <v>587</v>
      </c>
      <c r="EW587" s="819"/>
    </row>
    <row r="588" spans="1:153" s="661" customFormat="1" ht="4">
      <c r="A588" s="677" t="str">
        <f t="shared" ca="1" si="248"/>
        <v>D.1.588</v>
      </c>
      <c r="B588" s="677" t="str">
        <f t="shared" ca="1" si="249"/>
        <v>1.588</v>
      </c>
      <c r="C588" s="677" t="str">
        <f t="shared" si="265"/>
        <v>[588]</v>
      </c>
      <c r="D588" s="677">
        <f>ROW()</f>
        <v>588</v>
      </c>
      <c r="E588" s="685"/>
      <c r="F588" s="685"/>
      <c r="G588" s="685"/>
      <c r="H588" s="685"/>
      <c r="I588" s="686"/>
      <c r="J588" s="686"/>
      <c r="K588" s="686"/>
      <c r="L588" s="686"/>
      <c r="M588" s="686"/>
      <c r="N588" s="685"/>
      <c r="O588" s="871">
        <v>588</v>
      </c>
      <c r="P588" s="693"/>
      <c r="Q588" s="694"/>
      <c r="R588" s="888"/>
      <c r="S588" s="802"/>
      <c r="T588" s="882"/>
      <c r="AB588" s="675"/>
      <c r="AC588" s="675"/>
      <c r="AD588" s="675"/>
      <c r="AE588" s="675"/>
      <c r="AF588" s="675"/>
      <c r="AG588" s="675"/>
      <c r="AH588" s="675"/>
      <c r="AI588" s="675"/>
      <c r="AJ588" s="675"/>
      <c r="AK588" s="675"/>
      <c r="AL588" s="675"/>
      <c r="AM588" s="675"/>
      <c r="AN588" s="675"/>
      <c r="AO588" s="675"/>
      <c r="AP588" s="675"/>
      <c r="AQ588" s="675"/>
      <c r="AR588" s="675"/>
      <c r="AS588" s="675"/>
      <c r="AT588" s="675"/>
      <c r="AU588" s="675"/>
      <c r="AV588" s="675"/>
      <c r="AZ588" s="669"/>
      <c r="BB588" s="669"/>
      <c r="BI588" s="661" t="s">
        <v>126</v>
      </c>
      <c r="BJ588" s="665"/>
      <c r="CU588" s="662"/>
      <c r="CW588" s="662"/>
      <c r="EV588" s="818" t="str">
        <f t="shared" si="251"/>
        <v/>
      </c>
      <c r="EW588" s="818"/>
    </row>
    <row r="589" spans="1:153" s="658" customFormat="1" ht="13.5" customHeight="1">
      <c r="A589" s="654" t="str">
        <f t="shared" ca="1" si="248"/>
        <v>D.1.589</v>
      </c>
      <c r="B589" s="654" t="str">
        <f t="shared" ca="1" si="249"/>
        <v>1.589</v>
      </c>
      <c r="C589" s="654" t="str">
        <f t="shared" si="265"/>
        <v>[589]</v>
      </c>
      <c r="D589" s="654">
        <f>ROW()</f>
        <v>589</v>
      </c>
      <c r="E589" s="1129" t="str">
        <f>BP589</f>
        <v>Wasserelektrolyse - Nutzungsgrad</v>
      </c>
      <c r="F589" s="1129"/>
      <c r="G589" s="1129"/>
      <c r="H589" s="1129"/>
      <c r="I589" s="1129"/>
      <c r="J589" s="559" t="s">
        <v>38</v>
      </c>
      <c r="K589" s="557">
        <f ca="1">INDIRECT($W$1&amp;U589)</f>
        <v>54.906937394247045</v>
      </c>
      <c r="L589" s="485" t="str">
        <f ca="1">HYPERLINK($CK$1&amp;U589,$CE$1&amp;U589&amp;$CF$1)</f>
        <v>[590]</v>
      </c>
      <c r="M589" s="558">
        <f ca="1">INDIRECT($W$1&amp;W589)</f>
        <v>64</v>
      </c>
      <c r="N589" s="681" t="str">
        <f ca="1">HYPERLINK($CK$1&amp;W589,$CE$1&amp;W589&amp;$CF$1)</f>
        <v>[592]</v>
      </c>
      <c r="O589" s="869">
        <v>589</v>
      </c>
      <c r="P589" s="690"/>
      <c r="Q589" s="695"/>
      <c r="R589" s="852"/>
      <c r="S589" s="784"/>
      <c r="T589" s="864"/>
      <c r="U589" s="672">
        <f>D590</f>
        <v>590</v>
      </c>
      <c r="V589" s="905" t="s">
        <v>126</v>
      </c>
      <c r="W589" s="672">
        <f>D592</f>
        <v>592</v>
      </c>
      <c r="AB589" s="801"/>
      <c r="AC589" s="801"/>
      <c r="AD589" s="674"/>
      <c r="AE589" s="674"/>
      <c r="AF589" s="674"/>
      <c r="AG589" s="674"/>
      <c r="AH589" s="674"/>
      <c r="AI589" s="674"/>
      <c r="AJ589" s="674"/>
      <c r="AK589" s="674"/>
      <c r="AL589" s="674"/>
      <c r="AM589" s="674"/>
      <c r="AN589" s="674"/>
      <c r="AO589" s="674"/>
      <c r="AP589" s="801" t="s">
        <v>385</v>
      </c>
      <c r="AQ589" s="674"/>
      <c r="AR589" s="674"/>
      <c r="AS589" s="674"/>
      <c r="AT589" s="674"/>
      <c r="AU589" s="674"/>
      <c r="AV589" s="674"/>
      <c r="AX589" s="658" t="s">
        <v>244</v>
      </c>
      <c r="AY589" s="668">
        <f ca="1">DA589</f>
        <v>2.3178959999999997</v>
      </c>
      <c r="AZ589" s="670" t="str">
        <f ca="1">HYPERLINK(DN589,DC589)</f>
        <v xml:space="preserve"> 414</v>
      </c>
      <c r="BA589" s="668">
        <f ca="1">DB589</f>
        <v>2.7042119999999996</v>
      </c>
      <c r="BB589" s="670" t="str">
        <f ca="1">HYPERLINK(DO589,DD589)</f>
        <v xml:space="preserve"> 415</v>
      </c>
      <c r="BC589" s="658" t="str">
        <f ca="1">CY589&amp;" | "&amp;CZ589</f>
        <v>Wärme | 2.2.2 Energieertrag Abwärme aus Verstromung von Tiefen-Geothermie</v>
      </c>
      <c r="BI589" s="658" t="s">
        <v>126</v>
      </c>
      <c r="BJ589" s="667" t="str">
        <f>E589</f>
        <v>Wasserelektrolyse - Nutzungsgrad</v>
      </c>
      <c r="BK589" s="664">
        <f ca="1">K589</f>
        <v>54.906937394247045</v>
      </c>
      <c r="BL589" s="664">
        <f ca="1">M589</f>
        <v>64</v>
      </c>
      <c r="BM589" s="656">
        <f>D589</f>
        <v>589</v>
      </c>
      <c r="BO589" s="658" t="s">
        <v>251</v>
      </c>
      <c r="BP589" s="676" t="s">
        <v>633</v>
      </c>
      <c r="CU589" s="659"/>
      <c r="CW589" s="671">
        <v>107</v>
      </c>
      <c r="CY589" s="656" t="str">
        <f t="shared" ref="CY589:DO589" ca="1" si="286">INDIRECT($CX$1&amp;CY$1&amp;$CW589)</f>
        <v>Wärme</v>
      </c>
      <c r="CZ589" s="656" t="str">
        <f t="shared" ca="1" si="286"/>
        <v>2.2.2 Energieertrag Abwärme aus Verstromung von Tiefen-Geothermie</v>
      </c>
      <c r="DA589" s="656">
        <f t="shared" ca="1" si="286"/>
        <v>2.3178959999999997</v>
      </c>
      <c r="DB589" s="656">
        <f t="shared" ca="1" si="286"/>
        <v>2.7042119999999996</v>
      </c>
      <c r="DC589" s="656" t="str">
        <f t="shared" ca="1" si="286"/>
        <v xml:space="preserve"> 414</v>
      </c>
      <c r="DD589" s="656" t="str">
        <f t="shared" ca="1" si="286"/>
        <v xml:space="preserve"> 415</v>
      </c>
      <c r="DE589" s="656" t="str">
        <f t="shared" ca="1" si="286"/>
        <v>UG99</v>
      </c>
      <c r="DF589" s="656" t="str">
        <f t="shared" ca="1" si="286"/>
        <v>UG99</v>
      </c>
      <c r="DG589" s="656" t="str">
        <f t="shared" ca="1" si="286"/>
        <v>UG</v>
      </c>
      <c r="DH589" s="656" t="str">
        <f t="shared" ca="1" si="286"/>
        <v>99</v>
      </c>
      <c r="DI589" s="656" t="str">
        <f t="shared" ca="1" si="286"/>
        <v>[UG.xls]TEXT!Z99S5</v>
      </c>
      <c r="DJ589" s="656" t="str">
        <f t="shared" ca="1" si="286"/>
        <v>UG</v>
      </c>
      <c r="DK589" s="656" t="str">
        <f t="shared" ca="1" si="286"/>
        <v>99</v>
      </c>
      <c r="DL589" s="656" t="str">
        <f t="shared" ca="1" si="286"/>
        <v>[UG.xls]TEXT!Z99S5</v>
      </c>
      <c r="DM589" s="656">
        <f t="shared" ca="1" si="286"/>
        <v>107</v>
      </c>
      <c r="DN589" s="656" t="str">
        <f t="shared" ca="1" si="286"/>
        <v>[Region.xls]PARAMETER!Z414S6</v>
      </c>
      <c r="DO589" s="656" t="str">
        <f t="shared" ca="1" si="286"/>
        <v>[Region.xls]PARAMETER!Z415S6</v>
      </c>
      <c r="DP589" s="656"/>
      <c r="DS589" s="656"/>
      <c r="DV589" s="656"/>
      <c r="DW589" s="656"/>
      <c r="DX589" s="656"/>
      <c r="DY589" s="656"/>
      <c r="DZ589" s="656"/>
      <c r="EA589" s="656"/>
      <c r="EB589" s="656"/>
      <c r="EC589" s="656"/>
      <c r="ED589" s="656"/>
      <c r="EE589" s="656"/>
      <c r="EF589" s="656"/>
      <c r="EG589" s="656"/>
      <c r="EH589" s="656"/>
      <c r="EI589" s="656"/>
      <c r="EJ589" s="656"/>
      <c r="EK589" s="656"/>
      <c r="EV589" s="819">
        <f t="shared" si="251"/>
        <v>589</v>
      </c>
      <c r="EW589" s="819"/>
    </row>
    <row r="590" spans="1:153" s="656" customFormat="1" ht="39">
      <c r="A590" s="654" t="str">
        <f t="shared" ca="1" si="248"/>
        <v>D.1.590</v>
      </c>
      <c r="B590" s="654" t="str">
        <f t="shared" ca="1" si="249"/>
        <v>1.590</v>
      </c>
      <c r="C590" s="654" t="str">
        <f t="shared" si="265"/>
        <v>[590]</v>
      </c>
      <c r="D590" s="654">
        <f>ROW()</f>
        <v>590</v>
      </c>
      <c r="E590" s="1133" t="str">
        <f ca="1">CU590</f>
        <v>- STATUS-Ansatz: 54,9resultieren aus einem brennwertbezogenen Wirkungsgrad von 64,9 %  inklusive Einspeisung bei 80 bar gemäß DVGW für 2020 [9.164] S. 9 und einem Verhältnis von Brennwert Hs zu Heizwert Hi bei Wasserstoff von 1,182.</v>
      </c>
      <c r="F590" s="1133"/>
      <c r="G590" s="1133"/>
      <c r="H590" s="1133"/>
      <c r="I590" s="1133"/>
      <c r="J590" s="1133"/>
      <c r="K590" s="1133"/>
      <c r="L590" s="1133"/>
      <c r="M590" s="1133"/>
      <c r="N590" s="1134"/>
      <c r="O590" s="869">
        <v>590</v>
      </c>
      <c r="P590" s="691" t="str">
        <f ca="1">HYPERLINK(EK590,EJ590)</f>
        <v>9.164</v>
      </c>
      <c r="Q590" s="692" t="str">
        <f>Y590</f>
        <v>S. 9</v>
      </c>
      <c r="R590" s="852"/>
      <c r="S590" s="784"/>
      <c r="T590" s="864"/>
      <c r="U590" s="1023" t="str">
        <f ca="1">TEXT(AG590,"0,0")&amp;AH590&amp;"resultieren aus einem brennwertbezogenen Wirkungsgrad von "&amp;AD590&amp;AE590&amp;" inklusive Einspeisung bei 80 bar gemäß DVGW für 2020 ["&amp;P590&amp;"] "&amp;Q590&amp;" und einem Verhältnis von Brennwert Hs zu Heizwert Hi bei Wasserstoff von "&amp;AF590&amp;"."</f>
        <v>54,9resultieren aus einem brennwertbezogenen Wirkungsgrad von 64,9 %  inklusive Einspeisung bei 80 bar gemäß DVGW für 2020 [9.164] S. 9 und einem Verhältnis von Brennwert Hs zu Heizwert Hi bei Wasserstoff von 1,182.</v>
      </c>
      <c r="V590" s="905" t="s">
        <v>126</v>
      </c>
      <c r="W590" s="1024">
        <f>AG590</f>
        <v>54.906937394247045</v>
      </c>
      <c r="X590" s="672">
        <f>'9.Quellen'!C164</f>
        <v>164</v>
      </c>
      <c r="Y590" s="672" t="s">
        <v>413</v>
      </c>
      <c r="Z590" s="1025"/>
      <c r="AA590" s="658"/>
      <c r="AB590" s="801"/>
      <c r="AC590" s="801"/>
      <c r="AD590" s="801">
        <v>64.900000000000006</v>
      </c>
      <c r="AE590" s="801" t="s">
        <v>531</v>
      </c>
      <c r="AF590" s="801">
        <v>1.1819999999999999</v>
      </c>
      <c r="AG590" s="801">
        <f>AD590/AF590</f>
        <v>54.906937394247045</v>
      </c>
      <c r="AH590" s="801"/>
      <c r="AI590" s="801"/>
      <c r="AJ590" s="801"/>
      <c r="AK590" s="801"/>
      <c r="AL590" s="801"/>
      <c r="AM590" s="801"/>
      <c r="AN590" s="801"/>
      <c r="AO590" s="801"/>
      <c r="AP590" s="801"/>
      <c r="AQ590" s="801"/>
      <c r="AR590" s="801"/>
      <c r="AS590" s="801"/>
      <c r="AT590" s="801"/>
      <c r="AU590" s="801"/>
      <c r="AV590" s="801"/>
      <c r="BF590" s="657"/>
      <c r="BI590" s="656" t="s">
        <v>126</v>
      </c>
      <c r="BJ590" s="666"/>
      <c r="BO590" s="656" t="s">
        <v>259</v>
      </c>
      <c r="CU590" s="663" t="str">
        <f ca="1">CG$1&amp;IF(U590="",BF590,U590)</f>
        <v>- STATUS-Ansatz: 54,9resultieren aus einem brennwertbezogenen Wirkungsgrad von 64,9 %  inklusive Einspeisung bei 80 bar gemäß DVGW für 2020 [9.164] S. 9 und einem Verhältnis von Brennwert Hs zu Heizwert Hi bei Wasserstoff von 1,182.</v>
      </c>
      <c r="CW590" s="663"/>
      <c r="DT590" s="671">
        <f>I_Basisdaten!A261</f>
        <v>0</v>
      </c>
      <c r="EJ590" s="656" t="str">
        <f ca="1">IF(X590=0,"",EJ$1&amp;X590)</f>
        <v>9.164</v>
      </c>
      <c r="EK590" s="656" t="str">
        <f ca="1">EK$1&amp;X590</f>
        <v>[D_Python.xlsx]9.Quellen!C164</v>
      </c>
      <c r="EV590" s="819">
        <f t="shared" ca="1" si="251"/>
        <v>590</v>
      </c>
      <c r="EW590" s="819"/>
    </row>
    <row r="591" spans="1:153" s="661" customFormat="1" ht="4">
      <c r="A591" s="677" t="str">
        <f t="shared" ca="1" si="248"/>
        <v>D.1.591</v>
      </c>
      <c r="B591" s="677" t="str">
        <f t="shared" ca="1" si="249"/>
        <v>1.591</v>
      </c>
      <c r="C591" s="677" t="str">
        <f t="shared" si="265"/>
        <v>[591]</v>
      </c>
      <c r="D591" s="677">
        <f>ROW()</f>
        <v>591</v>
      </c>
      <c r="E591" s="680"/>
      <c r="F591" s="680"/>
      <c r="G591" s="680"/>
      <c r="H591" s="680"/>
      <c r="I591" s="679"/>
      <c r="J591" s="679"/>
      <c r="K591" s="679"/>
      <c r="L591" s="679"/>
      <c r="M591" s="679"/>
      <c r="N591" s="680"/>
      <c r="O591" s="871">
        <v>591</v>
      </c>
      <c r="P591" s="688"/>
      <c r="Q591" s="689"/>
      <c r="R591" s="888"/>
      <c r="S591" s="810"/>
      <c r="T591" s="882"/>
      <c r="AB591" s="675"/>
      <c r="AC591" s="675"/>
      <c r="AD591" s="675"/>
      <c r="AE591" s="675"/>
      <c r="AF591" s="675"/>
      <c r="AG591" s="675"/>
      <c r="AH591" s="675"/>
      <c r="AI591" s="675"/>
      <c r="AJ591" s="675"/>
      <c r="AK591" s="675"/>
      <c r="AL591" s="675"/>
      <c r="AM591" s="675"/>
      <c r="AN591" s="675"/>
      <c r="AO591" s="675"/>
      <c r="AP591" s="675"/>
      <c r="AQ591" s="675"/>
      <c r="AR591" s="675"/>
      <c r="AS591" s="675"/>
      <c r="AT591" s="675"/>
      <c r="AU591" s="675"/>
      <c r="AV591" s="675"/>
      <c r="BI591" s="661" t="s">
        <v>126</v>
      </c>
      <c r="BJ591" s="665"/>
      <c r="CU591" s="662"/>
      <c r="CW591" s="662"/>
      <c r="EV591" s="818" t="str">
        <f t="shared" si="251"/>
        <v/>
      </c>
      <c r="EW591" s="818"/>
    </row>
    <row r="592" spans="1:153" s="656" customFormat="1" ht="26">
      <c r="A592" s="654" t="str">
        <f t="shared" ca="1" si="248"/>
        <v>D.1.592</v>
      </c>
      <c r="B592" s="654" t="str">
        <f t="shared" ca="1" si="249"/>
        <v>1.592</v>
      </c>
      <c r="C592" s="654" t="str">
        <f t="shared" si="265"/>
        <v>[592]</v>
      </c>
      <c r="D592" s="654">
        <f>ROW()</f>
        <v>592</v>
      </c>
      <c r="E592" s="1125" t="str">
        <f t="shared" ref="E592:E593" si="287">CU592</f>
        <v>- ZIEL-Ansatz: Aus einem breiten Spektrum von Einschätzungen wird hier der Wert aus der der Metastudie 2015 verwendet [593].</v>
      </c>
      <c r="F592" s="1125"/>
      <c r="G592" s="1125"/>
      <c r="H592" s="1125"/>
      <c r="I592" s="1125"/>
      <c r="J592" s="1125"/>
      <c r="K592" s="1125"/>
      <c r="L592" s="1125"/>
      <c r="M592" s="1125"/>
      <c r="N592" s="1132"/>
      <c r="O592" s="869">
        <v>592</v>
      </c>
      <c r="P592" s="691" t="str">
        <f ca="1">HYPERLINK(EK592,EJ592)</f>
        <v/>
      </c>
      <c r="Q592" s="692" t="str">
        <f>Y592</f>
        <v xml:space="preserve"> </v>
      </c>
      <c r="R592" s="852"/>
      <c r="S592" s="784"/>
      <c r="T592" s="864"/>
      <c r="U592" s="1023" t="str">
        <f>"Aus einem breiten Spektrum von Einschätzungen wird hier der Wert aus der der Metastudie 2015 verwendet "&amp;C593&amp;"."</f>
        <v>Aus einem breiten Spektrum von Einschätzungen wird hier der Wert aus der der Metastudie 2015 verwendet [593].</v>
      </c>
      <c r="V592" s="905" t="s">
        <v>126</v>
      </c>
      <c r="W592" s="1024">
        <f>W593</f>
        <v>64</v>
      </c>
      <c r="X592" s="672"/>
      <c r="Y592" s="672" t="s">
        <v>126</v>
      </c>
      <c r="Z592" s="1025"/>
      <c r="AA592" s="905"/>
      <c r="AB592" s="801"/>
      <c r="AC592" s="801"/>
      <c r="AD592" s="801" t="s">
        <v>647</v>
      </c>
      <c r="AE592" s="801">
        <f>WS_!D21</f>
        <v>65</v>
      </c>
      <c r="AF592" s="801" t="str">
        <f>WS_!E21</f>
        <v>%</v>
      </c>
      <c r="AG592" s="801"/>
      <c r="AH592" s="801"/>
      <c r="AI592" s="801"/>
      <c r="AJ592" s="801"/>
      <c r="AK592" s="801"/>
      <c r="AL592" s="801"/>
      <c r="AM592" s="801"/>
      <c r="AN592" s="801"/>
      <c r="AO592" s="801"/>
      <c r="AP592" s="801"/>
      <c r="AQ592" s="801"/>
      <c r="AR592" s="801"/>
      <c r="AS592" s="801"/>
      <c r="AT592" s="801"/>
      <c r="AU592" s="801"/>
      <c r="AV592" s="801"/>
      <c r="BF592" s="657"/>
      <c r="BI592" s="656" t="s">
        <v>126</v>
      </c>
      <c r="BJ592" s="666"/>
      <c r="BO592" s="656" t="s">
        <v>259</v>
      </c>
      <c r="CU592" s="663" t="str">
        <f>CH$1&amp;IF(U592="",BF592,U592)</f>
        <v>- ZIEL-Ansatz: Aus einem breiten Spektrum von Einschätzungen wird hier der Wert aus der der Metastudie 2015 verwendet [593].</v>
      </c>
      <c r="CW592" s="663"/>
      <c r="DT592" s="671">
        <v>53</v>
      </c>
      <c r="EJ592" s="656" t="str">
        <f>IF(X592=0,"",EJ$1&amp;X592)</f>
        <v/>
      </c>
      <c r="EK592" s="656" t="str">
        <f ca="1">EK$1&amp;X592</f>
        <v>[D_Python.xlsx]9.Quellen!C</v>
      </c>
      <c r="EV592" s="819">
        <f t="shared" si="251"/>
        <v>592</v>
      </c>
      <c r="EW592" s="819"/>
    </row>
    <row r="593" spans="1:153" s="656" customFormat="1" ht="65">
      <c r="A593" s="654" t="str">
        <f t="shared" ref="A593:A662" ca="1" si="288">BT$1&amp;D593</f>
        <v>D.1.593</v>
      </c>
      <c r="B593" s="654" t="str">
        <f t="shared" ref="B593:B662" ca="1" si="289">BW$1&amp;D593</f>
        <v>1.593</v>
      </c>
      <c r="C593" s="654" t="str">
        <f t="shared" si="265"/>
        <v>[593]</v>
      </c>
      <c r="D593" s="654">
        <f>ROW()</f>
        <v>593</v>
      </c>
      <c r="E593" s="1125" t="str">
        <f t="shared" ca="1" si="287"/>
        <v>64%  Wirkungsgrad bezogen auf den Heizwert Hi resultieren aus einem Brennwertbezogenen Wirkungsgrad von 75,2% gemäß NOW 2030 [9.164], S. 9, und einem Verhältnis von Brennwert Hs zu Heizwert Hi bei Wasserstoff von 1,182. Diese Anpassung ist zur Gewährleistung der Konsistenz notwendig, da sämtliche übrigen Brennstoffe mit ihrem Heizwert Hi in die Kalkulation eingehen (dieser Sachverhalt blieb in den meisten Studien bisher unberücksichtigt).</v>
      </c>
      <c r="F593" s="1125"/>
      <c r="G593" s="1125"/>
      <c r="H593" s="1125"/>
      <c r="I593" s="1125"/>
      <c r="J593" s="1125"/>
      <c r="K593" s="1125"/>
      <c r="L593" s="1125"/>
      <c r="M593" s="1125"/>
      <c r="N593" s="1132"/>
      <c r="O593" s="869">
        <v>593</v>
      </c>
      <c r="P593" s="691" t="str">
        <f t="shared" ref="P593" ca="1" si="290">HYPERLINK(EK593,EJ593)</f>
        <v>9.164</v>
      </c>
      <c r="Q593" s="692" t="str">
        <f t="shared" ref="Q593" si="291">Y593</f>
        <v>S. 9</v>
      </c>
      <c r="R593" s="852"/>
      <c r="S593" s="784"/>
      <c r="T593" s="864"/>
      <c r="U593" s="1023" t="str">
        <f ca="1">W593&amp;AI593&amp;" Wirkungsgrad bezogen auf den Heizwert Hi resultieren aus einem Brennwertbezogenen Wirkungsgrad von "&amp;AD593&amp;AE593&amp;" gemäß NOW 2030 ["&amp;P593&amp;"], "&amp;Q593&amp;", und einem Verhältnis von Brennwert Hs zu Heizwert Hi bei Wasserstoff von "&amp;AF593&amp;". Diese Anpassung ist zur Gewährleistung der Konsistenz notwendig, da sämtliche übrigen Brennstoffe mit ihrem Heizwert Hi in die Kalkulation eingehen (dieser Sachverhalt blieb in den meisten Studien bisher unberücksichtigt)."</f>
        <v>64%  Wirkungsgrad bezogen auf den Heizwert Hi resultieren aus einem Brennwertbezogenen Wirkungsgrad von 75,2% gemäß NOW 2030 [9.164], S. 9, und einem Verhältnis von Brennwert Hs zu Heizwert Hi bei Wasserstoff von 1,182. Diese Anpassung ist zur Gewährleistung der Konsistenz notwendig, da sämtliche übrigen Brennstoffe mit ihrem Heizwert Hi in die Kalkulation eingehen (dieser Sachverhalt blieb in den meisten Studien bisher unberücksichtigt).</v>
      </c>
      <c r="V593" s="905" t="s">
        <v>126</v>
      </c>
      <c r="W593" s="1024">
        <f>ROUND(AH593,0)</f>
        <v>64</v>
      </c>
      <c r="X593" s="672">
        <f>'9.Quellen'!C164</f>
        <v>164</v>
      </c>
      <c r="Y593" s="672" t="s">
        <v>413</v>
      </c>
      <c r="Z593" s="1025"/>
      <c r="AA593" s="905"/>
      <c r="AB593" s="801"/>
      <c r="AC593" s="801"/>
      <c r="AD593" s="801">
        <v>75.2</v>
      </c>
      <c r="AE593" s="801" t="s">
        <v>38</v>
      </c>
      <c r="AF593" s="801">
        <v>1.1819999999999999</v>
      </c>
      <c r="AG593" s="801"/>
      <c r="AH593" s="801">
        <f>AD593/AF593</f>
        <v>63.620981387478857</v>
      </c>
      <c r="AI593" s="801" t="s">
        <v>835</v>
      </c>
      <c r="AJ593" s="801"/>
      <c r="AK593" s="801"/>
      <c r="AL593" s="801"/>
      <c r="AM593" s="801"/>
      <c r="AN593" s="801"/>
      <c r="AO593" s="801"/>
      <c r="AP593" s="801"/>
      <c r="AQ593" s="801"/>
      <c r="AR593" s="801"/>
      <c r="AS593" s="801"/>
      <c r="AT593" s="801"/>
      <c r="AU593" s="801"/>
      <c r="AV593" s="801"/>
      <c r="BF593" s="657"/>
      <c r="BI593" s="656" t="s">
        <v>126</v>
      </c>
      <c r="BJ593" s="666"/>
      <c r="BO593" s="656" t="s">
        <v>252</v>
      </c>
      <c r="CU593" s="663" t="str">
        <f ca="1">IF(U593="",BF593,U593)</f>
        <v>64%  Wirkungsgrad bezogen auf den Heizwert Hi resultieren aus einem Brennwertbezogenen Wirkungsgrad von 75,2% gemäß NOW 2030 [9.164], S. 9, und einem Verhältnis von Brennwert Hs zu Heizwert Hi bei Wasserstoff von 1,182. Diese Anpassung ist zur Gewährleistung der Konsistenz notwendig, da sämtliche übrigen Brennstoffe mit ihrem Heizwert Hi in die Kalkulation eingehen (dieser Sachverhalt blieb in den meisten Studien bisher unberücksichtigt).</v>
      </c>
      <c r="CW593" s="663"/>
      <c r="DT593" s="671"/>
      <c r="EJ593" s="656" t="str">
        <f ca="1">IF(X593=0,"",EJ$1&amp;X593)</f>
        <v>9.164</v>
      </c>
      <c r="EK593" s="656" t="str">
        <f ca="1">EK$1&amp;X593</f>
        <v>[D_Python.xlsx]9.Quellen!C164</v>
      </c>
      <c r="EV593" s="819">
        <f t="shared" ref="EV593:EV662" ca="1" si="292">IF(U593&amp;BP593="","",D593)</f>
        <v>593</v>
      </c>
      <c r="EW593" s="819"/>
    </row>
    <row r="594" spans="1:153" s="661" customFormat="1" ht="4">
      <c r="A594" s="677" t="str">
        <f t="shared" ca="1" si="288"/>
        <v>D.1.594</v>
      </c>
      <c r="B594" s="677" t="str">
        <f t="shared" ca="1" si="289"/>
        <v>1.594</v>
      </c>
      <c r="C594" s="677" t="str">
        <f t="shared" si="265"/>
        <v>[594]</v>
      </c>
      <c r="D594" s="677">
        <f>ROW()</f>
        <v>594</v>
      </c>
      <c r="E594" s="685"/>
      <c r="F594" s="685"/>
      <c r="G594" s="685"/>
      <c r="H594" s="685"/>
      <c r="I594" s="686"/>
      <c r="J594" s="686"/>
      <c r="K594" s="686"/>
      <c r="L594" s="686"/>
      <c r="M594" s="686"/>
      <c r="N594" s="685"/>
      <c r="O594" s="871">
        <v>594</v>
      </c>
      <c r="P594" s="693"/>
      <c r="Q594" s="694"/>
      <c r="R594" s="888"/>
      <c r="S594" s="802"/>
      <c r="T594" s="882"/>
      <c r="AB594" s="675"/>
      <c r="AC594" s="675"/>
      <c r="AD594" s="675"/>
      <c r="AE594" s="675"/>
      <c r="AF594" s="675"/>
      <c r="AG594" s="675"/>
      <c r="AH594" s="675"/>
      <c r="AI594" s="675"/>
      <c r="AJ594" s="675"/>
      <c r="AK594" s="675"/>
      <c r="AL594" s="675"/>
      <c r="AM594" s="675"/>
      <c r="AN594" s="675"/>
      <c r="AO594" s="675"/>
      <c r="AP594" s="675"/>
      <c r="AQ594" s="675"/>
      <c r="AR594" s="675"/>
      <c r="AS594" s="675"/>
      <c r="AT594" s="675"/>
      <c r="AU594" s="675"/>
      <c r="AV594" s="675"/>
      <c r="AZ594" s="669"/>
      <c r="BB594" s="669"/>
      <c r="BI594" s="661" t="s">
        <v>126</v>
      </c>
      <c r="BJ594" s="665"/>
      <c r="CU594" s="662"/>
      <c r="CW594" s="662"/>
      <c r="EV594" s="818" t="str">
        <f t="shared" si="292"/>
        <v/>
      </c>
      <c r="EW594" s="818"/>
    </row>
    <row r="595" spans="1:153" s="658" customFormat="1" ht="13.5" customHeight="1">
      <c r="A595" s="654" t="str">
        <f t="shared" ca="1" si="288"/>
        <v>D.1.595</v>
      </c>
      <c r="B595" s="654" t="str">
        <f t="shared" ca="1" si="289"/>
        <v>1.595</v>
      </c>
      <c r="C595" s="654" t="str">
        <f t="shared" si="265"/>
        <v>[595]</v>
      </c>
      <c r="D595" s="654">
        <f>ROW()</f>
        <v>595</v>
      </c>
      <c r="E595" s="1129" t="str">
        <f>BP595</f>
        <v>Wasserstoff als Brennstoff für Prozesswärme</v>
      </c>
      <c r="F595" s="1129"/>
      <c r="G595" s="1129"/>
      <c r="H595" s="1129"/>
      <c r="I595" s="1129"/>
      <c r="J595" s="559" t="s">
        <v>361</v>
      </c>
      <c r="K595" s="684">
        <f ca="1">INDIRECT($W$1&amp;U595)</f>
        <v>0</v>
      </c>
      <c r="L595" s="485" t="str">
        <f ca="1">HYPERLINK($CK$1&amp;U595,$CE$1&amp;U595&amp;$CF$1)</f>
        <v>[596]</v>
      </c>
      <c r="M595" s="547">
        <f ca="1">INDIRECT($W$1&amp;W595)</f>
        <v>0</v>
      </c>
      <c r="N595" s="681" t="str">
        <f ca="1">HYPERLINK($CK$1&amp;W595,$CE$1&amp;W595&amp;$CF$1)</f>
        <v>[598]</v>
      </c>
      <c r="O595" s="869">
        <v>595</v>
      </c>
      <c r="P595" s="690"/>
      <c r="Q595" s="695"/>
      <c r="R595" s="852"/>
      <c r="S595" s="784"/>
      <c r="T595" s="864"/>
      <c r="U595" s="672">
        <f>D596</f>
        <v>596</v>
      </c>
      <c r="V595" s="905" t="s">
        <v>126</v>
      </c>
      <c r="W595" s="672">
        <f>D598</f>
        <v>598</v>
      </c>
      <c r="AB595" s="801"/>
      <c r="AC595" s="801"/>
      <c r="AD595" s="674"/>
      <c r="AE595" s="674"/>
      <c r="AF595" s="674"/>
      <c r="AG595" s="674"/>
      <c r="AH595" s="674"/>
      <c r="AI595" s="674"/>
      <c r="AJ595" s="674"/>
      <c r="AK595" s="674"/>
      <c r="AL595" s="674"/>
      <c r="AM595" s="674"/>
      <c r="AN595" s="674"/>
      <c r="AO595" s="674"/>
      <c r="AP595" s="674"/>
      <c r="AQ595" s="674"/>
      <c r="AR595" s="674"/>
      <c r="AS595" s="674"/>
      <c r="AT595" s="674"/>
      <c r="AU595" s="674"/>
      <c r="AV595" s="674"/>
      <c r="AX595" s="658" t="s">
        <v>244</v>
      </c>
      <c r="AY595" s="668">
        <f ca="1">DA595</f>
        <v>2.3178959999999997</v>
      </c>
      <c r="AZ595" s="670" t="str">
        <f ca="1">HYPERLINK(DN595,DC595)</f>
        <v xml:space="preserve"> 414</v>
      </c>
      <c r="BA595" s="668">
        <f ca="1">DB595</f>
        <v>2.7042119999999996</v>
      </c>
      <c r="BB595" s="670" t="str">
        <f ca="1">HYPERLINK(DO595,DD595)</f>
        <v xml:space="preserve"> 415</v>
      </c>
      <c r="BC595" s="658" t="str">
        <f ca="1">CY595&amp;" | "&amp;CZ595</f>
        <v>Wärme | 2.2.2 Energieertrag Abwärme aus Verstromung von Tiefen-Geothermie</v>
      </c>
      <c r="BI595" s="658" t="s">
        <v>126</v>
      </c>
      <c r="BJ595" s="667" t="str">
        <f>E595</f>
        <v>Wasserstoff als Brennstoff für Prozesswärme</v>
      </c>
      <c r="BK595" s="664">
        <f ca="1">K595</f>
        <v>0</v>
      </c>
      <c r="BL595" s="664">
        <f ca="1">M595</f>
        <v>0</v>
      </c>
      <c r="BM595" s="656">
        <f>D595</f>
        <v>595</v>
      </c>
      <c r="BO595" s="658" t="s">
        <v>251</v>
      </c>
      <c r="BP595" s="676" t="s">
        <v>917</v>
      </c>
      <c r="CU595" s="659"/>
      <c r="CW595" s="671">
        <v>107</v>
      </c>
      <c r="CY595" s="656" t="str">
        <f t="shared" ref="CY595:DO595" ca="1" si="293">INDIRECT($CX$1&amp;CY$1&amp;$CW595)</f>
        <v>Wärme</v>
      </c>
      <c r="CZ595" s="656" t="str">
        <f t="shared" ca="1" si="293"/>
        <v>2.2.2 Energieertrag Abwärme aus Verstromung von Tiefen-Geothermie</v>
      </c>
      <c r="DA595" s="656">
        <f t="shared" ca="1" si="293"/>
        <v>2.3178959999999997</v>
      </c>
      <c r="DB595" s="656">
        <f t="shared" ca="1" si="293"/>
        <v>2.7042119999999996</v>
      </c>
      <c r="DC595" s="656" t="str">
        <f t="shared" ca="1" si="293"/>
        <v xml:space="preserve"> 414</v>
      </c>
      <c r="DD595" s="656" t="str">
        <f t="shared" ca="1" si="293"/>
        <v xml:space="preserve"> 415</v>
      </c>
      <c r="DE595" s="656" t="str">
        <f t="shared" ca="1" si="293"/>
        <v>UG99</v>
      </c>
      <c r="DF595" s="656" t="str">
        <f t="shared" ca="1" si="293"/>
        <v>UG99</v>
      </c>
      <c r="DG595" s="656" t="str">
        <f t="shared" ca="1" si="293"/>
        <v>UG</v>
      </c>
      <c r="DH595" s="656" t="str">
        <f t="shared" ca="1" si="293"/>
        <v>99</v>
      </c>
      <c r="DI595" s="656" t="str">
        <f t="shared" ca="1" si="293"/>
        <v>[UG.xls]TEXT!Z99S5</v>
      </c>
      <c r="DJ595" s="656" t="str">
        <f t="shared" ca="1" si="293"/>
        <v>UG</v>
      </c>
      <c r="DK595" s="656" t="str">
        <f t="shared" ca="1" si="293"/>
        <v>99</v>
      </c>
      <c r="DL595" s="656" t="str">
        <f t="shared" ca="1" si="293"/>
        <v>[UG.xls]TEXT!Z99S5</v>
      </c>
      <c r="DM595" s="656">
        <f t="shared" ca="1" si="293"/>
        <v>107</v>
      </c>
      <c r="DN595" s="656" t="str">
        <f t="shared" ca="1" si="293"/>
        <v>[Region.xls]PARAMETER!Z414S6</v>
      </c>
      <c r="DO595" s="656" t="str">
        <f t="shared" ca="1" si="293"/>
        <v>[Region.xls]PARAMETER!Z415S6</v>
      </c>
      <c r="DP595" s="656"/>
      <c r="DS595" s="656"/>
      <c r="DV595" s="656"/>
      <c r="DW595" s="656"/>
      <c r="DX595" s="656"/>
      <c r="DY595" s="656"/>
      <c r="DZ595" s="656"/>
      <c r="EA595" s="656"/>
      <c r="EB595" s="656"/>
      <c r="EC595" s="656"/>
      <c r="ED595" s="656"/>
      <c r="EE595" s="656"/>
      <c r="EF595" s="656"/>
      <c r="EG595" s="656"/>
      <c r="EH595" s="656"/>
      <c r="EI595" s="656"/>
      <c r="EJ595" s="656"/>
      <c r="EK595" s="656"/>
      <c r="EV595" s="819">
        <f t="shared" si="292"/>
        <v>595</v>
      </c>
      <c r="EW595" s="819"/>
    </row>
    <row r="596" spans="1:153" s="656" customFormat="1" ht="26">
      <c r="A596" s="654" t="str">
        <f t="shared" ca="1" si="288"/>
        <v>D.1.596</v>
      </c>
      <c r="B596" s="654" t="str">
        <f t="shared" ca="1" si="289"/>
        <v>1.596</v>
      </c>
      <c r="C596" s="654" t="str">
        <f t="shared" si="265"/>
        <v>[596]</v>
      </c>
      <c r="D596" s="654">
        <f>ROW()</f>
        <v>596</v>
      </c>
      <c r="E596" s="1133" t="str">
        <f>CU596</f>
        <v>- STATUS-Ansatz: Die elektrolytische Erzeugung von Wasserstoff aus Wind- und Solarstrom ist eine Zukunftsoption zur Substitution der heute verwendeten fossilen Brennstoffe.</v>
      </c>
      <c r="F596" s="1133"/>
      <c r="G596" s="1133"/>
      <c r="H596" s="1133"/>
      <c r="I596" s="1133"/>
      <c r="J596" s="1133"/>
      <c r="K596" s="1133"/>
      <c r="L596" s="1133"/>
      <c r="M596" s="1133"/>
      <c r="N596" s="1134"/>
      <c r="O596" s="869">
        <v>596</v>
      </c>
      <c r="P596" s="691" t="str">
        <f ca="1">HYPERLINK(EK596,EJ596)</f>
        <v/>
      </c>
      <c r="Q596" s="692" t="str">
        <f>Y596</f>
        <v xml:space="preserve"> </v>
      </c>
      <c r="R596" s="852"/>
      <c r="S596" s="784"/>
      <c r="T596" s="864"/>
      <c r="U596" s="1023" t="s">
        <v>915</v>
      </c>
      <c r="V596" s="905" t="s">
        <v>126</v>
      </c>
      <c r="W596" s="1024">
        <v>0</v>
      </c>
      <c r="X596" s="672"/>
      <c r="Y596" s="672" t="s">
        <v>126</v>
      </c>
      <c r="Z596" s="1025"/>
      <c r="AA596" s="658"/>
      <c r="AB596" s="801"/>
      <c r="AC596" s="801"/>
      <c r="AD596" s="801"/>
      <c r="AE596" s="801"/>
      <c r="AF596" s="801"/>
      <c r="AG596" s="801"/>
      <c r="AH596" s="801"/>
      <c r="AI596" s="801"/>
      <c r="AJ596" s="801"/>
      <c r="AK596" s="801"/>
      <c r="AL596" s="801"/>
      <c r="AM596" s="801"/>
      <c r="AN596" s="801"/>
      <c r="AO596" s="801"/>
      <c r="AP596" s="801"/>
      <c r="AQ596" s="801"/>
      <c r="AR596" s="801"/>
      <c r="AS596" s="801"/>
      <c r="AT596" s="801"/>
      <c r="AU596" s="801"/>
      <c r="AV596" s="801"/>
      <c r="BF596" s="657"/>
      <c r="BI596" s="656" t="s">
        <v>126</v>
      </c>
      <c r="BJ596" s="666"/>
      <c r="BO596" s="656" t="s">
        <v>259</v>
      </c>
      <c r="CU596" s="663" t="str">
        <f>CG$1&amp;IF(U596="",BF596,U596)</f>
        <v>- STATUS-Ansatz: Die elektrolytische Erzeugung von Wasserstoff aus Wind- und Solarstrom ist eine Zukunftsoption zur Substitution der heute verwendeten fossilen Brennstoffe.</v>
      </c>
      <c r="CW596" s="663"/>
      <c r="DT596" s="671">
        <f>I_Basisdaten!A266</f>
        <v>0</v>
      </c>
      <c r="EJ596" s="656" t="str">
        <f>IF(X596=0,"",EJ$1&amp;X596)</f>
        <v/>
      </c>
      <c r="EK596" s="656" t="str">
        <f ca="1">EK$1&amp;X596</f>
        <v>[D_Python.xlsx]9.Quellen!C</v>
      </c>
      <c r="EV596" s="819">
        <f t="shared" si="292"/>
        <v>596</v>
      </c>
      <c r="EW596" s="819"/>
    </row>
    <row r="597" spans="1:153" s="661" customFormat="1" ht="4">
      <c r="A597" s="677" t="str">
        <f t="shared" ca="1" si="288"/>
        <v>D.1.597</v>
      </c>
      <c r="B597" s="677" t="str">
        <f t="shared" ca="1" si="289"/>
        <v>1.597</v>
      </c>
      <c r="C597" s="677" t="str">
        <f t="shared" si="265"/>
        <v>[597]</v>
      </c>
      <c r="D597" s="677">
        <f>ROW()</f>
        <v>597</v>
      </c>
      <c r="E597" s="680"/>
      <c r="F597" s="680"/>
      <c r="G597" s="680"/>
      <c r="H597" s="680"/>
      <c r="I597" s="679"/>
      <c r="J597" s="679"/>
      <c r="K597" s="679"/>
      <c r="L597" s="679"/>
      <c r="M597" s="679"/>
      <c r="N597" s="680"/>
      <c r="O597" s="871">
        <v>597</v>
      </c>
      <c r="P597" s="688"/>
      <c r="Q597" s="689"/>
      <c r="R597" s="888"/>
      <c r="S597" s="810"/>
      <c r="T597" s="882"/>
      <c r="AB597" s="675"/>
      <c r="AC597" s="675"/>
      <c r="AD597" s="675"/>
      <c r="AE597" s="675"/>
      <c r="AF597" s="675"/>
      <c r="AG597" s="675"/>
      <c r="AH597" s="675"/>
      <c r="AI597" s="675"/>
      <c r="AJ597" s="675"/>
      <c r="AK597" s="675"/>
      <c r="AL597" s="675"/>
      <c r="AM597" s="675"/>
      <c r="AN597" s="675"/>
      <c r="AO597" s="675"/>
      <c r="AP597" s="675"/>
      <c r="AQ597" s="675"/>
      <c r="AR597" s="675"/>
      <c r="AS597" s="675"/>
      <c r="AT597" s="675"/>
      <c r="AU597" s="675"/>
      <c r="AV597" s="675"/>
      <c r="BI597" s="661" t="s">
        <v>126</v>
      </c>
      <c r="BJ597" s="665"/>
      <c r="CU597" s="662"/>
      <c r="CW597" s="662"/>
      <c r="EV597" s="818" t="str">
        <f t="shared" si="292"/>
        <v/>
      </c>
      <c r="EW597" s="818"/>
    </row>
    <row r="598" spans="1:153" s="656" customFormat="1" ht="78">
      <c r="A598" s="654" t="str">
        <f t="shared" ca="1" si="288"/>
        <v>D.1.598</v>
      </c>
      <c r="B598" s="654" t="str">
        <f t="shared" ca="1" si="289"/>
        <v>1.598</v>
      </c>
      <c r="C598" s="654" t="str">
        <f t="shared" si="265"/>
        <v>[598]</v>
      </c>
      <c r="D598" s="654">
        <f>ROW()</f>
        <v>598</v>
      </c>
      <c r="E598" s="1135" t="str">
        <f t="shared" ref="E598" si="294">CU598</f>
        <v>- ZIEL-Ansatz: Auf die Verwendung von Wind-/Solarwasserstoff für Prozesswärme wurde zugunsten der Mobilen Anwendungen [600] und der Grundstofferzeugung [611] verzichtet. Ein großer Teil der Prozesswärmeanwendungen wird sich auf Strom umstellen lassen, womit Wandlungsverluste vermieden werden. Für die auf Brennstoffe angewiesenen Prozesse sind die festen Biobrennstoffe vorgesehen [286][320]. Eine gewisse Optimierung wäre durch bivalente Prozessöfen möglich, die in Stromüberschussphasen mit Strom und in Mangelphasen mit Wasserstoff betrieben werden, dadurch entfallen die Rückverstromungsverluste.</v>
      </c>
      <c r="F598" s="1135"/>
      <c r="G598" s="1135"/>
      <c r="H598" s="1135"/>
      <c r="I598" s="1135"/>
      <c r="J598" s="1135"/>
      <c r="K598" s="1135"/>
      <c r="L598" s="1135"/>
      <c r="M598" s="1135"/>
      <c r="N598" s="1136"/>
      <c r="O598" s="869">
        <v>598</v>
      </c>
      <c r="P598" s="691" t="str">
        <f ca="1">HYPERLINK(EK598,EJ598)</f>
        <v/>
      </c>
      <c r="Q598" s="692" t="str">
        <f>Y598</f>
        <v xml:space="preserve"> </v>
      </c>
      <c r="R598" s="852"/>
      <c r="S598" s="784"/>
      <c r="T598" s="864"/>
      <c r="U598" s="1023" t="str">
        <f>"Auf die Verwendung von Wind-/Solarwasserstoff für Prozesswärme wurde zugunsten der Mobilen Anwendungen "&amp;C600&amp;" und der Grundstofferzeugung "&amp;C611&amp;" verzichtet. Ein großer Teil der Prozesswärmeanwendungen wird sich auf Strom umstellen lassen, womit Wandlungsverluste vermieden werden. Für die auf Brennstoffe angewiesenen Prozesse sind die festen Biobrennstoffe vorgesehen "&amp;C286&amp;C320&amp;". Eine gewisse Optimierung wäre durch bivalente Prozessöfen möglich, die in Stromüberschussphasen mit Strom und in Mangelphasen mit Wasserstoff betrieben werden, dadurch entfallen die Rückverstromungsverluste."</f>
        <v>Auf die Verwendung von Wind-/Solarwasserstoff für Prozesswärme wurde zugunsten der Mobilen Anwendungen [600] und der Grundstofferzeugung [611] verzichtet. Ein großer Teil der Prozesswärmeanwendungen wird sich auf Strom umstellen lassen, womit Wandlungsverluste vermieden werden. Für die auf Brennstoffe angewiesenen Prozesse sind die festen Biobrennstoffe vorgesehen [286][320]. Eine gewisse Optimierung wäre durch bivalente Prozessöfen möglich, die in Stromüberschussphasen mit Strom und in Mangelphasen mit Wasserstoff betrieben werden, dadurch entfallen die Rückverstromungsverluste.</v>
      </c>
      <c r="V598" s="905" t="s">
        <v>126</v>
      </c>
      <c r="W598" s="1024">
        <v>0</v>
      </c>
      <c r="X598" s="672"/>
      <c r="Y598" s="672" t="s">
        <v>126</v>
      </c>
      <c r="Z598" s="1025"/>
      <c r="AA598" s="905"/>
      <c r="AB598" s="801"/>
      <c r="AC598" s="801"/>
      <c r="AD598" s="801"/>
      <c r="AE598" s="801"/>
      <c r="AF598" s="801"/>
      <c r="AG598" s="801"/>
      <c r="AH598" s="801"/>
      <c r="AI598" s="801"/>
      <c r="AJ598" s="801"/>
      <c r="AK598" s="801"/>
      <c r="AL598" s="801"/>
      <c r="AM598" s="801"/>
      <c r="AN598" s="801"/>
      <c r="AO598" s="801"/>
      <c r="AP598" s="801"/>
      <c r="AQ598" s="801"/>
      <c r="AR598" s="801"/>
      <c r="AS598" s="801"/>
      <c r="AT598" s="801"/>
      <c r="AU598" s="801"/>
      <c r="AV598" s="801"/>
      <c r="BF598" s="657"/>
      <c r="BI598" s="656" t="s">
        <v>126</v>
      </c>
      <c r="BJ598" s="666"/>
      <c r="BO598" s="656" t="s">
        <v>259</v>
      </c>
      <c r="CU598" s="663" t="str">
        <f>CH$1&amp;IF(U598="",BF598,U598)</f>
        <v>- ZIEL-Ansatz: Auf die Verwendung von Wind-/Solarwasserstoff für Prozesswärme wurde zugunsten der Mobilen Anwendungen [600] und der Grundstofferzeugung [611] verzichtet. Ein großer Teil der Prozesswärmeanwendungen wird sich auf Strom umstellen lassen, womit Wandlungsverluste vermieden werden. Für die auf Brennstoffe angewiesenen Prozesse sind die festen Biobrennstoffe vorgesehen [286][320]. Eine gewisse Optimierung wäre durch bivalente Prozessöfen möglich, die in Stromüberschussphasen mit Strom und in Mangelphasen mit Wasserstoff betrieben werden, dadurch entfallen die Rückverstromungsverluste.</v>
      </c>
      <c r="CW598" s="663"/>
      <c r="DT598" s="671">
        <v>53</v>
      </c>
      <c r="EJ598" s="656" t="str">
        <f>IF(X598=0,"",EJ$1&amp;X598)</f>
        <v/>
      </c>
      <c r="EK598" s="656" t="str">
        <f ca="1">EK$1&amp;X598</f>
        <v>[D_Python.xlsx]9.Quellen!C</v>
      </c>
      <c r="EV598" s="819">
        <f t="shared" si="292"/>
        <v>598</v>
      </c>
      <c r="EW598" s="819"/>
    </row>
    <row r="599" spans="1:153" s="661" customFormat="1" ht="4">
      <c r="A599" s="677" t="str">
        <f t="shared" ca="1" si="288"/>
        <v>D.1.599</v>
      </c>
      <c r="B599" s="677" t="str">
        <f t="shared" ca="1" si="289"/>
        <v>1.599</v>
      </c>
      <c r="C599" s="677" t="str">
        <f t="shared" si="265"/>
        <v>[599]</v>
      </c>
      <c r="D599" s="677">
        <f>ROW()</f>
        <v>599</v>
      </c>
      <c r="E599" s="685"/>
      <c r="F599" s="685"/>
      <c r="G599" s="685"/>
      <c r="H599" s="685"/>
      <c r="I599" s="686"/>
      <c r="J599" s="686"/>
      <c r="K599" s="686"/>
      <c r="L599" s="686"/>
      <c r="M599" s="686"/>
      <c r="N599" s="685"/>
      <c r="O599" s="871">
        <v>599</v>
      </c>
      <c r="P599" s="693"/>
      <c r="Q599" s="694"/>
      <c r="R599" s="888"/>
      <c r="S599" s="802"/>
      <c r="T599" s="882"/>
      <c r="AB599" s="675"/>
      <c r="AC599" s="675"/>
      <c r="AD599" s="675"/>
      <c r="AE599" s="675"/>
      <c r="AF599" s="675"/>
      <c r="AG599" s="675"/>
      <c r="AH599" s="675"/>
      <c r="AI599" s="675"/>
      <c r="AJ599" s="675"/>
      <c r="AK599" s="675"/>
      <c r="AL599" s="675"/>
      <c r="AM599" s="675"/>
      <c r="AN599" s="675"/>
      <c r="AO599" s="675"/>
      <c r="AP599" s="675"/>
      <c r="AQ599" s="675"/>
      <c r="AR599" s="675"/>
      <c r="AS599" s="675"/>
      <c r="AT599" s="675"/>
      <c r="AU599" s="675"/>
      <c r="AV599" s="675"/>
      <c r="AZ599" s="669"/>
      <c r="BB599" s="669"/>
      <c r="BI599" s="661" t="s">
        <v>126</v>
      </c>
      <c r="BJ599" s="665"/>
      <c r="CU599" s="662"/>
      <c r="CW599" s="662"/>
      <c r="EV599" s="818" t="str">
        <f t="shared" si="292"/>
        <v/>
      </c>
      <c r="EW599" s="818"/>
    </row>
    <row r="600" spans="1:153" s="658" customFormat="1" ht="13.5" customHeight="1">
      <c r="A600" s="654" t="str">
        <f t="shared" ca="1" si="288"/>
        <v>D.1.600</v>
      </c>
      <c r="B600" s="654" t="str">
        <f t="shared" ca="1" si="289"/>
        <v>1.600</v>
      </c>
      <c r="C600" s="654" t="str">
        <f t="shared" si="265"/>
        <v>[600]</v>
      </c>
      <c r="D600" s="654">
        <f>ROW()</f>
        <v>600</v>
      </c>
      <c r="E600" s="1129" t="str">
        <f>BP600</f>
        <v>Kraftstoff (flüssig) aus Wasserstoff für MA</v>
      </c>
      <c r="F600" s="1129"/>
      <c r="G600" s="1129"/>
      <c r="H600" s="1129"/>
      <c r="I600" s="1129"/>
      <c r="J600" s="559" t="s">
        <v>361</v>
      </c>
      <c r="K600" s="684">
        <f ca="1">INDIRECT($W$1&amp;U600)</f>
        <v>0</v>
      </c>
      <c r="L600" s="485" t="str">
        <f ca="1">HYPERLINK($CK$1&amp;U600,$CE$1&amp;U600&amp;$CF$1)</f>
        <v>[601]</v>
      </c>
      <c r="M600" s="547">
        <f ca="1">INDIRECT($W$1&amp;W600)</f>
        <v>73899.072310999196</v>
      </c>
      <c r="N600" s="681" t="str">
        <f ca="1">HYPERLINK($CK$1&amp;W600,$CE$1&amp;W600&amp;$CF$1)</f>
        <v>[603]</v>
      </c>
      <c r="O600" s="869">
        <v>600</v>
      </c>
      <c r="P600" s="690"/>
      <c r="Q600" s="695"/>
      <c r="R600" s="852"/>
      <c r="S600" s="784"/>
      <c r="T600" s="864"/>
      <c r="U600" s="672">
        <f>D601</f>
        <v>601</v>
      </c>
      <c r="V600" s="905" t="s">
        <v>126</v>
      </c>
      <c r="W600" s="672">
        <f>D603</f>
        <v>603</v>
      </c>
      <c r="AB600" s="801"/>
      <c r="AC600" s="801"/>
      <c r="AD600" s="674"/>
      <c r="AE600" s="674"/>
      <c r="AF600" s="674"/>
      <c r="AG600" s="674"/>
      <c r="AH600" s="674"/>
      <c r="AI600" s="674"/>
      <c r="AJ600" s="674"/>
      <c r="AK600" s="674"/>
      <c r="AL600" s="674"/>
      <c r="AM600" s="674"/>
      <c r="AN600" s="674"/>
      <c r="AO600" s="674"/>
      <c r="AP600" s="674"/>
      <c r="AQ600" s="674"/>
      <c r="AR600" s="674"/>
      <c r="AS600" s="674"/>
      <c r="AT600" s="674"/>
      <c r="AU600" s="674"/>
      <c r="AV600" s="674"/>
      <c r="AX600" s="658" t="s">
        <v>244</v>
      </c>
      <c r="AY600" s="668">
        <f ca="1">DA600</f>
        <v>2.3178959999999997</v>
      </c>
      <c r="AZ600" s="670" t="str">
        <f ca="1">HYPERLINK(DN600,DC600)</f>
        <v xml:space="preserve"> 414</v>
      </c>
      <c r="BA600" s="668">
        <f ca="1">DB600</f>
        <v>2.7042119999999996</v>
      </c>
      <c r="BB600" s="670" t="str">
        <f ca="1">HYPERLINK(DO600,DD600)</f>
        <v xml:space="preserve"> 415</v>
      </c>
      <c r="BC600" s="658" t="str">
        <f ca="1">CY600&amp;" | "&amp;CZ600</f>
        <v>Wärme | 2.2.2 Energieertrag Abwärme aus Verstromung von Tiefen-Geothermie</v>
      </c>
      <c r="BI600" s="658" t="s">
        <v>126</v>
      </c>
      <c r="BJ600" s="667" t="str">
        <f>E600</f>
        <v>Kraftstoff (flüssig) aus Wasserstoff für MA</v>
      </c>
      <c r="BK600" s="664">
        <f ca="1">K600</f>
        <v>0</v>
      </c>
      <c r="BL600" s="664">
        <f ca="1">M600</f>
        <v>73899.072310999196</v>
      </c>
      <c r="BM600" s="656">
        <f>D600</f>
        <v>600</v>
      </c>
      <c r="BO600" s="658" t="s">
        <v>251</v>
      </c>
      <c r="BP600" s="676" t="s">
        <v>914</v>
      </c>
      <c r="CU600" s="659"/>
      <c r="CW600" s="671">
        <v>107</v>
      </c>
      <c r="CY600" s="656" t="str">
        <f t="shared" ref="CY600:DO600" ca="1" si="295">INDIRECT($CX$1&amp;CY$1&amp;$CW600)</f>
        <v>Wärme</v>
      </c>
      <c r="CZ600" s="656" t="str">
        <f t="shared" ca="1" si="295"/>
        <v>2.2.2 Energieertrag Abwärme aus Verstromung von Tiefen-Geothermie</v>
      </c>
      <c r="DA600" s="656">
        <f t="shared" ca="1" si="295"/>
        <v>2.3178959999999997</v>
      </c>
      <c r="DB600" s="656">
        <f t="shared" ca="1" si="295"/>
        <v>2.7042119999999996</v>
      </c>
      <c r="DC600" s="656" t="str">
        <f t="shared" ca="1" si="295"/>
        <v xml:space="preserve"> 414</v>
      </c>
      <c r="DD600" s="656" t="str">
        <f t="shared" ca="1" si="295"/>
        <v xml:space="preserve"> 415</v>
      </c>
      <c r="DE600" s="656" t="str">
        <f t="shared" ca="1" si="295"/>
        <v>UG99</v>
      </c>
      <c r="DF600" s="656" t="str">
        <f t="shared" ca="1" si="295"/>
        <v>UG99</v>
      </c>
      <c r="DG600" s="656" t="str">
        <f t="shared" ca="1" si="295"/>
        <v>UG</v>
      </c>
      <c r="DH600" s="656" t="str">
        <f t="shared" ca="1" si="295"/>
        <v>99</v>
      </c>
      <c r="DI600" s="656" t="str">
        <f t="shared" ca="1" si="295"/>
        <v>[UG.xls]TEXT!Z99S5</v>
      </c>
      <c r="DJ600" s="656" t="str">
        <f t="shared" ca="1" si="295"/>
        <v>UG</v>
      </c>
      <c r="DK600" s="656" t="str">
        <f t="shared" ca="1" si="295"/>
        <v>99</v>
      </c>
      <c r="DL600" s="656" t="str">
        <f t="shared" ca="1" si="295"/>
        <v>[UG.xls]TEXT!Z99S5</v>
      </c>
      <c r="DM600" s="656">
        <f t="shared" ca="1" si="295"/>
        <v>107</v>
      </c>
      <c r="DN600" s="656" t="str">
        <f t="shared" ca="1" si="295"/>
        <v>[Region.xls]PARAMETER!Z414S6</v>
      </c>
      <c r="DO600" s="656" t="str">
        <f t="shared" ca="1" si="295"/>
        <v>[Region.xls]PARAMETER!Z415S6</v>
      </c>
      <c r="DP600" s="656"/>
      <c r="DS600" s="656"/>
      <c r="DV600" s="656"/>
      <c r="DW600" s="656"/>
      <c r="DX600" s="656"/>
      <c r="DY600" s="656"/>
      <c r="DZ600" s="656"/>
      <c r="EA600" s="656"/>
      <c r="EB600" s="656"/>
      <c r="EC600" s="656"/>
      <c r="ED600" s="656"/>
      <c r="EE600" s="656"/>
      <c r="EF600" s="656"/>
      <c r="EG600" s="656"/>
      <c r="EH600" s="656"/>
      <c r="EI600" s="656"/>
      <c r="EJ600" s="656"/>
      <c r="EK600" s="656"/>
      <c r="EV600" s="819">
        <f t="shared" si="292"/>
        <v>600</v>
      </c>
      <c r="EW600" s="819"/>
    </row>
    <row r="601" spans="1:153" s="656" customFormat="1" ht="26">
      <c r="A601" s="654" t="str">
        <f t="shared" ca="1" si="288"/>
        <v>D.1.601</v>
      </c>
      <c r="B601" s="654" t="str">
        <f t="shared" ca="1" si="289"/>
        <v>1.601</v>
      </c>
      <c r="C601" s="654" t="str">
        <f t="shared" si="265"/>
        <v>[601]</v>
      </c>
      <c r="D601" s="654">
        <f>ROW()</f>
        <v>601</v>
      </c>
      <c r="E601" s="1133" t="str">
        <f>CU601</f>
        <v>- STATUS-Ansatz: Die elektrolytische Erzeugung von Wasserstoff aus Wind- und Solarstrom ist eine Zukunftsoption zur Substitution der heute verwendeten fossilen Kraftstoffe.</v>
      </c>
      <c r="F601" s="1133"/>
      <c r="G601" s="1133"/>
      <c r="H601" s="1133"/>
      <c r="I601" s="1133"/>
      <c r="J601" s="1133"/>
      <c r="K601" s="1133"/>
      <c r="L601" s="1133"/>
      <c r="M601" s="1133"/>
      <c r="N601" s="1134"/>
      <c r="O601" s="869">
        <v>601</v>
      </c>
      <c r="P601" s="691" t="str">
        <f ca="1">HYPERLINK(EK601,EJ601)</f>
        <v/>
      </c>
      <c r="Q601" s="692" t="str">
        <f>Y601</f>
        <v xml:space="preserve"> </v>
      </c>
      <c r="R601" s="852"/>
      <c r="S601" s="784"/>
      <c r="T601" s="864"/>
      <c r="U601" s="1023" t="s">
        <v>916</v>
      </c>
      <c r="V601" s="905" t="s">
        <v>126</v>
      </c>
      <c r="W601" s="1024">
        <v>0</v>
      </c>
      <c r="X601" s="672"/>
      <c r="Y601" s="672" t="s">
        <v>126</v>
      </c>
      <c r="Z601" s="1025"/>
      <c r="AA601" s="658"/>
      <c r="AB601" s="801"/>
      <c r="AC601" s="801"/>
      <c r="AD601" s="801"/>
      <c r="AE601" s="801"/>
      <c r="AF601" s="801"/>
      <c r="AG601" s="801"/>
      <c r="AH601" s="801"/>
      <c r="AI601" s="801"/>
      <c r="AJ601" s="801"/>
      <c r="AK601" s="801"/>
      <c r="AL601" s="801"/>
      <c r="AM601" s="801"/>
      <c r="AN601" s="801"/>
      <c r="AO601" s="801"/>
      <c r="AP601" s="801"/>
      <c r="AQ601" s="801"/>
      <c r="AR601" s="801"/>
      <c r="AS601" s="801"/>
      <c r="AT601" s="801"/>
      <c r="AU601" s="801"/>
      <c r="AV601" s="801"/>
      <c r="BF601" s="657"/>
      <c r="BI601" s="656" t="s">
        <v>126</v>
      </c>
      <c r="BJ601" s="666"/>
      <c r="BO601" s="656" t="s">
        <v>259</v>
      </c>
      <c r="CU601" s="663" t="str">
        <f>CG$1&amp;IF(U601="",BF601,U601)</f>
        <v>- STATUS-Ansatz: Die elektrolytische Erzeugung von Wasserstoff aus Wind- und Solarstrom ist eine Zukunftsoption zur Substitution der heute verwendeten fossilen Kraftstoffe.</v>
      </c>
      <c r="CW601" s="663"/>
      <c r="DT601" s="671">
        <f>I_Basisdaten!A271</f>
        <v>0</v>
      </c>
      <c r="EJ601" s="656" t="str">
        <f>IF(X601=0,"",EJ$1&amp;X601)</f>
        <v/>
      </c>
      <c r="EK601" s="656" t="str">
        <f ca="1">EK$1&amp;X601</f>
        <v>[D_Python.xlsx]9.Quellen!C</v>
      </c>
      <c r="EV601" s="819">
        <f t="shared" si="292"/>
        <v>601</v>
      </c>
      <c r="EW601" s="819"/>
    </row>
    <row r="602" spans="1:153" s="661" customFormat="1" ht="5" thickBot="1">
      <c r="A602" s="677" t="str">
        <f t="shared" ca="1" si="288"/>
        <v>D.1.602</v>
      </c>
      <c r="B602" s="677" t="str">
        <f t="shared" ca="1" si="289"/>
        <v>1.602</v>
      </c>
      <c r="C602" s="677" t="str">
        <f t="shared" si="265"/>
        <v>[602]</v>
      </c>
      <c r="D602" s="677">
        <f>ROW()</f>
        <v>602</v>
      </c>
      <c r="E602" s="680"/>
      <c r="F602" s="680"/>
      <c r="G602" s="680"/>
      <c r="H602" s="680"/>
      <c r="I602" s="679"/>
      <c r="J602" s="679"/>
      <c r="K602" s="679"/>
      <c r="L602" s="679"/>
      <c r="M602" s="679"/>
      <c r="N602" s="680"/>
      <c r="O602" s="871">
        <v>602</v>
      </c>
      <c r="P602" s="688"/>
      <c r="Q602" s="689"/>
      <c r="R602" s="888"/>
      <c r="S602" s="810"/>
      <c r="T602" s="882"/>
      <c r="AB602" s="675"/>
      <c r="AC602" s="675"/>
      <c r="AD602" s="675"/>
      <c r="AE602" s="675"/>
      <c r="AF602" s="675"/>
      <c r="AG602" s="675"/>
      <c r="AH602" s="675"/>
      <c r="AI602" s="675"/>
      <c r="AJ602" s="675"/>
      <c r="AK602" s="675"/>
      <c r="AL602" s="675"/>
      <c r="AM602" s="675"/>
      <c r="AN602" s="675"/>
      <c r="AO602" s="675"/>
      <c r="AP602" s="675"/>
      <c r="AQ602" s="675"/>
      <c r="AR602" s="675"/>
      <c r="AS602" s="675"/>
      <c r="AT602" s="675"/>
      <c r="AU602" s="675"/>
      <c r="AV602" s="675"/>
      <c r="BI602" s="661" t="s">
        <v>126</v>
      </c>
      <c r="BJ602" s="665"/>
      <c r="CU602" s="662"/>
      <c r="CW602" s="662"/>
      <c r="EV602" s="818" t="str">
        <f t="shared" si="292"/>
        <v/>
      </c>
      <c r="EW602" s="818"/>
    </row>
    <row r="603" spans="1:153" s="656" customFormat="1" ht="54" thickTop="1" thickBot="1">
      <c r="A603" s="654" t="str">
        <f t="shared" ca="1" si="288"/>
        <v>D.1.603</v>
      </c>
      <c r="B603" s="654" t="str">
        <f t="shared" ca="1" si="289"/>
        <v>1.603</v>
      </c>
      <c r="C603" s="654" t="str">
        <f t="shared" si="265"/>
        <v>[603]</v>
      </c>
      <c r="D603" s="654">
        <f>ROW()</f>
        <v>603</v>
      </c>
      <c r="E603" s="1135" t="str">
        <f t="shared" ref="E603" si="296">CU603</f>
        <v>- ZIEL-Ansatz: (Bei Abweichungen gilt Abgleichergebnis in _S.xlsx) Die Substitution der fossilen Kraftstoffe im Verkehrsbereich und bei den übrigen mobilen Anwendungen stellt eine besondere Herausforderung dar. Für den nicht durch Elektrifizierung oder Biokraftstoffe abzudeckenden Restbedarf können synthetische Kraftstoffe auf Basis von Wind-/Solarwasserstoff dienen.</v>
      </c>
      <c r="F603" s="1135"/>
      <c r="G603" s="1135"/>
      <c r="H603" s="1135"/>
      <c r="I603" s="1135"/>
      <c r="J603" s="1135"/>
      <c r="K603" s="1135"/>
      <c r="L603" s="1135"/>
      <c r="M603" s="1135"/>
      <c r="N603" s="1136"/>
      <c r="O603" s="869">
        <v>603</v>
      </c>
      <c r="P603" s="691" t="str">
        <f ca="1">HYPERLINK(EK603,EJ603)</f>
        <v/>
      </c>
      <c r="Q603" s="692" t="str">
        <f>Y603</f>
        <v xml:space="preserve"> </v>
      </c>
      <c r="R603" s="852"/>
      <c r="S603" s="784"/>
      <c r="T603" s="864" t="s">
        <v>1035</v>
      </c>
      <c r="U603" s="1023" t="str">
        <f>"(Bei Abweichungen gilt Abgleichergebnis in _S.xlsx) Die Substitution der fossilen Kraftstoffe im Verkehrsbereich und bei den übrigen mobilen Anwendungen stellt eine besondere Herausforderung dar. "&amp;"Für den nicht durch Elektrifizierung oder Biokraftstoffe abzudeckenden Restbedarf können synthetische Kraftstoffe auf Basis von Wind-/Solarwasserstoff dienen."</f>
        <v>(Bei Abweichungen gilt Abgleichergebnis in _S.xlsx) Die Substitution der fossilen Kraftstoffe im Verkehrsbereich und bei den übrigen mobilen Anwendungen stellt eine besondere Herausforderung dar. Für den nicht durch Elektrifizierung oder Biokraftstoffe abzudeckenden Restbedarf können synthetische Kraftstoffe auf Basis von Wind-/Solarwasserstoff dienen.</v>
      </c>
      <c r="V603" s="905" t="s">
        <v>126</v>
      </c>
      <c r="W603" s="1093">
        <v>73899.072310999196</v>
      </c>
      <c r="X603" s="865"/>
      <c r="Y603" s="672" t="s">
        <v>126</v>
      </c>
      <c r="Z603" s="1025"/>
      <c r="AA603" s="905"/>
      <c r="AB603" s="801"/>
      <c r="AC603" s="801"/>
      <c r="AD603" s="801"/>
      <c r="AE603" s="801"/>
      <c r="AF603" s="801"/>
      <c r="AG603" s="801"/>
      <c r="AH603" s="801"/>
      <c r="AI603" s="801"/>
      <c r="AJ603" s="801"/>
      <c r="AK603" s="801"/>
      <c r="AL603" s="801"/>
      <c r="AM603" s="801"/>
      <c r="AN603" s="801"/>
      <c r="AO603" s="801"/>
      <c r="AP603" s="801"/>
      <c r="AQ603" s="801"/>
      <c r="AR603" s="801"/>
      <c r="AS603" s="801"/>
      <c r="AT603" s="801"/>
      <c r="AU603" s="801"/>
      <c r="AV603" s="801"/>
      <c r="BF603" s="657"/>
      <c r="BI603" s="656" t="s">
        <v>126</v>
      </c>
      <c r="BJ603" s="666"/>
      <c r="BO603" s="656" t="s">
        <v>259</v>
      </c>
      <c r="CU603" s="663" t="str">
        <f>CH$1&amp;IF(U603="",BF603,U603)</f>
        <v>- ZIEL-Ansatz: (Bei Abweichungen gilt Abgleichergebnis in _S.xlsx) Die Substitution der fossilen Kraftstoffe im Verkehrsbereich und bei den übrigen mobilen Anwendungen stellt eine besondere Herausforderung dar. Für den nicht durch Elektrifizierung oder Biokraftstoffe abzudeckenden Restbedarf können synthetische Kraftstoffe auf Basis von Wind-/Solarwasserstoff dienen.</v>
      </c>
      <c r="CW603" s="663"/>
      <c r="DT603" s="671">
        <v>53</v>
      </c>
      <c r="EJ603" s="656" t="str">
        <f>IF(X603=0,"",EJ$1&amp;X603)</f>
        <v/>
      </c>
      <c r="EK603" s="656" t="str">
        <f ca="1">EK$1&amp;X603</f>
        <v>[D_Python.xlsx]9.Quellen!C</v>
      </c>
      <c r="EV603" s="819">
        <f t="shared" si="292"/>
        <v>603</v>
      </c>
      <c r="EW603" s="819"/>
    </row>
    <row r="604" spans="1:153" s="661" customFormat="1" ht="5" thickTop="1">
      <c r="A604" s="677" t="str">
        <f t="shared" ca="1" si="288"/>
        <v>D.1.604</v>
      </c>
      <c r="B604" s="677" t="str">
        <f t="shared" ca="1" si="289"/>
        <v>1.604</v>
      </c>
      <c r="C604" s="677" t="str">
        <f t="shared" si="265"/>
        <v>[604]</v>
      </c>
      <c r="D604" s="677">
        <f>ROW()</f>
        <v>604</v>
      </c>
      <c r="E604" s="685"/>
      <c r="F604" s="685"/>
      <c r="G604" s="685"/>
      <c r="H604" s="685"/>
      <c r="I604" s="686"/>
      <c r="J604" s="686"/>
      <c r="K604" s="686"/>
      <c r="L604" s="686"/>
      <c r="M604" s="686"/>
      <c r="N604" s="685"/>
      <c r="O604" s="871">
        <v>604</v>
      </c>
      <c r="P604" s="693"/>
      <c r="Q604" s="694"/>
      <c r="R604" s="888"/>
      <c r="S604" s="802"/>
      <c r="T604" s="882"/>
      <c r="AB604" s="675"/>
      <c r="AC604" s="675"/>
      <c r="AD604" s="675"/>
      <c r="AE604" s="675"/>
      <c r="AF604" s="675"/>
      <c r="AG604" s="675"/>
      <c r="AH604" s="675"/>
      <c r="AI604" s="675"/>
      <c r="AJ604" s="675"/>
      <c r="AK604" s="675"/>
      <c r="AL604" s="675"/>
      <c r="AM604" s="675"/>
      <c r="AN604" s="675"/>
      <c r="AO604" s="675"/>
      <c r="AP604" s="675"/>
      <c r="AQ604" s="675"/>
      <c r="AR604" s="675"/>
      <c r="AS604" s="675"/>
      <c r="AT604" s="675"/>
      <c r="AU604" s="675"/>
      <c r="AV604" s="675"/>
      <c r="AZ604" s="669"/>
      <c r="BB604" s="669"/>
      <c r="BI604" s="661" t="s">
        <v>126</v>
      </c>
      <c r="BJ604" s="665"/>
      <c r="CU604" s="662"/>
      <c r="CW604" s="662"/>
      <c r="EV604" s="818" t="str">
        <f t="shared" si="292"/>
        <v/>
      </c>
      <c r="EW604" s="818"/>
    </row>
    <row r="605" spans="1:153" s="658" customFormat="1" ht="13.5" customHeight="1">
      <c r="A605" s="654" t="str">
        <f t="shared" ca="1" si="288"/>
        <v>D.1.605</v>
      </c>
      <c r="B605" s="654" t="str">
        <f t="shared" ca="1" si="289"/>
        <v>1.605</v>
      </c>
      <c r="C605" s="654" t="str">
        <f t="shared" si="265"/>
        <v>[605]</v>
      </c>
      <c r="D605" s="654">
        <f>ROW()</f>
        <v>605</v>
      </c>
      <c r="E605" s="1129" t="str">
        <f>BP605</f>
        <v>Kraftstoffsynthese - Nutzungsgrad</v>
      </c>
      <c r="F605" s="1129"/>
      <c r="G605" s="1129"/>
      <c r="H605" s="1129"/>
      <c r="I605" s="1129"/>
      <c r="J605" s="559" t="s">
        <v>38</v>
      </c>
      <c r="K605" s="557">
        <f ca="1">INDIRECT($W$1&amp;U605)</f>
        <v>0</v>
      </c>
      <c r="L605" s="485" t="str">
        <f ca="1">HYPERLINK($CK$1&amp;U605,$CE$1&amp;U605&amp;$CF$1)</f>
        <v>[606]</v>
      </c>
      <c r="M605" s="558">
        <f ca="1">INDIRECT($W$1&amp;W605)</f>
        <v>63</v>
      </c>
      <c r="N605" s="681" t="str">
        <f ca="1">HYPERLINK($CK$1&amp;W605,$CE$1&amp;W605&amp;$CF$1)</f>
        <v>[608]</v>
      </c>
      <c r="O605" s="869">
        <v>605</v>
      </c>
      <c r="P605" s="690"/>
      <c r="Q605" s="695"/>
      <c r="R605" s="852"/>
      <c r="S605" s="784"/>
      <c r="T605" s="864"/>
      <c r="U605" s="672">
        <f>D606</f>
        <v>606</v>
      </c>
      <c r="V605" s="905" t="s">
        <v>126</v>
      </c>
      <c r="W605" s="672">
        <f>D608</f>
        <v>608</v>
      </c>
      <c r="AB605" s="801"/>
      <c r="AC605" s="801"/>
      <c r="AD605" s="674"/>
      <c r="AE605" s="674"/>
      <c r="AF605" s="674"/>
      <c r="AG605" s="674"/>
      <c r="AH605" s="674"/>
      <c r="AI605" s="674"/>
      <c r="AJ605" s="674"/>
      <c r="AK605" s="674"/>
      <c r="AL605" s="674"/>
      <c r="AM605" s="674"/>
      <c r="AN605" s="674"/>
      <c r="AO605" s="674"/>
      <c r="AP605" s="674"/>
      <c r="AQ605" s="674"/>
      <c r="AR605" s="674"/>
      <c r="AS605" s="674"/>
      <c r="AT605" s="674"/>
      <c r="AU605" s="674"/>
      <c r="AV605" s="674"/>
      <c r="AX605" s="658" t="s">
        <v>244</v>
      </c>
      <c r="AY605" s="668">
        <f ca="1">DA605</f>
        <v>2.3178959999999997</v>
      </c>
      <c r="AZ605" s="670" t="str">
        <f ca="1">HYPERLINK(DN605,DC605)</f>
        <v xml:space="preserve"> 414</v>
      </c>
      <c r="BA605" s="668">
        <f ca="1">DB605</f>
        <v>2.7042119999999996</v>
      </c>
      <c r="BB605" s="670" t="str">
        <f ca="1">HYPERLINK(DO605,DD605)</f>
        <v xml:space="preserve"> 415</v>
      </c>
      <c r="BC605" s="658" t="str">
        <f ca="1">CY605&amp;" | "&amp;CZ605</f>
        <v>Wärme | 2.2.2 Energieertrag Abwärme aus Verstromung von Tiefen-Geothermie</v>
      </c>
      <c r="BI605" s="658" t="s">
        <v>126</v>
      </c>
      <c r="BJ605" s="667" t="str">
        <f>E605</f>
        <v>Kraftstoffsynthese - Nutzungsgrad</v>
      </c>
      <c r="BK605" s="664">
        <f ca="1">K605</f>
        <v>0</v>
      </c>
      <c r="BL605" s="664">
        <f ca="1">M605</f>
        <v>63</v>
      </c>
      <c r="BM605" s="656">
        <f>D605</f>
        <v>605</v>
      </c>
      <c r="BO605" s="658" t="s">
        <v>251</v>
      </c>
      <c r="BP605" s="676" t="s">
        <v>648</v>
      </c>
      <c r="CU605" s="659"/>
      <c r="CW605" s="671">
        <v>107</v>
      </c>
      <c r="CY605" s="656" t="str">
        <f t="shared" ref="CY605:DO605" ca="1" si="297">INDIRECT($CX$1&amp;CY$1&amp;$CW605)</f>
        <v>Wärme</v>
      </c>
      <c r="CZ605" s="656" t="str">
        <f t="shared" ca="1" si="297"/>
        <v>2.2.2 Energieertrag Abwärme aus Verstromung von Tiefen-Geothermie</v>
      </c>
      <c r="DA605" s="656">
        <f t="shared" ca="1" si="297"/>
        <v>2.3178959999999997</v>
      </c>
      <c r="DB605" s="656">
        <f t="shared" ca="1" si="297"/>
        <v>2.7042119999999996</v>
      </c>
      <c r="DC605" s="656" t="str">
        <f t="shared" ca="1" si="297"/>
        <v xml:space="preserve"> 414</v>
      </c>
      <c r="DD605" s="656" t="str">
        <f t="shared" ca="1" si="297"/>
        <v xml:space="preserve"> 415</v>
      </c>
      <c r="DE605" s="656" t="str">
        <f t="shared" ca="1" si="297"/>
        <v>UG99</v>
      </c>
      <c r="DF605" s="656" t="str">
        <f t="shared" ca="1" si="297"/>
        <v>UG99</v>
      </c>
      <c r="DG605" s="656" t="str">
        <f t="shared" ca="1" si="297"/>
        <v>UG</v>
      </c>
      <c r="DH605" s="656" t="str">
        <f t="shared" ca="1" si="297"/>
        <v>99</v>
      </c>
      <c r="DI605" s="656" t="str">
        <f t="shared" ca="1" si="297"/>
        <v>[UG.xls]TEXT!Z99S5</v>
      </c>
      <c r="DJ605" s="656" t="str">
        <f t="shared" ca="1" si="297"/>
        <v>UG</v>
      </c>
      <c r="DK605" s="656" t="str">
        <f t="shared" ca="1" si="297"/>
        <v>99</v>
      </c>
      <c r="DL605" s="656" t="str">
        <f t="shared" ca="1" si="297"/>
        <v>[UG.xls]TEXT!Z99S5</v>
      </c>
      <c r="DM605" s="656">
        <f t="shared" ca="1" si="297"/>
        <v>107</v>
      </c>
      <c r="DN605" s="656" t="str">
        <f t="shared" ca="1" si="297"/>
        <v>[Region.xls]PARAMETER!Z414S6</v>
      </c>
      <c r="DO605" s="656" t="str">
        <f t="shared" ca="1" si="297"/>
        <v>[Region.xls]PARAMETER!Z415S6</v>
      </c>
      <c r="DP605" s="656"/>
      <c r="DS605" s="656"/>
      <c r="DV605" s="656"/>
      <c r="DW605" s="656"/>
      <c r="DX605" s="656"/>
      <c r="DY605" s="656"/>
      <c r="DZ605" s="656"/>
      <c r="EA605" s="656"/>
      <c r="EB605" s="656"/>
      <c r="EC605" s="656"/>
      <c r="ED605" s="656"/>
      <c r="EE605" s="656"/>
      <c r="EF605" s="656"/>
      <c r="EG605" s="656"/>
      <c r="EH605" s="656"/>
      <c r="EI605" s="656"/>
      <c r="EJ605" s="656"/>
      <c r="EK605" s="656"/>
      <c r="EV605" s="819">
        <f t="shared" si="292"/>
        <v>605</v>
      </c>
      <c r="EW605" s="819"/>
    </row>
    <row r="606" spans="1:153" s="656" customFormat="1">
      <c r="A606" s="654" t="str">
        <f t="shared" ca="1" si="288"/>
        <v>D.1.606</v>
      </c>
      <c r="B606" s="654" t="str">
        <f t="shared" ca="1" si="289"/>
        <v>1.606</v>
      </c>
      <c r="C606" s="654" t="str">
        <f t="shared" si="265"/>
        <v>[606]</v>
      </c>
      <c r="D606" s="654">
        <f>ROW()</f>
        <v>606</v>
      </c>
      <c r="E606" s="1133" t="str">
        <f>CU606</f>
        <v>- STATUS-Ansatz: Nicht relevant, siehe [601].</v>
      </c>
      <c r="F606" s="1133"/>
      <c r="G606" s="1133"/>
      <c r="H606" s="1133"/>
      <c r="I606" s="1133"/>
      <c r="J606" s="1133"/>
      <c r="K606" s="1133"/>
      <c r="L606" s="1133"/>
      <c r="M606" s="1133"/>
      <c r="N606" s="1134"/>
      <c r="O606" s="869">
        <v>606</v>
      </c>
      <c r="P606" s="691" t="str">
        <f ca="1">HYPERLINK(EK606,EJ606)</f>
        <v/>
      </c>
      <c r="Q606" s="692" t="str">
        <f>Y606</f>
        <v xml:space="preserve"> </v>
      </c>
      <c r="R606" s="852"/>
      <c r="S606" s="784"/>
      <c r="T606" s="864"/>
      <c r="U606" s="1023" t="str">
        <f>"Nicht relevant, siehe "&amp;C$601&amp;"."</f>
        <v>Nicht relevant, siehe [601].</v>
      </c>
      <c r="V606" s="905" t="s">
        <v>126</v>
      </c>
      <c r="W606" s="1024">
        <v>0</v>
      </c>
      <c r="X606" s="672"/>
      <c r="Y606" s="672" t="s">
        <v>126</v>
      </c>
      <c r="Z606" s="1025"/>
      <c r="AA606" s="658"/>
      <c r="AB606" s="801"/>
      <c r="AC606" s="801"/>
      <c r="AD606" s="801"/>
      <c r="AE606" s="801"/>
      <c r="AF606" s="801"/>
      <c r="AG606" s="801"/>
      <c r="AH606" s="801"/>
      <c r="AI606" s="801"/>
      <c r="AJ606" s="801"/>
      <c r="AK606" s="801"/>
      <c r="AL606" s="801"/>
      <c r="AM606" s="801"/>
      <c r="AN606" s="801"/>
      <c r="AO606" s="801"/>
      <c r="AP606" s="801"/>
      <c r="AQ606" s="801"/>
      <c r="AR606" s="801"/>
      <c r="AS606" s="801"/>
      <c r="AT606" s="801"/>
      <c r="AU606" s="801"/>
      <c r="AV606" s="801"/>
      <c r="BF606" s="657"/>
      <c r="BI606" s="656" t="s">
        <v>126</v>
      </c>
      <c r="BJ606" s="666"/>
      <c r="BO606" s="656" t="s">
        <v>259</v>
      </c>
      <c r="CU606" s="663" t="str">
        <f>CG$1&amp;IF(U606="",BF606,U606)</f>
        <v>- STATUS-Ansatz: Nicht relevant, siehe [601].</v>
      </c>
      <c r="CW606" s="663"/>
      <c r="DT606" s="671">
        <f>I_Basisdaten!A276</f>
        <v>0</v>
      </c>
      <c r="EJ606" s="656" t="str">
        <f>IF(X606=0,"",EJ$1&amp;X606)</f>
        <v/>
      </c>
      <c r="EK606" s="656" t="str">
        <f ca="1">EK$1&amp;X606</f>
        <v>[D_Python.xlsx]9.Quellen!C</v>
      </c>
      <c r="EV606" s="819">
        <f t="shared" si="292"/>
        <v>606</v>
      </c>
      <c r="EW606" s="819"/>
    </row>
    <row r="607" spans="1:153" s="661" customFormat="1" ht="4">
      <c r="A607" s="677" t="str">
        <f t="shared" ca="1" si="288"/>
        <v>D.1.607</v>
      </c>
      <c r="B607" s="677" t="str">
        <f t="shared" ca="1" si="289"/>
        <v>1.607</v>
      </c>
      <c r="C607" s="677" t="str">
        <f t="shared" si="265"/>
        <v>[607]</v>
      </c>
      <c r="D607" s="677">
        <f>ROW()</f>
        <v>607</v>
      </c>
      <c r="E607" s="680"/>
      <c r="F607" s="680"/>
      <c r="G607" s="680"/>
      <c r="H607" s="680"/>
      <c r="I607" s="679"/>
      <c r="J607" s="679"/>
      <c r="K607" s="679"/>
      <c r="L607" s="679"/>
      <c r="M607" s="679"/>
      <c r="N607" s="680"/>
      <c r="O607" s="871">
        <v>607</v>
      </c>
      <c r="P607" s="688"/>
      <c r="Q607" s="689"/>
      <c r="R607" s="888"/>
      <c r="S607" s="810"/>
      <c r="T607" s="882"/>
      <c r="AB607" s="675"/>
      <c r="AC607" s="675"/>
      <c r="AD607" s="675"/>
      <c r="AE607" s="675"/>
      <c r="AF607" s="675"/>
      <c r="AG607" s="675"/>
      <c r="AH607" s="675"/>
      <c r="AI607" s="675"/>
      <c r="AJ607" s="675"/>
      <c r="AK607" s="675"/>
      <c r="AL607" s="675"/>
      <c r="AM607" s="675"/>
      <c r="AN607" s="675"/>
      <c r="AO607" s="675"/>
      <c r="AP607" s="675"/>
      <c r="AQ607" s="675"/>
      <c r="AR607" s="675"/>
      <c r="AS607" s="675"/>
      <c r="AT607" s="675"/>
      <c r="AU607" s="675"/>
      <c r="AV607" s="675"/>
      <c r="BI607" s="661" t="s">
        <v>126</v>
      </c>
      <c r="BJ607" s="665"/>
      <c r="CU607" s="662"/>
      <c r="CW607" s="662"/>
      <c r="EV607" s="818" t="str">
        <f t="shared" si="292"/>
        <v/>
      </c>
      <c r="EW607" s="818"/>
    </row>
    <row r="608" spans="1:153" s="656" customFormat="1" ht="65">
      <c r="A608" s="654" t="str">
        <f t="shared" ca="1" si="288"/>
        <v>D.1.608</v>
      </c>
      <c r="B608" s="654" t="str">
        <f t="shared" ca="1" si="289"/>
        <v>1.608</v>
      </c>
      <c r="C608" s="654" t="str">
        <f t="shared" si="265"/>
        <v>[608]</v>
      </c>
      <c r="D608" s="654">
        <f>ROW()</f>
        <v>608</v>
      </c>
      <c r="E608" s="1125" t="str">
        <f t="shared" ref="E608" si="298">CU608</f>
        <v xml:space="preserve">- ZIEL-Ansatz: Der Nutzungsgrad ist stark abhängig vom Mix der verschiedenen Kraftstoffe: Wasserstoff kann mit einem Nutzungsgrad von nahe 100 % bereitgestellt werden, für die Wasserstoff-Methanisierung zu tankbarem Autogas  ist mit einem Nutzungsgrad von 80% [614] zu rechnen. Hier wird die Erzeugung von flüssigen Kraftstoffen Kerosin, Benzin und Diesel angenommen, die beispielsweise im Luftverkehr ohne Alternative sind. Der Nutzungsgrad der Kraftstoffgewinnung aus Wasserstoff liegt gemäß [609] bei 63 %. </v>
      </c>
      <c r="F608" s="1125"/>
      <c r="G608" s="1125"/>
      <c r="H608" s="1125"/>
      <c r="I608" s="1125"/>
      <c r="J608" s="1125"/>
      <c r="K608" s="1125"/>
      <c r="L608" s="1125"/>
      <c r="M608" s="1125"/>
      <c r="N608" s="1132"/>
      <c r="O608" s="869">
        <v>608</v>
      </c>
      <c r="P608" s="691" t="str">
        <f ca="1">HYPERLINK(EK608,EJ608)</f>
        <v/>
      </c>
      <c r="Q608" s="692" t="str">
        <f>Y608</f>
        <v xml:space="preserve"> </v>
      </c>
      <c r="R608" s="852"/>
      <c r="S608" s="784"/>
      <c r="T608" s="864"/>
      <c r="U608" s="1023" t="str">
        <f>"Der Nutzungsgrad ist stark abhängig vom Mix der verschiedenen Kraftstoffe: Wasserstoff kann mit einem Nutzungsgrad von nahe 100 % bereitgestellt werden, für die Wasserstoff-Methanisierung zu tankbarem Autogas  ist mit einem Nutzungsgrad von "&amp;AD608&amp;AE608&amp;C614&amp;" zu rechnen. Hier wird die Erzeugung von flüssigen Kraftstoffen Kerosin, Benzin und Diesel angenommen, die beispielsweise im Luftverkehr ohne Alternative sind."&amp;" Der Nutzungsgrad der Kraftstoffgewinnung aus Wasserstoff liegt gemäß "&amp;C609&amp;" bei "&amp;W608&amp;" %. "</f>
        <v xml:space="preserve">Der Nutzungsgrad ist stark abhängig vom Mix der verschiedenen Kraftstoffe: Wasserstoff kann mit einem Nutzungsgrad von nahe 100 % bereitgestellt werden, für die Wasserstoff-Methanisierung zu tankbarem Autogas  ist mit einem Nutzungsgrad von 80% [614] zu rechnen. Hier wird die Erzeugung von flüssigen Kraftstoffen Kerosin, Benzin und Diesel angenommen, die beispielsweise im Luftverkehr ohne Alternative sind. Der Nutzungsgrad der Kraftstoffgewinnung aus Wasserstoff liegt gemäß [609] bei 63 %. </v>
      </c>
      <c r="V608" s="905" t="s">
        <v>126</v>
      </c>
      <c r="W608" s="1024">
        <f>AH609</f>
        <v>63</v>
      </c>
      <c r="X608" s="672"/>
      <c r="Y608" s="785" t="s">
        <v>126</v>
      </c>
      <c r="Z608" s="1025"/>
      <c r="AA608" s="905"/>
      <c r="AB608" s="801"/>
      <c r="AC608" s="801"/>
      <c r="AD608" s="687">
        <f>W614</f>
        <v>80</v>
      </c>
      <c r="AE608" s="801" t="s">
        <v>835</v>
      </c>
      <c r="AF608" s="801"/>
      <c r="AG608" s="801"/>
      <c r="AH608" s="801"/>
      <c r="AI608" s="801"/>
      <c r="AJ608" s="801"/>
      <c r="AK608" s="801"/>
      <c r="AL608" s="801"/>
      <c r="AM608" s="801"/>
      <c r="AN608" s="801"/>
      <c r="AO608" s="801"/>
      <c r="AP608" s="801"/>
      <c r="AQ608" s="801"/>
      <c r="AR608" s="801"/>
      <c r="AS608" s="801"/>
      <c r="AT608" s="801"/>
      <c r="AU608" s="801"/>
      <c r="AV608" s="801"/>
      <c r="BF608" s="657"/>
      <c r="BI608" s="656" t="s">
        <v>126</v>
      </c>
      <c r="BJ608" s="666"/>
      <c r="BO608" s="656" t="s">
        <v>259</v>
      </c>
      <c r="CU608" s="663" t="str">
        <f>CH$1&amp;IF(U608="",BF608,U608)</f>
        <v xml:space="preserve">- ZIEL-Ansatz: Der Nutzungsgrad ist stark abhängig vom Mix der verschiedenen Kraftstoffe: Wasserstoff kann mit einem Nutzungsgrad von nahe 100 % bereitgestellt werden, für die Wasserstoff-Methanisierung zu tankbarem Autogas  ist mit einem Nutzungsgrad von 80% [614] zu rechnen. Hier wird die Erzeugung von flüssigen Kraftstoffen Kerosin, Benzin und Diesel angenommen, die beispielsweise im Luftverkehr ohne Alternative sind. Der Nutzungsgrad der Kraftstoffgewinnung aus Wasserstoff liegt gemäß [609] bei 63 %. </v>
      </c>
      <c r="CW608" s="663"/>
      <c r="DT608" s="671">
        <v>53</v>
      </c>
      <c r="EJ608" s="656" t="str">
        <f>IF(X608=0,"",EJ$1&amp;X608)</f>
        <v/>
      </c>
      <c r="EK608" s="656" t="str">
        <f ca="1">EK$1&amp;X608</f>
        <v>[D_Python.xlsx]9.Quellen!C</v>
      </c>
      <c r="EV608" s="819">
        <f t="shared" si="292"/>
        <v>608</v>
      </c>
      <c r="EW608" s="819"/>
    </row>
    <row r="609" spans="1:153" s="656" customFormat="1" ht="78">
      <c r="A609" s="654" t="str">
        <f t="shared" ca="1" si="288"/>
        <v>D.1.609</v>
      </c>
      <c r="B609" s="654" t="str">
        <f t="shared" ca="1" si="289"/>
        <v>1.609</v>
      </c>
      <c r="C609" s="654" t="str">
        <f t="shared" ref="C609" si="299">CE$1&amp;D609&amp;CF$1</f>
        <v>[609]</v>
      </c>
      <c r="D609" s="654">
        <f>ROW()</f>
        <v>609</v>
      </c>
      <c r="E609" s="1125" t="str">
        <f ca="1">CU609</f>
        <v>In einer Studie von LBST für den FVV [9.108], 3-62, werden für die Herstellung von Benzin, Kerosin und Diesel auf der Grundlage von Wasserstoff aus der elektrischen Wasserelektrolyse über den Methanopfad für den Produktmix folgende Gesamtwirkungsgrade angegeben:  47 % wenn CO2 aus Biogas verwendet werden kann, 41 % wenn CO2 aus der Verbrennung von Biomasse verwendet werden kann und 36 % wenn das CO2 aus der Luft gewonnen werden muss. Hier wird das Mittel über die drei Fälle angenommen, aus dem Wirkungsgrad von 41%  und dem in der Studie angenommenen Elektrolyse-Wirkungsgrad von 65%  resultiert ein Synthese-Wirkungsgrad von 63% .</v>
      </c>
      <c r="F609" s="1125"/>
      <c r="G609" s="1125"/>
      <c r="H609" s="1125"/>
      <c r="I609" s="1125"/>
      <c r="J609" s="1125"/>
      <c r="K609" s="1125"/>
      <c r="L609" s="1125"/>
      <c r="M609" s="1125"/>
      <c r="N609" s="1132"/>
      <c r="O609" s="869">
        <v>609</v>
      </c>
      <c r="P609" s="691" t="str">
        <f t="shared" ref="P609" ca="1" si="300">HYPERLINK(EK609,EJ609)</f>
        <v>9.108</v>
      </c>
      <c r="Q609" s="692" t="str">
        <f t="shared" ref="Q609" si="301">Y609</f>
        <v>3-62</v>
      </c>
      <c r="R609" s="852"/>
      <c r="S609" s="784"/>
      <c r="T609" s="864"/>
      <c r="U609" s="1023" t="str">
        <f ca="1">"In einer Studie von LBST für den FVV ["&amp;P609&amp;"], "&amp;Q609&amp;", werden für die Herstellung von Benzin, Kerosin und Diesel auf der Grundlage von Wasserstoff aus der elektrischen Wasserelektrolyse über den Methanopfad für den Produktmix folgende Gesamtwirkungsgrade angegeben: "&amp;" 47 % wenn CO2 aus Biogas verwendet werden kann, 41 % wenn CO2 aus der Verbrennung von Biomasse verwendet werden kann und 36 % wenn das CO2 aus der Luft gewonnen werden muss. "&amp;"Hier wird das Mittel über die drei Fälle angenommen, aus dem Wirkungsgrad von "&amp;AD609&amp;AE609&amp;" und dem in der Studie angenommenen Elektrolyse-Wirkungsgrad von "&amp;AF609&amp;AG609&amp;" resultiert ein Synthese-Wirkungsgrad von "&amp;AH609&amp;AI609&amp;"."</f>
        <v>In einer Studie von LBST für den FVV [9.108], 3-62, werden für die Herstellung von Benzin, Kerosin und Diesel auf der Grundlage von Wasserstoff aus der elektrischen Wasserelektrolyse über den Methanopfad für den Produktmix folgende Gesamtwirkungsgrade angegeben:  47 % wenn CO2 aus Biogas verwendet werden kann, 41 % wenn CO2 aus der Verbrennung von Biomasse verwendet werden kann und 36 % wenn das CO2 aus der Luft gewonnen werden muss. Hier wird das Mittel über die drei Fälle angenommen, aus dem Wirkungsgrad von 41%  und dem in der Studie angenommenen Elektrolyse-Wirkungsgrad von 65%  resultiert ein Synthese-Wirkungsgrad von 63% .</v>
      </c>
      <c r="V609" s="905" t="s">
        <v>126</v>
      </c>
      <c r="W609" s="1024"/>
      <c r="X609" s="672">
        <f>'9.Quellen'!C108</f>
        <v>108</v>
      </c>
      <c r="Y609" s="785" t="s">
        <v>829</v>
      </c>
      <c r="Z609" s="1025"/>
      <c r="AA609" s="905"/>
      <c r="AB609" s="801"/>
      <c r="AC609" s="801"/>
      <c r="AD609" s="801">
        <v>41</v>
      </c>
      <c r="AE609" s="801" t="s">
        <v>835</v>
      </c>
      <c r="AF609" s="801">
        <f>65</f>
        <v>65</v>
      </c>
      <c r="AG609" s="801" t="s">
        <v>835</v>
      </c>
      <c r="AH609" s="801">
        <f>ROUND(AD609/AF609%,0)</f>
        <v>63</v>
      </c>
      <c r="AI609" s="801" t="s">
        <v>835</v>
      </c>
      <c r="AJ609" s="801"/>
      <c r="AK609" s="801"/>
      <c r="AL609" s="801"/>
      <c r="AM609" s="801"/>
      <c r="AN609" s="801"/>
      <c r="AO609" s="801"/>
      <c r="AP609" s="801"/>
      <c r="AQ609" s="801"/>
      <c r="AR609" s="801"/>
      <c r="AS609" s="801"/>
      <c r="AT609" s="801"/>
      <c r="AU609" s="801"/>
      <c r="AV609" s="801"/>
      <c r="BF609" s="657"/>
      <c r="BI609" s="656" t="s">
        <v>126</v>
      </c>
      <c r="BJ609" s="666"/>
      <c r="BO609" s="656" t="s">
        <v>252</v>
      </c>
      <c r="CU609" s="663" t="str">
        <f ca="1">IF(U609="",BF609,U609)</f>
        <v>In einer Studie von LBST für den FVV [9.108], 3-62, werden für die Herstellung von Benzin, Kerosin und Diesel auf der Grundlage von Wasserstoff aus der elektrischen Wasserelektrolyse über den Methanopfad für den Produktmix folgende Gesamtwirkungsgrade angegeben:  47 % wenn CO2 aus Biogas verwendet werden kann, 41 % wenn CO2 aus der Verbrennung von Biomasse verwendet werden kann und 36 % wenn das CO2 aus der Luft gewonnen werden muss. Hier wird das Mittel über die drei Fälle angenommen, aus dem Wirkungsgrad von 41%  und dem in der Studie angenommenen Elektrolyse-Wirkungsgrad von 65%  resultiert ein Synthese-Wirkungsgrad von 63% .</v>
      </c>
      <c r="CW609" s="663"/>
      <c r="DT609" s="671"/>
      <c r="EJ609" s="656" t="str">
        <f ca="1">IF(X609=0,"",EJ$1&amp;X609)</f>
        <v>9.108</v>
      </c>
      <c r="EK609" s="656" t="str">
        <f ca="1">EK$1&amp;X609</f>
        <v>[D_Python.xlsx]9.Quellen!C108</v>
      </c>
      <c r="EV609" s="819">
        <f t="shared" ca="1" si="292"/>
        <v>609</v>
      </c>
      <c r="EW609" s="819"/>
    </row>
    <row r="610" spans="1:153" s="661" customFormat="1" ht="4">
      <c r="A610" s="677" t="str">
        <f t="shared" ca="1" si="288"/>
        <v>D.1.610</v>
      </c>
      <c r="B610" s="677" t="str">
        <f t="shared" ca="1" si="289"/>
        <v>1.610</v>
      </c>
      <c r="C610" s="677" t="str">
        <f t="shared" si="265"/>
        <v>[610]</v>
      </c>
      <c r="D610" s="677">
        <f>ROW()</f>
        <v>610</v>
      </c>
      <c r="E610" s="685"/>
      <c r="F610" s="685"/>
      <c r="G610" s="685"/>
      <c r="H610" s="685"/>
      <c r="I610" s="686"/>
      <c r="J610" s="686"/>
      <c r="K610" s="686"/>
      <c r="L610" s="686"/>
      <c r="M610" s="686"/>
      <c r="N610" s="685"/>
      <c r="O610" s="871">
        <v>610</v>
      </c>
      <c r="P610" s="693"/>
      <c r="Q610" s="694"/>
      <c r="R610" s="888"/>
      <c r="S610" s="802"/>
      <c r="T610" s="882"/>
      <c r="AB610" s="675"/>
      <c r="AC610" s="675"/>
      <c r="AD610" s="675"/>
      <c r="AE610" s="675"/>
      <c r="AF610" s="675"/>
      <c r="AG610" s="675"/>
      <c r="AH610" s="675"/>
      <c r="AI610" s="675"/>
      <c r="AJ610" s="675"/>
      <c r="AK610" s="675"/>
      <c r="AL610" s="675"/>
      <c r="AM610" s="675"/>
      <c r="AN610" s="675"/>
      <c r="AO610" s="675"/>
      <c r="AP610" s="675"/>
      <c r="AQ610" s="675"/>
      <c r="AR610" s="675"/>
      <c r="AS610" s="675"/>
      <c r="AT610" s="675"/>
      <c r="AU610" s="675"/>
      <c r="AV610" s="675"/>
      <c r="AZ610" s="669"/>
      <c r="BB610" s="669"/>
      <c r="BI610" s="661" t="s">
        <v>126</v>
      </c>
      <c r="BJ610" s="665"/>
      <c r="CU610" s="662"/>
      <c r="CW610" s="662"/>
      <c r="EV610" s="818" t="str">
        <f t="shared" si="292"/>
        <v/>
      </c>
      <c r="EW610" s="818"/>
    </row>
    <row r="611" spans="1:153" s="658" customFormat="1" ht="13.5" customHeight="1">
      <c r="A611" s="654" t="str">
        <f t="shared" ca="1" si="288"/>
        <v>D.1.611</v>
      </c>
      <c r="B611" s="654" t="str">
        <f t="shared" ca="1" si="289"/>
        <v>1.611</v>
      </c>
      <c r="C611" s="654" t="str">
        <f t="shared" si="265"/>
        <v>[611]</v>
      </c>
      <c r="D611" s="654">
        <f>ROW()</f>
        <v>611</v>
      </c>
      <c r="E611" s="1129" t="str">
        <f>BP611</f>
        <v>Wasserstoff-Methanisierung - Nutzungsgrad</v>
      </c>
      <c r="F611" s="1129"/>
      <c r="G611" s="1129"/>
      <c r="H611" s="1129"/>
      <c r="I611" s="1129"/>
      <c r="J611" s="559" t="s">
        <v>38</v>
      </c>
      <c r="K611" s="557">
        <f ca="1">INDIRECT($W$1&amp;U611)</f>
        <v>0</v>
      </c>
      <c r="L611" s="485" t="str">
        <f ca="1">HYPERLINK($CK$1&amp;U611,$CE$1&amp;U611&amp;$CF$1)</f>
        <v>[612]</v>
      </c>
      <c r="M611" s="558">
        <f ca="1">INDIRECT($W$1&amp;W611)</f>
        <v>80</v>
      </c>
      <c r="N611" s="681" t="str">
        <f ca="1">HYPERLINK($CK$1&amp;W611,$CE$1&amp;W611&amp;$CF$1)</f>
        <v>[614]</v>
      </c>
      <c r="O611" s="869">
        <v>611</v>
      </c>
      <c r="P611" s="690"/>
      <c r="Q611" s="695"/>
      <c r="R611" s="852"/>
      <c r="S611" s="784"/>
      <c r="T611" s="864"/>
      <c r="U611" s="672">
        <f>D612</f>
        <v>612</v>
      </c>
      <c r="V611" s="905" t="s">
        <v>126</v>
      </c>
      <c r="W611" s="672">
        <f>D614</f>
        <v>614</v>
      </c>
      <c r="AB611" s="801"/>
      <c r="AC611" s="801"/>
      <c r="AD611" s="674"/>
      <c r="AE611" s="674"/>
      <c r="AF611" s="674"/>
      <c r="AG611" s="674"/>
      <c r="AH611" s="674"/>
      <c r="AI611" s="674"/>
      <c r="AJ611" s="674"/>
      <c r="AK611" s="674"/>
      <c r="AL611" s="674"/>
      <c r="AM611" s="674"/>
      <c r="AN611" s="674"/>
      <c r="AO611" s="674"/>
      <c r="AP611" s="674"/>
      <c r="AQ611" s="674"/>
      <c r="AR611" s="674"/>
      <c r="AS611" s="674"/>
      <c r="AT611" s="674"/>
      <c r="AU611" s="674"/>
      <c r="AV611" s="674"/>
      <c r="AX611" s="658" t="s">
        <v>244</v>
      </c>
      <c r="AY611" s="668">
        <f ca="1">DA611</f>
        <v>2.3178959999999997</v>
      </c>
      <c r="AZ611" s="670" t="str">
        <f ca="1">HYPERLINK(DN611,DC611)</f>
        <v xml:space="preserve"> 414</v>
      </c>
      <c r="BA611" s="668">
        <f ca="1">DB611</f>
        <v>2.7042119999999996</v>
      </c>
      <c r="BB611" s="670" t="str">
        <f ca="1">HYPERLINK(DO611,DD611)</f>
        <v xml:space="preserve"> 415</v>
      </c>
      <c r="BC611" s="658" t="str">
        <f ca="1">CY611&amp;" | "&amp;CZ611</f>
        <v>Wärme | 2.2.2 Energieertrag Abwärme aus Verstromung von Tiefen-Geothermie</v>
      </c>
      <c r="BI611" s="658" t="s">
        <v>126</v>
      </c>
      <c r="BJ611" s="667" t="str">
        <f>E611</f>
        <v>Wasserstoff-Methanisierung - Nutzungsgrad</v>
      </c>
      <c r="BK611" s="664">
        <f ca="1">K611</f>
        <v>0</v>
      </c>
      <c r="BL611" s="664">
        <f ca="1">M611</f>
        <v>80</v>
      </c>
      <c r="BM611" s="656">
        <f>D611</f>
        <v>611</v>
      </c>
      <c r="BO611" s="658" t="s">
        <v>251</v>
      </c>
      <c r="BP611" s="676" t="s">
        <v>649</v>
      </c>
      <c r="CU611" s="659"/>
      <c r="CW611" s="671">
        <v>107</v>
      </c>
      <c r="CY611" s="656" t="str">
        <f t="shared" ref="CY611:DO611" ca="1" si="302">INDIRECT($CX$1&amp;CY$1&amp;$CW611)</f>
        <v>Wärme</v>
      </c>
      <c r="CZ611" s="656" t="str">
        <f t="shared" ca="1" si="302"/>
        <v>2.2.2 Energieertrag Abwärme aus Verstromung von Tiefen-Geothermie</v>
      </c>
      <c r="DA611" s="656">
        <f t="shared" ca="1" si="302"/>
        <v>2.3178959999999997</v>
      </c>
      <c r="DB611" s="656">
        <f t="shared" ca="1" si="302"/>
        <v>2.7042119999999996</v>
      </c>
      <c r="DC611" s="656" t="str">
        <f t="shared" ca="1" si="302"/>
        <v xml:space="preserve"> 414</v>
      </c>
      <c r="DD611" s="656" t="str">
        <f t="shared" ca="1" si="302"/>
        <v xml:space="preserve"> 415</v>
      </c>
      <c r="DE611" s="656" t="str">
        <f t="shared" ca="1" si="302"/>
        <v>UG99</v>
      </c>
      <c r="DF611" s="656" t="str">
        <f t="shared" ca="1" si="302"/>
        <v>UG99</v>
      </c>
      <c r="DG611" s="656" t="str">
        <f t="shared" ca="1" si="302"/>
        <v>UG</v>
      </c>
      <c r="DH611" s="656" t="str">
        <f t="shared" ca="1" si="302"/>
        <v>99</v>
      </c>
      <c r="DI611" s="656" t="str">
        <f t="shared" ca="1" si="302"/>
        <v>[UG.xls]TEXT!Z99S5</v>
      </c>
      <c r="DJ611" s="656" t="str">
        <f t="shared" ca="1" si="302"/>
        <v>UG</v>
      </c>
      <c r="DK611" s="656" t="str">
        <f t="shared" ca="1" si="302"/>
        <v>99</v>
      </c>
      <c r="DL611" s="656" t="str">
        <f t="shared" ca="1" si="302"/>
        <v>[UG.xls]TEXT!Z99S5</v>
      </c>
      <c r="DM611" s="656">
        <f t="shared" ca="1" si="302"/>
        <v>107</v>
      </c>
      <c r="DN611" s="656" t="str">
        <f t="shared" ca="1" si="302"/>
        <v>[Region.xls]PARAMETER!Z414S6</v>
      </c>
      <c r="DO611" s="656" t="str">
        <f t="shared" ca="1" si="302"/>
        <v>[Region.xls]PARAMETER!Z415S6</v>
      </c>
      <c r="DP611" s="656"/>
      <c r="DS611" s="656"/>
      <c r="DV611" s="656"/>
      <c r="DW611" s="656"/>
      <c r="DX611" s="656"/>
      <c r="DY611" s="656"/>
      <c r="DZ611" s="656"/>
      <c r="EA611" s="656"/>
      <c r="EB611" s="656"/>
      <c r="EC611" s="656"/>
      <c r="ED611" s="656"/>
      <c r="EE611" s="656"/>
      <c r="EF611" s="656"/>
      <c r="EG611" s="656"/>
      <c r="EH611" s="656"/>
      <c r="EI611" s="656"/>
      <c r="EJ611" s="656"/>
      <c r="EK611" s="656"/>
      <c r="EV611" s="819">
        <f t="shared" si="292"/>
        <v>611</v>
      </c>
      <c r="EW611" s="819"/>
    </row>
    <row r="612" spans="1:153" s="656" customFormat="1" ht="15" customHeight="1">
      <c r="A612" s="654" t="str">
        <f t="shared" ca="1" si="288"/>
        <v>D.1.612</v>
      </c>
      <c r="B612" s="654" t="str">
        <f t="shared" ca="1" si="289"/>
        <v>1.612</v>
      </c>
      <c r="C612" s="654" t="str">
        <f t="shared" si="265"/>
        <v>[612]</v>
      </c>
      <c r="D612" s="654">
        <f>ROW()</f>
        <v>612</v>
      </c>
      <c r="E612" s="1130" t="str">
        <f>CU612</f>
        <v>- STATUS-Ansatz: Nicht relevant, siehe [585].</v>
      </c>
      <c r="F612" s="1130"/>
      <c r="G612" s="1130"/>
      <c r="H612" s="1130"/>
      <c r="I612" s="1130"/>
      <c r="J612" s="1130"/>
      <c r="K612" s="1130"/>
      <c r="L612" s="1130"/>
      <c r="M612" s="1130"/>
      <c r="N612" s="1131"/>
      <c r="O612" s="869">
        <v>612</v>
      </c>
      <c r="P612" s="691" t="str">
        <f ca="1">HYPERLINK(EK612,EJ612)</f>
        <v/>
      </c>
      <c r="Q612" s="692" t="str">
        <f>Y612</f>
        <v xml:space="preserve"> </v>
      </c>
      <c r="R612" s="852"/>
      <c r="S612" s="784"/>
      <c r="T612" s="864"/>
      <c r="U612" s="1023" t="str">
        <f>"Nicht relevant, siehe "&amp;C$585&amp;"."</f>
        <v>Nicht relevant, siehe [585].</v>
      </c>
      <c r="V612" s="905" t="s">
        <v>126</v>
      </c>
      <c r="W612" s="1024">
        <v>0</v>
      </c>
      <c r="X612" s="672"/>
      <c r="Y612" s="672" t="s">
        <v>126</v>
      </c>
      <c r="Z612" s="1025"/>
      <c r="AA612" s="658"/>
      <c r="AB612" s="801"/>
      <c r="AC612" s="801"/>
      <c r="AD612" s="801"/>
      <c r="AE612" s="801"/>
      <c r="AF612" s="801"/>
      <c r="AG612" s="801"/>
      <c r="AH612" s="801"/>
      <c r="AI612" s="801"/>
      <c r="AJ612" s="801"/>
      <c r="AK612" s="801"/>
      <c r="AL612" s="801"/>
      <c r="AM612" s="801"/>
      <c r="AN612" s="801"/>
      <c r="AO612" s="801"/>
      <c r="AP612" s="801"/>
      <c r="AQ612" s="801"/>
      <c r="AR612" s="801"/>
      <c r="AS612" s="801"/>
      <c r="AT612" s="801"/>
      <c r="AU612" s="801"/>
      <c r="AV612" s="801"/>
      <c r="BF612" s="657"/>
      <c r="BI612" s="656" t="s">
        <v>126</v>
      </c>
      <c r="BJ612" s="666"/>
      <c r="BO612" s="656" t="s">
        <v>259</v>
      </c>
      <c r="CU612" s="663" t="str">
        <f>CG$1&amp;IF(U612="",BF612,U612)</f>
        <v>- STATUS-Ansatz: Nicht relevant, siehe [585].</v>
      </c>
      <c r="CW612" s="663"/>
      <c r="DT612" s="671">
        <f>I_Basisdaten!A281</f>
        <v>0</v>
      </c>
      <c r="EJ612" s="656" t="str">
        <f>IF(X612=0,"",EJ$1&amp;X612)</f>
        <v/>
      </c>
      <c r="EK612" s="656" t="str">
        <f ca="1">EK$1&amp;X612</f>
        <v>[D_Python.xlsx]9.Quellen!C</v>
      </c>
      <c r="EV612" s="819">
        <f t="shared" si="292"/>
        <v>612</v>
      </c>
      <c r="EW612" s="819"/>
    </row>
    <row r="613" spans="1:153" s="661" customFormat="1" ht="4">
      <c r="A613" s="677" t="str">
        <f t="shared" ca="1" si="288"/>
        <v>D.1.613</v>
      </c>
      <c r="B613" s="677" t="str">
        <f t="shared" ca="1" si="289"/>
        <v>1.613</v>
      </c>
      <c r="C613" s="677" t="str">
        <f t="shared" si="265"/>
        <v>[613]</v>
      </c>
      <c r="D613" s="677">
        <f>ROW()</f>
        <v>613</v>
      </c>
      <c r="E613" s="680"/>
      <c r="F613" s="680"/>
      <c r="G613" s="680"/>
      <c r="H613" s="680"/>
      <c r="I613" s="679"/>
      <c r="J613" s="679"/>
      <c r="K613" s="679"/>
      <c r="L613" s="679"/>
      <c r="M613" s="679"/>
      <c r="N613" s="680"/>
      <c r="O613" s="871">
        <v>613</v>
      </c>
      <c r="P613" s="688"/>
      <c r="Q613" s="689"/>
      <c r="R613" s="888"/>
      <c r="S613" s="810"/>
      <c r="T613" s="882"/>
      <c r="AB613" s="675"/>
      <c r="AC613" s="675"/>
      <c r="AD613" s="675"/>
      <c r="AE613" s="675"/>
      <c r="AF613" s="675"/>
      <c r="AG613" s="675"/>
      <c r="AH613" s="675"/>
      <c r="AI613" s="675"/>
      <c r="AJ613" s="675"/>
      <c r="AK613" s="675"/>
      <c r="AL613" s="675"/>
      <c r="AM613" s="675"/>
      <c r="AN613" s="675"/>
      <c r="AO613" s="675"/>
      <c r="AP613" s="675"/>
      <c r="AQ613" s="675"/>
      <c r="AR613" s="675"/>
      <c r="AS613" s="675"/>
      <c r="AT613" s="675"/>
      <c r="AU613" s="675"/>
      <c r="AV613" s="675"/>
      <c r="BI613" s="661" t="s">
        <v>126</v>
      </c>
      <c r="BJ613" s="665"/>
      <c r="CU613" s="662"/>
      <c r="CW613" s="662"/>
      <c r="EV613" s="818" t="str">
        <f t="shared" si="292"/>
        <v/>
      </c>
      <c r="EW613" s="818"/>
    </row>
    <row r="614" spans="1:153" s="656" customFormat="1" ht="26">
      <c r="A614" s="654" t="str">
        <f t="shared" ca="1" si="288"/>
        <v>D.1.614</v>
      </c>
      <c r="B614" s="654" t="str">
        <f t="shared" ca="1" si="289"/>
        <v>1.614</v>
      </c>
      <c r="C614" s="654" t="str">
        <f t="shared" si="265"/>
        <v>[614]</v>
      </c>
      <c r="D614" s="654">
        <f>ROW()</f>
        <v>614</v>
      </c>
      <c r="E614" s="1125" t="str">
        <f t="shared" ref="E614:E615" si="303">CU614</f>
        <v>- ZIEL-Ansatz: Aus einem breiten Spektrum von Einschätzungen wird hier ein optimistischer Wert aus der Leitstudie 2011 verwendet [615].</v>
      </c>
      <c r="F614" s="1125"/>
      <c r="G614" s="1125"/>
      <c r="H614" s="1125"/>
      <c r="I614" s="1125"/>
      <c r="J614" s="1125"/>
      <c r="K614" s="1125"/>
      <c r="L614" s="1125"/>
      <c r="M614" s="1125"/>
      <c r="N614" s="1132"/>
      <c r="O614" s="869">
        <v>614</v>
      </c>
      <c r="P614" s="691" t="str">
        <f ca="1">HYPERLINK(EK614,EJ614)</f>
        <v/>
      </c>
      <c r="Q614" s="692" t="str">
        <f>Y614</f>
        <v xml:space="preserve"> </v>
      </c>
      <c r="R614" s="852"/>
      <c r="S614" s="784"/>
      <c r="T614" s="864"/>
      <c r="U614" s="1023" t="str">
        <f>"Aus einem breiten Spektrum von Einschätzungen wird hier ein optimistischer Wert aus der Leitstudie 2011 verwendet "&amp;C615&amp;"."</f>
        <v>Aus einem breiten Spektrum von Einschätzungen wird hier ein optimistischer Wert aus der Leitstudie 2011 verwendet [615].</v>
      </c>
      <c r="V614" s="905" t="s">
        <v>126</v>
      </c>
      <c r="W614" s="1024">
        <f>W615</f>
        <v>80</v>
      </c>
      <c r="X614" s="672"/>
      <c r="Y614" s="672" t="s">
        <v>126</v>
      </c>
      <c r="Z614" s="1025"/>
      <c r="AA614" s="905"/>
      <c r="AB614" s="801"/>
      <c r="AC614" s="801"/>
      <c r="AD614" s="801"/>
      <c r="AE614" s="801"/>
      <c r="AF614" s="801"/>
      <c r="AG614" s="801"/>
      <c r="AH614" s="801"/>
      <c r="AI614" s="801"/>
      <c r="AJ614" s="801"/>
      <c r="AK614" s="801"/>
      <c r="AL614" s="801"/>
      <c r="AM614" s="801"/>
      <c r="AN614" s="801"/>
      <c r="AO614" s="801"/>
      <c r="AP614" s="801"/>
      <c r="AQ614" s="801"/>
      <c r="AR614" s="801"/>
      <c r="AS614" s="801"/>
      <c r="AT614" s="801"/>
      <c r="AU614" s="801"/>
      <c r="AV614" s="801"/>
      <c r="BF614" s="657"/>
      <c r="BI614" s="656" t="s">
        <v>126</v>
      </c>
      <c r="BJ614" s="666"/>
      <c r="BO614" s="656" t="s">
        <v>259</v>
      </c>
      <c r="CU614" s="663" t="str">
        <f>CH$1&amp;IF(U614="",BF614,U614)</f>
        <v>- ZIEL-Ansatz: Aus einem breiten Spektrum von Einschätzungen wird hier ein optimistischer Wert aus der Leitstudie 2011 verwendet [615].</v>
      </c>
      <c r="CW614" s="663"/>
      <c r="DT614" s="671">
        <v>53</v>
      </c>
      <c r="EJ614" s="656" t="str">
        <f>IF(X614=0,"",EJ$1&amp;X614)</f>
        <v/>
      </c>
      <c r="EK614" s="656" t="str">
        <f ca="1">EK$1&amp;X614</f>
        <v>[D_Python.xlsx]9.Quellen!C</v>
      </c>
      <c r="EV614" s="819">
        <f t="shared" si="292"/>
        <v>614</v>
      </c>
      <c r="EW614" s="819"/>
    </row>
    <row r="615" spans="1:153" s="656" customFormat="1" ht="26">
      <c r="A615" s="654" t="str">
        <f t="shared" ca="1" si="288"/>
        <v>D.1.615</v>
      </c>
      <c r="B615" s="654" t="str">
        <f t="shared" ca="1" si="289"/>
        <v>1.615</v>
      </c>
      <c r="C615" s="654" t="str">
        <f t="shared" si="265"/>
        <v>[615]</v>
      </c>
      <c r="D615" s="654">
        <f>ROW()</f>
        <v>615</v>
      </c>
      <c r="E615" s="1125" t="str">
        <f t="shared" ca="1" si="303"/>
        <v xml:space="preserve">Auf einen erreichbaren Wirkungsgrad von etwa 80 % für die Methanisierung von Wasserstoff kann aus den Angaben in [9.60], S. 39 geschlossen werden. </v>
      </c>
      <c r="F615" s="1125"/>
      <c r="G615" s="1125"/>
      <c r="H615" s="1125"/>
      <c r="I615" s="1125"/>
      <c r="J615" s="1125"/>
      <c r="K615" s="1125"/>
      <c r="L615" s="1125"/>
      <c r="M615" s="1125"/>
      <c r="N615" s="1132"/>
      <c r="O615" s="869">
        <v>615</v>
      </c>
      <c r="P615" s="691" t="str">
        <f t="shared" ref="P615" ca="1" si="304">HYPERLINK(EK615,EJ615)</f>
        <v>9.60</v>
      </c>
      <c r="Q615" s="692" t="str">
        <f t="shared" ref="Q615" si="305">Y615</f>
        <v>S. 39</v>
      </c>
      <c r="R615" s="852"/>
      <c r="S615" s="784"/>
      <c r="T615" s="864"/>
      <c r="U615" s="1023" t="str">
        <f ca="1">"Auf einen erreichbaren Wirkungsgrad von etwa "&amp;W615&amp;" % für die Methanisierung von Wasserstoff kann aus den Angaben in ["&amp;P615&amp;"], "&amp;Q615&amp;" geschlossen werden. "</f>
        <v xml:space="preserve">Auf einen erreichbaren Wirkungsgrad von etwa 80 % für die Methanisierung von Wasserstoff kann aus den Angaben in [9.60], S. 39 geschlossen werden. </v>
      </c>
      <c r="V615" s="905" t="s">
        <v>126</v>
      </c>
      <c r="W615" s="1024">
        <v>80</v>
      </c>
      <c r="X615" s="672">
        <f>'9.Quellen'!C60</f>
        <v>60</v>
      </c>
      <c r="Y615" s="672" t="s">
        <v>669</v>
      </c>
      <c r="Z615" s="1025"/>
      <c r="AA615" s="905"/>
      <c r="AB615" s="801"/>
      <c r="AC615" s="801"/>
      <c r="AD615" s="520">
        <v>70</v>
      </c>
      <c r="AE615" s="520" t="s">
        <v>670</v>
      </c>
      <c r="AF615" s="777"/>
      <c r="AG615" s="520">
        <v>55</v>
      </c>
      <c r="AH615" s="520" t="s">
        <v>671</v>
      </c>
      <c r="AI615" s="520">
        <f>AG615/AD615</f>
        <v>0.7857142857142857</v>
      </c>
      <c r="AJ615" s="801"/>
      <c r="AK615" s="801"/>
      <c r="AL615" s="801"/>
      <c r="AM615" s="801"/>
      <c r="AN615" s="801"/>
      <c r="AO615" s="801"/>
      <c r="AP615" s="801"/>
      <c r="AQ615" s="801"/>
      <c r="AR615" s="801"/>
      <c r="AS615" s="801"/>
      <c r="AT615" s="801"/>
      <c r="AU615" s="801"/>
      <c r="AV615" s="801"/>
      <c r="BF615" s="657"/>
      <c r="BI615" s="656" t="s">
        <v>126</v>
      </c>
      <c r="BJ615" s="666"/>
      <c r="BO615" s="656" t="s">
        <v>252</v>
      </c>
      <c r="CU615" s="663" t="str">
        <f ca="1">IF(U615="",BF615,U615)</f>
        <v xml:space="preserve">Auf einen erreichbaren Wirkungsgrad von etwa 80 % für die Methanisierung von Wasserstoff kann aus den Angaben in [9.60], S. 39 geschlossen werden. </v>
      </c>
      <c r="CW615" s="663"/>
      <c r="DT615" s="671"/>
      <c r="EJ615" s="656" t="str">
        <f ca="1">IF(X615=0,"",EJ$1&amp;X615)</f>
        <v>9.60</v>
      </c>
      <c r="EK615" s="656" t="str">
        <f ca="1">EK$1&amp;X615</f>
        <v>[D_Python.xlsx]9.Quellen!C60</v>
      </c>
      <c r="EV615" s="819">
        <f t="shared" ca="1" si="292"/>
        <v>615</v>
      </c>
      <c r="EW615" s="819"/>
    </row>
    <row r="616" spans="1:153" s="661" customFormat="1" ht="4">
      <c r="A616" s="677" t="str">
        <f t="shared" ref="A616:A621" ca="1" si="306">BT$1&amp;D616</f>
        <v>D.1.616</v>
      </c>
      <c r="B616" s="677" t="str">
        <f t="shared" ref="B616:B621" ca="1" si="307">BW$1&amp;D616</f>
        <v>1.616</v>
      </c>
      <c r="C616" s="677" t="str">
        <f t="shared" ref="C616:C621" si="308">CE$1&amp;D616&amp;CF$1</f>
        <v>[616]</v>
      </c>
      <c r="D616" s="677">
        <f>ROW()</f>
        <v>616</v>
      </c>
      <c r="E616" s="685"/>
      <c r="F616" s="685"/>
      <c r="G616" s="685"/>
      <c r="H616" s="685"/>
      <c r="I616" s="686"/>
      <c r="J616" s="686"/>
      <c r="K616" s="686"/>
      <c r="L616" s="686"/>
      <c r="M616" s="686"/>
      <c r="N616" s="685"/>
      <c r="O616" s="871">
        <v>610</v>
      </c>
      <c r="P616" s="693"/>
      <c r="Q616" s="694"/>
      <c r="R616" s="888"/>
      <c r="S616" s="802"/>
      <c r="T616" s="882"/>
      <c r="AB616" s="675"/>
      <c r="AC616" s="675"/>
      <c r="AD616" s="675"/>
      <c r="AE616" s="675"/>
      <c r="AF616" s="675"/>
      <c r="AG616" s="675"/>
      <c r="AH616" s="675"/>
      <c r="AI616" s="675"/>
      <c r="AJ616" s="675"/>
      <c r="AK616" s="675"/>
      <c r="AL616" s="675"/>
      <c r="AM616" s="675"/>
      <c r="AN616" s="675"/>
      <c r="AO616" s="675"/>
      <c r="AP616" s="675"/>
      <c r="AQ616" s="675"/>
      <c r="AR616" s="675"/>
      <c r="AS616" s="675"/>
      <c r="AT616" s="675"/>
      <c r="AU616" s="675"/>
      <c r="AV616" s="675"/>
      <c r="AZ616" s="669"/>
      <c r="BB616" s="669"/>
      <c r="BI616" s="661" t="s">
        <v>126</v>
      </c>
      <c r="BJ616" s="665"/>
      <c r="CU616" s="662"/>
      <c r="CW616" s="662"/>
      <c r="EV616" s="818" t="str">
        <f t="shared" ref="EV616:EV621" si="309">IF(U616&amp;BP616="","",D616)</f>
        <v/>
      </c>
      <c r="EW616" s="818"/>
    </row>
    <row r="617" spans="1:153" s="658" customFormat="1" ht="13.5" customHeight="1">
      <c r="A617" s="654" t="str">
        <f t="shared" ca="1" si="306"/>
        <v>D.1.617</v>
      </c>
      <c r="B617" s="654" t="str">
        <f t="shared" ca="1" si="307"/>
        <v>1.617</v>
      </c>
      <c r="C617" s="654" t="str">
        <f t="shared" si="308"/>
        <v>[617]</v>
      </c>
      <c r="D617" s="654">
        <f>ROW()</f>
        <v>617</v>
      </c>
      <c r="E617" s="1129" t="str">
        <f>BP617</f>
        <v>Wasserstoff tankfähig- Nutzungsgrad</v>
      </c>
      <c r="F617" s="1129"/>
      <c r="G617" s="1129"/>
      <c r="H617" s="1129"/>
      <c r="I617" s="1129"/>
      <c r="J617" s="559" t="s">
        <v>38</v>
      </c>
      <c r="K617" s="557">
        <f ca="1">INDIRECT($W$1&amp;U617)</f>
        <v>0</v>
      </c>
      <c r="L617" s="485" t="str">
        <f ca="1">HYPERLINK($CK$1&amp;U617,$CE$1&amp;U617&amp;$CF$1)</f>
        <v>[618]</v>
      </c>
      <c r="M617" s="558">
        <f ca="1">INDIRECT($W$1&amp;W617)</f>
        <v>80</v>
      </c>
      <c r="N617" s="681" t="str">
        <f ca="1">HYPERLINK($CK$1&amp;W617,$CE$1&amp;W617&amp;$CF$1)</f>
        <v>[620]</v>
      </c>
      <c r="O617" s="893" t="s">
        <v>725</v>
      </c>
      <c r="P617" s="690"/>
      <c r="Q617" s="695"/>
      <c r="R617" s="852"/>
      <c r="S617" s="784"/>
      <c r="T617" s="864"/>
      <c r="U617" s="672">
        <f>D618</f>
        <v>618</v>
      </c>
      <c r="V617" s="905" t="s">
        <v>126</v>
      </c>
      <c r="W617" s="672">
        <f>D620</f>
        <v>620</v>
      </c>
      <c r="AB617" s="801"/>
      <c r="AC617" s="801"/>
      <c r="AD617" s="674"/>
      <c r="AE617" s="674"/>
      <c r="AF617" s="674"/>
      <c r="AG617" s="674"/>
      <c r="AH617" s="674"/>
      <c r="AI617" s="674"/>
      <c r="AJ617" s="674"/>
      <c r="AK617" s="674"/>
      <c r="AL617" s="674"/>
      <c r="AM617" s="674"/>
      <c r="AN617" s="674"/>
      <c r="AO617" s="674"/>
      <c r="AP617" s="674"/>
      <c r="AQ617" s="674"/>
      <c r="AR617" s="674"/>
      <c r="AS617" s="674"/>
      <c r="AT617" s="674"/>
      <c r="AU617" s="674"/>
      <c r="AV617" s="674"/>
      <c r="AX617" s="658" t="s">
        <v>244</v>
      </c>
      <c r="AY617" s="668">
        <f ca="1">DA617</f>
        <v>2.3178959999999997</v>
      </c>
      <c r="AZ617" s="670" t="str">
        <f ca="1">HYPERLINK(DN617,DC617)</f>
        <v xml:space="preserve"> 414</v>
      </c>
      <c r="BA617" s="668">
        <f ca="1">DB617</f>
        <v>2.7042119999999996</v>
      </c>
      <c r="BB617" s="670" t="str">
        <f ca="1">HYPERLINK(DO617,DD617)</f>
        <v xml:space="preserve"> 415</v>
      </c>
      <c r="BC617" s="658" t="str">
        <f ca="1">CY617&amp;" | "&amp;CZ617</f>
        <v>Wärme | 2.2.2 Energieertrag Abwärme aus Verstromung von Tiefen-Geothermie</v>
      </c>
      <c r="BI617" s="658" t="s">
        <v>126</v>
      </c>
      <c r="BJ617" s="667" t="str">
        <f>E617</f>
        <v>Wasserstoff tankfähig- Nutzungsgrad</v>
      </c>
      <c r="BK617" s="664">
        <f ca="1">K617</f>
        <v>0</v>
      </c>
      <c r="BL617" s="664">
        <f ca="1">M617</f>
        <v>80</v>
      </c>
      <c r="BM617" s="798">
        <f>D617</f>
        <v>617</v>
      </c>
      <c r="BO617" s="658" t="s">
        <v>251</v>
      </c>
      <c r="BP617" s="676" t="s">
        <v>1055</v>
      </c>
      <c r="CU617" s="659"/>
      <c r="CW617" s="671">
        <v>107</v>
      </c>
      <c r="CY617" s="798" t="str">
        <f t="shared" ref="CY617:DO617" ca="1" si="310">INDIRECT($CX$1&amp;CY$1&amp;$CW617)</f>
        <v>Wärme</v>
      </c>
      <c r="CZ617" s="798" t="str">
        <f t="shared" ca="1" si="310"/>
        <v>2.2.2 Energieertrag Abwärme aus Verstromung von Tiefen-Geothermie</v>
      </c>
      <c r="DA617" s="798">
        <f t="shared" ca="1" si="310"/>
        <v>2.3178959999999997</v>
      </c>
      <c r="DB617" s="798">
        <f t="shared" ca="1" si="310"/>
        <v>2.7042119999999996</v>
      </c>
      <c r="DC617" s="798" t="str">
        <f t="shared" ca="1" si="310"/>
        <v xml:space="preserve"> 414</v>
      </c>
      <c r="DD617" s="798" t="str">
        <f t="shared" ca="1" si="310"/>
        <v xml:space="preserve"> 415</v>
      </c>
      <c r="DE617" s="798" t="str">
        <f t="shared" ca="1" si="310"/>
        <v>UG99</v>
      </c>
      <c r="DF617" s="798" t="str">
        <f t="shared" ca="1" si="310"/>
        <v>UG99</v>
      </c>
      <c r="DG617" s="798" t="str">
        <f t="shared" ca="1" si="310"/>
        <v>UG</v>
      </c>
      <c r="DH617" s="798" t="str">
        <f t="shared" ca="1" si="310"/>
        <v>99</v>
      </c>
      <c r="DI617" s="798" t="str">
        <f t="shared" ca="1" si="310"/>
        <v>[UG.xls]TEXT!Z99S5</v>
      </c>
      <c r="DJ617" s="798" t="str">
        <f t="shared" ca="1" si="310"/>
        <v>UG</v>
      </c>
      <c r="DK617" s="798" t="str">
        <f t="shared" ca="1" si="310"/>
        <v>99</v>
      </c>
      <c r="DL617" s="798" t="str">
        <f t="shared" ca="1" si="310"/>
        <v>[UG.xls]TEXT!Z99S5</v>
      </c>
      <c r="DM617" s="798">
        <f t="shared" ca="1" si="310"/>
        <v>107</v>
      </c>
      <c r="DN617" s="798" t="str">
        <f t="shared" ca="1" si="310"/>
        <v>[Region.xls]PARAMETER!Z414S6</v>
      </c>
      <c r="DO617" s="798" t="str">
        <f t="shared" ca="1" si="310"/>
        <v>[Region.xls]PARAMETER!Z415S6</v>
      </c>
      <c r="DP617" s="798"/>
      <c r="DS617" s="798"/>
      <c r="DV617" s="798"/>
      <c r="DW617" s="798"/>
      <c r="DX617" s="798"/>
      <c r="DY617" s="798"/>
      <c r="DZ617" s="798"/>
      <c r="EA617" s="798"/>
      <c r="EB617" s="798"/>
      <c r="EC617" s="798"/>
      <c r="ED617" s="798"/>
      <c r="EE617" s="798"/>
      <c r="EF617" s="798"/>
      <c r="EG617" s="798"/>
      <c r="EH617" s="798"/>
      <c r="EI617" s="798"/>
      <c r="EJ617" s="798"/>
      <c r="EK617" s="798"/>
      <c r="EV617" s="819">
        <f t="shared" si="309"/>
        <v>617</v>
      </c>
      <c r="EW617" s="819"/>
    </row>
    <row r="618" spans="1:153" s="798" customFormat="1" ht="15" customHeight="1">
      <c r="A618" s="654" t="str">
        <f t="shared" ca="1" si="306"/>
        <v>D.1.618</v>
      </c>
      <c r="B618" s="654" t="str">
        <f t="shared" ca="1" si="307"/>
        <v>1.618</v>
      </c>
      <c r="C618" s="654" t="str">
        <f t="shared" si="308"/>
        <v>[618]</v>
      </c>
      <c r="D618" s="654">
        <f>ROW()</f>
        <v>618</v>
      </c>
      <c r="E618" s="1130" t="str">
        <f>CU618</f>
        <v>- STATUS-Ansatz: Nicht relevant, siehe [585].</v>
      </c>
      <c r="F618" s="1130"/>
      <c r="G618" s="1130"/>
      <c r="H618" s="1130"/>
      <c r="I618" s="1130"/>
      <c r="J618" s="1130"/>
      <c r="K618" s="1130"/>
      <c r="L618" s="1130"/>
      <c r="M618" s="1130"/>
      <c r="N618" s="1131"/>
      <c r="O618" s="893" t="s">
        <v>725</v>
      </c>
      <c r="P618" s="691" t="str">
        <f ca="1">HYPERLINK(EK618,EJ618)</f>
        <v/>
      </c>
      <c r="Q618" s="692" t="str">
        <f>Y618</f>
        <v xml:space="preserve"> </v>
      </c>
      <c r="R618" s="852"/>
      <c r="S618" s="784"/>
      <c r="T618" s="864"/>
      <c r="U618" s="1023" t="str">
        <f>"Nicht relevant, siehe "&amp;C$585&amp;"."</f>
        <v>Nicht relevant, siehe [585].</v>
      </c>
      <c r="V618" s="905" t="s">
        <v>126</v>
      </c>
      <c r="W618" s="1024">
        <v>0</v>
      </c>
      <c r="X618" s="672"/>
      <c r="Y618" s="672" t="s">
        <v>126</v>
      </c>
      <c r="Z618" s="1025"/>
      <c r="AA618" s="658"/>
      <c r="AB618" s="801"/>
      <c r="AC618" s="801"/>
      <c r="AD618" s="801"/>
      <c r="AE618" s="801"/>
      <c r="AF618" s="801"/>
      <c r="AG618" s="801"/>
      <c r="AH618" s="801"/>
      <c r="AI618" s="801"/>
      <c r="AJ618" s="801"/>
      <c r="AK618" s="801"/>
      <c r="AL618" s="801"/>
      <c r="AM618" s="801"/>
      <c r="AN618" s="801"/>
      <c r="AO618" s="801"/>
      <c r="AP618" s="801"/>
      <c r="AQ618" s="801"/>
      <c r="AR618" s="801"/>
      <c r="AS618" s="801"/>
      <c r="AT618" s="801"/>
      <c r="AU618" s="801"/>
      <c r="AV618" s="801"/>
      <c r="BF618" s="657"/>
      <c r="BI618" s="798" t="s">
        <v>126</v>
      </c>
      <c r="BJ618" s="666"/>
      <c r="BO618" s="798" t="s">
        <v>259</v>
      </c>
      <c r="CU618" s="663" t="str">
        <f>CG$1&amp;IF(U618="",BF618,U618)</f>
        <v>- STATUS-Ansatz: Nicht relevant, siehe [585].</v>
      </c>
      <c r="CW618" s="663"/>
      <c r="DT618" s="671">
        <f>I_Basisdaten!A287</f>
        <v>0</v>
      </c>
      <c r="EJ618" s="798" t="str">
        <f>IF(X618=0,"",EJ$1&amp;X618)</f>
        <v/>
      </c>
      <c r="EK618" s="798" t="str">
        <f ca="1">EK$1&amp;X618</f>
        <v>[D_Python.xlsx]9.Quellen!C</v>
      </c>
      <c r="EV618" s="819">
        <f t="shared" si="309"/>
        <v>618</v>
      </c>
      <c r="EW618" s="819"/>
    </row>
    <row r="619" spans="1:153" s="661" customFormat="1" ht="4">
      <c r="A619" s="677" t="str">
        <f t="shared" ca="1" si="306"/>
        <v>D.1.619</v>
      </c>
      <c r="B619" s="677" t="str">
        <f t="shared" ca="1" si="307"/>
        <v>1.619</v>
      </c>
      <c r="C619" s="677" t="str">
        <f t="shared" si="308"/>
        <v>[619]</v>
      </c>
      <c r="D619" s="677">
        <f>ROW()</f>
        <v>619</v>
      </c>
      <c r="E619" s="680"/>
      <c r="F619" s="680"/>
      <c r="G619" s="680"/>
      <c r="H619" s="680"/>
      <c r="I619" s="679"/>
      <c r="J619" s="679"/>
      <c r="K619" s="679"/>
      <c r="L619" s="679"/>
      <c r="M619" s="679"/>
      <c r="N619" s="680"/>
      <c r="O619" s="894" t="s">
        <v>725</v>
      </c>
      <c r="P619" s="688"/>
      <c r="Q619" s="689"/>
      <c r="R619" s="888"/>
      <c r="S619" s="810"/>
      <c r="T619" s="882"/>
      <c r="AB619" s="675"/>
      <c r="AC619" s="675"/>
      <c r="AD619" s="675"/>
      <c r="AE619" s="675"/>
      <c r="AF619" s="675"/>
      <c r="AG619" s="675"/>
      <c r="AH619" s="675"/>
      <c r="AI619" s="675"/>
      <c r="AJ619" s="675"/>
      <c r="AK619" s="675"/>
      <c r="AL619" s="675"/>
      <c r="AM619" s="675"/>
      <c r="AN619" s="675"/>
      <c r="AO619" s="675"/>
      <c r="AP619" s="675"/>
      <c r="AQ619" s="675"/>
      <c r="AR619" s="675"/>
      <c r="AS619" s="675"/>
      <c r="AT619" s="675"/>
      <c r="AU619" s="675"/>
      <c r="AV619" s="675"/>
      <c r="BI619" s="661" t="s">
        <v>126</v>
      </c>
      <c r="BJ619" s="665"/>
      <c r="CU619" s="662"/>
      <c r="CW619" s="662"/>
      <c r="EV619" s="818" t="str">
        <f t="shared" si="309"/>
        <v/>
      </c>
      <c r="EW619" s="818"/>
    </row>
    <row r="620" spans="1:153" s="798" customFormat="1" ht="26">
      <c r="A620" s="654" t="str">
        <f t="shared" ca="1" si="306"/>
        <v>D.1.620</v>
      </c>
      <c r="B620" s="654" t="str">
        <f t="shared" ca="1" si="307"/>
        <v>1.620</v>
      </c>
      <c r="C620" s="654" t="str">
        <f t="shared" si="308"/>
        <v>[620]</v>
      </c>
      <c r="D620" s="654">
        <f>ROW()</f>
        <v>620</v>
      </c>
      <c r="E620" s="1125" t="str">
        <f t="shared" ref="E620:E621" si="311">CU620</f>
        <v>- ZIEL-Ansatz: Abschätzung des Nutzungsgrades für die Druckgasspeicherung und Betankung von Fahrzeugen mit 700 bar aufgrund  [621].</v>
      </c>
      <c r="F620" s="1125"/>
      <c r="G620" s="1125"/>
      <c r="H620" s="1125"/>
      <c r="I620" s="1125"/>
      <c r="J620" s="1125"/>
      <c r="K620" s="1125"/>
      <c r="L620" s="1125"/>
      <c r="M620" s="1125"/>
      <c r="N620" s="1132"/>
      <c r="O620" s="893" t="s">
        <v>725</v>
      </c>
      <c r="P620" s="691" t="str">
        <f ca="1">HYPERLINK(EK620,EJ620)</f>
        <v/>
      </c>
      <c r="Q620" s="692" t="str">
        <f>Y620</f>
        <v xml:space="preserve"> </v>
      </c>
      <c r="R620" s="852"/>
      <c r="S620" s="784"/>
      <c r="T620" s="864"/>
      <c r="U620" s="1023" t="str">
        <f>"Abschätzung des Nutzungsgrades für die Druckgasspeicherung und Betankung von Fahrzeugen mit 700 bar aufgrund  "&amp;C621&amp;"."</f>
        <v>Abschätzung des Nutzungsgrades für die Druckgasspeicherung und Betankung von Fahrzeugen mit 700 bar aufgrund  [621].</v>
      </c>
      <c r="V620" s="905" t="s">
        <v>126</v>
      </c>
      <c r="W620" s="1024">
        <v>80</v>
      </c>
      <c r="X620" s="672"/>
      <c r="Y620" s="672" t="s">
        <v>126</v>
      </c>
      <c r="Z620" s="1025"/>
      <c r="AA620" s="905"/>
      <c r="AB620" s="801"/>
      <c r="AC620" s="801"/>
      <c r="AD620" s="801"/>
      <c r="AE620" s="801"/>
      <c r="AF620" s="801"/>
      <c r="AG620" s="801"/>
      <c r="AH620" s="801"/>
      <c r="AI620" s="801"/>
      <c r="AJ620" s="801"/>
      <c r="AK620" s="801"/>
      <c r="AL620" s="801"/>
      <c r="AM620" s="801"/>
      <c r="AN620" s="801"/>
      <c r="AO620" s="801"/>
      <c r="AP620" s="801"/>
      <c r="AQ620" s="801"/>
      <c r="AR620" s="801"/>
      <c r="AS620" s="801"/>
      <c r="AT620" s="801"/>
      <c r="AU620" s="801"/>
      <c r="AV620" s="801"/>
      <c r="BF620" s="657"/>
      <c r="BI620" s="798" t="s">
        <v>126</v>
      </c>
      <c r="BJ620" s="666"/>
      <c r="BO620" s="798" t="s">
        <v>259</v>
      </c>
      <c r="CU620" s="663" t="str">
        <f>CH$1&amp;IF(U620="",BF620,U620)</f>
        <v>- ZIEL-Ansatz: Abschätzung des Nutzungsgrades für die Druckgasspeicherung und Betankung von Fahrzeugen mit 700 bar aufgrund  [621].</v>
      </c>
      <c r="CW620" s="663"/>
      <c r="DT620" s="671">
        <v>53</v>
      </c>
      <c r="EJ620" s="798" t="str">
        <f>IF(X620=0,"",EJ$1&amp;X620)</f>
        <v/>
      </c>
      <c r="EK620" s="798" t="str">
        <f ca="1">EK$1&amp;X620</f>
        <v>[D_Python.xlsx]9.Quellen!C</v>
      </c>
      <c r="EV620" s="819">
        <f t="shared" si="309"/>
        <v>620</v>
      </c>
      <c r="EW620" s="819"/>
    </row>
    <row r="621" spans="1:153" s="798" customFormat="1" ht="52">
      <c r="A621" s="654" t="str">
        <f t="shared" ca="1" si="306"/>
        <v>D.1.621</v>
      </c>
      <c r="B621" s="654" t="str">
        <f t="shared" ca="1" si="307"/>
        <v>1.621</v>
      </c>
      <c r="C621" s="654" t="str">
        <f t="shared" si="308"/>
        <v>[621]</v>
      </c>
      <c r="D621" s="654">
        <f>ROW()</f>
        <v>621</v>
      </c>
      <c r="E621" s="1125" t="str">
        <f t="shared" ca="1" si="311"/>
        <v xml:space="preserve">"Somit ergeben sich folgende energetische Wirkungsgrade bei Speicherung, Vertrieb und Betankung von Wasserstoff ohne temp. Verluste bei Tankstellenspeicherung:
Druckgasspeicherung Komprimierung 12%, Transport 6%, Umfüllen LKW-Tank zu Tankstellentank 2%, Umfüllen Tankstellen zu PKW-Tank 2% = 79,4% Wirkungsgrad." Quelle: [9.205], Kap. 2. </v>
      </c>
      <c r="F621" s="1125"/>
      <c r="G621" s="1125"/>
      <c r="H621" s="1125"/>
      <c r="I621" s="1125"/>
      <c r="J621" s="1125"/>
      <c r="K621" s="1125"/>
      <c r="L621" s="1125"/>
      <c r="M621" s="1125"/>
      <c r="N621" s="1132"/>
      <c r="O621" s="893" t="s">
        <v>725</v>
      </c>
      <c r="P621" s="691" t="str">
        <f t="shared" ref="P621" ca="1" si="312">HYPERLINK(EK621,EJ621)</f>
        <v>9.205</v>
      </c>
      <c r="Q621" s="692" t="str">
        <f t="shared" ref="Q621" si="313">Y621</f>
        <v>Kap. 2</v>
      </c>
      <c r="R621" s="852"/>
      <c r="S621" s="784"/>
      <c r="T621" s="864"/>
      <c r="U621" s="1023" t="str">
        <f ca="1">"""Somit ergeben sich folgende energetische Wirkungsgrade bei Speicherung, Vertrieb und Betankung von Wasserstoff ohne temp. Verluste bei Tankstellenspeicherung:"&amp;"
Druckgasspeicherung Komprimierung 12%, Transport 6%, Umfüllen LKW-Tank zu Tankstellentank 2%, Umfüllen Tankstellen zu PKW-Tank 2% = 79,4% Wirkungsgrad."" Quelle: ["&amp;P621&amp;"], "&amp;Q621&amp;". "</f>
        <v xml:space="preserve">"Somit ergeben sich folgende energetische Wirkungsgrade bei Speicherung, Vertrieb und Betankung von Wasserstoff ohne temp. Verluste bei Tankstellenspeicherung:
Druckgasspeicherung Komprimierung 12%, Transport 6%, Umfüllen LKW-Tank zu Tankstellentank 2%, Umfüllen Tankstellen zu PKW-Tank 2% = 79,4% Wirkungsgrad." Quelle: [9.205], Kap. 2. </v>
      </c>
      <c r="V621" s="905" t="s">
        <v>126</v>
      </c>
      <c r="W621" s="1024"/>
      <c r="X621" s="672">
        <f>'9.Quellen'!C205</f>
        <v>205</v>
      </c>
      <c r="Y621" s="672" t="s">
        <v>1058</v>
      </c>
      <c r="Z621" s="1025"/>
      <c r="AA621" s="905"/>
      <c r="AB621" s="801"/>
      <c r="AC621" s="801"/>
      <c r="AD621" s="520"/>
      <c r="AE621" s="520"/>
      <c r="AF621" s="777"/>
      <c r="AG621" s="520">
        <v>55</v>
      </c>
      <c r="AH621" s="520" t="s">
        <v>671</v>
      </c>
      <c r="AI621" s="520" t="e">
        <f>AG621/AD621</f>
        <v>#DIV/0!</v>
      </c>
      <c r="AJ621" s="801"/>
      <c r="AK621" s="801"/>
      <c r="AL621" s="801"/>
      <c r="AM621" s="801"/>
      <c r="AN621" s="801"/>
      <c r="AO621" s="801"/>
      <c r="AP621" s="801"/>
      <c r="AQ621" s="801"/>
      <c r="AR621" s="801"/>
      <c r="AS621" s="801"/>
      <c r="AT621" s="801"/>
      <c r="AU621" s="801"/>
      <c r="AV621" s="801"/>
      <c r="BF621" s="657"/>
      <c r="BI621" s="798" t="s">
        <v>126</v>
      </c>
      <c r="BJ621" s="666"/>
      <c r="BO621" s="798" t="s">
        <v>252</v>
      </c>
      <c r="CU621" s="663" t="str">
        <f ca="1">IF(U621="",BF621,U621)</f>
        <v xml:space="preserve">"Somit ergeben sich folgende energetische Wirkungsgrade bei Speicherung, Vertrieb und Betankung von Wasserstoff ohne temp. Verluste bei Tankstellenspeicherung:
Druckgasspeicherung Komprimierung 12%, Transport 6%, Umfüllen LKW-Tank zu Tankstellentank 2%, Umfüllen Tankstellen zu PKW-Tank 2% = 79,4% Wirkungsgrad." Quelle: [9.205], Kap. 2. </v>
      </c>
      <c r="CW621" s="663"/>
      <c r="DT621" s="671"/>
      <c r="EJ621" s="798" t="str">
        <f ca="1">IF(X621=0,"",EJ$1&amp;X621)</f>
        <v>9.205</v>
      </c>
      <c r="EK621" s="798" t="str">
        <f ca="1">EK$1&amp;X621</f>
        <v>[D_Python.xlsx]9.Quellen!C205</v>
      </c>
      <c r="EV621" s="819">
        <f t="shared" ca="1" si="309"/>
        <v>621</v>
      </c>
      <c r="EW621" s="819"/>
    </row>
    <row r="622" spans="1:153" s="661" customFormat="1" ht="4">
      <c r="A622" s="677" t="str">
        <f t="shared" ca="1" si="288"/>
        <v>D.1.622</v>
      </c>
      <c r="B622" s="677" t="str">
        <f t="shared" ca="1" si="289"/>
        <v>1.622</v>
      </c>
      <c r="C622" s="677" t="str">
        <f t="shared" si="265"/>
        <v>[622]</v>
      </c>
      <c r="D622" s="677">
        <f>ROW()</f>
        <v>622</v>
      </c>
      <c r="E622" s="680"/>
      <c r="F622" s="680"/>
      <c r="G622" s="680"/>
      <c r="H622" s="680"/>
      <c r="I622" s="679"/>
      <c r="J622" s="679"/>
      <c r="K622" s="679"/>
      <c r="L622" s="679"/>
      <c r="M622" s="679"/>
      <c r="N622" s="680"/>
      <c r="O622" s="871">
        <v>616</v>
      </c>
      <c r="P622" s="688"/>
      <c r="Q622" s="689"/>
      <c r="R622" s="888"/>
      <c r="S622" s="802"/>
      <c r="T622" s="882"/>
      <c r="AB622" s="675"/>
      <c r="AC622" s="675"/>
      <c r="AD622" s="675"/>
      <c r="AE622" s="675"/>
      <c r="AF622" s="675"/>
      <c r="AG622" s="675"/>
      <c r="AH622" s="675"/>
      <c r="AI622" s="675"/>
      <c r="AJ622" s="675"/>
      <c r="AK622" s="675"/>
      <c r="AL622" s="675"/>
      <c r="AM622" s="675"/>
      <c r="AN622" s="675"/>
      <c r="AO622" s="675"/>
      <c r="AP622" s="675"/>
      <c r="AQ622" s="675"/>
      <c r="AR622" s="675"/>
      <c r="AS622" s="675"/>
      <c r="AT622" s="675"/>
      <c r="AU622" s="675"/>
      <c r="AV622" s="675"/>
      <c r="BI622" s="661" t="s">
        <v>126</v>
      </c>
      <c r="BJ622" s="665"/>
      <c r="CU622" s="662"/>
      <c r="CW622" s="662"/>
      <c r="EV622" s="818" t="str">
        <f t="shared" si="292"/>
        <v/>
      </c>
      <c r="EW622" s="818"/>
    </row>
    <row r="623" spans="1:153" s="656" customFormat="1" ht="13">
      <c r="A623" s="654" t="str">
        <f t="shared" ca="1" si="288"/>
        <v>D.1.623</v>
      </c>
      <c r="B623" s="654" t="str">
        <f t="shared" ca="1" si="289"/>
        <v>1.623</v>
      </c>
      <c r="C623" s="654" t="str">
        <f t="shared" si="265"/>
        <v>[623]</v>
      </c>
      <c r="D623" s="654">
        <f>ROW()</f>
        <v>623</v>
      </c>
      <c r="E623" s="481" t="str">
        <f>BP623</f>
        <v>Langzeitspeicherung Strom</v>
      </c>
      <c r="F623" s="482"/>
      <c r="G623" s="482"/>
      <c r="H623" s="482"/>
      <c r="I623" s="483"/>
      <c r="J623" s="484"/>
      <c r="K623" s="484"/>
      <c r="L623" s="484"/>
      <c r="M623" s="484"/>
      <c r="N623" s="532"/>
      <c r="O623" s="869">
        <v>617</v>
      </c>
      <c r="P623" s="568"/>
      <c r="Q623" s="569"/>
      <c r="R623" s="852"/>
      <c r="S623" s="804"/>
      <c r="T623" s="864"/>
      <c r="U623" s="905"/>
      <c r="V623" s="905"/>
      <c r="W623" s="905"/>
      <c r="X623" s="905"/>
      <c r="Y623" s="905"/>
      <c r="Z623" s="905"/>
      <c r="AA623" s="905"/>
      <c r="AB623" s="801"/>
      <c r="AC623" s="801"/>
      <c r="AD623" s="801"/>
      <c r="AE623" s="801"/>
      <c r="AF623" s="801"/>
      <c r="AG623" s="801"/>
      <c r="AH623" s="801"/>
      <c r="AI623" s="801"/>
      <c r="AJ623" s="801"/>
      <c r="AK623" s="801"/>
      <c r="AL623" s="801"/>
      <c r="AM623" s="801"/>
      <c r="AN623" s="801"/>
      <c r="AO623" s="801"/>
      <c r="AP623" s="801"/>
      <c r="AQ623" s="801"/>
      <c r="AR623" s="801"/>
      <c r="AS623" s="801"/>
      <c r="AT623" s="801"/>
      <c r="AU623" s="801"/>
      <c r="AV623" s="801"/>
      <c r="AZ623" s="504"/>
      <c r="BB623" s="506"/>
      <c r="BI623" s="656" t="s">
        <v>126</v>
      </c>
      <c r="BJ623" s="666"/>
      <c r="BO623" s="656" t="s">
        <v>250</v>
      </c>
      <c r="BP623" s="671" t="s">
        <v>632</v>
      </c>
      <c r="CU623" s="663"/>
      <c r="CW623" s="663"/>
      <c r="EV623" s="819">
        <f t="shared" si="292"/>
        <v>623</v>
      </c>
      <c r="EW623" s="819"/>
    </row>
    <row r="624" spans="1:153" s="478" customFormat="1" ht="4">
      <c r="A624" s="677" t="str">
        <f t="shared" ca="1" si="288"/>
        <v>D.1.624</v>
      </c>
      <c r="B624" s="677" t="str">
        <f t="shared" ca="1" si="289"/>
        <v>1.624</v>
      </c>
      <c r="C624" s="677" t="str">
        <f t="shared" si="265"/>
        <v>[624]</v>
      </c>
      <c r="D624" s="677">
        <f>ROW()</f>
        <v>624</v>
      </c>
      <c r="E624" s="528"/>
      <c r="F624" s="528"/>
      <c r="G624" s="528"/>
      <c r="H624" s="528"/>
      <c r="I624" s="527"/>
      <c r="J624" s="527"/>
      <c r="K624" s="527"/>
      <c r="L624" s="527"/>
      <c r="M624" s="527"/>
      <c r="N624" s="528"/>
      <c r="O624" s="871">
        <v>618</v>
      </c>
      <c r="P624" s="566"/>
      <c r="Q624" s="567"/>
      <c r="R624" s="888"/>
      <c r="S624" s="802"/>
      <c r="T624" s="882"/>
      <c r="U624" s="661"/>
      <c r="V624" s="661"/>
      <c r="W624" s="661"/>
      <c r="X624" s="661"/>
      <c r="Y624" s="661"/>
      <c r="Z624" s="661"/>
      <c r="AA624" s="661"/>
      <c r="AB624" s="675"/>
      <c r="AC624" s="675"/>
      <c r="AD624" s="675"/>
      <c r="AE624" s="675"/>
      <c r="AF624" s="675"/>
      <c r="AG624" s="675"/>
      <c r="AH624" s="675"/>
      <c r="AI624" s="675"/>
      <c r="AJ624" s="675"/>
      <c r="AK624" s="675"/>
      <c r="AL624" s="675"/>
      <c r="AM624" s="675"/>
      <c r="AN624" s="675"/>
      <c r="AO624" s="675"/>
      <c r="AP624" s="675"/>
      <c r="AQ624" s="675"/>
      <c r="AR624" s="675"/>
      <c r="AS624" s="675"/>
      <c r="AT624" s="675"/>
      <c r="AU624" s="675"/>
      <c r="AV624" s="675"/>
      <c r="BI624" s="478" t="s">
        <v>126</v>
      </c>
      <c r="BJ624" s="489"/>
      <c r="BN624" s="661"/>
      <c r="CU624" s="479"/>
      <c r="CV624" s="661"/>
      <c r="CW624" s="479"/>
      <c r="DS624" s="661"/>
      <c r="EV624" s="818" t="str">
        <f t="shared" si="292"/>
        <v/>
      </c>
      <c r="EW624" s="818"/>
    </row>
    <row r="625" spans="1:153" s="658" customFormat="1" ht="13.5" customHeight="1">
      <c r="A625" s="654" t="str">
        <f t="shared" ca="1" si="288"/>
        <v>D.1.625</v>
      </c>
      <c r="B625" s="654" t="str">
        <f t="shared" ca="1" si="289"/>
        <v>1.625</v>
      </c>
      <c r="C625" s="654" t="str">
        <f t="shared" si="265"/>
        <v>[625]</v>
      </c>
      <c r="D625" s="654">
        <f>ROW()</f>
        <v>625</v>
      </c>
      <c r="E625" s="1129" t="str">
        <f>BP625</f>
        <v>Langzeitspeicherung - Stromaufnahme</v>
      </c>
      <c r="F625" s="1129"/>
      <c r="G625" s="1129"/>
      <c r="H625" s="1129"/>
      <c r="I625" s="1129"/>
      <c r="J625" s="559" t="s">
        <v>361</v>
      </c>
      <c r="K625" s="684">
        <f ca="1">INDIRECT($W$1&amp;U625)</f>
        <v>0</v>
      </c>
      <c r="L625" s="485" t="str">
        <f ca="1">HYPERLINK($CK$1&amp;U625,$CE$1&amp;U625&amp;$CF$1)</f>
        <v>[630]</v>
      </c>
      <c r="M625" s="547">
        <f ca="1">INDIRECT($W$1&amp;W625)</f>
        <v>299414.16266615025</v>
      </c>
      <c r="N625" s="681" t="str">
        <f ca="1">HYPERLINK($CK$1&amp;W625,$CE$1&amp;W625&amp;$CF$1)</f>
        <v>[632]</v>
      </c>
      <c r="O625" s="869">
        <v>619</v>
      </c>
      <c r="P625" s="690"/>
      <c r="Q625" s="695"/>
      <c r="R625" s="852"/>
      <c r="S625" s="784"/>
      <c r="T625" s="864"/>
      <c r="U625" s="672">
        <f>D630</f>
        <v>630</v>
      </c>
      <c r="V625" s="905" t="s">
        <v>126</v>
      </c>
      <c r="W625" s="672">
        <f>D632</f>
        <v>632</v>
      </c>
      <c r="AB625" s="801"/>
      <c r="AC625" s="801"/>
      <c r="AD625" s="674"/>
      <c r="AE625" s="674"/>
      <c r="AF625" s="674"/>
      <c r="AG625" s="674"/>
      <c r="AH625" s="674"/>
      <c r="AI625" s="674"/>
      <c r="AJ625" s="674"/>
      <c r="AK625" s="674"/>
      <c r="AL625" s="674"/>
      <c r="AM625" s="674"/>
      <c r="AN625" s="674"/>
      <c r="AO625" s="674"/>
      <c r="AP625" s="674"/>
      <c r="AQ625" s="674"/>
      <c r="AR625" s="674"/>
      <c r="AS625" s="674"/>
      <c r="AT625" s="674"/>
      <c r="AU625" s="674"/>
      <c r="AV625" s="674"/>
      <c r="AX625" s="658" t="s">
        <v>244</v>
      </c>
      <c r="AY625" s="668">
        <f ca="1">DA625</f>
        <v>2.3178959999999997</v>
      </c>
      <c r="AZ625" s="670" t="str">
        <f ca="1">HYPERLINK(DN625,DC625)</f>
        <v xml:space="preserve"> 414</v>
      </c>
      <c r="BA625" s="668">
        <f ca="1">DB625</f>
        <v>2.7042119999999996</v>
      </c>
      <c r="BB625" s="670" t="str">
        <f ca="1">HYPERLINK(DO625,DD625)</f>
        <v xml:space="preserve"> 415</v>
      </c>
      <c r="BC625" s="658" t="str">
        <f ca="1">CY625&amp;" | "&amp;CZ625</f>
        <v>Wärme | 2.2.2 Energieertrag Abwärme aus Verstromung von Tiefen-Geothermie</v>
      </c>
      <c r="BI625" s="658" t="s">
        <v>126</v>
      </c>
      <c r="BJ625" s="667" t="str">
        <f>E625</f>
        <v>Langzeitspeicherung - Stromaufnahme</v>
      </c>
      <c r="BK625" s="664">
        <f ca="1">K625</f>
        <v>0</v>
      </c>
      <c r="BL625" s="664">
        <f ca="1">M625</f>
        <v>299414.16266615025</v>
      </c>
      <c r="BM625" s="656">
        <f>D625</f>
        <v>625</v>
      </c>
      <c r="BO625" s="658" t="s">
        <v>251</v>
      </c>
      <c r="BP625" s="676" t="s">
        <v>650</v>
      </c>
      <c r="CU625" s="659"/>
      <c r="CW625" s="671">
        <v>107</v>
      </c>
      <c r="CY625" s="656" t="str">
        <f t="shared" ref="CY625:DO625" ca="1" si="314">INDIRECT($CX$1&amp;CY$1&amp;$CW625)</f>
        <v>Wärme</v>
      </c>
      <c r="CZ625" s="656" t="str">
        <f t="shared" ca="1" si="314"/>
        <v>2.2.2 Energieertrag Abwärme aus Verstromung von Tiefen-Geothermie</v>
      </c>
      <c r="DA625" s="656">
        <f t="shared" ca="1" si="314"/>
        <v>2.3178959999999997</v>
      </c>
      <c r="DB625" s="656">
        <f t="shared" ca="1" si="314"/>
        <v>2.7042119999999996</v>
      </c>
      <c r="DC625" s="656" t="str">
        <f t="shared" ca="1" si="314"/>
        <v xml:space="preserve"> 414</v>
      </c>
      <c r="DD625" s="656" t="str">
        <f t="shared" ca="1" si="314"/>
        <v xml:space="preserve"> 415</v>
      </c>
      <c r="DE625" s="656" t="str">
        <f t="shared" ca="1" si="314"/>
        <v>UG99</v>
      </c>
      <c r="DF625" s="656" t="str">
        <f t="shared" ca="1" si="314"/>
        <v>UG99</v>
      </c>
      <c r="DG625" s="656" t="str">
        <f t="shared" ca="1" si="314"/>
        <v>UG</v>
      </c>
      <c r="DH625" s="656" t="str">
        <f t="shared" ca="1" si="314"/>
        <v>99</v>
      </c>
      <c r="DI625" s="656" t="str">
        <f t="shared" ca="1" si="314"/>
        <v>[UG.xls]TEXT!Z99S5</v>
      </c>
      <c r="DJ625" s="656" t="str">
        <f t="shared" ca="1" si="314"/>
        <v>UG</v>
      </c>
      <c r="DK625" s="656" t="str">
        <f t="shared" ca="1" si="314"/>
        <v>99</v>
      </c>
      <c r="DL625" s="656" t="str">
        <f t="shared" ca="1" si="314"/>
        <v>[UG.xls]TEXT!Z99S5</v>
      </c>
      <c r="DM625" s="656">
        <f t="shared" ca="1" si="314"/>
        <v>107</v>
      </c>
      <c r="DN625" s="656" t="str">
        <f t="shared" ca="1" si="314"/>
        <v>[Region.xls]PARAMETER!Z414S6</v>
      </c>
      <c r="DO625" s="656" t="str">
        <f t="shared" ca="1" si="314"/>
        <v>[Region.xls]PARAMETER!Z415S6</v>
      </c>
      <c r="DP625" s="656"/>
      <c r="DS625" s="656"/>
      <c r="DV625" s="656"/>
      <c r="DW625" s="656"/>
      <c r="DX625" s="656"/>
      <c r="DY625" s="656"/>
      <c r="DZ625" s="656"/>
      <c r="EA625" s="656"/>
      <c r="EB625" s="656"/>
      <c r="EC625" s="656"/>
      <c r="ED625" s="656"/>
      <c r="EE625" s="656"/>
      <c r="EF625" s="656"/>
      <c r="EG625" s="656"/>
      <c r="EH625" s="656"/>
      <c r="EI625" s="656"/>
      <c r="EJ625" s="656"/>
      <c r="EK625" s="656"/>
      <c r="EV625" s="819">
        <f t="shared" si="292"/>
        <v>625</v>
      </c>
      <c r="EW625" s="819"/>
    </row>
    <row r="626" spans="1:153" s="656" customFormat="1" ht="52">
      <c r="A626" s="654" t="str">
        <f t="shared" ca="1" si="288"/>
        <v>D.1.626</v>
      </c>
      <c r="B626" s="654" t="str">
        <f t="shared" ca="1" si="289"/>
        <v>1.626</v>
      </c>
      <c r="C626" s="654" t="str">
        <f t="shared" ref="C626" si="315">CE$1&amp;D626&amp;CF$1</f>
        <v>[626]</v>
      </c>
      <c r="D626" s="654">
        <f>ROW()</f>
        <v>626</v>
      </c>
      <c r="E626" s="1125" t="str">
        <f t="shared" ref="E626" si="316">CU626</f>
        <v>Mit steigenden Anteilen von Wind- und Solarstrom werden zum Ausgleich von Mangelphasen Stromspeicher erforderlich, die in Phasen mit Stromüberschuss  entsprechende Energiemengen aufnehmen können. Neben dem Ausgleich kurzzeitiger Schwankungen im Sekunden-, Minuten- und Stundenbereich (siehe [670]) wird eine Langzeitspeicherung über Tage, Wochen und Monate hinweg  erforderlich.</v>
      </c>
      <c r="F626" s="1125"/>
      <c r="G626" s="1125"/>
      <c r="H626" s="1125"/>
      <c r="I626" s="1125"/>
      <c r="J626" s="1125"/>
      <c r="K626" s="1125"/>
      <c r="L626" s="1125"/>
      <c r="M626" s="1125"/>
      <c r="N626" s="1132"/>
      <c r="O626" s="869">
        <v>620</v>
      </c>
      <c r="P626" s="691" t="str">
        <f t="shared" ref="P626" ca="1" si="317">HYPERLINK(EK626,EJ626)</f>
        <v/>
      </c>
      <c r="Q626" s="692" t="str">
        <f t="shared" ref="Q626" si="318">Y626</f>
        <v xml:space="preserve"> </v>
      </c>
      <c r="R626" s="852"/>
      <c r="S626" s="784"/>
      <c r="T626" s="864"/>
      <c r="U626" s="1023" t="str">
        <f>"Mit steigenden Anteilen von Wind- und Solarstrom werden zum Ausgleich von Mangelphasen Stromspeicher erforderlich, die in Phasen mit Stromüberschuss  entsprechende Energiemengen aufnehmen können. "&amp;"Neben dem Ausgleich kurzzeitiger Schwankungen im Sekunden-, Minuten- und Stundenbereich (siehe "&amp;C670&amp;") wird eine Langzeitspeicherung über Tage, Wochen und Monate hinweg  erforderlich."</f>
        <v>Mit steigenden Anteilen von Wind- und Solarstrom werden zum Ausgleich von Mangelphasen Stromspeicher erforderlich, die in Phasen mit Stromüberschuss  entsprechende Energiemengen aufnehmen können. Neben dem Ausgleich kurzzeitiger Schwankungen im Sekunden-, Minuten- und Stundenbereich (siehe [670]) wird eine Langzeitspeicherung über Tage, Wochen und Monate hinweg  erforderlich.</v>
      </c>
      <c r="V626" s="905" t="s">
        <v>126</v>
      </c>
      <c r="W626" s="1024"/>
      <c r="X626" s="672"/>
      <c r="Y626" s="672" t="s">
        <v>126</v>
      </c>
      <c r="Z626" s="1025"/>
      <c r="AA626" s="905"/>
      <c r="AB626" s="801"/>
      <c r="AC626" s="801"/>
      <c r="AD626" s="801"/>
      <c r="AE626" s="801"/>
      <c r="AF626" s="801"/>
      <c r="AG626" s="801"/>
      <c r="AH626" s="801"/>
      <c r="AI626" s="801"/>
      <c r="AJ626" s="801"/>
      <c r="AK626" s="801"/>
      <c r="AL626" s="801"/>
      <c r="AM626" s="801"/>
      <c r="AN626" s="801"/>
      <c r="AO626" s="801"/>
      <c r="AP626" s="801"/>
      <c r="AQ626" s="801"/>
      <c r="AR626" s="801"/>
      <c r="AS626" s="801"/>
      <c r="AT626" s="801"/>
      <c r="AU626" s="801"/>
      <c r="AV626" s="801"/>
      <c r="BF626" s="657"/>
      <c r="BI626" s="656" t="s">
        <v>126</v>
      </c>
      <c r="BJ626" s="666"/>
      <c r="BO626" s="656" t="s">
        <v>252</v>
      </c>
      <c r="CU626" s="663" t="str">
        <f>IF(U626="",BF626,U626)</f>
        <v>Mit steigenden Anteilen von Wind- und Solarstrom werden zum Ausgleich von Mangelphasen Stromspeicher erforderlich, die in Phasen mit Stromüberschuss  entsprechende Energiemengen aufnehmen können. Neben dem Ausgleich kurzzeitiger Schwankungen im Sekunden-, Minuten- und Stundenbereich (siehe [670]) wird eine Langzeitspeicherung über Tage, Wochen und Monate hinweg  erforderlich.</v>
      </c>
      <c r="CW626" s="663"/>
      <c r="DT626" s="671"/>
      <c r="EJ626" s="656" t="str">
        <f>IF(X626=0,"",EJ$1&amp;X626)</f>
        <v/>
      </c>
      <c r="EK626" s="656" t="str">
        <f ca="1">EK$1&amp;X626</f>
        <v>[D_Python.xlsx]9.Quellen!C</v>
      </c>
      <c r="EV626" s="819">
        <f t="shared" si="292"/>
        <v>626</v>
      </c>
      <c r="EW626" s="819"/>
    </row>
    <row r="627" spans="1:153" s="656" customFormat="1" ht="65">
      <c r="A627" s="654" t="str">
        <f t="shared" ca="1" si="288"/>
        <v>D.1.627</v>
      </c>
      <c r="B627" s="654" t="str">
        <f t="shared" ca="1" si="289"/>
        <v>1.627</v>
      </c>
      <c r="C627" s="654" t="str">
        <f t="shared" ref="C627" si="319">CE$1&amp;D627&amp;CF$1</f>
        <v>[627]</v>
      </c>
      <c r="D627" s="654">
        <f>ROW()</f>
        <v>627</v>
      </c>
      <c r="E627" s="1125" t="str">
        <f>CU627</f>
        <v xml:space="preserve">Zur Schaffung der großen dafür erforderlichen Speicherkapazitäten kommt aus heutiger Sicht in Deutschland nur die stoffliche Speicherung in Form von Gas in Frage. Dazu wird überschüssiger Strom durch Wasser-Elektrolyse in Wasserstoff gewandelt, unter Druck in unterirdische Kavernen und Porenspeicher gepresst (in gleicher Weise wie heute Erdgas und Erdöl) und in Mangelphasen in Blockheizkraftwerken (durch Verbrennungsmotoren oder Brennstoffzellen) wieder rückverstromt. </v>
      </c>
      <c r="F627" s="1125"/>
      <c r="G627" s="1125"/>
      <c r="H627" s="1125"/>
      <c r="I627" s="1125"/>
      <c r="J627" s="1125"/>
      <c r="K627" s="1125"/>
      <c r="L627" s="1125"/>
      <c r="M627" s="1125"/>
      <c r="N627" s="1132"/>
      <c r="O627" s="869">
        <v>621</v>
      </c>
      <c r="P627" s="691" t="str">
        <f t="shared" ref="P627" ca="1" si="320">HYPERLINK(EK627,EJ627)</f>
        <v/>
      </c>
      <c r="Q627" s="692" t="str">
        <f t="shared" ref="Q627" si="321">Y627</f>
        <v xml:space="preserve"> </v>
      </c>
      <c r="R627" s="852"/>
      <c r="S627" s="784"/>
      <c r="T627" s="864"/>
      <c r="U627" s="1023" t="s">
        <v>817</v>
      </c>
      <c r="V627" s="905" t="s">
        <v>126</v>
      </c>
      <c r="W627" s="1024"/>
      <c r="X627" s="672"/>
      <c r="Y627" s="672" t="s">
        <v>126</v>
      </c>
      <c r="Z627" s="1025"/>
      <c r="AA627" s="905"/>
      <c r="AB627" s="801"/>
      <c r="AC627" s="801"/>
      <c r="AD627" s="801"/>
      <c r="AE627" s="801"/>
      <c r="AF627" s="801"/>
      <c r="AG627" s="801"/>
      <c r="AH627" s="801"/>
      <c r="AI627" s="801"/>
      <c r="AJ627" s="801"/>
      <c r="AK627" s="801"/>
      <c r="AL627" s="801"/>
      <c r="AM627" s="801"/>
      <c r="AN627" s="801"/>
      <c r="AO627" s="801"/>
      <c r="AP627" s="801"/>
      <c r="AQ627" s="801"/>
      <c r="AR627" s="801"/>
      <c r="AS627" s="801"/>
      <c r="AT627" s="801"/>
      <c r="AU627" s="801"/>
      <c r="AV627" s="801"/>
      <c r="BF627" s="657"/>
      <c r="BI627" s="656" t="s">
        <v>126</v>
      </c>
      <c r="BJ627" s="666"/>
      <c r="BO627" s="656" t="s">
        <v>252</v>
      </c>
      <c r="CU627" s="663" t="str">
        <f>IF(U627="",BF627,U627)</f>
        <v xml:space="preserve">Zur Schaffung der großen dafür erforderlichen Speicherkapazitäten kommt aus heutiger Sicht in Deutschland nur die stoffliche Speicherung in Form von Gas in Frage. Dazu wird überschüssiger Strom durch Wasser-Elektrolyse in Wasserstoff gewandelt, unter Druck in unterirdische Kavernen und Porenspeicher gepresst (in gleicher Weise wie heute Erdgas und Erdöl) und in Mangelphasen in Blockheizkraftwerken (durch Verbrennungsmotoren oder Brennstoffzellen) wieder rückverstromt. </v>
      </c>
      <c r="CW627" s="663"/>
      <c r="DT627" s="671"/>
      <c r="EJ627" s="656" t="str">
        <f>IF(X627=0,"",EJ$1&amp;X627)</f>
        <v/>
      </c>
      <c r="EK627" s="656" t="str">
        <f ca="1">EK$1&amp;X627</f>
        <v>[D_Python.xlsx]9.Quellen!C</v>
      </c>
      <c r="EV627" s="819">
        <f t="shared" si="292"/>
        <v>627</v>
      </c>
      <c r="EW627" s="819"/>
    </row>
    <row r="628" spans="1:153" s="656" customFormat="1" ht="65">
      <c r="A628" s="654" t="str">
        <f t="shared" ca="1" si="288"/>
        <v>D.1.628</v>
      </c>
      <c r="B628" s="654" t="str">
        <f t="shared" ca="1" si="289"/>
        <v>1.628</v>
      </c>
      <c r="C628" s="654" t="str">
        <f t="shared" ref="C628" si="322">CE$1&amp;D628&amp;CF$1</f>
        <v>[628]</v>
      </c>
      <c r="D628" s="654">
        <f>ROW()</f>
        <v>628</v>
      </c>
      <c r="E628" s="1125" t="str">
        <f t="shared" ref="E628" si="323">CU628</f>
        <v>Die stoffliche Speicherung von Strom ist vor allem durch Elektrolyse und Rückverstromung mit hohen Wandlungsverlusten verbunden, die durch entsprechend erhöhte Wind- und Solarstromeinspeisung ausgeglichen werden müssen. Im Interesse einer Minimierung der Wandlungsverluste wird auf eine zusätzliche Methanisierung des Wasserstoffs verzichtet und dafür ein wegen unterschiedlicher Energiedichte 3,3-faches Speichervolumen in Kauf genommen.</v>
      </c>
      <c r="F628" s="1125"/>
      <c r="G628" s="1125"/>
      <c r="H628" s="1125"/>
      <c r="I628" s="1125"/>
      <c r="J628" s="1125"/>
      <c r="K628" s="1125"/>
      <c r="L628" s="1125"/>
      <c r="M628" s="1125"/>
      <c r="N628" s="1132"/>
      <c r="O628" s="869">
        <v>622</v>
      </c>
      <c r="P628" s="691" t="str">
        <f t="shared" ref="P628" ca="1" si="324">HYPERLINK(EK628,EJ628)</f>
        <v/>
      </c>
      <c r="Q628" s="692" t="str">
        <f t="shared" ref="Q628" si="325">Y628</f>
        <v xml:space="preserve"> </v>
      </c>
      <c r="R628" s="852"/>
      <c r="S628" s="784"/>
      <c r="T628" s="864"/>
      <c r="U628" s="1023" t="s">
        <v>815</v>
      </c>
      <c r="V628" s="905" t="s">
        <v>126</v>
      </c>
      <c r="W628" s="1024"/>
      <c r="X628" s="672"/>
      <c r="Y628" s="672" t="s">
        <v>126</v>
      </c>
      <c r="Z628" s="1025"/>
      <c r="AA628" s="905"/>
      <c r="AB628" s="801"/>
      <c r="AC628" s="801"/>
      <c r="AD628" s="801"/>
      <c r="AE628" s="801"/>
      <c r="AF628" s="801"/>
      <c r="AG628" s="801"/>
      <c r="AH628" s="801"/>
      <c r="AI628" s="801"/>
      <c r="AJ628" s="801"/>
      <c r="AK628" s="801"/>
      <c r="AL628" s="801"/>
      <c r="AM628" s="801"/>
      <c r="AN628" s="801"/>
      <c r="AO628" s="801"/>
      <c r="AP628" s="801"/>
      <c r="AQ628" s="801"/>
      <c r="AR628" s="801"/>
      <c r="AS628" s="801"/>
      <c r="AT628" s="801"/>
      <c r="AU628" s="801"/>
      <c r="AV628" s="801"/>
      <c r="BF628" s="657"/>
      <c r="BI628" s="656" t="s">
        <v>126</v>
      </c>
      <c r="BJ628" s="666"/>
      <c r="BO628" s="656" t="s">
        <v>252</v>
      </c>
      <c r="CU628" s="663" t="str">
        <f>IF(U628="",BF628,U628)</f>
        <v>Die stoffliche Speicherung von Strom ist vor allem durch Elektrolyse und Rückverstromung mit hohen Wandlungsverlusten verbunden, die durch entsprechend erhöhte Wind- und Solarstromeinspeisung ausgeglichen werden müssen. Im Interesse einer Minimierung der Wandlungsverluste wird auf eine zusätzliche Methanisierung des Wasserstoffs verzichtet und dafür ein wegen unterschiedlicher Energiedichte 3,3-faches Speichervolumen in Kauf genommen.</v>
      </c>
      <c r="CW628" s="663"/>
      <c r="DT628" s="671"/>
      <c r="EJ628" s="656" t="str">
        <f>IF(X628=0,"",EJ$1&amp;X628)</f>
        <v/>
      </c>
      <c r="EK628" s="656" t="str">
        <f ca="1">EK$1&amp;X628</f>
        <v>[D_Python.xlsx]9.Quellen!C</v>
      </c>
      <c r="EV628" s="819">
        <f t="shared" si="292"/>
        <v>628</v>
      </c>
      <c r="EW628" s="819"/>
    </row>
    <row r="629" spans="1:153" s="656" customFormat="1" ht="52">
      <c r="A629" s="654" t="str">
        <f t="shared" ca="1" si="288"/>
        <v>D.1.629</v>
      </c>
      <c r="B629" s="654" t="str">
        <f t="shared" ca="1" si="289"/>
        <v>1.629</v>
      </c>
      <c r="C629" s="654" t="str">
        <f t="shared" ref="C629" si="326">CE$1&amp;D629&amp;CF$1</f>
        <v>[629]</v>
      </c>
      <c r="D629" s="654">
        <f>ROW()</f>
        <v>629</v>
      </c>
      <c r="E629" s="1125" t="str">
        <f t="shared" ref="E629" si="327">CU629</f>
        <v>Mit Hilfe einer Simulation wurden aufgrund der Szenario-Ansätze die täglichen Speicherflüsse und daraus Nutzungsgrad und die mindestens erforderliche Speicherkapazität ermittelt, wobei der Nutzungsgrad im Szenario kalkulatiorisch berücksichtigt wird.  Simulationsmodell, Parameter und Jahresgang dieser Simulation siehe Szenario-Dokumentation Abschnitt [WS]).</v>
      </c>
      <c r="F629" s="1125"/>
      <c r="G629" s="1125"/>
      <c r="H629" s="1125"/>
      <c r="I629" s="1125"/>
      <c r="J629" s="1125"/>
      <c r="K629" s="1125"/>
      <c r="L629" s="1125"/>
      <c r="M629" s="1125"/>
      <c r="N629" s="1132"/>
      <c r="O629" s="869">
        <v>623</v>
      </c>
      <c r="P629" s="691" t="str">
        <f t="shared" ref="P629" ca="1" si="328">HYPERLINK(EK629,EJ629)</f>
        <v/>
      </c>
      <c r="Q629" s="646" t="str">
        <f>HYPERLINK("WS.xlsm","WS")</f>
        <v>WS</v>
      </c>
      <c r="R629" s="852"/>
      <c r="S629" s="784"/>
      <c r="T629" s="864"/>
      <c r="U629" s="699" t="str">
        <f>"Mit Hilfe einer Simulation wurden aufgrund der Szenario-Ansätze die täglichen Speicherflüsse und daraus Nutzungsgrad und die mindestens erforderliche Speicherkapazität ermittelt, wobei der Nutzungsgrad im Szenario kalkulatiorisch berücksichtigt wird.  "&amp;"Simulationsmodell, Parameter und Jahresgang dieser Simulation siehe Szenario-Dokumentation Abschnitt ["&amp;Q629&amp;"])."</f>
        <v>Mit Hilfe einer Simulation wurden aufgrund der Szenario-Ansätze die täglichen Speicherflüsse und daraus Nutzungsgrad und die mindestens erforderliche Speicherkapazität ermittelt, wobei der Nutzungsgrad im Szenario kalkulatiorisch berücksichtigt wird.  Simulationsmodell, Parameter und Jahresgang dieser Simulation siehe Szenario-Dokumentation Abschnitt [WS]).</v>
      </c>
      <c r="V629" s="905" t="s">
        <v>126</v>
      </c>
      <c r="W629" s="1024"/>
      <c r="X629" s="672"/>
      <c r="Y629" s="672" t="s">
        <v>816</v>
      </c>
      <c r="Z629" s="1025"/>
      <c r="AA629" s="905"/>
      <c r="AB629" s="801"/>
      <c r="AC629" s="1020">
        <v>44045</v>
      </c>
      <c r="AD629" s="801"/>
      <c r="AE629" s="801"/>
      <c r="AF629" s="801"/>
      <c r="AG629" s="801"/>
      <c r="AH629" s="801"/>
      <c r="AI629" s="801"/>
      <c r="AJ629" s="801"/>
      <c r="AK629" s="801"/>
      <c r="AL629" s="801"/>
      <c r="AM629" s="801"/>
      <c r="AN629" s="801"/>
      <c r="AO629" s="801"/>
      <c r="AP629" s="801"/>
      <c r="AQ629" s="801"/>
      <c r="AR629" s="801"/>
      <c r="AS629" s="801"/>
      <c r="AT629" s="801"/>
      <c r="AU629" s="801"/>
      <c r="AV629" s="801"/>
      <c r="BF629" s="657"/>
      <c r="BI629" s="656" t="s">
        <v>126</v>
      </c>
      <c r="BJ629" s="666"/>
      <c r="BO629" s="656" t="s">
        <v>252</v>
      </c>
      <c r="CU629" s="663" t="str">
        <f>IF(U629="",BF629,U629)</f>
        <v>Mit Hilfe einer Simulation wurden aufgrund der Szenario-Ansätze die täglichen Speicherflüsse und daraus Nutzungsgrad und die mindestens erforderliche Speicherkapazität ermittelt, wobei der Nutzungsgrad im Szenario kalkulatiorisch berücksichtigt wird.  Simulationsmodell, Parameter und Jahresgang dieser Simulation siehe Szenario-Dokumentation Abschnitt [WS]).</v>
      </c>
      <c r="CW629" s="663"/>
      <c r="DT629" s="671"/>
      <c r="EJ629" s="656" t="str">
        <f>IF(X629=0,"",EJ$1&amp;X629)</f>
        <v/>
      </c>
      <c r="EK629" s="656" t="str">
        <f ca="1">EK$1&amp;X629</f>
        <v>[D_Python.xlsx]9.Quellen!C</v>
      </c>
      <c r="EV629" s="819">
        <f t="shared" si="292"/>
        <v>629</v>
      </c>
      <c r="EW629" s="819"/>
    </row>
    <row r="630" spans="1:153" s="656" customFormat="1" ht="52">
      <c r="A630" s="654" t="str">
        <f t="shared" ca="1" si="288"/>
        <v>D.1.630</v>
      </c>
      <c r="B630" s="654" t="str">
        <f t="shared" ca="1" si="289"/>
        <v>1.630</v>
      </c>
      <c r="C630" s="654" t="str">
        <f t="shared" si="265"/>
        <v>[630]</v>
      </c>
      <c r="D630" s="654">
        <f>ROW()</f>
        <v>630</v>
      </c>
      <c r="E630" s="1130" t="str">
        <f>CU630</f>
        <v>- STATUS-Ansatz: Die stark schwankende Einspeisung von Wind- und Solarstrom kann bislang vollständig durch entsprechende Regelung der Pumpspeicher- und fossilen Kraftwerke ausgeglichen werden. Die Speicherung von Stromüberschüssen zum Ausgleich von Mangelphasen über Tage und Wochen hinweg ist daher noch nicht erforderlich geworden.</v>
      </c>
      <c r="F630" s="1130"/>
      <c r="G630" s="1130"/>
      <c r="H630" s="1130"/>
      <c r="I630" s="1130"/>
      <c r="J630" s="1130"/>
      <c r="K630" s="1130"/>
      <c r="L630" s="1130"/>
      <c r="M630" s="1130"/>
      <c r="N630" s="1131"/>
      <c r="O630" s="869">
        <v>624</v>
      </c>
      <c r="P630" s="691" t="str">
        <f ca="1">HYPERLINK(EK630,EJ630)</f>
        <v/>
      </c>
      <c r="Q630" s="692" t="str">
        <f>Y630</f>
        <v xml:space="preserve"> </v>
      </c>
      <c r="R630" s="852"/>
      <c r="S630" s="784"/>
      <c r="T630" s="864"/>
      <c r="U630" s="1023" t="s">
        <v>814</v>
      </c>
      <c r="V630" s="905" t="s">
        <v>126</v>
      </c>
      <c r="W630" s="1024">
        <v>0</v>
      </c>
      <c r="X630" s="672"/>
      <c r="Y630" s="672" t="s">
        <v>126</v>
      </c>
      <c r="Z630" s="1025"/>
      <c r="AA630" s="658"/>
      <c r="AB630" s="801"/>
      <c r="AC630" s="801"/>
      <c r="AD630" s="801"/>
      <c r="AE630" s="801"/>
      <c r="AF630" s="801"/>
      <c r="AG630" s="801"/>
      <c r="AH630" s="801"/>
      <c r="AI630" s="801"/>
      <c r="AJ630" s="801"/>
      <c r="AK630" s="801"/>
      <c r="AL630" s="801"/>
      <c r="AM630" s="801"/>
      <c r="AN630" s="801"/>
      <c r="AO630" s="801"/>
      <c r="AP630" s="801"/>
      <c r="AQ630" s="801"/>
      <c r="AR630" s="801"/>
      <c r="AS630" s="801"/>
      <c r="AT630" s="801"/>
      <c r="AU630" s="801"/>
      <c r="AV630" s="801"/>
      <c r="BF630" s="657"/>
      <c r="BI630" s="656" t="s">
        <v>126</v>
      </c>
      <c r="BJ630" s="666"/>
      <c r="BO630" s="656" t="s">
        <v>259</v>
      </c>
      <c r="CU630" s="663" t="str">
        <f>CG$1&amp;IF(U630="",BF630,U630)</f>
        <v>- STATUS-Ansatz: Die stark schwankende Einspeisung von Wind- und Solarstrom kann bislang vollständig durch entsprechende Regelung der Pumpspeicher- und fossilen Kraftwerke ausgeglichen werden. Die Speicherung von Stromüberschüssen zum Ausgleich von Mangelphasen über Tage und Wochen hinweg ist daher noch nicht erforderlich geworden.</v>
      </c>
      <c r="CW630" s="663"/>
      <c r="DT630" s="671">
        <f>I_Basisdaten!A288</f>
        <v>0</v>
      </c>
      <c r="EJ630" s="656" t="str">
        <f>IF(X630=0,"",EJ$1&amp;X630)</f>
        <v/>
      </c>
      <c r="EK630" s="656" t="str">
        <f ca="1">EK$1&amp;X630</f>
        <v>[D_Python.xlsx]9.Quellen!C</v>
      </c>
      <c r="EV630" s="819">
        <f t="shared" si="292"/>
        <v>630</v>
      </c>
      <c r="EW630" s="819"/>
    </row>
    <row r="631" spans="1:153" s="661" customFormat="1" ht="4">
      <c r="A631" s="677" t="str">
        <f t="shared" ca="1" si="288"/>
        <v>D.1.631</v>
      </c>
      <c r="B631" s="677" t="str">
        <f t="shared" ca="1" si="289"/>
        <v>1.631</v>
      </c>
      <c r="C631" s="677" t="str">
        <f t="shared" si="265"/>
        <v>[631]</v>
      </c>
      <c r="D631" s="677">
        <f>ROW()</f>
        <v>631</v>
      </c>
      <c r="E631" s="680"/>
      <c r="F631" s="680"/>
      <c r="G631" s="680"/>
      <c r="H631" s="680"/>
      <c r="I631" s="679"/>
      <c r="J631" s="679"/>
      <c r="K631" s="679"/>
      <c r="L631" s="679"/>
      <c r="M631" s="679"/>
      <c r="N631" s="680"/>
      <c r="O631" s="871">
        <v>625</v>
      </c>
      <c r="P631" s="688"/>
      <c r="Q631" s="689"/>
      <c r="R631" s="888"/>
      <c r="S631" s="810"/>
      <c r="T631" s="882"/>
      <c r="AB631" s="675"/>
      <c r="AC631" s="675"/>
      <c r="AD631" s="675"/>
      <c r="AE631" s="675"/>
      <c r="AF631" s="675"/>
      <c r="AG631" s="675"/>
      <c r="AH631" s="675"/>
      <c r="AI631" s="675"/>
      <c r="AJ631" s="675"/>
      <c r="AK631" s="675"/>
      <c r="AL631" s="675"/>
      <c r="AM631" s="675"/>
      <c r="AN631" s="675"/>
      <c r="AO631" s="675"/>
      <c r="AP631" s="675"/>
      <c r="AQ631" s="675"/>
      <c r="AR631" s="675"/>
      <c r="AS631" s="675"/>
      <c r="AT631" s="675"/>
      <c r="AU631" s="675"/>
      <c r="AV631" s="675"/>
      <c r="BI631" s="661" t="s">
        <v>126</v>
      </c>
      <c r="BJ631" s="665"/>
      <c r="CU631" s="662"/>
      <c r="CW631" s="662"/>
      <c r="EV631" s="818" t="str">
        <f t="shared" si="292"/>
        <v/>
      </c>
      <c r="EW631" s="818"/>
    </row>
    <row r="632" spans="1:153" s="656" customFormat="1" ht="39">
      <c r="A632" s="654" t="str">
        <f t="shared" ca="1" si="288"/>
        <v>D.1.632</v>
      </c>
      <c r="B632" s="654" t="str">
        <f t="shared" ca="1" si="289"/>
        <v>1.632</v>
      </c>
      <c r="C632" s="654" t="str">
        <f t="shared" si="265"/>
        <v>[632]</v>
      </c>
      <c r="D632" s="654">
        <f>ROW()</f>
        <v>632</v>
      </c>
      <c r="E632" s="1125" t="str">
        <f t="shared" ref="E632" si="329">CU632</f>
        <v>- ZIEL-Ansatz: 299.414 GWh an Überschuss-Strom müssen der Wasser-Elektrolyse zur Stromspeicherung während eines Jahres zugeführt werden, um ausreichend Gas zur Rückverstromung in Mangelphasen bereit stellen zu können (siehe Szenario-Dokumentation Abschnitt [WS]).</v>
      </c>
      <c r="F632" s="1125"/>
      <c r="G632" s="1125"/>
      <c r="H632" s="1125"/>
      <c r="I632" s="1125"/>
      <c r="J632" s="1125"/>
      <c r="K632" s="1125"/>
      <c r="L632" s="1125"/>
      <c r="M632" s="1125"/>
      <c r="N632" s="1132"/>
      <c r="O632" s="869">
        <v>626</v>
      </c>
      <c r="P632" s="691" t="str">
        <f ca="1">HYPERLINK(EK632,EJ632)</f>
        <v/>
      </c>
      <c r="Q632" s="646" t="str">
        <f>HYPERLINK("[WS.xlsm]1.Jahresbilanz_Strom!AufnahmeCopy","WS")</f>
        <v>WS</v>
      </c>
      <c r="R632" s="852"/>
      <c r="S632" s="784"/>
      <c r="T632" s="864"/>
      <c r="U632" s="1023" t="str">
        <f>TEXT(W632,"0.000")&amp;" GWh an Überschuss-Strom müssen der Wasser-Elektrolyse zur Stromspeicherung während eines Jahres zugeführt werden, um ausreichend Gas zur Rückverstromung in Mangelphasen bereit stellen zu können (siehe Szenario-Dokumentation Abschnitt ["&amp;Q632&amp;"])."</f>
        <v>299.414 GWh an Überschuss-Strom müssen der Wasser-Elektrolyse zur Stromspeicherung während eines Jahres zugeführt werden, um ausreichend Gas zur Rückverstromung in Mangelphasen bereit stellen zu können (siehe Szenario-Dokumentation Abschnitt [WS]).</v>
      </c>
      <c r="V632" s="905" t="s">
        <v>126</v>
      </c>
      <c r="W632" s="1024">
        <f>AE632</f>
        <v>299414.16266615025</v>
      </c>
      <c r="X632" s="672"/>
      <c r="Y632" s="672" t="s">
        <v>816</v>
      </c>
      <c r="Z632" s="1025"/>
      <c r="AA632" s="905"/>
      <c r="AB632" s="801"/>
      <c r="AC632" s="1020">
        <v>44045</v>
      </c>
      <c r="AD632" s="801" t="s">
        <v>647</v>
      </c>
      <c r="AE632" s="801">
        <f>WS_!D28</f>
        <v>299414.16266615025</v>
      </c>
      <c r="AF632" s="801">
        <f>WS_!E48</f>
        <v>0</v>
      </c>
      <c r="AG632" s="801"/>
      <c r="AH632" s="801"/>
      <c r="AI632" s="801"/>
      <c r="AJ632" s="801"/>
      <c r="AK632" s="801"/>
      <c r="AL632" s="801"/>
      <c r="AM632" s="801"/>
      <c r="AN632" s="801"/>
      <c r="AO632" s="801"/>
      <c r="AP632" s="801"/>
      <c r="AQ632" s="801"/>
      <c r="AR632" s="801"/>
      <c r="AS632" s="801"/>
      <c r="AT632" s="801"/>
      <c r="AU632" s="801"/>
      <c r="AV632" s="801"/>
      <c r="BF632" s="657"/>
      <c r="BI632" s="656" t="s">
        <v>126</v>
      </c>
      <c r="BJ632" s="666"/>
      <c r="BO632" s="656" t="s">
        <v>259</v>
      </c>
      <c r="CU632" s="663" t="str">
        <f>CH$1&amp;IF(U632="",BF632,U632)</f>
        <v>- ZIEL-Ansatz: 299.414 GWh an Überschuss-Strom müssen der Wasser-Elektrolyse zur Stromspeicherung während eines Jahres zugeführt werden, um ausreichend Gas zur Rückverstromung in Mangelphasen bereit stellen zu können (siehe Szenario-Dokumentation Abschnitt [WS]).</v>
      </c>
      <c r="CW632" s="663"/>
      <c r="DT632" s="671">
        <v>53</v>
      </c>
      <c r="EJ632" s="656" t="str">
        <f>IF(X632=0,"",EJ$1&amp;X632)</f>
        <v/>
      </c>
      <c r="EK632" s="656" t="str">
        <f ca="1">EK$1&amp;X632</f>
        <v>[D_Python.xlsx]9.Quellen!C</v>
      </c>
      <c r="EV632" s="819">
        <f t="shared" si="292"/>
        <v>632</v>
      </c>
      <c r="EW632" s="819"/>
    </row>
    <row r="633" spans="1:153" s="661" customFormat="1" ht="4">
      <c r="A633" s="677" t="str">
        <f t="shared" ca="1" si="288"/>
        <v>D.1.633</v>
      </c>
      <c r="B633" s="677" t="str">
        <f t="shared" ca="1" si="289"/>
        <v>1.633</v>
      </c>
      <c r="C633" s="677" t="str">
        <f t="shared" si="265"/>
        <v>[633]</v>
      </c>
      <c r="D633" s="677">
        <f>ROW()</f>
        <v>633</v>
      </c>
      <c r="E633" s="685"/>
      <c r="F633" s="685"/>
      <c r="G633" s="685"/>
      <c r="H633" s="685"/>
      <c r="I633" s="686"/>
      <c r="J633" s="686"/>
      <c r="K633" s="686"/>
      <c r="L633" s="686"/>
      <c r="M633" s="686"/>
      <c r="N633" s="685"/>
      <c r="O633" s="871">
        <v>627</v>
      </c>
      <c r="P633" s="693"/>
      <c r="Q633" s="694"/>
      <c r="R633" s="888"/>
      <c r="S633" s="802"/>
      <c r="T633" s="882"/>
      <c r="AB633" s="675"/>
      <c r="AC633" s="675"/>
      <c r="AD633" s="675"/>
      <c r="AE633" s="675"/>
      <c r="AF633" s="675"/>
      <c r="AG633" s="675"/>
      <c r="AH633" s="675"/>
      <c r="AI633" s="675"/>
      <c r="AJ633" s="675"/>
      <c r="AK633" s="675"/>
      <c r="AL633" s="675"/>
      <c r="AM633" s="675"/>
      <c r="AN633" s="675"/>
      <c r="AO633" s="675"/>
      <c r="AP633" s="675"/>
      <c r="AQ633" s="675"/>
      <c r="AR633" s="675"/>
      <c r="AS633" s="675"/>
      <c r="AT633" s="675"/>
      <c r="AU633" s="675"/>
      <c r="AV633" s="675"/>
      <c r="AZ633" s="669"/>
      <c r="BB633" s="669"/>
      <c r="BI633" s="661" t="s">
        <v>126</v>
      </c>
      <c r="BJ633" s="665"/>
      <c r="CU633" s="662"/>
      <c r="CW633" s="662"/>
      <c r="EV633" s="818" t="str">
        <f t="shared" si="292"/>
        <v/>
      </c>
      <c r="EW633" s="818"/>
    </row>
    <row r="634" spans="1:153" s="658" customFormat="1" ht="13.5" customHeight="1">
      <c r="A634" s="654" t="str">
        <f t="shared" ca="1" si="288"/>
        <v>D.1.634</v>
      </c>
      <c r="B634" s="654" t="str">
        <f t="shared" ca="1" si="289"/>
        <v>1.634</v>
      </c>
      <c r="C634" s="654" t="str">
        <f t="shared" si="265"/>
        <v>[634]</v>
      </c>
      <c r="D634" s="654">
        <f>ROW()</f>
        <v>634</v>
      </c>
      <c r="E634" s="1129" t="str">
        <f>BP634</f>
        <v>Stromspeicherung gesamt - Nutzungsgrad</v>
      </c>
      <c r="F634" s="1129"/>
      <c r="G634" s="1129"/>
      <c r="H634" s="1129"/>
      <c r="I634" s="1129"/>
      <c r="J634" s="559" t="s">
        <v>38</v>
      </c>
      <c r="K634" s="557">
        <f ca="1">INDIRECT($W$1&amp;U634)</f>
        <v>0</v>
      </c>
      <c r="L634" s="485" t="str">
        <f ca="1">HYPERLINK($CK$1&amp;U634,$CE$1&amp;U634&amp;$CF$1)</f>
        <v>[635]</v>
      </c>
      <c r="M634" s="558">
        <f ca="1">INDIRECT($W$1&amp;W634)</f>
        <v>37.689265930224394</v>
      </c>
      <c r="N634" s="681" t="str">
        <f ca="1">HYPERLINK($CK$1&amp;W634,$CE$1&amp;W634&amp;$CF$1)</f>
        <v>[637]</v>
      </c>
      <c r="O634" s="869">
        <v>628</v>
      </c>
      <c r="P634" s="690"/>
      <c r="Q634" s="695"/>
      <c r="R634" s="852"/>
      <c r="S634" s="784"/>
      <c r="T634" s="864"/>
      <c r="U634" s="672">
        <f>D635</f>
        <v>635</v>
      </c>
      <c r="V634" s="905" t="s">
        <v>126</v>
      </c>
      <c r="W634" s="672">
        <f>D637</f>
        <v>637</v>
      </c>
      <c r="AB634" s="801"/>
      <c r="AC634" s="801"/>
      <c r="AD634" s="674"/>
      <c r="AE634" s="674"/>
      <c r="AF634" s="674"/>
      <c r="AG634" s="674"/>
      <c r="AH634" s="674"/>
      <c r="AI634" s="674"/>
      <c r="AJ634" s="674"/>
      <c r="AK634" s="674"/>
      <c r="AL634" s="674"/>
      <c r="AM634" s="674"/>
      <c r="AN634" s="674"/>
      <c r="AO634" s="674"/>
      <c r="AP634" s="674"/>
      <c r="AQ634" s="674"/>
      <c r="AR634" s="674"/>
      <c r="AS634" s="674"/>
      <c r="AT634" s="674"/>
      <c r="AU634" s="674"/>
      <c r="AV634" s="674"/>
      <c r="AX634" s="658" t="s">
        <v>244</v>
      </c>
      <c r="AY634" s="668">
        <f ca="1">DA634</f>
        <v>2.3178959999999997</v>
      </c>
      <c r="AZ634" s="670" t="str">
        <f ca="1">HYPERLINK(DN634,DC634)</f>
        <v xml:space="preserve"> 414</v>
      </c>
      <c r="BA634" s="668">
        <f ca="1">DB634</f>
        <v>2.7042119999999996</v>
      </c>
      <c r="BB634" s="670" t="str">
        <f ca="1">HYPERLINK(DO634,DD634)</f>
        <v xml:space="preserve"> 415</v>
      </c>
      <c r="BC634" s="658" t="str">
        <f ca="1">CY634&amp;" | "&amp;CZ634</f>
        <v>Wärme | 2.2.2 Energieertrag Abwärme aus Verstromung von Tiefen-Geothermie</v>
      </c>
      <c r="BI634" s="658" t="s">
        <v>126</v>
      </c>
      <c r="BJ634" s="667" t="str">
        <f>E634</f>
        <v>Stromspeicherung gesamt - Nutzungsgrad</v>
      </c>
      <c r="BK634" s="664">
        <f ca="1">K634</f>
        <v>0</v>
      </c>
      <c r="BL634" s="664">
        <f ca="1">M634</f>
        <v>37.689265930224394</v>
      </c>
      <c r="BM634" s="656">
        <f>D634</f>
        <v>634</v>
      </c>
      <c r="BO634" s="658" t="s">
        <v>251</v>
      </c>
      <c r="BP634" s="676" t="s">
        <v>651</v>
      </c>
      <c r="CU634" s="659"/>
      <c r="CW634" s="671">
        <v>107</v>
      </c>
      <c r="CY634" s="656" t="str">
        <f t="shared" ref="CY634:DO634" ca="1" si="330">INDIRECT($CX$1&amp;CY$1&amp;$CW634)</f>
        <v>Wärme</v>
      </c>
      <c r="CZ634" s="656" t="str">
        <f t="shared" ca="1" si="330"/>
        <v>2.2.2 Energieertrag Abwärme aus Verstromung von Tiefen-Geothermie</v>
      </c>
      <c r="DA634" s="656">
        <f t="shared" ca="1" si="330"/>
        <v>2.3178959999999997</v>
      </c>
      <c r="DB634" s="656">
        <f t="shared" ca="1" si="330"/>
        <v>2.7042119999999996</v>
      </c>
      <c r="DC634" s="656" t="str">
        <f t="shared" ca="1" si="330"/>
        <v xml:space="preserve"> 414</v>
      </c>
      <c r="DD634" s="656" t="str">
        <f t="shared" ca="1" si="330"/>
        <v xml:space="preserve"> 415</v>
      </c>
      <c r="DE634" s="656" t="str">
        <f t="shared" ca="1" si="330"/>
        <v>UG99</v>
      </c>
      <c r="DF634" s="656" t="str">
        <f t="shared" ca="1" si="330"/>
        <v>UG99</v>
      </c>
      <c r="DG634" s="656" t="str">
        <f t="shared" ca="1" si="330"/>
        <v>UG</v>
      </c>
      <c r="DH634" s="656" t="str">
        <f t="shared" ca="1" si="330"/>
        <v>99</v>
      </c>
      <c r="DI634" s="656" t="str">
        <f t="shared" ca="1" si="330"/>
        <v>[UG.xls]TEXT!Z99S5</v>
      </c>
      <c r="DJ634" s="656" t="str">
        <f t="shared" ca="1" si="330"/>
        <v>UG</v>
      </c>
      <c r="DK634" s="656" t="str">
        <f t="shared" ca="1" si="330"/>
        <v>99</v>
      </c>
      <c r="DL634" s="656" t="str">
        <f t="shared" ca="1" si="330"/>
        <v>[UG.xls]TEXT!Z99S5</v>
      </c>
      <c r="DM634" s="656">
        <f t="shared" ca="1" si="330"/>
        <v>107</v>
      </c>
      <c r="DN634" s="656" t="str">
        <f t="shared" ca="1" si="330"/>
        <v>[Region.xls]PARAMETER!Z414S6</v>
      </c>
      <c r="DO634" s="656" t="str">
        <f t="shared" ca="1" si="330"/>
        <v>[Region.xls]PARAMETER!Z415S6</v>
      </c>
      <c r="DP634" s="656"/>
      <c r="DS634" s="656"/>
      <c r="DV634" s="656"/>
      <c r="DW634" s="656"/>
      <c r="DX634" s="656"/>
      <c r="DY634" s="656"/>
      <c r="DZ634" s="656"/>
      <c r="EA634" s="656"/>
      <c r="EB634" s="656"/>
      <c r="EC634" s="656"/>
      <c r="ED634" s="656"/>
      <c r="EE634" s="656"/>
      <c r="EF634" s="656"/>
      <c r="EG634" s="656"/>
      <c r="EH634" s="656"/>
      <c r="EI634" s="656"/>
      <c r="EJ634" s="656"/>
      <c r="EK634" s="656"/>
      <c r="EV634" s="819">
        <f t="shared" si="292"/>
        <v>634</v>
      </c>
      <c r="EW634" s="819"/>
    </row>
    <row r="635" spans="1:153" s="656" customFormat="1" ht="15" customHeight="1">
      <c r="A635" s="654" t="str">
        <f t="shared" ca="1" si="288"/>
        <v>D.1.635</v>
      </c>
      <c r="B635" s="654" t="str">
        <f t="shared" ca="1" si="289"/>
        <v>1.635</v>
      </c>
      <c r="C635" s="654" t="str">
        <f t="shared" si="265"/>
        <v>[635]</v>
      </c>
      <c r="D635" s="654">
        <f>ROW()</f>
        <v>635</v>
      </c>
      <c r="E635" s="1130" t="str">
        <f>CU635</f>
        <v>- STATUS-Ansatz: Lanzeitstromspeicherung bislang noch nicht relevant [630].</v>
      </c>
      <c r="F635" s="1130"/>
      <c r="G635" s="1130"/>
      <c r="H635" s="1130"/>
      <c r="I635" s="1130"/>
      <c r="J635" s="1130"/>
      <c r="K635" s="1130"/>
      <c r="L635" s="1130"/>
      <c r="M635" s="1130"/>
      <c r="N635" s="1131"/>
      <c r="O635" s="869">
        <v>629</v>
      </c>
      <c r="P635" s="691" t="str">
        <f ca="1">HYPERLINK(EK635,EJ635)</f>
        <v/>
      </c>
      <c r="Q635" s="692" t="str">
        <f>Y635</f>
        <v xml:space="preserve"> </v>
      </c>
      <c r="R635" s="852"/>
      <c r="S635" s="784"/>
      <c r="T635" s="864"/>
      <c r="U635" s="1023" t="str">
        <f>"Lanzeitstromspeicherung bislang noch nicht relevant "&amp;C$630&amp;"."</f>
        <v>Lanzeitstromspeicherung bislang noch nicht relevant [630].</v>
      </c>
      <c r="V635" s="905" t="s">
        <v>126</v>
      </c>
      <c r="W635" s="1024">
        <v>0</v>
      </c>
      <c r="X635" s="672"/>
      <c r="Y635" s="672" t="s">
        <v>126</v>
      </c>
      <c r="Z635" s="1025"/>
      <c r="AA635" s="658"/>
      <c r="AB635" s="801"/>
      <c r="AC635" s="801"/>
      <c r="AD635" s="801"/>
      <c r="AE635" s="801"/>
      <c r="AF635" s="801"/>
      <c r="AG635" s="801"/>
      <c r="AH635" s="801"/>
      <c r="AI635" s="801"/>
      <c r="AJ635" s="801"/>
      <c r="AK635" s="801"/>
      <c r="AL635" s="801"/>
      <c r="AM635" s="801"/>
      <c r="AN635" s="801"/>
      <c r="AO635" s="801"/>
      <c r="AP635" s="801"/>
      <c r="AQ635" s="801"/>
      <c r="AR635" s="801"/>
      <c r="AS635" s="801"/>
      <c r="AT635" s="801"/>
      <c r="AU635" s="801"/>
      <c r="AV635" s="801"/>
      <c r="BF635" s="657"/>
      <c r="BI635" s="656" t="s">
        <v>126</v>
      </c>
      <c r="BJ635" s="666"/>
      <c r="BO635" s="656" t="s">
        <v>259</v>
      </c>
      <c r="CU635" s="663" t="str">
        <f>CG$1&amp;IF(U635="",BF635,U635)</f>
        <v>- STATUS-Ansatz: Lanzeitstromspeicherung bislang noch nicht relevant [630].</v>
      </c>
      <c r="CW635" s="663"/>
      <c r="DT635" s="671">
        <f>I_Basisdaten!A293</f>
        <v>0</v>
      </c>
      <c r="EJ635" s="656" t="str">
        <f>IF(X635=0,"",EJ$1&amp;X635)</f>
        <v/>
      </c>
      <c r="EK635" s="656" t="str">
        <f ca="1">EK$1&amp;X635</f>
        <v>[D_Python.xlsx]9.Quellen!C</v>
      </c>
      <c r="EV635" s="819">
        <f t="shared" si="292"/>
        <v>635</v>
      </c>
      <c r="EW635" s="819"/>
    </row>
    <row r="636" spans="1:153" s="661" customFormat="1" ht="4">
      <c r="A636" s="677" t="str">
        <f t="shared" ca="1" si="288"/>
        <v>D.1.636</v>
      </c>
      <c r="B636" s="677" t="str">
        <f t="shared" ca="1" si="289"/>
        <v>1.636</v>
      </c>
      <c r="C636" s="677" t="str">
        <f t="shared" ref="C636:C710" si="331">CE$1&amp;D636&amp;CF$1</f>
        <v>[636]</v>
      </c>
      <c r="D636" s="677">
        <f>ROW()</f>
        <v>636</v>
      </c>
      <c r="E636" s="680"/>
      <c r="F636" s="680"/>
      <c r="G636" s="680"/>
      <c r="H636" s="680"/>
      <c r="I636" s="679"/>
      <c r="J636" s="679"/>
      <c r="K636" s="679"/>
      <c r="L636" s="679"/>
      <c r="M636" s="679"/>
      <c r="N636" s="680"/>
      <c r="O636" s="871">
        <v>630</v>
      </c>
      <c r="P636" s="688"/>
      <c r="Q636" s="689"/>
      <c r="R636" s="888"/>
      <c r="S636" s="810"/>
      <c r="T636" s="882"/>
      <c r="AB636" s="675"/>
      <c r="AC636" s="675"/>
      <c r="AD636" s="675"/>
      <c r="AE636" s="675"/>
      <c r="AF636" s="675"/>
      <c r="AG636" s="675"/>
      <c r="AH636" s="675"/>
      <c r="AI636" s="675"/>
      <c r="AJ636" s="675"/>
      <c r="AK636" s="675"/>
      <c r="AL636" s="675"/>
      <c r="AM636" s="675"/>
      <c r="AN636" s="675"/>
      <c r="AO636" s="675"/>
      <c r="AP636" s="675"/>
      <c r="AQ636" s="675"/>
      <c r="AR636" s="675"/>
      <c r="AS636" s="675"/>
      <c r="AT636" s="675"/>
      <c r="AU636" s="675"/>
      <c r="AV636" s="675"/>
      <c r="BI636" s="661" t="s">
        <v>126</v>
      </c>
      <c r="BJ636" s="665"/>
      <c r="CU636" s="662"/>
      <c r="CW636" s="662"/>
      <c r="EV636" s="818" t="str">
        <f t="shared" si="292"/>
        <v/>
      </c>
      <c r="EW636" s="818"/>
    </row>
    <row r="637" spans="1:153" s="656" customFormat="1" ht="39">
      <c r="A637" s="654" t="str">
        <f t="shared" ca="1" si="288"/>
        <v>D.1.637</v>
      </c>
      <c r="B637" s="654" t="str">
        <f t="shared" ca="1" si="289"/>
        <v>1.637</v>
      </c>
      <c r="C637" s="654" t="str">
        <f t="shared" si="331"/>
        <v>[637]</v>
      </c>
      <c r="D637" s="654">
        <f>ROW()</f>
        <v>637</v>
      </c>
      <c r="E637" s="1125" t="str">
        <f t="shared" ref="E637:E638" si="332">CU637</f>
        <v xml:space="preserve">- ZIEL-Ansatz: Ein Gesamt-Jahresnutzungsgrad der Strom-Langzeitspeicherung von 37,7 % als Verhältnis von der rückverstromten zu der der Elektrolyse zugeführten Strommenge resultiert aus der Simulation (siehe Szenario-Dokumentation Abschnitt [WS]) mit den folgenden Parametern [638]...[643]: </v>
      </c>
      <c r="F637" s="1125"/>
      <c r="G637" s="1125"/>
      <c r="H637" s="1125"/>
      <c r="I637" s="1125"/>
      <c r="J637" s="1125"/>
      <c r="K637" s="1125"/>
      <c r="L637" s="1125"/>
      <c r="M637" s="1125"/>
      <c r="N637" s="1132"/>
      <c r="O637" s="869">
        <v>631</v>
      </c>
      <c r="P637" s="691" t="str">
        <f ca="1">HYPERLINK(EK637,EJ637)</f>
        <v/>
      </c>
      <c r="Q637" s="646" t="str">
        <f>HYPERLINK("[WS.xlsm]1.Jahresbilanz_Strom!EtaCopy","WS")</f>
        <v>WS</v>
      </c>
      <c r="R637" s="852"/>
      <c r="S637" s="784"/>
      <c r="T637" s="864"/>
      <c r="U637" s="1023" t="str">
        <f>"Ein Gesamt-Jahresnutzungsgrad der Strom-Langzeitspeicherung von "&amp;TEXT(W637,"0,0")&amp;" % als Verhältnis von der rückverstromten zu der der Elektrolyse zugeführten Strommenge resultiert aus der Simulation (siehe Szenario-Dokumentation Abschnitt ["&amp;Q637&amp;"]) mit den folgenden Parametern "&amp;C638&amp;"..."&amp;C643&amp;": "</f>
        <v xml:space="preserve">Ein Gesamt-Jahresnutzungsgrad der Strom-Langzeitspeicherung von 37,7 % als Verhältnis von der rückverstromten zu der der Elektrolyse zugeführten Strommenge resultiert aus der Simulation (siehe Szenario-Dokumentation Abschnitt [WS]) mit den folgenden Parametern [638]...[643]: </v>
      </c>
      <c r="V637" s="905" t="s">
        <v>126</v>
      </c>
      <c r="W637" s="1024">
        <f>AE637</f>
        <v>37.689265930224394</v>
      </c>
      <c r="X637" s="672"/>
      <c r="Y637" s="672" t="s">
        <v>126</v>
      </c>
      <c r="Z637" s="1025"/>
      <c r="AA637" s="905"/>
      <c r="AB637" s="801"/>
      <c r="AC637" s="1020">
        <v>44045</v>
      </c>
      <c r="AD637" s="801" t="s">
        <v>647</v>
      </c>
      <c r="AE637" s="801">
        <f>WS_!D29</f>
        <v>37.689265930224394</v>
      </c>
      <c r="AF637" s="801">
        <f>WS_!E53</f>
        <v>0</v>
      </c>
      <c r="AG637" s="801"/>
      <c r="AH637" s="801"/>
      <c r="AI637" s="801"/>
      <c r="AJ637" s="801"/>
      <c r="AK637" s="801"/>
      <c r="AL637" s="801"/>
      <c r="AM637" s="801"/>
      <c r="AN637" s="801"/>
      <c r="AO637" s="801"/>
      <c r="AP637" s="801"/>
      <c r="AQ637" s="801"/>
      <c r="AR637" s="801"/>
      <c r="AS637" s="801"/>
      <c r="AT637" s="801"/>
      <c r="AU637" s="801"/>
      <c r="AV637" s="801"/>
      <c r="BF637" s="657"/>
      <c r="BI637" s="656" t="s">
        <v>126</v>
      </c>
      <c r="BJ637" s="666"/>
      <c r="BO637" s="656" t="s">
        <v>259</v>
      </c>
      <c r="CU637" s="663" t="str">
        <f>CH$1&amp;IF(U637="",BF637,U637)</f>
        <v xml:space="preserve">- ZIEL-Ansatz: Ein Gesamt-Jahresnutzungsgrad der Strom-Langzeitspeicherung von 37,7 % als Verhältnis von der rückverstromten zu der der Elektrolyse zugeführten Strommenge resultiert aus der Simulation (siehe Szenario-Dokumentation Abschnitt [WS]) mit den folgenden Parametern [638]...[643]: </v>
      </c>
      <c r="CW637" s="663"/>
      <c r="DT637" s="671">
        <v>53</v>
      </c>
      <c r="EJ637" s="656" t="str">
        <f>IF(X637=0,"",EJ$1&amp;X637)</f>
        <v/>
      </c>
      <c r="EK637" s="656" t="str">
        <f ca="1">EK$1&amp;X637</f>
        <v>[D_Python.xlsx]9.Quellen!C</v>
      </c>
      <c r="EV637" s="819">
        <f t="shared" si="292"/>
        <v>637</v>
      </c>
      <c r="EW637" s="819"/>
    </row>
    <row r="638" spans="1:153" s="656" customFormat="1" ht="52">
      <c r="A638" s="654" t="str">
        <f t="shared" ca="1" si="288"/>
        <v>D.1.638</v>
      </c>
      <c r="B638" s="654" t="str">
        <f t="shared" ca="1" si="289"/>
        <v>1.638</v>
      </c>
      <c r="C638" s="654" t="str">
        <f t="shared" si="331"/>
        <v>[638]</v>
      </c>
      <c r="D638" s="654">
        <f>ROW()</f>
        <v>638</v>
      </c>
      <c r="E638" s="1125" t="str">
        <f t="shared" si="332"/>
        <v>Die Nennleistung der Wasser-Elektrolyse entspricht 100 % des durchschnittlichen Strom-Endverbrauchs (siehe Szenario-Dokumentation Abschnitt [WS]). An Tagen mit Erzeugungsspitzen, die über den Verbrauch plus Aufnahmefähigkeit der Elektrolyse hinausgehen, erfolgt eine entsprechende Abregelung des Wind- bzw. PV-Anlagenparks [654].</v>
      </c>
      <c r="F638" s="1125"/>
      <c r="G638" s="1125"/>
      <c r="H638" s="1125"/>
      <c r="I638" s="1125"/>
      <c r="J638" s="1125"/>
      <c r="K638" s="1125"/>
      <c r="L638" s="1125"/>
      <c r="M638" s="1125"/>
      <c r="N638" s="1132"/>
      <c r="O638" s="869">
        <v>632</v>
      </c>
      <c r="P638" s="691" t="str">
        <f t="shared" ref="P638" ca="1" si="333">HYPERLINK(EK638,EJ638)</f>
        <v/>
      </c>
      <c r="Q638" s="646" t="str">
        <f>HYPERLINK("[WS.xlsm]1.Jahresbilanz_Strom!N32","WS")</f>
        <v>WS</v>
      </c>
      <c r="R638" s="852"/>
      <c r="S638" s="784"/>
      <c r="T638" s="864"/>
      <c r="U638" s="1023" t="str">
        <f>"Die Nennleistung der Wasser-Elektrolyse entspricht "&amp;AE638&amp;" % des durchschnittlichen Strom-Endverbrauchs (siehe Szenario-Dokumentation Abschnitt ["&amp;Q638&amp;"]). An Tagen mit Erzeugungsspitzen, die über den Verbrauch plus Aufnahmefähigkeit der Elektrolyse hinausgehen, erfolgt eine entsprechende Abregelung des Wind- bzw. PV-Anlagenparks "&amp;C654&amp;"."</f>
        <v>Die Nennleistung der Wasser-Elektrolyse entspricht 100 % des durchschnittlichen Strom-Endverbrauchs (siehe Szenario-Dokumentation Abschnitt [WS]). An Tagen mit Erzeugungsspitzen, die über den Verbrauch plus Aufnahmefähigkeit der Elektrolyse hinausgehen, erfolgt eine entsprechende Abregelung des Wind- bzw. PV-Anlagenparks [654].</v>
      </c>
      <c r="V638" s="905" t="s">
        <v>126</v>
      </c>
      <c r="W638" s="1024"/>
      <c r="X638" s="672"/>
      <c r="Y638" s="672"/>
      <c r="Z638" s="1025"/>
      <c r="AA638" s="905"/>
      <c r="AB638" s="801"/>
      <c r="AC638" s="1020">
        <v>44045</v>
      </c>
      <c r="AD638" s="801" t="s">
        <v>647</v>
      </c>
      <c r="AE638" s="801">
        <f>WS_!D24</f>
        <v>100</v>
      </c>
      <c r="AF638" s="801" t="str">
        <f>WS_!E24</f>
        <v>%</v>
      </c>
      <c r="AG638" s="801"/>
      <c r="AH638" s="801"/>
      <c r="AI638" s="801"/>
      <c r="AJ638" s="801"/>
      <c r="AK638" s="801"/>
      <c r="AL638" s="801"/>
      <c r="AM638" s="801"/>
      <c r="AN638" s="801"/>
      <c r="AO638" s="801"/>
      <c r="AP638" s="801"/>
      <c r="AQ638" s="801"/>
      <c r="AR638" s="801"/>
      <c r="AS638" s="801"/>
      <c r="AT638" s="801"/>
      <c r="AU638" s="801"/>
      <c r="AV638" s="801"/>
      <c r="BF638" s="657"/>
      <c r="BI638" s="656" t="s">
        <v>126</v>
      </c>
      <c r="BJ638" s="666"/>
      <c r="BO638" s="656" t="s">
        <v>252</v>
      </c>
      <c r="CU638" s="663" t="str">
        <f>IF(U638="",BF638,U638)</f>
        <v>Die Nennleistung der Wasser-Elektrolyse entspricht 100 % des durchschnittlichen Strom-Endverbrauchs (siehe Szenario-Dokumentation Abschnitt [WS]). An Tagen mit Erzeugungsspitzen, die über den Verbrauch plus Aufnahmefähigkeit der Elektrolyse hinausgehen, erfolgt eine entsprechende Abregelung des Wind- bzw. PV-Anlagenparks [654].</v>
      </c>
      <c r="CW638" s="663"/>
      <c r="DT638" s="671"/>
      <c r="EJ638" s="656" t="str">
        <f>IF(X638=0,"",EJ$1&amp;X638)</f>
        <v/>
      </c>
      <c r="EK638" s="656" t="str">
        <f ca="1">EK$1&amp;X638</f>
        <v>[D_Python.xlsx]9.Quellen!C</v>
      </c>
      <c r="EV638" s="819">
        <f t="shared" si="292"/>
        <v>638</v>
      </c>
      <c r="EW638" s="819"/>
    </row>
    <row r="639" spans="1:153" s="656" customFormat="1" ht="39">
      <c r="A639" s="654" t="str">
        <f t="shared" ca="1" si="288"/>
        <v>D.1.639</v>
      </c>
      <c r="B639" s="654" t="str">
        <f t="shared" ca="1" si="289"/>
        <v>1.639</v>
      </c>
      <c r="C639" s="654" t="str">
        <f t="shared" ref="C639:C642" si="334">CE$1&amp;D639&amp;CF$1</f>
        <v>[639]</v>
      </c>
      <c r="D639" s="654">
        <f>ROW()</f>
        <v>639</v>
      </c>
      <c r="E639" s="1125" t="str">
        <f t="shared" ref="E639:E642" si="335">CU639</f>
        <v>Als Nutzungsgrad der Wasser-Elektrolyse wurde 65,4 % gewählt (siehe Szenario-Dokumentation Abschnitt [WS]). Aus einem breiten Spektrum von Einschätzungen wird hier ein optimistischer Wert aus der Leitstudie 2011 verwendet [593].</v>
      </c>
      <c r="F639" s="1125"/>
      <c r="G639" s="1125"/>
      <c r="H639" s="1125"/>
      <c r="I639" s="1125"/>
      <c r="J639" s="1125"/>
      <c r="K639" s="1125"/>
      <c r="L639" s="1125"/>
      <c r="M639" s="1125"/>
      <c r="N639" s="1132"/>
      <c r="O639" s="869">
        <v>633</v>
      </c>
      <c r="P639" s="691" t="str">
        <f t="shared" ref="P639:P642" ca="1" si="336">HYPERLINK(EK639,EJ639)</f>
        <v/>
      </c>
      <c r="Q639" s="646" t="str">
        <f>HYPERLINK("[WS.xlsm]1.Jahresbilanz_Strom!N33","WS")</f>
        <v>WS</v>
      </c>
      <c r="R639" s="852"/>
      <c r="S639" s="784"/>
      <c r="T639" s="864"/>
      <c r="U639" s="1023" t="str">
        <f>"Als Nutzungsgrad der Wasser-Elektrolyse wurde "&amp;AE639&amp;" % gewählt (siehe Szenario-Dokumentation Abschnitt ["&amp;Q639&amp;"]). Aus einem breiten Spektrum von Einschätzungen wird hier ein optimistischer Wert aus der Leitstudie 2011 verwendet "&amp;C593&amp;"."</f>
        <v>Als Nutzungsgrad der Wasser-Elektrolyse wurde 65,4 % gewählt (siehe Szenario-Dokumentation Abschnitt [WS]). Aus einem breiten Spektrum von Einschätzungen wird hier ein optimistischer Wert aus der Leitstudie 2011 verwendet [593].</v>
      </c>
      <c r="V639" s="905" t="s">
        <v>126</v>
      </c>
      <c r="W639" s="1024"/>
      <c r="X639" s="672"/>
      <c r="Y639" s="672"/>
      <c r="Z639" s="1025"/>
      <c r="AA639" s="905"/>
      <c r="AB639" s="801"/>
      <c r="AC639" s="1020">
        <v>44045</v>
      </c>
      <c r="AD639" s="801" t="s">
        <v>647</v>
      </c>
      <c r="AE639" s="801">
        <f>WS_!D25</f>
        <v>65.400000000000006</v>
      </c>
      <c r="AF639" s="801" t="str">
        <f>WS_!E25</f>
        <v>%</v>
      </c>
      <c r="AG639" s="801"/>
      <c r="AH639" s="801"/>
      <c r="AI639" s="801"/>
      <c r="AJ639" s="801"/>
      <c r="AK639" s="801"/>
      <c r="AL639" s="801"/>
      <c r="AM639" s="801"/>
      <c r="AN639" s="801"/>
      <c r="AO639" s="801"/>
      <c r="AP639" s="801"/>
      <c r="AQ639" s="801"/>
      <c r="AR639" s="801"/>
      <c r="AS639" s="801"/>
      <c r="AT639" s="801"/>
      <c r="AU639" s="801"/>
      <c r="AV639" s="801"/>
      <c r="BF639" s="657"/>
      <c r="BI639" s="656" t="s">
        <v>126</v>
      </c>
      <c r="BJ639" s="666"/>
      <c r="BO639" s="656" t="s">
        <v>252</v>
      </c>
      <c r="CU639" s="663" t="str">
        <f t="shared" ref="CU639:CU641" si="337">IF(U639="",BF639,U639)</f>
        <v>Als Nutzungsgrad der Wasser-Elektrolyse wurde 65,4 % gewählt (siehe Szenario-Dokumentation Abschnitt [WS]). Aus einem breiten Spektrum von Einschätzungen wird hier ein optimistischer Wert aus der Leitstudie 2011 verwendet [593].</v>
      </c>
      <c r="CW639" s="663"/>
      <c r="DT639" s="671"/>
      <c r="EJ639" s="656" t="str">
        <f t="shared" ref="EJ639:EJ641" si="338">IF(X639=0,"",EJ$1&amp;X639)</f>
        <v/>
      </c>
      <c r="EK639" s="656" t="str">
        <f t="shared" ref="EK639:EK641" ca="1" si="339">EK$1&amp;X639</f>
        <v>[D_Python.xlsx]9.Quellen!C</v>
      </c>
      <c r="EV639" s="819">
        <f t="shared" si="292"/>
        <v>639</v>
      </c>
      <c r="EW639" s="819"/>
    </row>
    <row r="640" spans="1:153" s="656" customFormat="1" ht="52">
      <c r="A640" s="654" t="str">
        <f t="shared" ca="1" si="288"/>
        <v>D.1.640</v>
      </c>
      <c r="B640" s="654" t="str">
        <f t="shared" ca="1" si="289"/>
        <v>1.640</v>
      </c>
      <c r="C640" s="654" t="str">
        <f t="shared" si="334"/>
        <v>[640]</v>
      </c>
      <c r="D640" s="654">
        <f>ROW()</f>
        <v>640</v>
      </c>
      <c r="E640" s="1139" t="str">
        <f t="shared" ca="1" si="335"/>
        <v xml:space="preserve">Als Verlust der Wasserstoffspeicher wurde in Anlehnung an [9.270] 0,01 % der aktuellen Ladung pro Tag angenommen. (Im Niedersachsen-Szenario wurde mit 0,1%/d der zehnfache Wert angenommen, siehe Szenario-Dokumentation Abschnitt [WS]. Anderen Einschätzungen lassen darauf schließen, dass die Verluste wesentlich niedrigerliegen). </v>
      </c>
      <c r="F640" s="1139"/>
      <c r="G640" s="1139"/>
      <c r="H640" s="1139"/>
      <c r="I640" s="1139"/>
      <c r="J640" s="1139"/>
      <c r="K640" s="1139"/>
      <c r="L640" s="1139"/>
      <c r="M640" s="1139"/>
      <c r="N640" s="1140"/>
      <c r="O640" s="869">
        <v>634</v>
      </c>
      <c r="P640" s="691" t="str">
        <f t="shared" ca="1" si="336"/>
        <v>9.270</v>
      </c>
      <c r="Q640" s="646" t="str">
        <f>HYPERLINK("[WS.xlsm]1.Jahresbilanz_Strom!SelbstentladungsRate","WS")</f>
        <v>WS</v>
      </c>
      <c r="R640" s="852"/>
      <c r="S640" s="784" t="s">
        <v>1052</v>
      </c>
      <c r="T640" s="884">
        <v>43187</v>
      </c>
      <c r="U640" s="1023" t="str">
        <f ca="1">"Als Verlust der Wasserstoffspeicher wurde in Anlehnung an ["&amp;P640&amp;"] "&amp;AE640&amp;" % der aktuellen Ladung pro Tag angenommen. (Im Niedersachsen-Szenario wurde mit 0,1%/d der zehnfache Wert angenommen, siehe Szenario-Dokumentation Abschnitt ["&amp;Q640&amp;"]. Anderen Einschätzungen lassen darauf schließen, dass die Verluste wesentlich niedrigerliegen). "</f>
        <v xml:space="preserve">Als Verlust der Wasserstoffspeicher wurde in Anlehnung an [9.270] 0,01 % der aktuellen Ladung pro Tag angenommen. (Im Niedersachsen-Szenario wurde mit 0,1%/d der zehnfache Wert angenommen, siehe Szenario-Dokumentation Abschnitt [WS]. Anderen Einschätzungen lassen darauf schließen, dass die Verluste wesentlich niedrigerliegen). </v>
      </c>
      <c r="V640" s="905" t="s">
        <v>126</v>
      </c>
      <c r="W640" s="1024"/>
      <c r="X640" s="672">
        <f>'9.Quellen'!C270</f>
        <v>270</v>
      </c>
      <c r="Y640" s="672"/>
      <c r="Z640" s="1025"/>
      <c r="AA640" s="905"/>
      <c r="AB640" s="801"/>
      <c r="AC640" s="1020">
        <v>44045</v>
      </c>
      <c r="AD640" s="801" t="s">
        <v>647</v>
      </c>
      <c r="AE640" s="801">
        <f>WS_!D26</f>
        <v>0.01</v>
      </c>
      <c r="AF640" s="801" t="str">
        <f>WS_!E26</f>
        <v>%/L/d</v>
      </c>
      <c r="AG640" s="801"/>
      <c r="AH640" s="801"/>
      <c r="AI640" s="801"/>
      <c r="AJ640" s="801"/>
      <c r="AK640" s="801"/>
      <c r="AL640" s="801"/>
      <c r="AM640" s="801"/>
      <c r="AN640" s="801"/>
      <c r="AO640" s="801"/>
      <c r="AP640" s="801"/>
      <c r="AQ640" s="801"/>
      <c r="AR640" s="801"/>
      <c r="AS640" s="801"/>
      <c r="AT640" s="801"/>
      <c r="AU640" s="801"/>
      <c r="AV640" s="801"/>
      <c r="BF640" s="657"/>
      <c r="BI640" s="656" t="s">
        <v>126</v>
      </c>
      <c r="BJ640" s="666"/>
      <c r="BO640" s="656" t="s">
        <v>252</v>
      </c>
      <c r="CU640" s="663" t="str">
        <f t="shared" ca="1" si="337"/>
        <v xml:space="preserve">Als Verlust der Wasserstoffspeicher wurde in Anlehnung an [9.270] 0,01 % der aktuellen Ladung pro Tag angenommen. (Im Niedersachsen-Szenario wurde mit 0,1%/d der zehnfache Wert angenommen, siehe Szenario-Dokumentation Abschnitt [WS]. Anderen Einschätzungen lassen darauf schließen, dass die Verluste wesentlich niedrigerliegen). </v>
      </c>
      <c r="CW640" s="663"/>
      <c r="DT640" s="671"/>
      <c r="EJ640" s="656" t="str">
        <f t="shared" ca="1" si="338"/>
        <v>9.270</v>
      </c>
      <c r="EK640" s="656" t="str">
        <f t="shared" ca="1" si="339"/>
        <v>[D_Python.xlsx]9.Quellen!C270</v>
      </c>
      <c r="EV640" s="819">
        <f t="shared" ca="1" si="292"/>
        <v>640</v>
      </c>
      <c r="EW640" s="819"/>
    </row>
    <row r="641" spans="1:153" s="656" customFormat="1" ht="39">
      <c r="A641" s="654" t="str">
        <f t="shared" ca="1" si="288"/>
        <v>D.1.641</v>
      </c>
      <c r="B641" s="654" t="str">
        <f t="shared" ca="1" si="289"/>
        <v>1.641</v>
      </c>
      <c r="C641" s="654" t="str">
        <f t="shared" si="334"/>
        <v>[641]</v>
      </c>
      <c r="D641" s="654">
        <f>ROW()</f>
        <v>641</v>
      </c>
      <c r="E641" s="1125" t="str">
        <f t="shared" si="335"/>
        <v>58,5% Nutzungsgrad für die Rückverstromung des Wasserstoffs in Mangelphasen resultiert aus der Annahme, dass sie jeweils zur Hälfte in Blockheizkraftwerken mit Wärmerückgewinnung und einem elektrischen Wirkungsgrad von 52% [642] erfolgt, zur anderen Hälfte in Spitzenlastkraftwerken ohne Wärmenutzung mit 65% [642].</v>
      </c>
      <c r="F641" s="1125"/>
      <c r="G641" s="1125"/>
      <c r="H641" s="1125"/>
      <c r="I641" s="1125"/>
      <c r="J641" s="1125"/>
      <c r="K641" s="1125"/>
      <c r="L641" s="1125"/>
      <c r="M641" s="1125"/>
      <c r="N641" s="1132"/>
      <c r="O641" s="869">
        <v>635</v>
      </c>
      <c r="P641" s="691" t="str">
        <f t="shared" ca="1" si="336"/>
        <v>9.164</v>
      </c>
      <c r="Q641" s="646" t="str">
        <f>HYPERLINK("[WS.xlsm]1.Jahresbilanz_Strom!EtaRückverstromung","WS")</f>
        <v>WS</v>
      </c>
      <c r="R641" s="852"/>
      <c r="S641" s="784"/>
      <c r="T641" s="864"/>
      <c r="U641" s="1023" t="str">
        <f>AE641&amp;AF641&amp;" Nutzungsgrad für die Rückverstromung des Wasserstoffs in Mangelphasen resultiert aus der Annahme, dass sie jeweils zur Hälfte in Blockheizkraftwerken mit Wärmerückgewinnung und einem elektrischen Wirkungsgrad von "&amp;AD642&amp;AE642&amp;C642&amp;" erfolgt, zur anderen Hälfte in Spitzenlastkraftwerken ohne Wärmenutzung mit "&amp;AH642&amp;AI642&amp;C642&amp;"."</f>
        <v>58,5% Nutzungsgrad für die Rückverstromung des Wasserstoffs in Mangelphasen resultiert aus der Annahme, dass sie jeweils zur Hälfte in Blockheizkraftwerken mit Wärmerückgewinnung und einem elektrischen Wirkungsgrad von 52% [642] erfolgt, zur anderen Hälfte in Spitzenlastkraftwerken ohne Wärmenutzung mit 65% [642].</v>
      </c>
      <c r="V641" s="905" t="s">
        <v>126</v>
      </c>
      <c r="W641" s="1024"/>
      <c r="X641" s="672">
        <f>'9.Quellen'!C$164</f>
        <v>164</v>
      </c>
      <c r="Y641" s="672" t="s">
        <v>741</v>
      </c>
      <c r="Z641" s="1025"/>
      <c r="AA641" s="905"/>
      <c r="AB641" s="801"/>
      <c r="AC641" s="1020">
        <v>44045</v>
      </c>
      <c r="AD641" s="801" t="s">
        <v>647</v>
      </c>
      <c r="AE641" s="801">
        <f>WS_!D27</f>
        <v>58.5</v>
      </c>
      <c r="AF641" s="801" t="str">
        <f>WS_!E27</f>
        <v>%</v>
      </c>
      <c r="AG641" s="801" t="s">
        <v>819</v>
      </c>
      <c r="AH641" s="801">
        <f>(AD642+AH642)/2</f>
        <v>58.5</v>
      </c>
      <c r="AI641" s="801"/>
      <c r="AJ641" s="801">
        <v>47.6</v>
      </c>
      <c r="AK641" s="801" t="s">
        <v>531</v>
      </c>
      <c r="AL641" s="801">
        <f>AF593</f>
        <v>1.1819999999999999</v>
      </c>
      <c r="AM641" s="801">
        <f>AJ641/AL641</f>
        <v>40.270727580372252</v>
      </c>
      <c r="AN641" s="801" t="s">
        <v>531</v>
      </c>
      <c r="AO641" s="801">
        <v>31.6</v>
      </c>
      <c r="AP641" s="801" t="s">
        <v>531</v>
      </c>
      <c r="AQ641" s="801">
        <f>AO641/AL641</f>
        <v>26.734348561759731</v>
      </c>
      <c r="AR641" s="801" t="s">
        <v>531</v>
      </c>
      <c r="AS641" s="801">
        <f>(AM641+AQ641)/2</f>
        <v>33.502538071065992</v>
      </c>
      <c r="AT641" s="801"/>
      <c r="AU641" s="801"/>
      <c r="AV641" s="801"/>
      <c r="BF641" s="657"/>
      <c r="BI641" s="656" t="s">
        <v>126</v>
      </c>
      <c r="BJ641" s="666"/>
      <c r="BO641" s="656" t="s">
        <v>252</v>
      </c>
      <c r="CU641" s="663" t="str">
        <f t="shared" si="337"/>
        <v>58,5% Nutzungsgrad für die Rückverstromung des Wasserstoffs in Mangelphasen resultiert aus der Annahme, dass sie jeweils zur Hälfte in Blockheizkraftwerken mit Wärmerückgewinnung und einem elektrischen Wirkungsgrad von 52% [642] erfolgt, zur anderen Hälfte in Spitzenlastkraftwerken ohne Wärmenutzung mit 65% [642].</v>
      </c>
      <c r="CW641" s="663"/>
      <c r="DT641" s="671"/>
      <c r="EJ641" s="656" t="str">
        <f t="shared" ca="1" si="338"/>
        <v>9.164</v>
      </c>
      <c r="EK641" s="656" t="str">
        <f t="shared" ca="1" si="339"/>
        <v>[D_Python.xlsx]9.Quellen!C164</v>
      </c>
      <c r="EV641" s="819">
        <f t="shared" si="292"/>
        <v>641</v>
      </c>
      <c r="EW641" s="819"/>
    </row>
    <row r="642" spans="1:153" s="656" customFormat="1" ht="39">
      <c r="A642" s="654" t="str">
        <f t="shared" ca="1" si="288"/>
        <v>D.1.642</v>
      </c>
      <c r="B642" s="654" t="str">
        <f t="shared" ca="1" si="289"/>
        <v>1.642</v>
      </c>
      <c r="C642" s="654" t="str">
        <f t="shared" si="334"/>
        <v>[642]</v>
      </c>
      <c r="D642" s="654">
        <f>ROW()</f>
        <v>642</v>
      </c>
      <c r="E642" s="1125" t="str">
        <f t="shared" ca="1" si="335"/>
        <v xml:space="preserve">Wasserstoff-Rückverstromungs-Wirkungsgrade gemäß Leitstudie [9.60], S. 39: 52%  elektrisch bei Blockheizkraftwerken mit 40%  nutzbarer Abwärme aus Kraft-Wärme-Kopplung als eine Variante, 65%  elektrisch bei Spitzenlastkraftwerken zur kurzfristigen Leistungsbereitstellung ohne Wärmenutzung als andere Variante. </v>
      </c>
      <c r="F642" s="1125"/>
      <c r="G642" s="1125"/>
      <c r="H642" s="1125"/>
      <c r="I642" s="1125"/>
      <c r="J642" s="1125"/>
      <c r="K642" s="1125"/>
      <c r="L642" s="1125"/>
      <c r="M642" s="1125"/>
      <c r="N642" s="1132"/>
      <c r="O642" s="869">
        <v>636</v>
      </c>
      <c r="P642" s="691" t="str">
        <f t="shared" ca="1" si="336"/>
        <v>9.60</v>
      </c>
      <c r="Q642" s="692" t="str">
        <f t="shared" ref="Q642" si="340">Y642</f>
        <v>S. 39</v>
      </c>
      <c r="R642" s="852"/>
      <c r="S642" s="784"/>
      <c r="T642" s="864"/>
      <c r="U642" s="1023" t="str">
        <f ca="1">"Wasserstoff-Rückverstromungs-Wirkungsgrade gemäß Leitstudie ["&amp;P642&amp;"], "&amp;Q642&amp;": "&amp;AD642&amp;AE642&amp;" elektrisch bei Blockheizkraftwerken mit "&amp;AF642&amp;AG642&amp;" nutzbarer Abwärme aus Kraft-Wärme-Kopplung als eine Variante, "&amp;AH642&amp;AI642&amp;" elektrisch bei Spitzenlastkraftwerken zur kurzfristigen Leistungsbereitstellung ohne Wärmenutzung als andere Variante. "</f>
        <v xml:space="preserve">Wasserstoff-Rückverstromungs-Wirkungsgrade gemäß Leitstudie [9.60], S. 39: 52%  elektrisch bei Blockheizkraftwerken mit 40%  nutzbarer Abwärme aus Kraft-Wärme-Kopplung als eine Variante, 65%  elektrisch bei Spitzenlastkraftwerken zur kurzfristigen Leistungsbereitstellung ohne Wärmenutzung als andere Variante. </v>
      </c>
      <c r="V642" s="905" t="s">
        <v>126</v>
      </c>
      <c r="W642" s="1024">
        <v>80</v>
      </c>
      <c r="X642" s="672">
        <f>'9.Quellen'!C$60</f>
        <v>60</v>
      </c>
      <c r="Y642" s="672" t="s">
        <v>669</v>
      </c>
      <c r="Z642" s="1025"/>
      <c r="AA642" s="905"/>
      <c r="AB642" s="801"/>
      <c r="AC642" s="801"/>
      <c r="AD642" s="801">
        <v>52</v>
      </c>
      <c r="AE642" s="801" t="s">
        <v>835</v>
      </c>
      <c r="AF642" s="801">
        <v>40</v>
      </c>
      <c r="AG642" s="801" t="s">
        <v>835</v>
      </c>
      <c r="AH642" s="801">
        <v>65</v>
      </c>
      <c r="AI642" s="801" t="s">
        <v>835</v>
      </c>
      <c r="AJ642" s="801"/>
      <c r="AK642" s="801"/>
      <c r="AL642" s="801"/>
      <c r="AM642" s="801"/>
      <c r="AN642" s="801"/>
      <c r="AO642" s="801"/>
      <c r="AP642" s="801"/>
      <c r="AQ642" s="801"/>
      <c r="AR642" s="801"/>
      <c r="AS642" s="801"/>
      <c r="AT642" s="801"/>
      <c r="AU642" s="801"/>
      <c r="AV642" s="801"/>
      <c r="BF642" s="657"/>
      <c r="BI642" s="656" t="s">
        <v>126</v>
      </c>
      <c r="BJ642" s="666"/>
      <c r="BO642" s="656" t="s">
        <v>252</v>
      </c>
      <c r="CU642" s="663" t="str">
        <f ca="1">IF(U642="",BF642,U642)</f>
        <v xml:space="preserve">Wasserstoff-Rückverstromungs-Wirkungsgrade gemäß Leitstudie [9.60], S. 39: 52%  elektrisch bei Blockheizkraftwerken mit 40%  nutzbarer Abwärme aus Kraft-Wärme-Kopplung als eine Variante, 65%  elektrisch bei Spitzenlastkraftwerken zur kurzfristigen Leistungsbereitstellung ohne Wärmenutzung als andere Variante. </v>
      </c>
      <c r="CW642" s="663"/>
      <c r="DT642" s="671"/>
      <c r="EJ642" s="656" t="str">
        <f ca="1">IF(X642=0,"",EJ$1&amp;X642)</f>
        <v>9.60</v>
      </c>
      <c r="EK642" s="656" t="str">
        <f ca="1">EK$1&amp;X642</f>
        <v>[D_Python.xlsx]9.Quellen!C60</v>
      </c>
      <c r="EV642" s="819">
        <f t="shared" ca="1" si="292"/>
        <v>642</v>
      </c>
      <c r="EW642" s="819"/>
    </row>
    <row r="643" spans="1:153" s="661" customFormat="1" ht="4">
      <c r="A643" s="677" t="str">
        <f t="shared" ca="1" si="288"/>
        <v>D.1.643</v>
      </c>
      <c r="B643" s="677" t="str">
        <f t="shared" ca="1" si="289"/>
        <v>1.643</v>
      </c>
      <c r="C643" s="677" t="str">
        <f t="shared" si="331"/>
        <v>[643]</v>
      </c>
      <c r="D643" s="677">
        <f>ROW()</f>
        <v>643</v>
      </c>
      <c r="E643" s="685"/>
      <c r="F643" s="685"/>
      <c r="G643" s="685"/>
      <c r="H643" s="685"/>
      <c r="I643" s="686"/>
      <c r="J643" s="686"/>
      <c r="K643" s="686"/>
      <c r="L643" s="686"/>
      <c r="M643" s="686"/>
      <c r="N643" s="685"/>
      <c r="O643" s="871">
        <v>637</v>
      </c>
      <c r="P643" s="693"/>
      <c r="Q643" s="694"/>
      <c r="R643" s="888"/>
      <c r="S643" s="802"/>
      <c r="T643" s="882"/>
      <c r="AB643" s="675"/>
      <c r="AC643" s="675"/>
      <c r="AD643" s="675"/>
      <c r="AE643" s="675"/>
      <c r="AF643" s="675"/>
      <c r="AG643" s="675"/>
      <c r="AH643" s="675"/>
      <c r="AI643" s="675"/>
      <c r="AJ643" s="675"/>
      <c r="AK643" s="675"/>
      <c r="AL643" s="675"/>
      <c r="AM643" s="675"/>
      <c r="AN643" s="675"/>
      <c r="AO643" s="675"/>
      <c r="AP643" s="675"/>
      <c r="AQ643" s="675"/>
      <c r="AR643" s="675"/>
      <c r="AS643" s="675"/>
      <c r="AT643" s="675"/>
      <c r="AU643" s="675"/>
      <c r="AV643" s="675"/>
      <c r="AZ643" s="669"/>
      <c r="BB643" s="669"/>
      <c r="BI643" s="661" t="s">
        <v>126</v>
      </c>
      <c r="BJ643" s="665"/>
      <c r="CU643" s="662"/>
      <c r="CW643" s="662"/>
      <c r="EV643" s="818" t="str">
        <f t="shared" si="292"/>
        <v/>
      </c>
      <c r="EW643" s="818"/>
    </row>
    <row r="644" spans="1:153" s="658" customFormat="1" ht="13.5" customHeight="1">
      <c r="A644" s="654" t="str">
        <f t="shared" ca="1" si="288"/>
        <v>D.1.644</v>
      </c>
      <c r="B644" s="654" t="str">
        <f t="shared" ca="1" si="289"/>
        <v>1.644</v>
      </c>
      <c r="C644" s="654" t="str">
        <f t="shared" si="331"/>
        <v>[644]</v>
      </c>
      <c r="D644" s="654">
        <f>ROW()</f>
        <v>644</v>
      </c>
      <c r="E644" s="1129" t="str">
        <f>BP644</f>
        <v>Stromspeicher. Abwärme KWK - Nutzanteil eff.</v>
      </c>
      <c r="F644" s="1129"/>
      <c r="G644" s="1129"/>
      <c r="H644" s="1129"/>
      <c r="I644" s="1129"/>
      <c r="J644" s="559" t="s">
        <v>38</v>
      </c>
      <c r="K644" s="557">
        <f ca="1">INDIRECT($W$1&amp;U644)</f>
        <v>0</v>
      </c>
      <c r="L644" s="485" t="str">
        <f ca="1">HYPERLINK($CK$1&amp;U644,$CE$1&amp;U644&amp;$CF$1)</f>
        <v>[645]</v>
      </c>
      <c r="M644" s="558">
        <f ca="1">INDIRECT($W$1&amp;W644)</f>
        <v>12.7</v>
      </c>
      <c r="N644" s="681" t="str">
        <f ca="1">HYPERLINK($CK$1&amp;W644,$CE$1&amp;W644&amp;$CF$1)</f>
        <v>[647]</v>
      </c>
      <c r="O644" s="869">
        <v>638</v>
      </c>
      <c r="P644" s="690"/>
      <c r="Q644" s="695"/>
      <c r="R644" s="852"/>
      <c r="S644" s="784"/>
      <c r="T644" s="864"/>
      <c r="U644" s="672">
        <f>D645</f>
        <v>645</v>
      </c>
      <c r="V644" s="905" t="s">
        <v>126</v>
      </c>
      <c r="W644" s="672">
        <f>D647</f>
        <v>647</v>
      </c>
      <c r="AB644" s="801"/>
      <c r="AC644" s="801"/>
      <c r="AD644" s="674"/>
      <c r="AE644" s="674"/>
      <c r="AF644" s="674"/>
      <c r="AG644" s="674"/>
      <c r="AH644" s="674"/>
      <c r="AI644" s="674"/>
      <c r="AJ644" s="674"/>
      <c r="AK644" s="674"/>
      <c r="AL644" s="674"/>
      <c r="AM644" s="674"/>
      <c r="AN644" s="674"/>
      <c r="AO644" s="674"/>
      <c r="AP644" s="674"/>
      <c r="AQ644" s="674"/>
      <c r="AR644" s="674"/>
      <c r="AS644" s="674"/>
      <c r="AT644" s="674"/>
      <c r="AU644" s="674"/>
      <c r="AV644" s="674"/>
      <c r="AX644" s="658" t="s">
        <v>244</v>
      </c>
      <c r="AY644" s="668">
        <f ca="1">DA644</f>
        <v>2.3178959999999997</v>
      </c>
      <c r="AZ644" s="670" t="str">
        <f ca="1">HYPERLINK(DN644,DC644)</f>
        <v xml:space="preserve"> 414</v>
      </c>
      <c r="BA644" s="668">
        <f ca="1">DB644</f>
        <v>2.7042119999999996</v>
      </c>
      <c r="BB644" s="670" t="str">
        <f ca="1">HYPERLINK(DO644,DD644)</f>
        <v xml:space="preserve"> 415</v>
      </c>
      <c r="BC644" s="658" t="str">
        <f ca="1">CY644&amp;" | "&amp;CZ644</f>
        <v>Wärme | 2.2.2 Energieertrag Abwärme aus Verstromung von Tiefen-Geothermie</v>
      </c>
      <c r="BI644" s="658" t="s">
        <v>126</v>
      </c>
      <c r="BJ644" s="667" t="str">
        <f>E644</f>
        <v>Stromspeicher. Abwärme KWK - Nutzanteil eff.</v>
      </c>
      <c r="BK644" s="664">
        <f ca="1">K644</f>
        <v>0</v>
      </c>
      <c r="BL644" s="664">
        <f ca="1">M644</f>
        <v>12.7</v>
      </c>
      <c r="BM644" s="656">
        <f>D644</f>
        <v>644</v>
      </c>
      <c r="BO644" s="658" t="s">
        <v>251</v>
      </c>
      <c r="BP644" s="676" t="s">
        <v>653</v>
      </c>
      <c r="CU644" s="659"/>
      <c r="CW644" s="671">
        <v>107</v>
      </c>
      <c r="CY644" s="656" t="str">
        <f t="shared" ref="CY644:DO644" ca="1" si="341">INDIRECT($CX$1&amp;CY$1&amp;$CW644)</f>
        <v>Wärme</v>
      </c>
      <c r="CZ644" s="656" t="str">
        <f t="shared" ca="1" si="341"/>
        <v>2.2.2 Energieertrag Abwärme aus Verstromung von Tiefen-Geothermie</v>
      </c>
      <c r="DA644" s="656">
        <f t="shared" ca="1" si="341"/>
        <v>2.3178959999999997</v>
      </c>
      <c r="DB644" s="656">
        <f t="shared" ca="1" si="341"/>
        <v>2.7042119999999996</v>
      </c>
      <c r="DC644" s="656" t="str">
        <f t="shared" ca="1" si="341"/>
        <v xml:space="preserve"> 414</v>
      </c>
      <c r="DD644" s="656" t="str">
        <f t="shared" ca="1" si="341"/>
        <v xml:space="preserve"> 415</v>
      </c>
      <c r="DE644" s="656" t="str">
        <f t="shared" ca="1" si="341"/>
        <v>UG99</v>
      </c>
      <c r="DF644" s="656" t="str">
        <f t="shared" ca="1" si="341"/>
        <v>UG99</v>
      </c>
      <c r="DG644" s="656" t="str">
        <f t="shared" ca="1" si="341"/>
        <v>UG</v>
      </c>
      <c r="DH644" s="656" t="str">
        <f t="shared" ca="1" si="341"/>
        <v>99</v>
      </c>
      <c r="DI644" s="656" t="str">
        <f t="shared" ca="1" si="341"/>
        <v>[UG.xls]TEXT!Z99S5</v>
      </c>
      <c r="DJ644" s="656" t="str">
        <f t="shared" ca="1" si="341"/>
        <v>UG</v>
      </c>
      <c r="DK644" s="656" t="str">
        <f t="shared" ca="1" si="341"/>
        <v>99</v>
      </c>
      <c r="DL644" s="656" t="str">
        <f t="shared" ca="1" si="341"/>
        <v>[UG.xls]TEXT!Z99S5</v>
      </c>
      <c r="DM644" s="656">
        <f t="shared" ca="1" si="341"/>
        <v>107</v>
      </c>
      <c r="DN644" s="656" t="str">
        <f t="shared" ca="1" si="341"/>
        <v>[Region.xls]PARAMETER!Z414S6</v>
      </c>
      <c r="DO644" s="656" t="str">
        <f t="shared" ca="1" si="341"/>
        <v>[Region.xls]PARAMETER!Z415S6</v>
      </c>
      <c r="DP644" s="656"/>
      <c r="DS644" s="656"/>
      <c r="DV644" s="656"/>
      <c r="DW644" s="656"/>
      <c r="DX644" s="656"/>
      <c r="DY644" s="656"/>
      <c r="DZ644" s="656"/>
      <c r="EA644" s="656"/>
      <c r="EB644" s="656"/>
      <c r="EC644" s="656"/>
      <c r="ED644" s="656"/>
      <c r="EE644" s="656"/>
      <c r="EF644" s="656"/>
      <c r="EG644" s="656"/>
      <c r="EH644" s="656"/>
      <c r="EI644" s="656"/>
      <c r="EJ644" s="656"/>
      <c r="EK644" s="656"/>
      <c r="EV644" s="819">
        <f t="shared" si="292"/>
        <v>644</v>
      </c>
      <c r="EW644" s="819"/>
    </row>
    <row r="645" spans="1:153" s="656" customFormat="1" ht="15" customHeight="1">
      <c r="A645" s="654" t="str">
        <f t="shared" ca="1" si="288"/>
        <v>D.1.645</v>
      </c>
      <c r="B645" s="654" t="str">
        <f t="shared" ca="1" si="289"/>
        <v>1.645</v>
      </c>
      <c r="C645" s="654" t="str">
        <f t="shared" si="331"/>
        <v>[645]</v>
      </c>
      <c r="D645" s="654">
        <f>ROW()</f>
        <v>645</v>
      </c>
      <c r="E645" s="1130" t="str">
        <f>CU645</f>
        <v>- STATUS-Ansatz: Lanzeitstromspeicherung bislang noch nicht relevant [630].</v>
      </c>
      <c r="F645" s="1130"/>
      <c r="G645" s="1130"/>
      <c r="H645" s="1130"/>
      <c r="I645" s="1130"/>
      <c r="J645" s="1130"/>
      <c r="K645" s="1130"/>
      <c r="L645" s="1130"/>
      <c r="M645" s="1130"/>
      <c r="N645" s="1131"/>
      <c r="O645" s="869">
        <v>639</v>
      </c>
      <c r="P645" s="691" t="str">
        <f ca="1">HYPERLINK(EK645,EJ645)</f>
        <v/>
      </c>
      <c r="Q645" s="692" t="str">
        <f>Y645</f>
        <v xml:space="preserve"> </v>
      </c>
      <c r="R645" s="852"/>
      <c r="S645" s="784"/>
      <c r="T645" s="864"/>
      <c r="U645" s="1023" t="str">
        <f>"Lanzeitstromspeicherung bislang noch nicht relevant "&amp;C$630&amp;"."</f>
        <v>Lanzeitstromspeicherung bislang noch nicht relevant [630].</v>
      </c>
      <c r="V645" s="905" t="s">
        <v>126</v>
      </c>
      <c r="W645" s="1024">
        <v>0</v>
      </c>
      <c r="X645" s="672"/>
      <c r="Y645" s="672" t="s">
        <v>126</v>
      </c>
      <c r="Z645" s="1025"/>
      <c r="AA645" s="658"/>
      <c r="AB645" s="801"/>
      <c r="AC645" s="801"/>
      <c r="AD645" s="801"/>
      <c r="AE645" s="801"/>
      <c r="AF645" s="801"/>
      <c r="AG645" s="801"/>
      <c r="AH645" s="801"/>
      <c r="AI645" s="801"/>
      <c r="AJ645" s="801"/>
      <c r="AK645" s="801"/>
      <c r="AL645" s="801"/>
      <c r="AM645" s="801"/>
      <c r="AN645" s="801"/>
      <c r="AO645" s="801"/>
      <c r="AP645" s="801"/>
      <c r="AQ645" s="801"/>
      <c r="AR645" s="801"/>
      <c r="AS645" s="801"/>
      <c r="AT645" s="801"/>
      <c r="AU645" s="801"/>
      <c r="AV645" s="801"/>
      <c r="BF645" s="657"/>
      <c r="BI645" s="656" t="s">
        <v>126</v>
      </c>
      <c r="BJ645" s="666"/>
      <c r="BO645" s="656" t="s">
        <v>259</v>
      </c>
      <c r="CU645" s="663" t="str">
        <f>CG$1&amp;IF(U645="",BF645,U645)</f>
        <v>- STATUS-Ansatz: Lanzeitstromspeicherung bislang noch nicht relevant [630].</v>
      </c>
      <c r="CW645" s="663"/>
      <c r="DT645" s="671">
        <f>I_Basisdaten!A297</f>
        <v>0</v>
      </c>
      <c r="EJ645" s="656" t="str">
        <f>IF(X645=0,"",EJ$1&amp;X645)</f>
        <v/>
      </c>
      <c r="EK645" s="656" t="str">
        <f ca="1">EK$1&amp;X645</f>
        <v>[D_Python.xlsx]9.Quellen!C</v>
      </c>
      <c r="EV645" s="819">
        <f t="shared" si="292"/>
        <v>645</v>
      </c>
      <c r="EW645" s="819"/>
    </row>
    <row r="646" spans="1:153" s="661" customFormat="1" ht="4">
      <c r="A646" s="677" t="str">
        <f t="shared" ca="1" si="288"/>
        <v>D.1.646</v>
      </c>
      <c r="B646" s="677" t="str">
        <f t="shared" ca="1" si="289"/>
        <v>1.646</v>
      </c>
      <c r="C646" s="677" t="str">
        <f t="shared" si="331"/>
        <v>[646]</v>
      </c>
      <c r="D646" s="677">
        <f>ROW()</f>
        <v>646</v>
      </c>
      <c r="E646" s="680"/>
      <c r="F646" s="680"/>
      <c r="G646" s="680"/>
      <c r="H646" s="680"/>
      <c r="I646" s="679"/>
      <c r="J646" s="679"/>
      <c r="K646" s="679"/>
      <c r="L646" s="679"/>
      <c r="M646" s="679"/>
      <c r="N646" s="680"/>
      <c r="O646" s="871">
        <v>640</v>
      </c>
      <c r="P646" s="688"/>
      <c r="Q646" s="689"/>
      <c r="R646" s="888"/>
      <c r="S646" s="810"/>
      <c r="T646" s="882"/>
      <c r="AB646" s="675"/>
      <c r="AC646" s="675"/>
      <c r="AD646" s="675"/>
      <c r="AE646" s="675"/>
      <c r="AF646" s="675"/>
      <c r="AG646" s="675"/>
      <c r="AH646" s="675"/>
      <c r="AI646" s="675"/>
      <c r="AJ646" s="675"/>
      <c r="AK646" s="675"/>
      <c r="AL646" s="675"/>
      <c r="AM646" s="675"/>
      <c r="AN646" s="675"/>
      <c r="AO646" s="675"/>
      <c r="AP646" s="675"/>
      <c r="AQ646" s="675"/>
      <c r="AR646" s="675"/>
      <c r="AS646" s="675"/>
      <c r="AT646" s="675"/>
      <c r="AU646" s="675"/>
      <c r="AV646" s="675"/>
      <c r="BI646" s="661" t="s">
        <v>126</v>
      </c>
      <c r="BJ646" s="665"/>
      <c r="CU646" s="662"/>
      <c r="CW646" s="662"/>
      <c r="EV646" s="818" t="str">
        <f t="shared" si="292"/>
        <v/>
      </c>
      <c r="EW646" s="818"/>
    </row>
    <row r="647" spans="1:153" s="656" customFormat="1" ht="65">
      <c r="A647" s="654" t="str">
        <f t="shared" ca="1" si="288"/>
        <v>D.1.647</v>
      </c>
      <c r="B647" s="654" t="str">
        <f t="shared" ca="1" si="289"/>
        <v>1.647</v>
      </c>
      <c r="C647" s="654" t="str">
        <f t="shared" si="331"/>
        <v>[647]</v>
      </c>
      <c r="D647" s="654">
        <f>ROW()</f>
        <v>647</v>
      </c>
      <c r="E647" s="1125" t="str">
        <f t="shared" ref="E647" si="342">CU647</f>
        <v>- ZIEL-Ansatz: 12,7%  tatsächlich genutzte Abwärme aus der Rückverstromung von Wasserstoff bezogen auf den aufgenommenen Elektrolysestrom [632] resultieren aus der Annahme, dass die Hälfte der Rückverstromung in Blockheizkraftwerken (Kraft-Wärme-Kopplung) erfolgt [641] und das gesamte Abwärmepotenzial (BHKW-Wirkungsgrad thermisch 40% [642]) zeitlich und örtlich vollständig (effektiv) als Gebäudewärme verwertet werden kann.</v>
      </c>
      <c r="F647" s="1125"/>
      <c r="G647" s="1125"/>
      <c r="H647" s="1125"/>
      <c r="I647" s="1125"/>
      <c r="J647" s="1125"/>
      <c r="K647" s="1125"/>
      <c r="L647" s="1125"/>
      <c r="M647" s="1125"/>
      <c r="N647" s="1132"/>
      <c r="O647" s="869">
        <v>641</v>
      </c>
      <c r="P647" s="691" t="str">
        <f ca="1">HYPERLINK(EK647,EJ647)</f>
        <v/>
      </c>
      <c r="Q647" s="692" t="str">
        <f>Y647</f>
        <v xml:space="preserve"> </v>
      </c>
      <c r="R647" s="852"/>
      <c r="S647" s="784"/>
      <c r="T647" s="864"/>
      <c r="U647" s="1023" t="str">
        <f>AL647&amp;AM647&amp;" tatsächlich genutzte Abwärme aus der Rückverstromung von Wasserstoff bezogen auf den aufgenommenen Elektrolysestrom "&amp;C632&amp;" resultieren aus der Annahme, dass die Hälfte der Rückverstromung in Blockheizkraftwerken (Kraft-Wärme-Kopplung) erfolgt "&amp;C641&amp;" und das gesamte Abwärmepotenzial (BHKW-Wirkungsgrad thermisch "&amp;AF647&amp;AG647&amp;C642&amp;") zeitlich und örtlich vollständig (effektiv) als Gebäudewärme verwertet werden kann."</f>
        <v>12,7%  tatsächlich genutzte Abwärme aus der Rückverstromung von Wasserstoff bezogen auf den aufgenommenen Elektrolysestrom [632] resultieren aus der Annahme, dass die Hälfte der Rückverstromung in Blockheizkraftwerken (Kraft-Wärme-Kopplung) erfolgt [641] und das gesamte Abwärmepotenzial (BHKW-Wirkungsgrad thermisch 40% [642]) zeitlich und örtlich vollständig (effektiv) als Gebäudewärme verwertet werden kann.</v>
      </c>
      <c r="V647" s="905" t="s">
        <v>126</v>
      </c>
      <c r="W647" s="1024">
        <f>AL647</f>
        <v>12.7</v>
      </c>
      <c r="X647" s="672"/>
      <c r="Y647" s="672" t="s">
        <v>126</v>
      </c>
      <c r="Z647" s="1025"/>
      <c r="AA647" s="905"/>
      <c r="AB647" s="801"/>
      <c r="AC647" s="801"/>
      <c r="AD647" s="801">
        <f>AD642</f>
        <v>52</v>
      </c>
      <c r="AE647" s="801" t="str">
        <f t="shared" ref="AE647:AG647" si="343">AE642</f>
        <v xml:space="preserve">% </v>
      </c>
      <c r="AF647" s="801">
        <f t="shared" si="343"/>
        <v>40</v>
      </c>
      <c r="AG647" s="801" t="str">
        <f t="shared" si="343"/>
        <v xml:space="preserve">% </v>
      </c>
      <c r="AH647" s="801">
        <v>33</v>
      </c>
      <c r="AI647" s="801" t="s">
        <v>835</v>
      </c>
      <c r="AJ647" s="801">
        <f>AF647*AH647/AD647</f>
        <v>25.384615384615383</v>
      </c>
      <c r="AK647" s="801" t="s">
        <v>835</v>
      </c>
      <c r="AL647" s="801">
        <f>ROUND(0.5*AJ647,1)</f>
        <v>12.7</v>
      </c>
      <c r="AM647" s="801" t="s">
        <v>835</v>
      </c>
      <c r="AN647" s="801"/>
      <c r="AO647" s="801"/>
      <c r="AP647" s="801"/>
      <c r="AQ647" s="801"/>
      <c r="AR647" s="801"/>
      <c r="AS647" s="801"/>
      <c r="AT647" s="801"/>
      <c r="AU647" s="801"/>
      <c r="AV647" s="801"/>
      <c r="BF647" s="657"/>
      <c r="BI647" s="656" t="s">
        <v>126</v>
      </c>
      <c r="BJ647" s="666"/>
      <c r="BO647" s="656" t="s">
        <v>259</v>
      </c>
      <c r="CU647" s="663" t="str">
        <f>CH$1&amp;IF(U647="",BF647,U647)</f>
        <v>- ZIEL-Ansatz: 12,7%  tatsächlich genutzte Abwärme aus der Rückverstromung von Wasserstoff bezogen auf den aufgenommenen Elektrolysestrom [632] resultieren aus der Annahme, dass die Hälfte der Rückverstromung in Blockheizkraftwerken (Kraft-Wärme-Kopplung) erfolgt [641] und das gesamte Abwärmepotenzial (BHKW-Wirkungsgrad thermisch 40% [642]) zeitlich und örtlich vollständig (effektiv) als Gebäudewärme verwertet werden kann.</v>
      </c>
      <c r="CW647" s="663"/>
      <c r="DT647" s="671">
        <v>53</v>
      </c>
      <c r="EJ647" s="656" t="str">
        <f>IF(X647=0,"",EJ$1&amp;X647)</f>
        <v/>
      </c>
      <c r="EK647" s="656" t="str">
        <f ca="1">EK$1&amp;X647</f>
        <v>[D_Python.xlsx]9.Quellen!C</v>
      </c>
      <c r="EV647" s="819">
        <f t="shared" si="292"/>
        <v>647</v>
      </c>
      <c r="EW647" s="819"/>
    </row>
    <row r="648" spans="1:153" s="661" customFormat="1" ht="4">
      <c r="A648" s="677" t="str">
        <f t="shared" ca="1" si="288"/>
        <v>D.1.648</v>
      </c>
      <c r="B648" s="677" t="str">
        <f t="shared" ca="1" si="289"/>
        <v>1.648</v>
      </c>
      <c r="C648" s="677" t="str">
        <f t="shared" si="331"/>
        <v>[648]</v>
      </c>
      <c r="D648" s="677">
        <f>ROW()</f>
        <v>648</v>
      </c>
      <c r="E648" s="685"/>
      <c r="F648" s="685"/>
      <c r="G648" s="685"/>
      <c r="H648" s="685"/>
      <c r="I648" s="686"/>
      <c r="J648" s="686"/>
      <c r="K648" s="686"/>
      <c r="L648" s="686"/>
      <c r="M648" s="686"/>
      <c r="N648" s="685"/>
      <c r="O648" s="871">
        <v>642</v>
      </c>
      <c r="P648" s="693"/>
      <c r="Q648" s="694"/>
      <c r="R648" s="888"/>
      <c r="S648" s="802"/>
      <c r="T648" s="882"/>
      <c r="AB648" s="675"/>
      <c r="AC648" s="675"/>
      <c r="AD648" s="675"/>
      <c r="AE648" s="675"/>
      <c r="AF648" s="675"/>
      <c r="AG648" s="675"/>
      <c r="AH648" s="675"/>
      <c r="AI648" s="675"/>
      <c r="AJ648" s="675"/>
      <c r="AK648" s="675"/>
      <c r="AL648" s="675"/>
      <c r="AM648" s="675"/>
      <c r="AN648" s="675"/>
      <c r="AO648" s="675"/>
      <c r="AP648" s="675"/>
      <c r="AQ648" s="675"/>
      <c r="AR648" s="675"/>
      <c r="AS648" s="675"/>
      <c r="AT648" s="675"/>
      <c r="AU648" s="675"/>
      <c r="AV648" s="675"/>
      <c r="AZ648" s="669"/>
      <c r="BB648" s="669"/>
      <c r="BI648" s="661" t="s">
        <v>126</v>
      </c>
      <c r="BJ648" s="665"/>
      <c r="CU648" s="662"/>
      <c r="CW648" s="662"/>
      <c r="EV648" s="818" t="str">
        <f t="shared" si="292"/>
        <v/>
      </c>
      <c r="EW648" s="818"/>
    </row>
    <row r="649" spans="1:153" s="658" customFormat="1" ht="13.5" customHeight="1">
      <c r="A649" s="654" t="str">
        <f t="shared" ca="1" si="288"/>
        <v>D.1.649</v>
      </c>
      <c r="B649" s="654" t="str">
        <f t="shared" ca="1" si="289"/>
        <v>1.649</v>
      </c>
      <c r="C649" s="654" t="str">
        <f t="shared" si="331"/>
        <v>[649]</v>
      </c>
      <c r="D649" s="654">
        <f>ROW()</f>
        <v>649</v>
      </c>
      <c r="E649" s="1129" t="str">
        <f>BP649</f>
        <v>Stromspeicherung - Gasspeicherkapazität min.</v>
      </c>
      <c r="F649" s="1129"/>
      <c r="G649" s="1129"/>
      <c r="H649" s="1129"/>
      <c r="I649" s="1129"/>
      <c r="J649" s="559" t="s">
        <v>654</v>
      </c>
      <c r="K649" s="684">
        <f ca="1">INDIRECT($W$1&amp;U649)</f>
        <v>0</v>
      </c>
      <c r="L649" s="485" t="str">
        <f ca="1">HYPERLINK($CK$1&amp;U649,$CE$1&amp;U649&amp;$CF$1)</f>
        <v>[650]</v>
      </c>
      <c r="M649" s="547">
        <f ca="1">INDIRECT($W$1&amp;W649)</f>
        <v>140225</v>
      </c>
      <c r="N649" s="681" t="str">
        <f ca="1">HYPERLINK($CK$1&amp;W649,$CE$1&amp;W649&amp;$CF$1)</f>
        <v>[652]</v>
      </c>
      <c r="O649" s="869">
        <v>643</v>
      </c>
      <c r="P649" s="690"/>
      <c r="Q649" s="695"/>
      <c r="R649" s="852"/>
      <c r="S649" s="784"/>
      <c r="T649" s="864"/>
      <c r="U649" s="672">
        <f>D650</f>
        <v>650</v>
      </c>
      <c r="V649" s="905" t="s">
        <v>126</v>
      </c>
      <c r="W649" s="672">
        <f>D652</f>
        <v>652</v>
      </c>
      <c r="AB649" s="801"/>
      <c r="AC649" s="801"/>
      <c r="AD649" s="674"/>
      <c r="AE649" s="674"/>
      <c r="AF649" s="674"/>
      <c r="AG649" s="674"/>
      <c r="AH649" s="674"/>
      <c r="AI649" s="674"/>
      <c r="AJ649" s="674"/>
      <c r="AK649" s="674"/>
      <c r="AL649" s="674"/>
      <c r="AM649" s="674"/>
      <c r="AN649" s="674"/>
      <c r="AO649" s="674"/>
      <c r="AP649" s="674"/>
      <c r="AQ649" s="674"/>
      <c r="AR649" s="674"/>
      <c r="AS649" s="674"/>
      <c r="AT649" s="674"/>
      <c r="AU649" s="674"/>
      <c r="AV649" s="674"/>
      <c r="AX649" s="658" t="s">
        <v>244</v>
      </c>
      <c r="AY649" s="668">
        <f ca="1">DA649</f>
        <v>2.3178959999999997</v>
      </c>
      <c r="AZ649" s="670" t="str">
        <f ca="1">HYPERLINK(DN649,DC649)</f>
        <v xml:space="preserve"> 414</v>
      </c>
      <c r="BA649" s="668">
        <f ca="1">DB649</f>
        <v>2.7042119999999996</v>
      </c>
      <c r="BB649" s="670" t="str">
        <f ca="1">HYPERLINK(DO649,DD649)</f>
        <v xml:space="preserve"> 415</v>
      </c>
      <c r="BC649" s="658" t="str">
        <f ca="1">CY649&amp;" | "&amp;CZ649</f>
        <v>Wärme | 2.2.2 Energieertrag Abwärme aus Verstromung von Tiefen-Geothermie</v>
      </c>
      <c r="BI649" s="658" t="s">
        <v>126</v>
      </c>
      <c r="BJ649" s="667" t="str">
        <f>E649</f>
        <v>Stromspeicherung - Gasspeicherkapazität min.</v>
      </c>
      <c r="BK649" s="664">
        <f ca="1">K649</f>
        <v>0</v>
      </c>
      <c r="BL649" s="664">
        <f ca="1">M649</f>
        <v>140225</v>
      </c>
      <c r="BM649" s="656">
        <f>D649</f>
        <v>649</v>
      </c>
      <c r="BO649" s="658" t="s">
        <v>251</v>
      </c>
      <c r="BP649" s="676" t="s">
        <v>652</v>
      </c>
      <c r="CU649" s="659"/>
      <c r="CW649" s="671">
        <v>107</v>
      </c>
      <c r="CY649" s="656" t="str">
        <f t="shared" ref="CY649:DO649" ca="1" si="344">INDIRECT($CX$1&amp;CY$1&amp;$CW649)</f>
        <v>Wärme</v>
      </c>
      <c r="CZ649" s="656" t="str">
        <f t="shared" ca="1" si="344"/>
        <v>2.2.2 Energieertrag Abwärme aus Verstromung von Tiefen-Geothermie</v>
      </c>
      <c r="DA649" s="656">
        <f t="shared" ca="1" si="344"/>
        <v>2.3178959999999997</v>
      </c>
      <c r="DB649" s="656">
        <f t="shared" ca="1" si="344"/>
        <v>2.7042119999999996</v>
      </c>
      <c r="DC649" s="656" t="str">
        <f t="shared" ca="1" si="344"/>
        <v xml:space="preserve"> 414</v>
      </c>
      <c r="DD649" s="656" t="str">
        <f t="shared" ca="1" si="344"/>
        <v xml:space="preserve"> 415</v>
      </c>
      <c r="DE649" s="656" t="str">
        <f t="shared" ca="1" si="344"/>
        <v>UG99</v>
      </c>
      <c r="DF649" s="656" t="str">
        <f t="shared" ca="1" si="344"/>
        <v>UG99</v>
      </c>
      <c r="DG649" s="656" t="str">
        <f t="shared" ca="1" si="344"/>
        <v>UG</v>
      </c>
      <c r="DH649" s="656" t="str">
        <f t="shared" ca="1" si="344"/>
        <v>99</v>
      </c>
      <c r="DI649" s="656" t="str">
        <f t="shared" ca="1" si="344"/>
        <v>[UG.xls]TEXT!Z99S5</v>
      </c>
      <c r="DJ649" s="656" t="str">
        <f t="shared" ca="1" si="344"/>
        <v>UG</v>
      </c>
      <c r="DK649" s="656" t="str">
        <f t="shared" ca="1" si="344"/>
        <v>99</v>
      </c>
      <c r="DL649" s="656" t="str">
        <f t="shared" ca="1" si="344"/>
        <v>[UG.xls]TEXT!Z99S5</v>
      </c>
      <c r="DM649" s="656">
        <f t="shared" ca="1" si="344"/>
        <v>107</v>
      </c>
      <c r="DN649" s="656" t="str">
        <f t="shared" ca="1" si="344"/>
        <v>[Region.xls]PARAMETER!Z414S6</v>
      </c>
      <c r="DO649" s="656" t="str">
        <f t="shared" ca="1" si="344"/>
        <v>[Region.xls]PARAMETER!Z415S6</v>
      </c>
      <c r="DP649" s="656"/>
      <c r="DS649" s="656"/>
      <c r="DV649" s="656"/>
      <c r="DW649" s="656"/>
      <c r="DX649" s="656"/>
      <c r="DY649" s="656"/>
      <c r="DZ649" s="656"/>
      <c r="EA649" s="656"/>
      <c r="EB649" s="656"/>
      <c r="EC649" s="656"/>
      <c r="ED649" s="656"/>
      <c r="EE649" s="656"/>
      <c r="EF649" s="656"/>
      <c r="EG649" s="656"/>
      <c r="EH649" s="656"/>
      <c r="EI649" s="656"/>
      <c r="EJ649" s="656"/>
      <c r="EK649" s="656"/>
      <c r="EV649" s="819">
        <f t="shared" si="292"/>
        <v>649</v>
      </c>
      <c r="EW649" s="819"/>
    </row>
    <row r="650" spans="1:153" s="656" customFormat="1" ht="15" customHeight="1">
      <c r="A650" s="654" t="str">
        <f t="shared" ca="1" si="288"/>
        <v>D.1.650</v>
      </c>
      <c r="B650" s="654" t="str">
        <f t="shared" ca="1" si="289"/>
        <v>1.650</v>
      </c>
      <c r="C650" s="654" t="str">
        <f t="shared" si="331"/>
        <v>[650]</v>
      </c>
      <c r="D650" s="654">
        <f>ROW()</f>
        <v>650</v>
      </c>
      <c r="E650" s="1130" t="str">
        <f>CU650</f>
        <v>- STATUS-Ansatz: Lanzeitstromspeicherung bislang noch nicht relevant [630].</v>
      </c>
      <c r="F650" s="1130"/>
      <c r="G650" s="1130"/>
      <c r="H650" s="1130"/>
      <c r="I650" s="1130"/>
      <c r="J650" s="1130"/>
      <c r="K650" s="1130"/>
      <c r="L650" s="1130"/>
      <c r="M650" s="1130"/>
      <c r="N650" s="1131"/>
      <c r="O650" s="869">
        <v>644</v>
      </c>
      <c r="P650" s="691" t="str">
        <f ca="1">HYPERLINK(EK650,EJ650)</f>
        <v/>
      </c>
      <c r="Q650" s="692" t="str">
        <f>Y650</f>
        <v xml:space="preserve"> </v>
      </c>
      <c r="R650" s="852"/>
      <c r="S650" s="784"/>
      <c r="T650" s="864"/>
      <c r="U650" s="1023" t="str">
        <f>"Lanzeitstromspeicherung bislang noch nicht relevant "&amp;C$630&amp;"."</f>
        <v>Lanzeitstromspeicherung bislang noch nicht relevant [630].</v>
      </c>
      <c r="V650" s="905" t="s">
        <v>126</v>
      </c>
      <c r="W650" s="1024">
        <v>0</v>
      </c>
      <c r="X650" s="672"/>
      <c r="Y650" s="672" t="s">
        <v>126</v>
      </c>
      <c r="Z650" s="1025"/>
      <c r="AA650" s="658"/>
      <c r="AB650" s="801"/>
      <c r="AC650" s="801"/>
      <c r="AD650" s="801"/>
      <c r="AE650" s="801"/>
      <c r="AF650" s="801"/>
      <c r="AG650" s="801"/>
      <c r="AH650" s="801"/>
      <c r="AI650" s="801"/>
      <c r="AJ650" s="801"/>
      <c r="AK650" s="801"/>
      <c r="AL650" s="801"/>
      <c r="AM650" s="801"/>
      <c r="AN650" s="801"/>
      <c r="AO650" s="801"/>
      <c r="AP650" s="801"/>
      <c r="AQ650" s="801"/>
      <c r="AR650" s="801"/>
      <c r="AS650" s="801"/>
      <c r="AT650" s="801"/>
      <c r="AU650" s="801"/>
      <c r="AV650" s="801"/>
      <c r="BF650" s="657"/>
      <c r="BI650" s="656" t="s">
        <v>126</v>
      </c>
      <c r="BJ650" s="666"/>
      <c r="BO650" s="656" t="s">
        <v>259</v>
      </c>
      <c r="CU650" s="663" t="str">
        <f>CG$1&amp;IF(U650="",BF650,U650)</f>
        <v>- STATUS-Ansatz: Lanzeitstromspeicherung bislang noch nicht relevant [630].</v>
      </c>
      <c r="CW650" s="663"/>
      <c r="DT650" s="671">
        <f>I_Basisdaten!A302</f>
        <v>0</v>
      </c>
      <c r="EJ650" s="656" t="str">
        <f>IF(X650=0,"",EJ$1&amp;X650)</f>
        <v/>
      </c>
      <c r="EK650" s="656" t="str">
        <f ca="1">EK$1&amp;X650</f>
        <v>[D_Python.xlsx]9.Quellen!C</v>
      </c>
      <c r="EV650" s="819">
        <f t="shared" si="292"/>
        <v>650</v>
      </c>
      <c r="EW650" s="819"/>
    </row>
    <row r="651" spans="1:153" s="661" customFormat="1" ht="4">
      <c r="A651" s="677" t="str">
        <f t="shared" ca="1" si="288"/>
        <v>D.1.651</v>
      </c>
      <c r="B651" s="677" t="str">
        <f t="shared" ca="1" si="289"/>
        <v>1.651</v>
      </c>
      <c r="C651" s="677" t="str">
        <f t="shared" si="331"/>
        <v>[651]</v>
      </c>
      <c r="D651" s="677">
        <f>ROW()</f>
        <v>651</v>
      </c>
      <c r="E651" s="680"/>
      <c r="F651" s="680"/>
      <c r="G651" s="680"/>
      <c r="H651" s="680"/>
      <c r="I651" s="679"/>
      <c r="J651" s="679"/>
      <c r="K651" s="679"/>
      <c r="L651" s="679"/>
      <c r="M651" s="679"/>
      <c r="N651" s="680"/>
      <c r="O651" s="871">
        <v>645</v>
      </c>
      <c r="P651" s="688"/>
      <c r="Q651" s="689"/>
      <c r="R651" s="888"/>
      <c r="S651" s="810"/>
      <c r="T651" s="882"/>
      <c r="AB651" s="675"/>
      <c r="AC651" s="675"/>
      <c r="AD651" s="675"/>
      <c r="AE651" s="675"/>
      <c r="AF651" s="675"/>
      <c r="AG651" s="675"/>
      <c r="AH651" s="675"/>
      <c r="AI651" s="675"/>
      <c r="AJ651" s="675"/>
      <c r="AK651" s="675"/>
      <c r="AL651" s="675"/>
      <c r="AM651" s="675"/>
      <c r="AN651" s="675"/>
      <c r="AO651" s="675"/>
      <c r="AP651" s="675"/>
      <c r="AQ651" s="675"/>
      <c r="AR651" s="675"/>
      <c r="AS651" s="675"/>
      <c r="AT651" s="675"/>
      <c r="AU651" s="675"/>
      <c r="AV651" s="675"/>
      <c r="BI651" s="661" t="s">
        <v>126</v>
      </c>
      <c r="BJ651" s="665"/>
      <c r="CU651" s="662"/>
      <c r="CW651" s="662"/>
      <c r="EV651" s="818" t="str">
        <f t="shared" si="292"/>
        <v/>
      </c>
      <c r="EW651" s="818"/>
    </row>
    <row r="652" spans="1:153" s="656" customFormat="1" ht="26">
      <c r="A652" s="654" t="str">
        <f t="shared" ca="1" si="288"/>
        <v>D.1.652</v>
      </c>
      <c r="B652" s="654" t="str">
        <f t="shared" ca="1" si="289"/>
        <v>1.652</v>
      </c>
      <c r="C652" s="654" t="str">
        <f t="shared" si="331"/>
        <v>[652]</v>
      </c>
      <c r="D652" s="654">
        <f>ROW()</f>
        <v>652</v>
      </c>
      <c r="E652" s="1125" t="str">
        <f t="shared" ref="E652" si="345">CU652</f>
        <v xml:space="preserve">- ZIEL-Ansatz: Die Strom-Langzeitspeicherung erfordert eine Mindestspeicherkapazität für Wasserstoff von 140.225 GWh, das resultiert aus der Simulation (siehe Szenario-Dokumentation Abschnitt [WS]). </v>
      </c>
      <c r="F652" s="1125"/>
      <c r="G652" s="1125"/>
      <c r="H652" s="1125"/>
      <c r="I652" s="1125"/>
      <c r="J652" s="1125"/>
      <c r="K652" s="1125"/>
      <c r="L652" s="1125"/>
      <c r="M652" s="1125"/>
      <c r="N652" s="1132"/>
      <c r="O652" s="869">
        <v>646</v>
      </c>
      <c r="P652" s="691" t="str">
        <f ca="1">HYPERLINK(EK652,EJ652)</f>
        <v/>
      </c>
      <c r="Q652" s="646" t="str">
        <f>HYPERLINK("[WS.xlsm]1.Jahresbilanz_Strom!L44","WS")</f>
        <v>WS</v>
      </c>
      <c r="R652" s="852"/>
      <c r="S652" s="784"/>
      <c r="T652" s="864"/>
      <c r="U652" s="699" t="str">
        <f>"Die Strom-Langzeitspeicherung erfordert eine Mindestspeicherkapazität für Wasserstoff von "&amp;TEXT(W652,"0.000")&amp;" GWh, das resultiert aus der Simulation (siehe Szenario-Dokumentation Abschnitt ["&amp;Q652&amp;"]). "</f>
        <v xml:space="preserve">Die Strom-Langzeitspeicherung erfordert eine Mindestspeicherkapazität für Wasserstoff von 140.225 GWh, das resultiert aus der Simulation (siehe Szenario-Dokumentation Abschnitt [WS]). </v>
      </c>
      <c r="V652" s="905" t="s">
        <v>126</v>
      </c>
      <c r="W652" s="1024">
        <f>AE652</f>
        <v>140225</v>
      </c>
      <c r="X652" s="672"/>
      <c r="Y652" s="672" t="s">
        <v>126</v>
      </c>
      <c r="Z652" s="1025"/>
      <c r="AA652" s="905"/>
      <c r="AB652" s="801"/>
      <c r="AC652" s="1020">
        <v>44045</v>
      </c>
      <c r="AD652" s="801" t="s">
        <v>647</v>
      </c>
      <c r="AE652" s="801">
        <f>WS_!D30</f>
        <v>140225</v>
      </c>
      <c r="AF652" s="801"/>
      <c r="AG652" s="801"/>
      <c r="AH652" s="801"/>
      <c r="AI652" s="801"/>
      <c r="AJ652" s="801"/>
      <c r="AK652" s="801"/>
      <c r="AL652" s="801"/>
      <c r="AM652" s="801"/>
      <c r="AN652" s="801"/>
      <c r="AO652" s="801"/>
      <c r="AP652" s="801"/>
      <c r="AQ652" s="801"/>
      <c r="AR652" s="801"/>
      <c r="AS652" s="801"/>
      <c r="AT652" s="801"/>
      <c r="AU652" s="801"/>
      <c r="AV652" s="801"/>
      <c r="BF652" s="657"/>
      <c r="BI652" s="656" t="s">
        <v>126</v>
      </c>
      <c r="BJ652" s="666"/>
      <c r="BO652" s="656" t="s">
        <v>259</v>
      </c>
      <c r="CU652" s="663" t="str">
        <f>CH$1&amp;IF(U652="",BF652,U652)</f>
        <v xml:space="preserve">- ZIEL-Ansatz: Die Strom-Langzeitspeicherung erfordert eine Mindestspeicherkapazität für Wasserstoff von 140.225 GWh, das resultiert aus der Simulation (siehe Szenario-Dokumentation Abschnitt [WS]). </v>
      </c>
      <c r="CW652" s="663"/>
      <c r="DT652" s="671">
        <v>53</v>
      </c>
      <c r="EJ652" s="656" t="str">
        <f>IF(X652=0,"",EJ$1&amp;X652)</f>
        <v/>
      </c>
      <c r="EK652" s="656" t="str">
        <f ca="1">EK$1&amp;X652</f>
        <v>[D_Python.xlsx]9.Quellen!C</v>
      </c>
      <c r="EV652" s="819">
        <f t="shared" si="292"/>
        <v>652</v>
      </c>
      <c r="EW652" s="819"/>
    </row>
    <row r="653" spans="1:153" s="661" customFormat="1" ht="4">
      <c r="A653" s="677" t="str">
        <f t="shared" ca="1" si="288"/>
        <v>D.1.653</v>
      </c>
      <c r="B653" s="677" t="str">
        <f t="shared" ca="1" si="289"/>
        <v>1.653</v>
      </c>
      <c r="C653" s="677" t="str">
        <f t="shared" si="331"/>
        <v>[653]</v>
      </c>
      <c r="D653" s="677">
        <f>ROW()</f>
        <v>653</v>
      </c>
      <c r="E653" s="685"/>
      <c r="F653" s="685"/>
      <c r="G653" s="685"/>
      <c r="H653" s="685"/>
      <c r="I653" s="686"/>
      <c r="J653" s="686"/>
      <c r="K653" s="686"/>
      <c r="L653" s="686"/>
      <c r="M653" s="686"/>
      <c r="N653" s="685"/>
      <c r="O653" s="871">
        <v>647</v>
      </c>
      <c r="P653" s="693"/>
      <c r="Q653" s="694"/>
      <c r="R653" s="888"/>
      <c r="S653" s="802"/>
      <c r="T653" s="882"/>
      <c r="AB653" s="675"/>
      <c r="AC653" s="675"/>
      <c r="AD653" s="675"/>
      <c r="AE653" s="675"/>
      <c r="AF653" s="675"/>
      <c r="AG653" s="675"/>
      <c r="AH653" s="675"/>
      <c r="AI653" s="675"/>
      <c r="AJ653" s="675"/>
      <c r="AK653" s="675"/>
      <c r="AL653" s="675"/>
      <c r="AM653" s="675"/>
      <c r="AN653" s="675"/>
      <c r="AO653" s="675"/>
      <c r="AP653" s="675"/>
      <c r="AQ653" s="675"/>
      <c r="AR653" s="675"/>
      <c r="AS653" s="675"/>
      <c r="AT653" s="675"/>
      <c r="AU653" s="675"/>
      <c r="AV653" s="675"/>
      <c r="AZ653" s="669"/>
      <c r="BB653" s="669"/>
      <c r="BI653" s="661" t="s">
        <v>126</v>
      </c>
      <c r="BJ653" s="665"/>
      <c r="CU653" s="662"/>
      <c r="CW653" s="662"/>
      <c r="EV653" s="818" t="str">
        <f t="shared" si="292"/>
        <v/>
      </c>
      <c r="EW653" s="818"/>
    </row>
    <row r="654" spans="1:153" s="658" customFormat="1" ht="13.5" customHeight="1">
      <c r="A654" s="654" t="str">
        <f t="shared" ca="1" si="288"/>
        <v>D.1.654</v>
      </c>
      <c r="B654" s="654" t="str">
        <f t="shared" ca="1" si="289"/>
        <v>1.654</v>
      </c>
      <c r="C654" s="654" t="str">
        <f t="shared" si="331"/>
        <v>[654]</v>
      </c>
      <c r="D654" s="654">
        <f>ROW()</f>
        <v>654</v>
      </c>
      <c r="E654" s="1129" t="str">
        <f>BP654</f>
        <v>Abregelung von Wind- und Solarstrom</v>
      </c>
      <c r="F654" s="1129"/>
      <c r="G654" s="1129"/>
      <c r="H654" s="1129"/>
      <c r="I654" s="1129"/>
      <c r="J654" s="559" t="s">
        <v>361</v>
      </c>
      <c r="K654" s="684">
        <f ca="1">INDIRECT($W$1&amp;U654)</f>
        <v>0</v>
      </c>
      <c r="L654" s="485" t="str">
        <f ca="1">HYPERLINK($CK$1&amp;U654,$CE$1&amp;U654&amp;$CF$1)</f>
        <v>[655]</v>
      </c>
      <c r="M654" s="547">
        <f ca="1">INDIRECT($W$1&amp;W654)</f>
        <v>10730.892227226817</v>
      </c>
      <c r="N654" s="681" t="str">
        <f ca="1">HYPERLINK($CK$1&amp;W654,$CE$1&amp;W654&amp;$CF$1)</f>
        <v>[657]</v>
      </c>
      <c r="O654" s="869">
        <v>648</v>
      </c>
      <c r="P654" s="690"/>
      <c r="Q654" s="695"/>
      <c r="R654" s="852"/>
      <c r="S654" s="784"/>
      <c r="T654" s="864"/>
      <c r="U654" s="672">
        <f>D655</f>
        <v>655</v>
      </c>
      <c r="V654" s="905" t="s">
        <v>126</v>
      </c>
      <c r="W654" s="672">
        <f>D657</f>
        <v>657</v>
      </c>
      <c r="AB654" s="801"/>
      <c r="AC654" s="801"/>
      <c r="AD654" s="674"/>
      <c r="AE654" s="674"/>
      <c r="AF654" s="674"/>
      <c r="AG654" s="674"/>
      <c r="AH654" s="674"/>
      <c r="AI654" s="674"/>
      <c r="AJ654" s="674"/>
      <c r="AK654" s="674"/>
      <c r="AL654" s="674"/>
      <c r="AM654" s="674"/>
      <c r="AN654" s="674"/>
      <c r="AO654" s="674"/>
      <c r="AP654" s="674"/>
      <c r="AQ654" s="674"/>
      <c r="AR654" s="674"/>
      <c r="AS654" s="674"/>
      <c r="AT654" s="674"/>
      <c r="AU654" s="674"/>
      <c r="AV654" s="674"/>
      <c r="AX654" s="658" t="s">
        <v>244</v>
      </c>
      <c r="AY654" s="668">
        <f ca="1">DA654</f>
        <v>2.3178959999999997</v>
      </c>
      <c r="AZ654" s="670" t="str">
        <f ca="1">HYPERLINK(DN654,DC654)</f>
        <v xml:space="preserve"> 414</v>
      </c>
      <c r="BA654" s="668">
        <f ca="1">DB654</f>
        <v>2.7042119999999996</v>
      </c>
      <c r="BB654" s="670" t="str">
        <f ca="1">HYPERLINK(DO654,DD654)</f>
        <v xml:space="preserve"> 415</v>
      </c>
      <c r="BC654" s="658" t="str">
        <f ca="1">CY654&amp;" | "&amp;CZ654</f>
        <v>Wärme | 2.2.2 Energieertrag Abwärme aus Verstromung von Tiefen-Geothermie</v>
      </c>
      <c r="BI654" s="658" t="s">
        <v>126</v>
      </c>
      <c r="BJ654" s="667" t="str">
        <f>E654</f>
        <v>Abregelung von Wind- und Solarstrom</v>
      </c>
      <c r="BK654" s="664">
        <f ca="1">K654</f>
        <v>0</v>
      </c>
      <c r="BL654" s="664">
        <f ca="1">M654</f>
        <v>10730.892227226817</v>
      </c>
      <c r="BM654" s="656">
        <f>D654</f>
        <v>654</v>
      </c>
      <c r="BO654" s="658" t="s">
        <v>251</v>
      </c>
      <c r="BP654" s="676" t="s">
        <v>655</v>
      </c>
      <c r="CU654" s="659"/>
      <c r="CW654" s="671">
        <v>107</v>
      </c>
      <c r="CY654" s="656" t="str">
        <f t="shared" ref="CY654:DO654" ca="1" si="346">INDIRECT($CX$1&amp;CY$1&amp;$CW654)</f>
        <v>Wärme</v>
      </c>
      <c r="CZ654" s="656" t="str">
        <f t="shared" ca="1" si="346"/>
        <v>2.2.2 Energieertrag Abwärme aus Verstromung von Tiefen-Geothermie</v>
      </c>
      <c r="DA654" s="656">
        <f t="shared" ca="1" si="346"/>
        <v>2.3178959999999997</v>
      </c>
      <c r="DB654" s="656">
        <f t="shared" ca="1" si="346"/>
        <v>2.7042119999999996</v>
      </c>
      <c r="DC654" s="656" t="str">
        <f t="shared" ca="1" si="346"/>
        <v xml:space="preserve"> 414</v>
      </c>
      <c r="DD654" s="656" t="str">
        <f t="shared" ca="1" si="346"/>
        <v xml:space="preserve"> 415</v>
      </c>
      <c r="DE654" s="656" t="str">
        <f t="shared" ca="1" si="346"/>
        <v>UG99</v>
      </c>
      <c r="DF654" s="656" t="str">
        <f t="shared" ca="1" si="346"/>
        <v>UG99</v>
      </c>
      <c r="DG654" s="656" t="str">
        <f t="shared" ca="1" si="346"/>
        <v>UG</v>
      </c>
      <c r="DH654" s="656" t="str">
        <f t="shared" ca="1" si="346"/>
        <v>99</v>
      </c>
      <c r="DI654" s="656" t="str">
        <f t="shared" ca="1" si="346"/>
        <v>[UG.xls]TEXT!Z99S5</v>
      </c>
      <c r="DJ654" s="656" t="str">
        <f t="shared" ca="1" si="346"/>
        <v>UG</v>
      </c>
      <c r="DK654" s="656" t="str">
        <f t="shared" ca="1" si="346"/>
        <v>99</v>
      </c>
      <c r="DL654" s="656" t="str">
        <f t="shared" ca="1" si="346"/>
        <v>[UG.xls]TEXT!Z99S5</v>
      </c>
      <c r="DM654" s="656">
        <f t="shared" ca="1" si="346"/>
        <v>107</v>
      </c>
      <c r="DN654" s="656" t="str">
        <f t="shared" ca="1" si="346"/>
        <v>[Region.xls]PARAMETER!Z414S6</v>
      </c>
      <c r="DO654" s="656" t="str">
        <f t="shared" ca="1" si="346"/>
        <v>[Region.xls]PARAMETER!Z415S6</v>
      </c>
      <c r="DP654" s="656"/>
      <c r="DS654" s="656"/>
      <c r="DV654" s="656"/>
      <c r="DW654" s="656"/>
      <c r="DX654" s="656"/>
      <c r="DY654" s="656"/>
      <c r="DZ654" s="656"/>
      <c r="EA654" s="656"/>
      <c r="EB654" s="656"/>
      <c r="EC654" s="656"/>
      <c r="ED654" s="656"/>
      <c r="EE654" s="656"/>
      <c r="EF654" s="656"/>
      <c r="EG654" s="656"/>
      <c r="EH654" s="656"/>
      <c r="EI654" s="656"/>
      <c r="EJ654" s="656"/>
      <c r="EK654" s="656"/>
      <c r="EV654" s="819">
        <f t="shared" si="292"/>
        <v>654</v>
      </c>
      <c r="EW654" s="819"/>
    </row>
    <row r="655" spans="1:153" s="656" customFormat="1" ht="39">
      <c r="A655" s="654" t="str">
        <f t="shared" ca="1" si="288"/>
        <v>D.1.655</v>
      </c>
      <c r="B655" s="654" t="str">
        <f t="shared" ca="1" si="289"/>
        <v>1.655</v>
      </c>
      <c r="C655" s="654" t="str">
        <f t="shared" si="331"/>
        <v>[655]</v>
      </c>
      <c r="D655" s="654">
        <f>ROW()</f>
        <v>655</v>
      </c>
      <c r="E655" s="1130" t="str">
        <f>CU655</f>
        <v>- STATUS-Ansatz: Lanzeitstromspeicherung bislang noch nicht relevant [630]. Hier nicht bewertet wird die Ausfallarbeit, die bereits im Jahr 2013 durch Abregelung vor allem bei Windenergieanlagen im Rahmen des Einspeisemanagements entstanden ist (Deutschlandweit 555 GWh, größtenteils in den nördlichen Bundesländern).</v>
      </c>
      <c r="F655" s="1130"/>
      <c r="G655" s="1130"/>
      <c r="H655" s="1130"/>
      <c r="I655" s="1130"/>
      <c r="J655" s="1130"/>
      <c r="K655" s="1130"/>
      <c r="L655" s="1130"/>
      <c r="M655" s="1130"/>
      <c r="N655" s="1131"/>
      <c r="O655" s="869">
        <v>649</v>
      </c>
      <c r="P655" s="691" t="str">
        <f ca="1">HYPERLINK(EK655,EJ655)</f>
        <v/>
      </c>
      <c r="Q655" s="692" t="str">
        <f>Y655</f>
        <v xml:space="preserve"> </v>
      </c>
      <c r="R655" s="852"/>
      <c r="S655" s="784"/>
      <c r="T655" s="864"/>
      <c r="U655" s="1023" t="str">
        <f>"Lanzeitstromspeicherung bislang noch nicht relevant "&amp;C$630&amp;". Hier nicht bewertet wird die Ausfallarbeit, die bereits im Jahr 2013 durch Abregelung vor allem bei Windenergieanlagen im Rahmen des Einspeisemanagements entstanden ist (Deutschlandweit 555 GWh, größtenteils in den nördlichen Bundesländern)."</f>
        <v>Lanzeitstromspeicherung bislang noch nicht relevant [630]. Hier nicht bewertet wird die Ausfallarbeit, die bereits im Jahr 2013 durch Abregelung vor allem bei Windenergieanlagen im Rahmen des Einspeisemanagements entstanden ist (Deutschlandweit 555 GWh, größtenteils in den nördlichen Bundesländern).</v>
      </c>
      <c r="V655" s="905" t="s">
        <v>126</v>
      </c>
      <c r="W655" s="1024">
        <v>0</v>
      </c>
      <c r="X655" s="672"/>
      <c r="Y655" s="672" t="s">
        <v>126</v>
      </c>
      <c r="Z655" s="1025"/>
      <c r="AA655" s="658"/>
      <c r="AB655" s="801"/>
      <c r="AC655" s="801"/>
      <c r="AD655" s="801"/>
      <c r="AE655" s="801"/>
      <c r="AF655" s="801"/>
      <c r="AG655" s="801"/>
      <c r="AH655" s="801"/>
      <c r="AI655" s="801"/>
      <c r="AJ655" s="801"/>
      <c r="AK655" s="801"/>
      <c r="AL655" s="801"/>
      <c r="AM655" s="801"/>
      <c r="AN655" s="801"/>
      <c r="AO655" s="801"/>
      <c r="AP655" s="801"/>
      <c r="AQ655" s="801"/>
      <c r="AR655" s="801"/>
      <c r="AS655" s="801"/>
      <c r="AT655" s="801"/>
      <c r="AU655" s="801"/>
      <c r="AV655" s="801"/>
      <c r="BF655" s="657"/>
      <c r="BI655" s="656" t="s">
        <v>126</v>
      </c>
      <c r="BJ655" s="666"/>
      <c r="BO655" s="656" t="s">
        <v>259</v>
      </c>
      <c r="CU655" s="663" t="str">
        <f>CG$1&amp;IF(U655="",BF655,U655)</f>
        <v>- STATUS-Ansatz: Lanzeitstromspeicherung bislang noch nicht relevant [630]. Hier nicht bewertet wird die Ausfallarbeit, die bereits im Jahr 2013 durch Abregelung vor allem bei Windenergieanlagen im Rahmen des Einspeisemanagements entstanden ist (Deutschlandweit 555 GWh, größtenteils in den nördlichen Bundesländern).</v>
      </c>
      <c r="CW655" s="663"/>
      <c r="DT655" s="671">
        <f>I_Basisdaten!A308</f>
        <v>0</v>
      </c>
      <c r="EJ655" s="656" t="str">
        <f>IF(X655=0,"",EJ$1&amp;X655)</f>
        <v/>
      </c>
      <c r="EK655" s="656" t="str">
        <f ca="1">EK$1&amp;X655</f>
        <v>[D_Python.xlsx]9.Quellen!C</v>
      </c>
      <c r="EV655" s="819">
        <f t="shared" si="292"/>
        <v>655</v>
      </c>
      <c r="EW655" s="819"/>
    </row>
    <row r="656" spans="1:153" s="661" customFormat="1" ht="4">
      <c r="A656" s="677" t="str">
        <f t="shared" ca="1" si="288"/>
        <v>D.1.656</v>
      </c>
      <c r="B656" s="677" t="str">
        <f t="shared" ca="1" si="289"/>
        <v>1.656</v>
      </c>
      <c r="C656" s="677" t="str">
        <f t="shared" si="331"/>
        <v>[656]</v>
      </c>
      <c r="D656" s="677">
        <f>ROW()</f>
        <v>656</v>
      </c>
      <c r="E656" s="680"/>
      <c r="F656" s="680"/>
      <c r="G656" s="680"/>
      <c r="H656" s="680"/>
      <c r="I656" s="679"/>
      <c r="J656" s="679"/>
      <c r="K656" s="679"/>
      <c r="L656" s="679"/>
      <c r="M656" s="679"/>
      <c r="N656" s="680"/>
      <c r="O656" s="871">
        <v>650</v>
      </c>
      <c r="P656" s="688"/>
      <c r="Q656" s="689"/>
      <c r="R656" s="888"/>
      <c r="S656" s="810"/>
      <c r="T656" s="882"/>
      <c r="AB656" s="675"/>
      <c r="AC656" s="675"/>
      <c r="AD656" s="675"/>
      <c r="AE656" s="675"/>
      <c r="AF656" s="675"/>
      <c r="AG656" s="675"/>
      <c r="AH656" s="675"/>
      <c r="AI656" s="675"/>
      <c r="AJ656" s="675"/>
      <c r="AK656" s="675"/>
      <c r="AL656" s="675"/>
      <c r="AM656" s="675"/>
      <c r="AN656" s="675"/>
      <c r="AO656" s="675"/>
      <c r="AP656" s="675"/>
      <c r="AQ656" s="675"/>
      <c r="AR656" s="675"/>
      <c r="AS656" s="675"/>
      <c r="AT656" s="675"/>
      <c r="AU656" s="675"/>
      <c r="AV656" s="675"/>
      <c r="BI656" s="661" t="s">
        <v>126</v>
      </c>
      <c r="BJ656" s="665"/>
      <c r="CU656" s="662"/>
      <c r="CW656" s="662"/>
      <c r="EV656" s="818" t="str">
        <f t="shared" si="292"/>
        <v/>
      </c>
      <c r="EW656" s="818"/>
    </row>
    <row r="657" spans="1:153" s="656" customFormat="1" ht="52">
      <c r="A657" s="654" t="str">
        <f t="shared" ca="1" si="288"/>
        <v>D.1.657</v>
      </c>
      <c r="B657" s="654" t="str">
        <f t="shared" ca="1" si="289"/>
        <v>1.657</v>
      </c>
      <c r="C657" s="654" t="str">
        <f t="shared" si="331"/>
        <v>[657]</v>
      </c>
      <c r="D657" s="654">
        <f>ROW()</f>
        <v>657</v>
      </c>
      <c r="E657" s="1125" t="str">
        <f t="shared" ref="E657" si="347">CU657</f>
        <v xml:space="preserve">- ZIEL-Ansatz: Aufgrund der begrenzten Kapazität der Wasser-Elektrolyse zur Strom-Langzeitspeicherung gemäß [638] kann an Tagen mit besonders hohem Wind- bzw. Solarstromangebot nicht die gesamte Strommenge verwertet werden, aus der Abregelung des Anlagenparks entsteht eine Ausfallarbeit von  10.731 GWh, das resultiert aus der Simulation (siehe Szenario-Dokumentation Abschnitt [WS]). </v>
      </c>
      <c r="F657" s="1125"/>
      <c r="G657" s="1125"/>
      <c r="H657" s="1125"/>
      <c r="I657" s="1125"/>
      <c r="J657" s="1125"/>
      <c r="K657" s="1125"/>
      <c r="L657" s="1125"/>
      <c r="M657" s="1125"/>
      <c r="N657" s="1132"/>
      <c r="O657" s="869">
        <v>651</v>
      </c>
      <c r="P657" s="691" t="str">
        <f ca="1">HYPERLINK(EK657,EJ657)</f>
        <v/>
      </c>
      <c r="Q657" s="646" t="str">
        <f>HYPERLINK("[WS.xlsm]1.Jahresbilanz_Strom!AbregCopy","WS")</f>
        <v>WS</v>
      </c>
      <c r="R657" s="852"/>
      <c r="S657" s="784"/>
      <c r="T657" s="864"/>
      <c r="U657" s="1023" t="str">
        <f>"Aufgrund der begrenzten Kapazität der Wasser-Elektrolyse zur Strom-Langzeitspeicherung gemäß "&amp;C638&amp;" kann an Tagen mit besonders hohem Wind- bzw. Solarstromangebot nicht die gesamte Strommenge verwertet werden, aus der Abregelung des Anlagenparks entsteht eine Ausfallarbeit von  "&amp;TEXT(W657,"0.000")&amp;" GWh, das resultiert aus der Simulation (siehe Szenario-Dokumentation Abschnitt ["&amp;Q657&amp;"]). "</f>
        <v xml:space="preserve">Aufgrund der begrenzten Kapazität der Wasser-Elektrolyse zur Strom-Langzeitspeicherung gemäß [638] kann an Tagen mit besonders hohem Wind- bzw. Solarstromangebot nicht die gesamte Strommenge verwertet werden, aus der Abregelung des Anlagenparks entsteht eine Ausfallarbeit von  10.731 GWh, das resultiert aus der Simulation (siehe Szenario-Dokumentation Abschnitt [WS]). </v>
      </c>
      <c r="V657" s="905" t="s">
        <v>126</v>
      </c>
      <c r="W657" s="1024">
        <f>AE657</f>
        <v>10730.892227226817</v>
      </c>
      <c r="X657" s="672"/>
      <c r="Y657" s="672" t="s">
        <v>126</v>
      </c>
      <c r="Z657" s="1025"/>
      <c r="AA657" s="905"/>
      <c r="AB657" s="801"/>
      <c r="AC657" s="1020">
        <v>44045</v>
      </c>
      <c r="AD657" s="801" t="s">
        <v>647</v>
      </c>
      <c r="AE657" s="801">
        <f>WS_!D31</f>
        <v>10730.892227226817</v>
      </c>
      <c r="AF657" s="801">
        <f>WS_!E68</f>
        <v>0</v>
      </c>
      <c r="AG657" s="801"/>
      <c r="AH657" s="801"/>
      <c r="AI657" s="801"/>
      <c r="AJ657" s="801"/>
      <c r="AK657" s="801"/>
      <c r="AL657" s="801"/>
      <c r="AM657" s="801"/>
      <c r="AN657" s="801"/>
      <c r="AO657" s="801"/>
      <c r="AP657" s="801"/>
      <c r="AQ657" s="801"/>
      <c r="AR657" s="801"/>
      <c r="AS657" s="801"/>
      <c r="AT657" s="801"/>
      <c r="AU657" s="801"/>
      <c r="AV657" s="801"/>
      <c r="BF657" s="657"/>
      <c r="BI657" s="656" t="s">
        <v>126</v>
      </c>
      <c r="BJ657" s="666"/>
      <c r="BO657" s="656" t="s">
        <v>259</v>
      </c>
      <c r="CU657" s="663" t="str">
        <f>CH$1&amp;IF(U657="",BF657,U657)</f>
        <v xml:space="preserve">- ZIEL-Ansatz: Aufgrund der begrenzten Kapazität der Wasser-Elektrolyse zur Strom-Langzeitspeicherung gemäß [638] kann an Tagen mit besonders hohem Wind- bzw. Solarstromangebot nicht die gesamte Strommenge verwertet werden, aus der Abregelung des Anlagenparks entsteht eine Ausfallarbeit von  10.731 GWh, das resultiert aus der Simulation (siehe Szenario-Dokumentation Abschnitt [WS]). </v>
      </c>
      <c r="CW657" s="663"/>
      <c r="DT657" s="671">
        <v>53</v>
      </c>
      <c r="EJ657" s="656" t="str">
        <f>IF(X657=0,"",EJ$1&amp;X657)</f>
        <v/>
      </c>
      <c r="EK657" s="656" t="str">
        <f ca="1">EK$1&amp;X657</f>
        <v>[D_Python.xlsx]9.Quellen!C</v>
      </c>
      <c r="EV657" s="819">
        <f t="shared" si="292"/>
        <v>657</v>
      </c>
      <c r="EW657" s="819"/>
    </row>
    <row r="658" spans="1:153" s="661" customFormat="1" ht="4">
      <c r="A658" s="677" t="str">
        <f t="shared" ca="1" si="288"/>
        <v>D.1.658</v>
      </c>
      <c r="B658" s="677" t="str">
        <f t="shared" ca="1" si="289"/>
        <v>1.658</v>
      </c>
      <c r="C658" s="677" t="str">
        <f t="shared" si="331"/>
        <v>[658]</v>
      </c>
      <c r="D658" s="677">
        <f>ROW()</f>
        <v>658</v>
      </c>
      <c r="E658" s="680"/>
      <c r="F658" s="680"/>
      <c r="G658" s="680"/>
      <c r="H658" s="680"/>
      <c r="I658" s="679"/>
      <c r="J658" s="679"/>
      <c r="K658" s="679"/>
      <c r="L658" s="679"/>
      <c r="M658" s="679"/>
      <c r="N658" s="680"/>
      <c r="O658" s="871">
        <v>652</v>
      </c>
      <c r="P658" s="688"/>
      <c r="Q658" s="689"/>
      <c r="R658" s="888"/>
      <c r="S658" s="802"/>
      <c r="T658" s="882"/>
      <c r="AB658" s="675"/>
      <c r="AC658" s="675"/>
      <c r="AD658" s="675"/>
      <c r="AE658" s="675"/>
      <c r="AF658" s="675"/>
      <c r="AG658" s="675"/>
      <c r="AH658" s="675"/>
      <c r="AI658" s="675"/>
      <c r="AJ658" s="675"/>
      <c r="AK658" s="675"/>
      <c r="AL658" s="675"/>
      <c r="AM658" s="675"/>
      <c r="AN658" s="675"/>
      <c r="AO658" s="675"/>
      <c r="AP658" s="675"/>
      <c r="AQ658" s="675"/>
      <c r="AR658" s="675"/>
      <c r="AS658" s="675"/>
      <c r="AT658" s="675"/>
      <c r="AU658" s="675"/>
      <c r="AV658" s="675"/>
      <c r="BI658" s="661" t="s">
        <v>126</v>
      </c>
      <c r="BJ658" s="665"/>
      <c r="CU658" s="662"/>
      <c r="CW658" s="662"/>
      <c r="EV658" s="818" t="str">
        <f t="shared" si="292"/>
        <v/>
      </c>
      <c r="EW658" s="818"/>
    </row>
    <row r="659" spans="1:153" s="656" customFormat="1" ht="13">
      <c r="A659" s="654" t="str">
        <f t="shared" ca="1" si="288"/>
        <v>D.1.659</v>
      </c>
      <c r="B659" s="654" t="str">
        <f t="shared" ca="1" si="289"/>
        <v>1.659</v>
      </c>
      <c r="C659" s="654" t="str">
        <f t="shared" si="331"/>
        <v>[659]</v>
      </c>
      <c r="D659" s="654">
        <f>ROW()</f>
        <v>659</v>
      </c>
      <c r="E659" s="481" t="s">
        <v>656</v>
      </c>
      <c r="F659" s="482"/>
      <c r="G659" s="482"/>
      <c r="H659" s="482"/>
      <c r="I659" s="483"/>
      <c r="J659" s="484"/>
      <c r="K659" s="484"/>
      <c r="L659" s="484"/>
      <c r="M659" s="484"/>
      <c r="N659" s="532"/>
      <c r="O659" s="869">
        <v>653</v>
      </c>
      <c r="P659" s="568"/>
      <c r="Q659" s="569"/>
      <c r="R659" s="852"/>
      <c r="S659" s="804"/>
      <c r="T659" s="864"/>
      <c r="U659" s="905"/>
      <c r="V659" s="905"/>
      <c r="W659" s="905"/>
      <c r="X659" s="905"/>
      <c r="Y659" s="905"/>
      <c r="Z659" s="905"/>
      <c r="AA659" s="905"/>
      <c r="AB659" s="801"/>
      <c r="AC659" s="801"/>
      <c r="AD659" s="801"/>
      <c r="AE659" s="801"/>
      <c r="AF659" s="801"/>
      <c r="AG659" s="801"/>
      <c r="AH659" s="801"/>
      <c r="AI659" s="801"/>
      <c r="AJ659" s="801"/>
      <c r="AK659" s="801"/>
      <c r="AL659" s="801"/>
      <c r="AM659" s="801"/>
      <c r="AN659" s="801"/>
      <c r="AO659" s="801"/>
      <c r="AP659" s="801"/>
      <c r="AQ659" s="801"/>
      <c r="AR659" s="801"/>
      <c r="AS659" s="801"/>
      <c r="AT659" s="801"/>
      <c r="AU659" s="801"/>
      <c r="AV659" s="801"/>
      <c r="AZ659" s="504"/>
      <c r="BB659" s="506"/>
      <c r="BI659" s="656" t="s">
        <v>126</v>
      </c>
      <c r="BJ659" s="666"/>
      <c r="BO659" s="656" t="s">
        <v>250</v>
      </c>
      <c r="BP659" s="671" t="s">
        <v>444</v>
      </c>
      <c r="CU659" s="663"/>
      <c r="CW659" s="663"/>
      <c r="EV659" s="819">
        <f t="shared" si="292"/>
        <v>659</v>
      </c>
      <c r="EW659" s="819"/>
    </row>
    <row r="660" spans="1:153" s="661" customFormat="1" ht="4">
      <c r="A660" s="677" t="str">
        <f t="shared" ca="1" si="288"/>
        <v>D.1.660</v>
      </c>
      <c r="B660" s="677" t="str">
        <f t="shared" ca="1" si="289"/>
        <v>1.660</v>
      </c>
      <c r="C660" s="677" t="str">
        <f t="shared" si="331"/>
        <v>[660]</v>
      </c>
      <c r="D660" s="677">
        <f>ROW()</f>
        <v>660</v>
      </c>
      <c r="E660" s="680"/>
      <c r="F660" s="680"/>
      <c r="G660" s="680"/>
      <c r="H660" s="680"/>
      <c r="I660" s="679"/>
      <c r="J660" s="679"/>
      <c r="K660" s="679"/>
      <c r="L660" s="679"/>
      <c r="M660" s="679"/>
      <c r="N660" s="680"/>
      <c r="O660" s="871">
        <v>654</v>
      </c>
      <c r="P660" s="688"/>
      <c r="Q660" s="689"/>
      <c r="R660" s="888"/>
      <c r="S660" s="802"/>
      <c r="T660" s="882"/>
      <c r="AB660" s="675"/>
      <c r="AC660" s="675"/>
      <c r="AD660" s="675"/>
      <c r="AE660" s="675"/>
      <c r="AF660" s="675"/>
      <c r="AG660" s="675"/>
      <c r="AH660" s="675"/>
      <c r="AI660" s="675"/>
      <c r="AJ660" s="675"/>
      <c r="AK660" s="675"/>
      <c r="AL660" s="675"/>
      <c r="AM660" s="675"/>
      <c r="AN660" s="675"/>
      <c r="AO660" s="675"/>
      <c r="AP660" s="675"/>
      <c r="AQ660" s="675"/>
      <c r="AR660" s="675"/>
      <c r="AS660" s="675"/>
      <c r="AT660" s="675"/>
      <c r="AU660" s="675"/>
      <c r="AV660" s="675"/>
      <c r="BI660" s="661" t="s">
        <v>126</v>
      </c>
      <c r="BJ660" s="665"/>
      <c r="CU660" s="662"/>
      <c r="CW660" s="662"/>
      <c r="EV660" s="818" t="str">
        <f t="shared" si="292"/>
        <v/>
      </c>
      <c r="EW660" s="818"/>
    </row>
    <row r="661" spans="1:153" s="658" customFormat="1" ht="13.5" customHeight="1">
      <c r="A661" s="654" t="str">
        <f t="shared" ca="1" si="288"/>
        <v>D.1.661</v>
      </c>
      <c r="B661" s="654" t="str">
        <f t="shared" ca="1" si="289"/>
        <v>1.661</v>
      </c>
      <c r="C661" s="654" t="str">
        <f t="shared" si="331"/>
        <v>[661]</v>
      </c>
      <c r="D661" s="654">
        <f>ROW()</f>
        <v>661</v>
      </c>
      <c r="E661" s="1129" t="str">
        <f>BP661</f>
        <v>Stromeinfuhr (Erneuerbar) in Solidarbereich</v>
      </c>
      <c r="F661" s="1129"/>
      <c r="G661" s="1129"/>
      <c r="H661" s="1129"/>
      <c r="I661" s="1129"/>
      <c r="J661" s="559" t="s">
        <v>361</v>
      </c>
      <c r="K661" s="684">
        <f ca="1">INDIRECT($W$1&amp;U661)</f>
        <v>0</v>
      </c>
      <c r="L661" s="485" t="str">
        <f ca="1">HYPERLINK($CK$1&amp;U661,$CE$1&amp;U661&amp;$CF$1)</f>
        <v>[662]</v>
      </c>
      <c r="M661" s="547">
        <f ca="1">INDIRECT($W$1&amp;W661)</f>
        <v>0</v>
      </c>
      <c r="N661" s="681" t="str">
        <f ca="1">HYPERLINK($CK$1&amp;W661,$CE$1&amp;W661&amp;$CF$1)</f>
        <v>[664]</v>
      </c>
      <c r="O661" s="869">
        <v>655</v>
      </c>
      <c r="P661" s="690"/>
      <c r="Q661" s="695"/>
      <c r="R661" s="852"/>
      <c r="S661" s="784"/>
      <c r="T661" s="864"/>
      <c r="U661" s="672">
        <f>D662</f>
        <v>662</v>
      </c>
      <c r="V661" s="905" t="s">
        <v>126</v>
      </c>
      <c r="W661" s="672">
        <f>D664</f>
        <v>664</v>
      </c>
      <c r="AB661" s="801"/>
      <c r="AC661" s="801"/>
      <c r="AD661" s="674"/>
      <c r="AE661" s="674"/>
      <c r="AF661" s="674"/>
      <c r="AG661" s="674"/>
      <c r="AH661" s="674"/>
      <c r="AI661" s="674"/>
      <c r="AJ661" s="674"/>
      <c r="AK661" s="674"/>
      <c r="AL661" s="674"/>
      <c r="AM661" s="674"/>
      <c r="AN661" s="674"/>
      <c r="AO661" s="674"/>
      <c r="AP661" s="674"/>
      <c r="AQ661" s="674"/>
      <c r="AR661" s="674"/>
      <c r="AS661" s="674"/>
      <c r="AT661" s="674"/>
      <c r="AU661" s="674"/>
      <c r="AV661" s="674"/>
      <c r="AX661" s="658" t="s">
        <v>244</v>
      </c>
      <c r="AY661" s="668">
        <f ca="1">DA661</f>
        <v>2.3178959999999997</v>
      </c>
      <c r="AZ661" s="670" t="str">
        <f ca="1">HYPERLINK(DN661,DC661)</f>
        <v xml:space="preserve"> 414</v>
      </c>
      <c r="BA661" s="668">
        <f ca="1">DB661</f>
        <v>2.7042119999999996</v>
      </c>
      <c r="BB661" s="670" t="str">
        <f ca="1">HYPERLINK(DO661,DD661)</f>
        <v xml:space="preserve"> 415</v>
      </c>
      <c r="BC661" s="658" t="str">
        <f ca="1">CY661&amp;" | "&amp;CZ661</f>
        <v>Wärme | 2.2.2 Energieertrag Abwärme aus Verstromung von Tiefen-Geothermie</v>
      </c>
      <c r="BI661" s="658" t="s">
        <v>126</v>
      </c>
      <c r="BJ661" s="667" t="str">
        <f>E661</f>
        <v>Stromeinfuhr (Erneuerbar) in Solidarbereich</v>
      </c>
      <c r="BK661" s="664">
        <f ca="1">K661</f>
        <v>0</v>
      </c>
      <c r="BL661" s="664">
        <f ca="1">M661</f>
        <v>0</v>
      </c>
      <c r="BM661" s="656">
        <f>D661</f>
        <v>661</v>
      </c>
      <c r="BO661" s="658" t="s">
        <v>251</v>
      </c>
      <c r="BP661" s="676" t="s">
        <v>657</v>
      </c>
      <c r="CU661" s="659"/>
      <c r="CW661" s="671">
        <v>107</v>
      </c>
      <c r="CY661" s="656" t="str">
        <f t="shared" ref="CY661:DO661" ca="1" si="348">INDIRECT($CX$1&amp;CY$1&amp;$CW661)</f>
        <v>Wärme</v>
      </c>
      <c r="CZ661" s="656" t="str">
        <f t="shared" ca="1" si="348"/>
        <v>2.2.2 Energieertrag Abwärme aus Verstromung von Tiefen-Geothermie</v>
      </c>
      <c r="DA661" s="656">
        <f t="shared" ca="1" si="348"/>
        <v>2.3178959999999997</v>
      </c>
      <c r="DB661" s="656">
        <f t="shared" ca="1" si="348"/>
        <v>2.7042119999999996</v>
      </c>
      <c r="DC661" s="656" t="str">
        <f t="shared" ca="1" si="348"/>
        <v xml:space="preserve"> 414</v>
      </c>
      <c r="DD661" s="656" t="str">
        <f t="shared" ca="1" si="348"/>
        <v xml:space="preserve"> 415</v>
      </c>
      <c r="DE661" s="656" t="str">
        <f t="shared" ca="1" si="348"/>
        <v>UG99</v>
      </c>
      <c r="DF661" s="656" t="str">
        <f t="shared" ca="1" si="348"/>
        <v>UG99</v>
      </c>
      <c r="DG661" s="656" t="str">
        <f t="shared" ca="1" si="348"/>
        <v>UG</v>
      </c>
      <c r="DH661" s="656" t="str">
        <f t="shared" ca="1" si="348"/>
        <v>99</v>
      </c>
      <c r="DI661" s="656" t="str">
        <f t="shared" ca="1" si="348"/>
        <v>[UG.xls]TEXT!Z99S5</v>
      </c>
      <c r="DJ661" s="656" t="str">
        <f t="shared" ca="1" si="348"/>
        <v>UG</v>
      </c>
      <c r="DK661" s="656" t="str">
        <f t="shared" ca="1" si="348"/>
        <v>99</v>
      </c>
      <c r="DL661" s="656" t="str">
        <f t="shared" ca="1" si="348"/>
        <v>[UG.xls]TEXT!Z99S5</v>
      </c>
      <c r="DM661" s="656">
        <f t="shared" ca="1" si="348"/>
        <v>107</v>
      </c>
      <c r="DN661" s="656" t="str">
        <f t="shared" ca="1" si="348"/>
        <v>[Region.xls]PARAMETER!Z414S6</v>
      </c>
      <c r="DO661" s="656" t="str">
        <f t="shared" ca="1" si="348"/>
        <v>[Region.xls]PARAMETER!Z415S6</v>
      </c>
      <c r="DP661" s="656"/>
      <c r="DS661" s="656"/>
      <c r="DV661" s="656"/>
      <c r="DW661" s="656"/>
      <c r="DX661" s="656"/>
      <c r="DY661" s="656"/>
      <c r="DZ661" s="656"/>
      <c r="EA661" s="656"/>
      <c r="EB661" s="656"/>
      <c r="EC661" s="656"/>
      <c r="ED661" s="656"/>
      <c r="EE661" s="656"/>
      <c r="EF661" s="656"/>
      <c r="EG661" s="656"/>
      <c r="EH661" s="656"/>
      <c r="EI661" s="656"/>
      <c r="EJ661" s="656"/>
      <c r="EK661" s="656"/>
      <c r="EV661" s="819">
        <f t="shared" si="292"/>
        <v>661</v>
      </c>
      <c r="EW661" s="819"/>
    </row>
    <row r="662" spans="1:153" s="656" customFormat="1" ht="26">
      <c r="A662" s="654" t="str">
        <f t="shared" ca="1" si="288"/>
        <v>D.1.662</v>
      </c>
      <c r="B662" s="654" t="str">
        <f t="shared" ca="1" si="289"/>
        <v>1.662</v>
      </c>
      <c r="C662" s="654" t="str">
        <f t="shared" si="331"/>
        <v>[662]</v>
      </c>
      <c r="D662" s="654">
        <f>ROW()</f>
        <v>662</v>
      </c>
      <c r="E662" s="1130" t="str">
        <f>CU662</f>
        <v>- STATUS-Ansatz: Die Einfuhr von Strom aus erneuerbaren Quellen von außerhalb Deutschlands ist zurzeit nicht relevant. Sie wird als Zukunftsoption diskutiert, beispielsweise aus Solarthermischen Kraftwerken in der Sahara.</v>
      </c>
      <c r="F662" s="1130"/>
      <c r="G662" s="1130"/>
      <c r="H662" s="1130"/>
      <c r="I662" s="1130"/>
      <c r="J662" s="1130"/>
      <c r="K662" s="1130"/>
      <c r="L662" s="1130"/>
      <c r="M662" s="1130"/>
      <c r="N662" s="1131"/>
      <c r="O662" s="869">
        <v>656</v>
      </c>
      <c r="P662" s="691" t="str">
        <f ca="1">HYPERLINK(EK662,EJ662)</f>
        <v/>
      </c>
      <c r="Q662" s="692" t="str">
        <f>Y662</f>
        <v xml:space="preserve"> </v>
      </c>
      <c r="R662" s="888"/>
      <c r="S662" s="784"/>
      <c r="T662" s="864"/>
      <c r="U662" s="1023" t="s">
        <v>665</v>
      </c>
      <c r="V662" s="905" t="s">
        <v>126</v>
      </c>
      <c r="W662" s="1024">
        <v>0</v>
      </c>
      <c r="X662" s="672"/>
      <c r="Y662" s="672" t="s">
        <v>126</v>
      </c>
      <c r="Z662" s="1025"/>
      <c r="AA662" s="658"/>
      <c r="AB662" s="801"/>
      <c r="AC662" s="801"/>
      <c r="AD662" s="801"/>
      <c r="AE662" s="801"/>
      <c r="AF662" s="801"/>
      <c r="AG662" s="801"/>
      <c r="AH662" s="801"/>
      <c r="AI662" s="801"/>
      <c r="AJ662" s="801"/>
      <c r="AK662" s="801"/>
      <c r="AL662" s="801"/>
      <c r="AM662" s="801"/>
      <c r="AN662" s="801"/>
      <c r="AO662" s="801"/>
      <c r="AP662" s="801"/>
      <c r="AQ662" s="801"/>
      <c r="AR662" s="801"/>
      <c r="AS662" s="801"/>
      <c r="AT662" s="801"/>
      <c r="AU662" s="801"/>
      <c r="AV662" s="801"/>
      <c r="BF662" s="657"/>
      <c r="BI662" s="656" t="s">
        <v>126</v>
      </c>
      <c r="BJ662" s="666"/>
      <c r="BO662" s="656" t="s">
        <v>259</v>
      </c>
      <c r="CU662" s="663" t="str">
        <f>CG$1&amp;IF(U662="",BF662,U662)</f>
        <v>- STATUS-Ansatz: Die Einfuhr von Strom aus erneuerbaren Quellen von außerhalb Deutschlands ist zurzeit nicht relevant. Sie wird als Zukunftsoption diskutiert, beispielsweise aus Solarthermischen Kraftwerken in der Sahara.</v>
      </c>
      <c r="CW662" s="663"/>
      <c r="DT662" s="671">
        <f>I_Basisdaten!A314</f>
        <v>0</v>
      </c>
      <c r="EJ662" s="656" t="str">
        <f>IF(X662=0,"",EJ$1&amp;X662)</f>
        <v/>
      </c>
      <c r="EK662" s="656" t="str">
        <f ca="1">EK$1&amp;X662</f>
        <v>[D_Python.xlsx]9.Quellen!C</v>
      </c>
      <c r="EV662" s="819">
        <f t="shared" si="292"/>
        <v>662</v>
      </c>
      <c r="EW662" s="819"/>
    </row>
    <row r="663" spans="1:153" s="661" customFormat="1" ht="4">
      <c r="A663" s="677" t="str">
        <f t="shared" ref="A663:A726" ca="1" si="349">BT$1&amp;D663</f>
        <v>D.1.663</v>
      </c>
      <c r="B663" s="677" t="str">
        <f t="shared" ref="B663:B726" ca="1" si="350">BW$1&amp;D663</f>
        <v>1.663</v>
      </c>
      <c r="C663" s="677" t="str">
        <f t="shared" si="331"/>
        <v>[663]</v>
      </c>
      <c r="D663" s="677">
        <f>ROW()</f>
        <v>663</v>
      </c>
      <c r="E663" s="680"/>
      <c r="F663" s="680"/>
      <c r="G663" s="680"/>
      <c r="H663" s="680"/>
      <c r="I663" s="679"/>
      <c r="J663" s="679"/>
      <c r="K663" s="679"/>
      <c r="L663" s="679"/>
      <c r="M663" s="679"/>
      <c r="N663" s="680"/>
      <c r="O663" s="871">
        <v>657</v>
      </c>
      <c r="P663" s="688"/>
      <c r="Q663" s="689"/>
      <c r="R663" s="888"/>
      <c r="S663" s="810"/>
      <c r="T663" s="882"/>
      <c r="AB663" s="675"/>
      <c r="AC663" s="675"/>
      <c r="AD663" s="675"/>
      <c r="AE663" s="675"/>
      <c r="AF663" s="675"/>
      <c r="AG663" s="675"/>
      <c r="AH663" s="675"/>
      <c r="AI663" s="675"/>
      <c r="AJ663" s="675"/>
      <c r="AK663" s="675"/>
      <c r="AL663" s="675"/>
      <c r="AM663" s="675"/>
      <c r="AN663" s="675"/>
      <c r="AO663" s="675"/>
      <c r="AP663" s="675"/>
      <c r="AQ663" s="675"/>
      <c r="AR663" s="675"/>
      <c r="AS663" s="675"/>
      <c r="AT663" s="675"/>
      <c r="AU663" s="675"/>
      <c r="AV663" s="675"/>
      <c r="BI663" s="661" t="s">
        <v>126</v>
      </c>
      <c r="BJ663" s="665"/>
      <c r="CU663" s="662"/>
      <c r="CW663" s="662"/>
      <c r="EV663" s="818" t="str">
        <f t="shared" ref="EV663:EV726" si="351">IF(U663&amp;BP663="","",D663)</f>
        <v/>
      </c>
      <c r="EW663" s="818"/>
    </row>
    <row r="664" spans="1:153" s="656" customFormat="1" ht="52">
      <c r="A664" s="654" t="str">
        <f t="shared" ca="1" si="349"/>
        <v>D.1.664</v>
      </c>
      <c r="B664" s="654" t="str">
        <f t="shared" ca="1" si="350"/>
        <v>1.664</v>
      </c>
      <c r="C664" s="654" t="str">
        <f t="shared" si="331"/>
        <v>[664]</v>
      </c>
      <c r="D664" s="654">
        <f>ROW()</f>
        <v>664</v>
      </c>
      <c r="E664" s="1125" t="str">
        <f t="shared" ref="E664" si="352">CU664</f>
        <v xml:space="preserve">- ZIEL-Ansatz: Die Einfuhr von Strom aus erneuerbaren Quellen von außerhalb Deutschlands wird hier nicht vorgesehen. Einer möglichen Entlastung der eigenen energetischen Flächenbeanspruchung stehen andere Aspekte entgegen, beispiesweise steigende Risiken für die Versorgungssicherheit oder der durch wirksamen Klimaschutz stark wachsende Bedarf an erneuerbaren Energien weltweit. </v>
      </c>
      <c r="F664" s="1125"/>
      <c r="G664" s="1125"/>
      <c r="H664" s="1125"/>
      <c r="I664" s="1125"/>
      <c r="J664" s="1125"/>
      <c r="K664" s="1125"/>
      <c r="L664" s="1125"/>
      <c r="M664" s="1125"/>
      <c r="N664" s="1132"/>
      <c r="O664" s="869">
        <v>658</v>
      </c>
      <c r="P664" s="691" t="str">
        <f ca="1">HYPERLINK(EK664,EJ664)</f>
        <v/>
      </c>
      <c r="Q664" s="692" t="str">
        <f>Y664</f>
        <v xml:space="preserve"> </v>
      </c>
      <c r="R664" s="852"/>
      <c r="S664" s="784"/>
      <c r="T664" s="864"/>
      <c r="U664" s="1023" t="s">
        <v>666</v>
      </c>
      <c r="V664" s="905" t="s">
        <v>126</v>
      </c>
      <c r="W664" s="1024">
        <v>0</v>
      </c>
      <c r="X664" s="672"/>
      <c r="Y664" s="672" t="s">
        <v>126</v>
      </c>
      <c r="Z664" s="1025"/>
      <c r="AA664" s="905"/>
      <c r="AB664" s="801"/>
      <c r="AC664" s="801"/>
      <c r="AD664" s="801"/>
      <c r="AE664" s="801"/>
      <c r="AF664" s="801"/>
      <c r="AG664" s="801"/>
      <c r="AH664" s="801"/>
      <c r="AI664" s="801"/>
      <c r="AJ664" s="801"/>
      <c r="AK664" s="801"/>
      <c r="AL664" s="801"/>
      <c r="AM664" s="801"/>
      <c r="AN664" s="801"/>
      <c r="AO664" s="801"/>
      <c r="AP664" s="801"/>
      <c r="AQ664" s="801"/>
      <c r="AR664" s="801"/>
      <c r="AS664" s="801"/>
      <c r="AT664" s="801"/>
      <c r="AU664" s="801"/>
      <c r="AV664" s="801"/>
      <c r="BF664" s="657"/>
      <c r="BI664" s="656" t="s">
        <v>126</v>
      </c>
      <c r="BJ664" s="666"/>
      <c r="BO664" s="656" t="s">
        <v>259</v>
      </c>
      <c r="CU664" s="663" t="str">
        <f>CH$1&amp;IF(U664="",BF664,U664)</f>
        <v xml:space="preserve">- ZIEL-Ansatz: Die Einfuhr von Strom aus erneuerbaren Quellen von außerhalb Deutschlands wird hier nicht vorgesehen. Einer möglichen Entlastung der eigenen energetischen Flächenbeanspruchung stehen andere Aspekte entgegen, beispiesweise steigende Risiken für die Versorgungssicherheit oder der durch wirksamen Klimaschutz stark wachsende Bedarf an erneuerbaren Energien weltweit. </v>
      </c>
      <c r="CW664" s="663"/>
      <c r="DT664" s="671">
        <v>53</v>
      </c>
      <c r="EJ664" s="656" t="str">
        <f>IF(X664=0,"",EJ$1&amp;X664)</f>
        <v/>
      </c>
      <c r="EK664" s="656" t="str">
        <f ca="1">EK$1&amp;X664</f>
        <v>[D_Python.xlsx]9.Quellen!C</v>
      </c>
      <c r="EV664" s="819">
        <f t="shared" si="351"/>
        <v>664</v>
      </c>
      <c r="EW664" s="819"/>
    </row>
    <row r="665" spans="1:153" s="661" customFormat="1" ht="4">
      <c r="A665" s="677" t="str">
        <f t="shared" ca="1" si="349"/>
        <v>D.1.665</v>
      </c>
      <c r="B665" s="677" t="str">
        <f t="shared" ca="1" si="350"/>
        <v>1.665</v>
      </c>
      <c r="C665" s="677" t="str">
        <f t="shared" si="331"/>
        <v>[665]</v>
      </c>
      <c r="D665" s="677">
        <f>ROW()</f>
        <v>665</v>
      </c>
      <c r="E665" s="685"/>
      <c r="F665" s="685"/>
      <c r="G665" s="685"/>
      <c r="H665" s="685"/>
      <c r="I665" s="686"/>
      <c r="J665" s="686"/>
      <c r="K665" s="686"/>
      <c r="L665" s="686"/>
      <c r="M665" s="686"/>
      <c r="N665" s="685"/>
      <c r="O665" s="871">
        <v>659</v>
      </c>
      <c r="P665" s="693"/>
      <c r="Q665" s="694"/>
      <c r="R665" s="888"/>
      <c r="S665" s="802"/>
      <c r="T665" s="882"/>
      <c r="AB665" s="675"/>
      <c r="AC665" s="675"/>
      <c r="AD665" s="675"/>
      <c r="AE665" s="675"/>
      <c r="AF665" s="675"/>
      <c r="AG665" s="675"/>
      <c r="AH665" s="675"/>
      <c r="AI665" s="675"/>
      <c r="AJ665" s="675"/>
      <c r="AK665" s="675"/>
      <c r="AL665" s="675"/>
      <c r="AM665" s="675"/>
      <c r="AN665" s="675"/>
      <c r="AO665" s="675"/>
      <c r="AP665" s="675"/>
      <c r="AQ665" s="675"/>
      <c r="AR665" s="675"/>
      <c r="AS665" s="675"/>
      <c r="AT665" s="675"/>
      <c r="AU665" s="675"/>
      <c r="AV665" s="675"/>
      <c r="AZ665" s="669"/>
      <c r="BB665" s="669"/>
      <c r="BI665" s="661" t="s">
        <v>126</v>
      </c>
      <c r="BJ665" s="665"/>
      <c r="CU665" s="662"/>
      <c r="CW665" s="662"/>
      <c r="EV665" s="818" t="str">
        <f t="shared" si="351"/>
        <v/>
      </c>
      <c r="EW665" s="818"/>
    </row>
    <row r="666" spans="1:153" s="658" customFormat="1" ht="13.5" customHeight="1">
      <c r="A666" s="654" t="str">
        <f t="shared" ca="1" si="349"/>
        <v>D.1.666</v>
      </c>
      <c r="B666" s="654" t="str">
        <f t="shared" ca="1" si="350"/>
        <v>1.666</v>
      </c>
      <c r="C666" s="654" t="str">
        <f t="shared" si="331"/>
        <v>[666]</v>
      </c>
      <c r="D666" s="654">
        <f>ROW()</f>
        <v>666</v>
      </c>
      <c r="E666" s="1129" t="str">
        <f>BP666</f>
        <v>Übertragungsverluste Stromnetz</v>
      </c>
      <c r="F666" s="1129"/>
      <c r="G666" s="1129"/>
      <c r="H666" s="1129"/>
      <c r="I666" s="1129"/>
      <c r="J666" s="559" t="s">
        <v>38</v>
      </c>
      <c r="K666" s="557">
        <f ca="1">INDIRECT($W$1&amp;U666)</f>
        <v>5.2045467337274554</v>
      </c>
      <c r="L666" s="485" t="str">
        <f ca="1">HYPERLINK($CK$1&amp;U666,$CE$1&amp;U666&amp;$CF$1)</f>
        <v>[667]</v>
      </c>
      <c r="M666" s="558">
        <f ca="1">INDIRECT($W$1&amp;W666)</f>
        <v>15.204546733727454</v>
      </c>
      <c r="N666" s="681" t="str">
        <f ca="1">HYPERLINK($CK$1&amp;W666,$CE$1&amp;W666&amp;$CF$1)</f>
        <v>[669]</v>
      </c>
      <c r="O666" s="869">
        <v>660</v>
      </c>
      <c r="P666" s="690"/>
      <c r="Q666" s="695"/>
      <c r="R666" s="852"/>
      <c r="S666" s="784"/>
      <c r="T666" s="864"/>
      <c r="U666" s="672">
        <f>D667</f>
        <v>667</v>
      </c>
      <c r="V666" s="905" t="s">
        <v>126</v>
      </c>
      <c r="W666" s="672">
        <f>D669</f>
        <v>669</v>
      </c>
      <c r="AB666" s="801"/>
      <c r="AC666" s="801"/>
      <c r="AD666" s="674"/>
      <c r="AE666" s="674"/>
      <c r="AF666" s="674"/>
      <c r="AG666" s="674"/>
      <c r="AH666" s="674"/>
      <c r="AI666" s="674"/>
      <c r="AJ666" s="674"/>
      <c r="AK666" s="674"/>
      <c r="AL666" s="674"/>
      <c r="AM666" s="674"/>
      <c r="AN666" s="674"/>
      <c r="AO666" s="674"/>
      <c r="AP666" s="674"/>
      <c r="AQ666" s="674"/>
      <c r="AR666" s="674"/>
      <c r="AS666" s="674"/>
      <c r="AT666" s="674"/>
      <c r="AU666" s="674"/>
      <c r="AV666" s="674"/>
      <c r="AX666" s="658" t="s">
        <v>244</v>
      </c>
      <c r="AY666" s="668">
        <f ca="1">DA666</f>
        <v>2.3178959999999997</v>
      </c>
      <c r="AZ666" s="670" t="str">
        <f ca="1">HYPERLINK(DN666,DC666)</f>
        <v xml:space="preserve"> 414</v>
      </c>
      <c r="BA666" s="668">
        <f ca="1">DB666</f>
        <v>2.7042119999999996</v>
      </c>
      <c r="BB666" s="670" t="str">
        <f ca="1">HYPERLINK(DO666,DD666)</f>
        <v xml:space="preserve"> 415</v>
      </c>
      <c r="BC666" s="658" t="str">
        <f ca="1">CY666&amp;" | "&amp;CZ666</f>
        <v>Wärme | 2.2.2 Energieertrag Abwärme aus Verstromung von Tiefen-Geothermie</v>
      </c>
      <c r="BI666" s="658" t="s">
        <v>126</v>
      </c>
      <c r="BJ666" s="667" t="str">
        <f>E666</f>
        <v>Übertragungsverluste Stromnetz</v>
      </c>
      <c r="BK666" s="664">
        <f ca="1">K666</f>
        <v>5.2045467337274554</v>
      </c>
      <c r="BL666" s="664">
        <f ca="1">M666</f>
        <v>15.204546733727454</v>
      </c>
      <c r="BM666" s="656">
        <f>D666</f>
        <v>666</v>
      </c>
      <c r="BO666" s="658" t="s">
        <v>251</v>
      </c>
      <c r="BP666" s="676" t="s">
        <v>659</v>
      </c>
      <c r="CU666" s="659"/>
      <c r="CW666" s="671">
        <v>107</v>
      </c>
      <c r="CY666" s="656" t="str">
        <f t="shared" ref="CY666:DO666" ca="1" si="353">INDIRECT($CX$1&amp;CY$1&amp;$CW666)</f>
        <v>Wärme</v>
      </c>
      <c r="CZ666" s="656" t="str">
        <f t="shared" ca="1" si="353"/>
        <v>2.2.2 Energieertrag Abwärme aus Verstromung von Tiefen-Geothermie</v>
      </c>
      <c r="DA666" s="656">
        <f t="shared" ca="1" si="353"/>
        <v>2.3178959999999997</v>
      </c>
      <c r="DB666" s="656">
        <f t="shared" ca="1" si="353"/>
        <v>2.7042119999999996</v>
      </c>
      <c r="DC666" s="656" t="str">
        <f t="shared" ca="1" si="353"/>
        <v xml:space="preserve"> 414</v>
      </c>
      <c r="DD666" s="656" t="str">
        <f t="shared" ca="1" si="353"/>
        <v xml:space="preserve"> 415</v>
      </c>
      <c r="DE666" s="656" t="str">
        <f t="shared" ca="1" si="353"/>
        <v>UG99</v>
      </c>
      <c r="DF666" s="656" t="str">
        <f t="shared" ca="1" si="353"/>
        <v>UG99</v>
      </c>
      <c r="DG666" s="656" t="str">
        <f t="shared" ca="1" si="353"/>
        <v>UG</v>
      </c>
      <c r="DH666" s="656" t="str">
        <f t="shared" ca="1" si="353"/>
        <v>99</v>
      </c>
      <c r="DI666" s="656" t="str">
        <f t="shared" ca="1" si="353"/>
        <v>[UG.xls]TEXT!Z99S5</v>
      </c>
      <c r="DJ666" s="656" t="str">
        <f t="shared" ca="1" si="353"/>
        <v>UG</v>
      </c>
      <c r="DK666" s="656" t="str">
        <f t="shared" ca="1" si="353"/>
        <v>99</v>
      </c>
      <c r="DL666" s="656" t="str">
        <f t="shared" ca="1" si="353"/>
        <v>[UG.xls]TEXT!Z99S5</v>
      </c>
      <c r="DM666" s="656">
        <f t="shared" ca="1" si="353"/>
        <v>107</v>
      </c>
      <c r="DN666" s="656" t="str">
        <f t="shared" ca="1" si="353"/>
        <v>[Region.xls]PARAMETER!Z414S6</v>
      </c>
      <c r="DO666" s="656" t="str">
        <f t="shared" ca="1" si="353"/>
        <v>[Region.xls]PARAMETER!Z415S6</v>
      </c>
      <c r="DP666" s="656"/>
      <c r="DS666" s="656"/>
      <c r="DV666" s="656"/>
      <c r="DW666" s="656"/>
      <c r="DX666" s="656"/>
      <c r="DY666" s="656"/>
      <c r="DZ666" s="656"/>
      <c r="EA666" s="656"/>
      <c r="EB666" s="656"/>
      <c r="EC666" s="656"/>
      <c r="ED666" s="656"/>
      <c r="EE666" s="656"/>
      <c r="EF666" s="656"/>
      <c r="EG666" s="656"/>
      <c r="EH666" s="656"/>
      <c r="EI666" s="656"/>
      <c r="EJ666" s="656"/>
      <c r="EK666" s="656"/>
      <c r="EV666" s="819">
        <f t="shared" si="351"/>
        <v>666</v>
      </c>
      <c r="EW666" s="819"/>
    </row>
    <row r="667" spans="1:153" s="656" customFormat="1" ht="39">
      <c r="A667" s="654" t="str">
        <f t="shared" ca="1" si="349"/>
        <v>D.1.667</v>
      </c>
      <c r="B667" s="654" t="str">
        <f t="shared" ca="1" si="350"/>
        <v>1.667</v>
      </c>
      <c r="C667" s="654" t="str">
        <f t="shared" si="331"/>
        <v>[667]</v>
      </c>
      <c r="D667" s="654">
        <f>ROW()</f>
        <v>667</v>
      </c>
      <c r="E667" s="1130" t="str">
        <f ca="1">CU667</f>
        <v>- STATUS-Ansatz: Gemäß Energiebilanz Deutschland für das Jahr 2012 [9.31] (Aufbereitung siehe [8.22]) kommen zum Endverbrauch im Stromnetz 5,5%  Übertragungsverluste im Stromnetz. Bezogen auf die Einspeisung ins Stromnetz entspricht das 5,2%  Übertragungsverlusten, die hier auch für Niedersachsen angenommen werden.</v>
      </c>
      <c r="F667" s="1130"/>
      <c r="G667" s="1130"/>
      <c r="H667" s="1130"/>
      <c r="I667" s="1130"/>
      <c r="J667" s="1130"/>
      <c r="K667" s="1130"/>
      <c r="L667" s="1130"/>
      <c r="M667" s="1130"/>
      <c r="N667" s="1131"/>
      <c r="O667" s="869">
        <v>661</v>
      </c>
      <c r="P667" s="691" t="str">
        <f ca="1">HYPERLINK(EK667,EJ667)</f>
        <v>9.31</v>
      </c>
      <c r="Q667" s="646" t="str">
        <f ca="1">IF(Y667="&gt;8",HYPERLINK(ES667,ER667),Y667)</f>
        <v>8.22</v>
      </c>
      <c r="R667" s="852"/>
      <c r="S667" s="784"/>
      <c r="T667" s="864"/>
      <c r="U667" s="1023" t="str">
        <f ca="1">"Gemäß Energiebilanz Deutschland für das Jahr 2012 ["&amp;P667&amp;"] (Aufbereitung siehe ["&amp;Q667&amp;"]) kommen zum Endverbrauch im Stromnetz "&amp;TEXT(AD667,"0,0")&amp;AE667&amp;" Übertragungsverluste im Stromnetz. Bezogen auf die Einspeisung ins Stromnetz entspricht das "&amp;TEXT(AF667,"0,0")&amp;AG667&amp;" Übertragungsverlusten, die hier auch für Niedersachsen angenommen werden."</f>
        <v>Gemäß Energiebilanz Deutschland für das Jahr 2012 [9.31] (Aufbereitung siehe [8.22]) kommen zum Endverbrauch im Stromnetz 5,5%  Übertragungsverluste im Stromnetz. Bezogen auf die Einspeisung ins Stromnetz entspricht das 5,2%  Übertragungsverlusten, die hier auch für Niedersachsen angenommen werden.</v>
      </c>
      <c r="V667" s="905" t="s">
        <v>126</v>
      </c>
      <c r="W667" s="1034">
        <f>AF667</f>
        <v>5.2045467337274554</v>
      </c>
      <c r="X667" s="672">
        <f>'9.Quellen'!C31</f>
        <v>31</v>
      </c>
      <c r="Y667" s="672" t="s">
        <v>664</v>
      </c>
      <c r="Z667" s="672">
        <f>'8.Kennzahlen'!D22</f>
        <v>22</v>
      </c>
      <c r="AA667" s="658"/>
      <c r="AB667" s="801"/>
      <c r="AC667" s="801"/>
      <c r="AD667" s="801">
        <f>'8.Kennzahlen'!J22</f>
        <v>5.4902915217972756</v>
      </c>
      <c r="AE667" s="801" t="s">
        <v>835</v>
      </c>
      <c r="AF667" s="801">
        <f>(1-1/(1+AD667/100))*100</f>
        <v>5.2045467337274554</v>
      </c>
      <c r="AG667" s="801" t="s">
        <v>835</v>
      </c>
      <c r="AH667" s="801"/>
      <c r="AI667" s="801"/>
      <c r="AJ667" s="801"/>
      <c r="AK667" s="801"/>
      <c r="AL667" s="801"/>
      <c r="AM667" s="801"/>
      <c r="AN667" s="801"/>
      <c r="AO667" s="801"/>
      <c r="AP667" s="801"/>
      <c r="AQ667" s="801"/>
      <c r="AR667" s="801"/>
      <c r="AS667" s="801"/>
      <c r="AT667" s="801"/>
      <c r="AU667" s="801"/>
      <c r="AV667" s="801"/>
      <c r="BF667" s="657"/>
      <c r="BI667" s="656" t="s">
        <v>126</v>
      </c>
      <c r="BJ667" s="666"/>
      <c r="BO667" s="656" t="s">
        <v>259</v>
      </c>
      <c r="CU667" s="663" t="str">
        <f ca="1">CG$1&amp;IF(U667="",BF667,U667)</f>
        <v>- STATUS-Ansatz: Gemäß Energiebilanz Deutschland für das Jahr 2012 [9.31] (Aufbereitung siehe [8.22]) kommen zum Endverbrauch im Stromnetz 5,5%  Übertragungsverluste im Stromnetz. Bezogen auf die Einspeisung ins Stromnetz entspricht das 5,2%  Übertragungsverlusten, die hier auch für Niedersachsen angenommen werden.</v>
      </c>
      <c r="CW667" s="663"/>
      <c r="DT667" s="671">
        <f>I_Basisdaten!A318</f>
        <v>0</v>
      </c>
      <c r="EJ667" s="656" t="str">
        <f ca="1">IF(X667=0,"",EJ$1&amp;X667)</f>
        <v>9.31</v>
      </c>
      <c r="EK667" s="656" t="str">
        <f ca="1">EK$1&amp;X667</f>
        <v>[D_Python.xlsx]9.Quellen!C31</v>
      </c>
      <c r="ER667" s="656" t="str">
        <f ca="1">IF(Z667=0,"",ER$1&amp;Z667)</f>
        <v>8.22</v>
      </c>
      <c r="ES667" s="656" t="str">
        <f ca="1">ES$1&amp;Z667</f>
        <v>[D_Python.xlsx]8.Kennzahlen!D22</v>
      </c>
      <c r="EV667" s="819">
        <f t="shared" ca="1" si="351"/>
        <v>667</v>
      </c>
      <c r="EW667" s="819"/>
    </row>
    <row r="668" spans="1:153" s="661" customFormat="1" ht="4">
      <c r="A668" s="677" t="str">
        <f t="shared" ca="1" si="349"/>
        <v>D.1.668</v>
      </c>
      <c r="B668" s="677" t="str">
        <f t="shared" ca="1" si="350"/>
        <v>1.668</v>
      </c>
      <c r="C668" s="677" t="str">
        <f t="shared" si="331"/>
        <v>[668]</v>
      </c>
      <c r="D668" s="677">
        <f>ROW()</f>
        <v>668</v>
      </c>
      <c r="E668" s="680"/>
      <c r="F668" s="680"/>
      <c r="G668" s="680"/>
      <c r="H668" s="680"/>
      <c r="I668" s="679"/>
      <c r="J668" s="679"/>
      <c r="K668" s="679"/>
      <c r="L668" s="679"/>
      <c r="M668" s="679"/>
      <c r="N668" s="680"/>
      <c r="O668" s="871">
        <v>662</v>
      </c>
      <c r="P668" s="688"/>
      <c r="Q668" s="689"/>
      <c r="R668" s="888"/>
      <c r="S668" s="810"/>
      <c r="T668" s="882"/>
      <c r="AB668" s="675"/>
      <c r="AC668" s="675"/>
      <c r="AD668" s="675"/>
      <c r="AE668" s="675"/>
      <c r="AF668" s="675"/>
      <c r="AG668" s="675"/>
      <c r="AH668" s="675"/>
      <c r="AI668" s="675"/>
      <c r="AJ668" s="675"/>
      <c r="AK668" s="675"/>
      <c r="AL668" s="675"/>
      <c r="AM668" s="675"/>
      <c r="AN668" s="675"/>
      <c r="AO668" s="675"/>
      <c r="AP668" s="675"/>
      <c r="AQ668" s="675"/>
      <c r="AR668" s="675"/>
      <c r="AS668" s="675"/>
      <c r="AT668" s="675"/>
      <c r="AU668" s="675"/>
      <c r="AV668" s="675"/>
      <c r="BI668" s="661" t="s">
        <v>126</v>
      </c>
      <c r="BJ668" s="665"/>
      <c r="CU668" s="662"/>
      <c r="CW668" s="662"/>
      <c r="EV668" s="818" t="str">
        <f t="shared" si="351"/>
        <v/>
      </c>
      <c r="EW668" s="818"/>
    </row>
    <row r="669" spans="1:153" s="656" customFormat="1" ht="52">
      <c r="A669" s="654" t="str">
        <f t="shared" ca="1" si="349"/>
        <v>D.1.669</v>
      </c>
      <c r="B669" s="654" t="str">
        <f t="shared" ca="1" si="350"/>
        <v>1.669</v>
      </c>
      <c r="C669" s="654" t="str">
        <f t="shared" si="331"/>
        <v>[669]</v>
      </c>
      <c r="D669" s="654">
        <f>ROW()</f>
        <v>669</v>
      </c>
      <c r="E669" s="1125" t="str">
        <f t="shared" ref="E669" si="354">CU669</f>
        <v>- ZIEL-Ansatz: Die künftige Netzstruktur und deren Eigenschaften sind aus heutiger Sicht schwer einschätzbar. Es wird hier davon ausgegangen, dass die spezifischen Netzübertragungsverluste keinen gravierenden Änderungen unterworfen sein werden, der Statuswert von 5,2%  wird beibehalten. Zusätzlich werden hier 10%  Verluste aus der künftig erforderlichen Kurzzeitspeicherung und Netzstabilisierung gemäß [670] berücksichtigt.</v>
      </c>
      <c r="F669" s="1125"/>
      <c r="G669" s="1125"/>
      <c r="H669" s="1125"/>
      <c r="I669" s="1125"/>
      <c r="J669" s="1125"/>
      <c r="K669" s="1125"/>
      <c r="L669" s="1125"/>
      <c r="M669" s="1125"/>
      <c r="N669" s="1132"/>
      <c r="O669" s="869">
        <v>663</v>
      </c>
      <c r="P669" s="691" t="str">
        <f ca="1">HYPERLINK(EK669,EJ669)</f>
        <v/>
      </c>
      <c r="Q669" s="692" t="str">
        <f>Y669</f>
        <v xml:space="preserve"> </v>
      </c>
      <c r="R669" s="852"/>
      <c r="S669" s="784"/>
      <c r="T669" s="864"/>
      <c r="U669" s="1023" t="str">
        <f>"Die künftige Netzstruktur und deren Eigenschaften sind aus heutiger Sicht schwer einschätzbar. Es wird hier davon ausgegangen, dass die spezifischen Netzübertragungsverluste keinen gravierenden Änderungen unterworfen sein werden, der Statuswert von "&amp;TEXT(AD669,"0,0")&amp;AE669&amp;" wird beibehalten. Zusätzlich werden hier "&amp;AF669&amp;AG669&amp;" Verluste aus der künftig erforderlichen Kurzzeitspeicherung und Netzstabilisierung gemäß "&amp;C670&amp;" berücksichtigt."</f>
        <v>Die künftige Netzstruktur und deren Eigenschaften sind aus heutiger Sicht schwer einschätzbar. Es wird hier davon ausgegangen, dass die spezifischen Netzübertragungsverluste keinen gravierenden Änderungen unterworfen sein werden, der Statuswert von 5,2%  wird beibehalten. Zusätzlich werden hier 10%  Verluste aus der künftig erforderlichen Kurzzeitspeicherung und Netzstabilisierung gemäß [670] berücksichtigt.</v>
      </c>
      <c r="V669" s="905" t="s">
        <v>126</v>
      </c>
      <c r="W669" s="1034">
        <f>AD669+AF669</f>
        <v>15.204546733727454</v>
      </c>
      <c r="X669" s="672"/>
      <c r="Y669" s="672" t="s">
        <v>126</v>
      </c>
      <c r="Z669" s="1025"/>
      <c r="AA669" s="905"/>
      <c r="AB669" s="801"/>
      <c r="AC669" s="801"/>
      <c r="AD669" s="801">
        <f>AF667</f>
        <v>5.2045467337274554</v>
      </c>
      <c r="AE669" s="801" t="s">
        <v>835</v>
      </c>
      <c r="AF669" s="801">
        <f>AD670</f>
        <v>10</v>
      </c>
      <c r="AG669" s="801" t="s">
        <v>835</v>
      </c>
      <c r="AH669" s="801"/>
      <c r="AI669" s="801"/>
      <c r="AJ669" s="801"/>
      <c r="AK669" s="801"/>
      <c r="AL669" s="801"/>
      <c r="AM669" s="801"/>
      <c r="AN669" s="801"/>
      <c r="AO669" s="801"/>
      <c r="AP669" s="801"/>
      <c r="AQ669" s="801"/>
      <c r="AR669" s="801"/>
      <c r="AS669" s="801"/>
      <c r="AT669" s="801"/>
      <c r="AU669" s="801"/>
      <c r="AV669" s="801"/>
      <c r="BF669" s="657"/>
      <c r="BI669" s="656" t="s">
        <v>126</v>
      </c>
      <c r="BJ669" s="666"/>
      <c r="BO669" s="656" t="s">
        <v>259</v>
      </c>
      <c r="CU669" s="663" t="str">
        <f>CH$1&amp;IF(U669="",BF669,U669)</f>
        <v>- ZIEL-Ansatz: Die künftige Netzstruktur und deren Eigenschaften sind aus heutiger Sicht schwer einschätzbar. Es wird hier davon ausgegangen, dass die spezifischen Netzübertragungsverluste keinen gravierenden Änderungen unterworfen sein werden, der Statuswert von 5,2%  wird beibehalten. Zusätzlich werden hier 10%  Verluste aus der künftig erforderlichen Kurzzeitspeicherung und Netzstabilisierung gemäß [670] berücksichtigt.</v>
      </c>
      <c r="CW669" s="663"/>
      <c r="DT669" s="671">
        <v>53</v>
      </c>
      <c r="EJ669" s="656" t="str">
        <f>IF(X669=0,"",EJ$1&amp;X669)</f>
        <v/>
      </c>
      <c r="EK669" s="656" t="str">
        <f ca="1">EK$1&amp;X669</f>
        <v>[D_Python.xlsx]9.Quellen!C</v>
      </c>
      <c r="ER669" s="656" t="str">
        <f>IF(Z669=0,"",ER$1&amp;Z669)</f>
        <v/>
      </c>
      <c r="ES669" s="656" t="str">
        <f ca="1">ES$1&amp;AD669</f>
        <v>[D_Python.xlsx]8.Kennzahlen!D5,20454673372746</v>
      </c>
      <c r="EV669" s="819">
        <f t="shared" si="351"/>
        <v>669</v>
      </c>
      <c r="EW669" s="819"/>
    </row>
    <row r="670" spans="1:153" s="656" customFormat="1" ht="65">
      <c r="A670" s="654" t="str">
        <f t="shared" ca="1" si="349"/>
        <v>D.1.670</v>
      </c>
      <c r="B670" s="654" t="str">
        <f t="shared" ca="1" si="350"/>
        <v>1.670</v>
      </c>
      <c r="C670" s="654" t="str">
        <f t="shared" si="331"/>
        <v>[670]</v>
      </c>
      <c r="D670" s="654">
        <f>ROW()</f>
        <v>670</v>
      </c>
      <c r="E670" s="1125" t="str">
        <f>CU670</f>
        <v xml:space="preserve">Auf 10%  relativ zur Einspeisung ins Stromnetz werden die Verluste durch Kurzzeitspeicherung von Strom zum Schwankungsausgleich jeweils innerhalb eines Tages und zur Netzstabilisierung nach einer eigenen überschlägigen Abschätzung veranschlagt. Dabei  wird unterstellt, dass gut 30 % des Jahresstromverbrauchs zum Mangelausgleich aus Kurzzeitspeichern (Pumpspeicher-Kraftwerke, Batterien, adiabate Druckluftspeicherkraftwerke usw.) zugeführt werden müssen und diese einen durchschnittlichen Wirkungsgrad von 75 % aufweisen. </v>
      </c>
      <c r="F670" s="1125"/>
      <c r="G670" s="1125"/>
      <c r="H670" s="1125"/>
      <c r="I670" s="1125"/>
      <c r="J670" s="1125"/>
      <c r="K670" s="1125"/>
      <c r="L670" s="1125"/>
      <c r="M670" s="1125"/>
      <c r="N670" s="1132"/>
      <c r="O670" s="869">
        <v>664</v>
      </c>
      <c r="P670" s="691" t="str">
        <f t="shared" ref="P670" ca="1" si="355">HYPERLINK(EK670,EJ670)</f>
        <v/>
      </c>
      <c r="Q670" s="692" t="str">
        <f t="shared" ref="Q670" si="356">Y670</f>
        <v xml:space="preserve"> </v>
      </c>
      <c r="R670" s="852"/>
      <c r="S670" s="784"/>
      <c r="T670" s="864"/>
      <c r="U670" s="1023" t="str">
        <f>"Auf "&amp;AD670&amp;AE670&amp;" relativ zur Einspeisung ins Stromnetz werden die Verluste durch Kurzzeitspeicherung von Strom zum Schwankungsausgleich jeweils innerhalb eines Tages und zur Netzstabilisierung nach einer eigenen überschlägigen Abschätzung veranschlagt. "&amp;"Dabei  wird unterstellt, dass gut 30 % des Jahresstromverbrauchs zum Mangelausgleich aus Kurzzeitspeichern "&amp;"(Pumpspeicher-Kraftwerke, Batterien, adiabate Druckluftspeicherkraftwerke usw.) zugeführt werden müssen und diese einen durchschnittlichen Wirkungsgrad von 75 % aufweisen. "</f>
        <v xml:space="preserve">Auf 10%  relativ zur Einspeisung ins Stromnetz werden die Verluste durch Kurzzeitspeicherung von Strom zum Schwankungsausgleich jeweils innerhalb eines Tages und zur Netzstabilisierung nach einer eigenen überschlägigen Abschätzung veranschlagt. Dabei  wird unterstellt, dass gut 30 % des Jahresstromverbrauchs zum Mangelausgleich aus Kurzzeitspeichern (Pumpspeicher-Kraftwerke, Batterien, adiabate Druckluftspeicherkraftwerke usw.) zugeführt werden müssen und diese einen durchschnittlichen Wirkungsgrad von 75 % aufweisen. </v>
      </c>
      <c r="V670" s="905" t="s">
        <v>126</v>
      </c>
      <c r="W670" s="1024">
        <f>AD670</f>
        <v>10</v>
      </c>
      <c r="X670" s="672"/>
      <c r="Y670" s="672" t="s">
        <v>126</v>
      </c>
      <c r="Z670" s="1025"/>
      <c r="AA670" s="905"/>
      <c r="AB670" s="801"/>
      <c r="AC670" s="801"/>
      <c r="AD670" s="801">
        <v>10</v>
      </c>
      <c r="AE670" s="801" t="s">
        <v>835</v>
      </c>
      <c r="AF670" s="801"/>
      <c r="AG670" s="801"/>
      <c r="AH670" s="801"/>
      <c r="AI670" s="801"/>
      <c r="AJ670" s="801"/>
      <c r="AK670" s="801"/>
      <c r="AL670" s="801"/>
      <c r="AM670" s="801"/>
      <c r="AN670" s="801"/>
      <c r="AO670" s="801"/>
      <c r="AP670" s="801"/>
      <c r="AQ670" s="801"/>
      <c r="AR670" s="801"/>
      <c r="AS670" s="801"/>
      <c r="AT670" s="801"/>
      <c r="AU670" s="801"/>
      <c r="AV670" s="801"/>
      <c r="BF670" s="657"/>
      <c r="BI670" s="656" t="s">
        <v>126</v>
      </c>
      <c r="BJ670" s="666"/>
      <c r="BO670" s="656" t="s">
        <v>252</v>
      </c>
      <c r="CU670" s="663" t="str">
        <f>IF(U670="",BF670,U670)</f>
        <v xml:space="preserve">Auf 10%  relativ zur Einspeisung ins Stromnetz werden die Verluste durch Kurzzeitspeicherung von Strom zum Schwankungsausgleich jeweils innerhalb eines Tages und zur Netzstabilisierung nach einer eigenen überschlägigen Abschätzung veranschlagt. Dabei  wird unterstellt, dass gut 30 % des Jahresstromverbrauchs zum Mangelausgleich aus Kurzzeitspeichern (Pumpspeicher-Kraftwerke, Batterien, adiabate Druckluftspeicherkraftwerke usw.) zugeführt werden müssen und diese einen durchschnittlichen Wirkungsgrad von 75 % aufweisen. </v>
      </c>
      <c r="CW670" s="663"/>
      <c r="DT670" s="671"/>
      <c r="EJ670" s="656" t="str">
        <f>IF(X670=0,"",EJ$1&amp;X670)</f>
        <v/>
      </c>
      <c r="EK670" s="656" t="str">
        <f ca="1">EK$1&amp;X670</f>
        <v>[D_Python.xlsx]9.Quellen!C</v>
      </c>
      <c r="EV670" s="819">
        <f t="shared" si="351"/>
        <v>670</v>
      </c>
      <c r="EW670" s="819"/>
    </row>
    <row r="671" spans="1:153" s="661" customFormat="1" ht="4">
      <c r="A671" s="677" t="str">
        <f t="shared" ca="1" si="349"/>
        <v>D.1.671</v>
      </c>
      <c r="B671" s="677" t="str">
        <f t="shared" ca="1" si="350"/>
        <v>1.671</v>
      </c>
      <c r="C671" s="677" t="str">
        <f t="shared" si="331"/>
        <v>[671]</v>
      </c>
      <c r="D671" s="677">
        <f>ROW()</f>
        <v>671</v>
      </c>
      <c r="E671" s="680"/>
      <c r="F671" s="680"/>
      <c r="G671" s="680"/>
      <c r="H671" s="680"/>
      <c r="I671" s="679"/>
      <c r="J671" s="679"/>
      <c r="K671" s="679"/>
      <c r="L671" s="679"/>
      <c r="M671" s="679"/>
      <c r="N671" s="680"/>
      <c r="O671" s="871">
        <v>665</v>
      </c>
      <c r="P671" s="688"/>
      <c r="Q671" s="689"/>
      <c r="R671" s="888"/>
      <c r="S671" s="802"/>
      <c r="T671" s="882"/>
      <c r="AB671" s="675"/>
      <c r="AC671" s="675"/>
      <c r="AD671" s="675"/>
      <c r="AE671" s="675"/>
      <c r="AF671" s="675"/>
      <c r="AG671" s="675"/>
      <c r="AH671" s="675"/>
      <c r="AI671" s="675"/>
      <c r="AJ671" s="675"/>
      <c r="AK671" s="675"/>
      <c r="AL671" s="675"/>
      <c r="AM671" s="675"/>
      <c r="AN671" s="675"/>
      <c r="AO671" s="675"/>
      <c r="AP671" s="675"/>
      <c r="AQ671" s="675"/>
      <c r="AR671" s="675"/>
      <c r="AS671" s="675"/>
      <c r="AT671" s="675"/>
      <c r="AU671" s="675"/>
      <c r="AV671" s="675"/>
      <c r="BI671" s="661" t="s">
        <v>126</v>
      </c>
      <c r="BJ671" s="665"/>
      <c r="CU671" s="662"/>
      <c r="CW671" s="662"/>
      <c r="EV671" s="818" t="str">
        <f t="shared" si="351"/>
        <v/>
      </c>
      <c r="EW671" s="818"/>
    </row>
    <row r="672" spans="1:153" s="472" customFormat="1" ht="13">
      <c r="A672" s="654" t="str">
        <f t="shared" ca="1" si="349"/>
        <v>D.1.672</v>
      </c>
      <c r="B672" s="654" t="str">
        <f t="shared" ca="1" si="350"/>
        <v>1.672</v>
      </c>
      <c r="C672" s="654" t="str">
        <f t="shared" si="331"/>
        <v>[672]</v>
      </c>
      <c r="D672" s="654">
        <f>ROW()</f>
        <v>672</v>
      </c>
      <c r="E672" s="481" t="str">
        <f>BP672</f>
        <v>Wirtschaftliche Entwicklung</v>
      </c>
      <c r="F672" s="482"/>
      <c r="G672" s="482"/>
      <c r="H672" s="482"/>
      <c r="I672" s="483"/>
      <c r="J672" s="484"/>
      <c r="K672" s="484"/>
      <c r="L672" s="484"/>
      <c r="M672" s="484"/>
      <c r="N672" s="532"/>
      <c r="O672" s="869">
        <v>666</v>
      </c>
      <c r="P672" s="568"/>
      <c r="Q672" s="569"/>
      <c r="R672" s="852"/>
      <c r="S672" s="804"/>
      <c r="T672" s="864"/>
      <c r="U672" s="905"/>
      <c r="V672" s="905"/>
      <c r="W672" s="905"/>
      <c r="X672" s="905"/>
      <c r="Y672" s="905"/>
      <c r="Z672" s="905"/>
      <c r="AA672" s="905"/>
      <c r="AB672" s="801"/>
      <c r="AC672" s="801"/>
      <c r="AD672" s="801"/>
      <c r="AE672" s="801"/>
      <c r="AF672" s="801"/>
      <c r="AG672" s="801"/>
      <c r="AH672" s="801"/>
      <c r="AI672" s="801"/>
      <c r="AJ672" s="801"/>
      <c r="AK672" s="801"/>
      <c r="AL672" s="801"/>
      <c r="AM672" s="801"/>
      <c r="AN672" s="801"/>
      <c r="AO672" s="801"/>
      <c r="AP672" s="801"/>
      <c r="AQ672" s="801"/>
      <c r="AR672" s="801"/>
      <c r="AS672" s="801"/>
      <c r="AT672" s="801"/>
      <c r="AU672" s="801"/>
      <c r="AV672" s="801"/>
      <c r="AZ672" s="504"/>
      <c r="BB672" s="506"/>
      <c r="BI672" s="472" t="s">
        <v>126</v>
      </c>
      <c r="BJ672" s="490"/>
      <c r="BN672" s="656"/>
      <c r="BO672" s="472" t="s">
        <v>250</v>
      </c>
      <c r="BP672" s="518" t="s">
        <v>444</v>
      </c>
      <c r="CU672" s="480"/>
      <c r="CV672" s="656"/>
      <c r="CW672" s="480"/>
      <c r="DS672" s="656"/>
      <c r="EV672" s="819">
        <f t="shared" si="351"/>
        <v>672</v>
      </c>
      <c r="EW672" s="819"/>
    </row>
    <row r="673" spans="1:153" s="478" customFormat="1" ht="4">
      <c r="A673" s="677" t="str">
        <f t="shared" ca="1" si="349"/>
        <v>D.1.673</v>
      </c>
      <c r="B673" s="677" t="str">
        <f t="shared" ca="1" si="350"/>
        <v>1.673</v>
      </c>
      <c r="C673" s="677" t="str">
        <f t="shared" si="331"/>
        <v>[673]</v>
      </c>
      <c r="D673" s="677">
        <f>ROW()</f>
        <v>673</v>
      </c>
      <c r="E673" s="528"/>
      <c r="F673" s="528"/>
      <c r="G673" s="528"/>
      <c r="H673" s="528"/>
      <c r="I673" s="527"/>
      <c r="J673" s="527"/>
      <c r="K673" s="527"/>
      <c r="L673" s="527"/>
      <c r="M673" s="527"/>
      <c r="N673" s="528"/>
      <c r="O673" s="871">
        <v>667</v>
      </c>
      <c r="P673" s="566"/>
      <c r="Q673" s="567"/>
      <c r="R673" s="888"/>
      <c r="S673" s="802"/>
      <c r="T673" s="882"/>
      <c r="U673" s="661"/>
      <c r="V673" s="661"/>
      <c r="W673" s="661"/>
      <c r="X673" s="661"/>
      <c r="Y673" s="661"/>
      <c r="Z673" s="661"/>
      <c r="AA673" s="661"/>
      <c r="AB673" s="675"/>
      <c r="AC673" s="675"/>
      <c r="AD673" s="675"/>
      <c r="AE673" s="675"/>
      <c r="AF673" s="675"/>
      <c r="AG673" s="675"/>
      <c r="AH673" s="675"/>
      <c r="AI673" s="675"/>
      <c r="AJ673" s="675"/>
      <c r="AK673" s="675"/>
      <c r="AL673" s="675"/>
      <c r="AM673" s="675"/>
      <c r="AN673" s="675"/>
      <c r="AO673" s="675"/>
      <c r="AP673" s="675"/>
      <c r="AQ673" s="675"/>
      <c r="AR673" s="675"/>
      <c r="AS673" s="675"/>
      <c r="AT673" s="675"/>
      <c r="AU673" s="675"/>
      <c r="AV673" s="675"/>
      <c r="BI673" s="478" t="s">
        <v>126</v>
      </c>
      <c r="BJ673" s="489"/>
      <c r="BN673" s="661"/>
      <c r="CU673" s="479"/>
      <c r="CV673" s="661"/>
      <c r="CW673" s="479"/>
      <c r="DS673" s="661"/>
      <c r="EV673" s="818" t="str">
        <f t="shared" si="351"/>
        <v/>
      </c>
      <c r="EW673" s="818"/>
    </row>
    <row r="674" spans="1:153" s="658" customFormat="1" ht="13.5" customHeight="1">
      <c r="A674" s="654" t="str">
        <f t="shared" ca="1" si="349"/>
        <v>D.1.674</v>
      </c>
      <c r="B674" s="654" t="str">
        <f t="shared" ca="1" si="350"/>
        <v>1.674</v>
      </c>
      <c r="C674" s="654" t="str">
        <f t="shared" si="331"/>
        <v>[674]</v>
      </c>
      <c r="D674" s="654">
        <f>ROW()</f>
        <v>674</v>
      </c>
      <c r="E674" s="1129" t="str">
        <f>BP674</f>
        <v>Betrachteter Zeitraum</v>
      </c>
      <c r="F674" s="1129"/>
      <c r="G674" s="1129"/>
      <c r="H674" s="1129"/>
      <c r="I674" s="1129"/>
      <c r="J674" s="655" t="s">
        <v>446</v>
      </c>
      <c r="K674" s="682">
        <f ca="1">INDIRECT($W$1&amp;U674)</f>
        <v>2016</v>
      </c>
      <c r="L674" s="697" t="str">
        <f ca="1">HYPERLINK($CK$1&amp;U674,$CE$1&amp;U674&amp;$CF$1)</f>
        <v>[677]</v>
      </c>
      <c r="M674" s="698">
        <f ca="1">INDIRECT($W$1&amp;W674)</f>
        <v>2040</v>
      </c>
      <c r="N674" s="681" t="str">
        <f ca="1">HYPERLINK($CK$1&amp;W674,$CE$1&amp;W674&amp;$CF$1)</f>
        <v>[679]</v>
      </c>
      <c r="O674" s="869">
        <v>668</v>
      </c>
      <c r="P674" s="690"/>
      <c r="Q674" s="695"/>
      <c r="R674" s="852"/>
      <c r="S674" s="784"/>
      <c r="T674" s="864"/>
      <c r="U674" s="672">
        <f>D677</f>
        <v>677</v>
      </c>
      <c r="V674" s="905" t="s">
        <v>126</v>
      </c>
      <c r="W674" s="672">
        <f>D679</f>
        <v>679</v>
      </c>
      <c r="AB674" s="801"/>
      <c r="AC674" s="801"/>
      <c r="AD674" s="674"/>
      <c r="AE674" s="674"/>
      <c r="AF674" s="674"/>
      <c r="AG674" s="674"/>
      <c r="AH674" s="674"/>
      <c r="AI674" s="674"/>
      <c r="AJ674" s="674"/>
      <c r="AK674" s="674"/>
      <c r="AL674" s="674"/>
      <c r="AM674" s="674"/>
      <c r="AN674" s="674"/>
      <c r="AO674" s="674"/>
      <c r="AP674" s="674"/>
      <c r="AQ674" s="674"/>
      <c r="AR674" s="674"/>
      <c r="AS674" s="674"/>
      <c r="AT674" s="674"/>
      <c r="AU674" s="674"/>
      <c r="AV674" s="674"/>
      <c r="AX674" s="658" t="s">
        <v>244</v>
      </c>
      <c r="AY674" s="668">
        <f ca="1">DA674</f>
        <v>10.254559182513647</v>
      </c>
      <c r="AZ674" s="670" t="str">
        <f ca="1">HYPERLINK(DN674,DC674)</f>
        <v xml:space="preserve"> 235</v>
      </c>
      <c r="BA674" s="668">
        <f ca="1">DB674</f>
        <v>35</v>
      </c>
      <c r="BB674" s="670" t="str">
        <f ca="1">HYPERLINK(DO674,DD674)</f>
        <v xml:space="preserve"> 236</v>
      </c>
      <c r="BC674" s="658" t="str">
        <f ca="1">CY674&amp;" | "&amp;CZ674</f>
        <v>Brennstoffgew.
für Prozesse | 0</v>
      </c>
      <c r="BI674" s="658" t="s">
        <v>126</v>
      </c>
      <c r="BJ674" s="667" t="str">
        <f>E674</f>
        <v>Betrachteter Zeitraum</v>
      </c>
      <c r="BK674" s="664">
        <f ca="1">K674</f>
        <v>2016</v>
      </c>
      <c r="BL674" s="664">
        <f ca="1">M674</f>
        <v>2040</v>
      </c>
      <c r="BM674" s="656">
        <f>D674</f>
        <v>674</v>
      </c>
      <c r="BO674" s="658" t="s">
        <v>251</v>
      </c>
      <c r="BP674" s="676" t="s">
        <v>445</v>
      </c>
      <c r="CU674" s="659"/>
      <c r="CW674" s="671">
        <v>61</v>
      </c>
      <c r="CY674" s="656" t="str">
        <f t="shared" ref="CY674:DO674" ca="1" si="357">INDIRECT($CX$1&amp;CY$1&amp;$CW674)</f>
        <v>Brennstoffgew.
für Prozesse</v>
      </c>
      <c r="CZ674" s="656">
        <f t="shared" ca="1" si="357"/>
        <v>0</v>
      </c>
      <c r="DA674" s="656">
        <f t="shared" ca="1" si="357"/>
        <v>10.254559182513647</v>
      </c>
      <c r="DB674" s="656">
        <f t="shared" ca="1" si="357"/>
        <v>35</v>
      </c>
      <c r="DC674" s="656" t="str">
        <f t="shared" ca="1" si="357"/>
        <v xml:space="preserve"> 235</v>
      </c>
      <c r="DD674" s="656" t="str">
        <f t="shared" ca="1" si="357"/>
        <v xml:space="preserve"> 236</v>
      </c>
      <c r="DE674" s="656" t="str">
        <f t="shared" ca="1" si="357"/>
        <v>Ho99</v>
      </c>
      <c r="DF674" s="656" t="str">
        <f t="shared" ca="1" si="357"/>
        <v>Ho36</v>
      </c>
      <c r="DG674" s="656" t="str">
        <f t="shared" ca="1" si="357"/>
        <v>Ho</v>
      </c>
      <c r="DH674" s="656" t="str">
        <f t="shared" ca="1" si="357"/>
        <v>99</v>
      </c>
      <c r="DI674" s="656" t="str">
        <f t="shared" ca="1" si="357"/>
        <v>[Ho.xls]TEXT!Z99S5</v>
      </c>
      <c r="DJ674" s="656" t="str">
        <f t="shared" ca="1" si="357"/>
        <v>Ho</v>
      </c>
      <c r="DK674" s="656" t="str">
        <f t="shared" ca="1" si="357"/>
        <v>36</v>
      </c>
      <c r="DL674" s="656" t="str">
        <f t="shared" ca="1" si="357"/>
        <v>[Ho.xls]TEXT!Z36S5</v>
      </c>
      <c r="DM674" s="656">
        <f t="shared" ca="1" si="357"/>
        <v>61</v>
      </c>
      <c r="DN674" s="656" t="str">
        <f t="shared" ca="1" si="357"/>
        <v>[Region.xls]PARAMETER!Z235S6</v>
      </c>
      <c r="DO674" s="656" t="str">
        <f t="shared" ca="1" si="357"/>
        <v>[Region.xls]PARAMETER!Z236S6</v>
      </c>
      <c r="DP674" s="656"/>
      <c r="DS674" s="656"/>
      <c r="DV674" s="656"/>
      <c r="DW674" s="656"/>
      <c r="DX674" s="656"/>
      <c r="DY674" s="656"/>
      <c r="DZ674" s="656"/>
      <c r="EA674" s="656"/>
      <c r="EB674" s="656"/>
      <c r="EC674" s="656"/>
      <c r="ED674" s="656"/>
      <c r="EE674" s="656"/>
      <c r="EF674" s="656"/>
      <c r="EG674" s="656"/>
      <c r="EH674" s="656"/>
      <c r="EI674" s="656"/>
      <c r="EJ674" s="656"/>
      <c r="EK674" s="656"/>
      <c r="EV674" s="819">
        <f t="shared" si="351"/>
        <v>674</v>
      </c>
      <c r="EW674" s="819"/>
    </row>
    <row r="675" spans="1:153" s="656" customFormat="1" ht="26">
      <c r="A675" s="654" t="str">
        <f t="shared" ca="1" si="349"/>
        <v>D.1.675</v>
      </c>
      <c r="B675" s="654" t="str">
        <f t="shared" ca="1" si="350"/>
        <v>1.675</v>
      </c>
      <c r="C675" s="654" t="str">
        <f t="shared" ref="C675:C676" si="358">CE$1&amp;D675&amp;CF$1</f>
        <v>[675]</v>
      </c>
      <c r="D675" s="654">
        <f>ROW()</f>
        <v>675</v>
      </c>
      <c r="E675" s="1125" t="str">
        <f>CU675</f>
        <v xml:space="preserve">Die jährliche Veränderungsrate für die wirtschaftliche Entwicklung [681] ist als Durchschnittswert für den Zeitraum vom Statusjahr bis zum Zieljahr angegeben: </v>
      </c>
      <c r="F675" s="1125"/>
      <c r="G675" s="1125"/>
      <c r="H675" s="1125"/>
      <c r="I675" s="1125"/>
      <c r="J675" s="1125"/>
      <c r="K675" s="1125"/>
      <c r="L675" s="1125"/>
      <c r="M675" s="1125"/>
      <c r="N675" s="1132"/>
      <c r="O675" s="869">
        <v>669</v>
      </c>
      <c r="P675" s="691" t="str">
        <f t="shared" ref="P675" ca="1" si="359">HYPERLINK(EK675,EJ675)</f>
        <v/>
      </c>
      <c r="Q675" s="692" t="str">
        <f t="shared" ref="Q675" si="360">Y675</f>
        <v xml:space="preserve"> </v>
      </c>
      <c r="R675" s="852"/>
      <c r="S675" s="784"/>
      <c r="T675" s="864"/>
      <c r="U675" s="1023" t="str">
        <f>"Die jährliche Veränderungsrate für die wirtschaftliche Entwicklung "&amp;C681&amp;" ist als Durchschnittswert für den Zeitraum vom Statusjahr bis zum Zieljahr angegeben: "</f>
        <v xml:space="preserve">Die jährliche Veränderungsrate für die wirtschaftliche Entwicklung [681] ist als Durchschnittswert für den Zeitraum vom Statusjahr bis zum Zieljahr angegeben: </v>
      </c>
      <c r="V675" s="905" t="s">
        <v>126</v>
      </c>
      <c r="W675" s="905"/>
      <c r="X675" s="672"/>
      <c r="Y675" s="672" t="s">
        <v>126</v>
      </c>
      <c r="Z675" s="1025"/>
      <c r="AA675" s="905"/>
      <c r="AB675" s="801"/>
      <c r="AC675" s="801"/>
      <c r="AD675" s="801"/>
      <c r="AE675" s="801"/>
      <c r="AF675" s="801"/>
      <c r="AG675" s="801"/>
      <c r="AH675" s="801"/>
      <c r="AI675" s="801"/>
      <c r="AJ675" s="801"/>
      <c r="AK675" s="801"/>
      <c r="AL675" s="801"/>
      <c r="AM675" s="801"/>
      <c r="AN675" s="801"/>
      <c r="AO675" s="801"/>
      <c r="AP675" s="801"/>
      <c r="AQ675" s="801"/>
      <c r="AR675" s="801"/>
      <c r="AS675" s="801"/>
      <c r="AT675" s="801"/>
      <c r="AU675" s="801"/>
      <c r="AV675" s="801"/>
      <c r="BF675" s="657"/>
      <c r="BI675" s="656" t="s">
        <v>126</v>
      </c>
      <c r="BJ675" s="666"/>
      <c r="BO675" s="656" t="s">
        <v>252</v>
      </c>
      <c r="CU675" s="663" t="str">
        <f>IF(U675="",BF675,U675)</f>
        <v xml:space="preserve">Die jährliche Veränderungsrate für die wirtschaftliche Entwicklung [681] ist als Durchschnittswert für den Zeitraum vom Statusjahr bis zum Zieljahr angegeben: </v>
      </c>
      <c r="CW675" s="663"/>
      <c r="DT675" s="671"/>
      <c r="EJ675" s="656" t="str">
        <f>IF(X675=0,"",EJ$1&amp;X675)</f>
        <v/>
      </c>
      <c r="EK675" s="656" t="str">
        <f ca="1">EK$1&amp;X675</f>
        <v>[D_Python.xlsx]9.Quellen!C</v>
      </c>
      <c r="EV675" s="819">
        <f t="shared" si="351"/>
        <v>675</v>
      </c>
      <c r="EW675" s="819"/>
    </row>
    <row r="676" spans="1:153" s="661" customFormat="1" ht="4">
      <c r="A676" s="677" t="str">
        <f t="shared" ca="1" si="349"/>
        <v>D.1.676</v>
      </c>
      <c r="B676" s="677" t="str">
        <f t="shared" ca="1" si="350"/>
        <v>1.676</v>
      </c>
      <c r="C676" s="677" t="str">
        <f t="shared" si="358"/>
        <v>[676]</v>
      </c>
      <c r="D676" s="677">
        <f>ROW()</f>
        <v>676</v>
      </c>
      <c r="E676" s="680"/>
      <c r="F676" s="680"/>
      <c r="G676" s="680"/>
      <c r="H676" s="680"/>
      <c r="I676" s="679"/>
      <c r="J676" s="679"/>
      <c r="K676" s="679"/>
      <c r="L676" s="679"/>
      <c r="M676" s="679"/>
      <c r="N676" s="680"/>
      <c r="O676" s="871">
        <v>670</v>
      </c>
      <c r="P676" s="688"/>
      <c r="Q676" s="689"/>
      <c r="R676" s="888"/>
      <c r="S676" s="810"/>
      <c r="T676" s="882"/>
      <c r="AB676" s="675"/>
      <c r="AC676" s="675"/>
      <c r="AD676" s="675"/>
      <c r="AE676" s="675"/>
      <c r="AF676" s="675"/>
      <c r="AG676" s="675"/>
      <c r="AH676" s="675"/>
      <c r="AI676" s="675"/>
      <c r="AJ676" s="675"/>
      <c r="AK676" s="675"/>
      <c r="AL676" s="675"/>
      <c r="AM676" s="675"/>
      <c r="AN676" s="675"/>
      <c r="AO676" s="675"/>
      <c r="AP676" s="675"/>
      <c r="AQ676" s="675"/>
      <c r="AR676" s="675"/>
      <c r="AS676" s="675"/>
      <c r="AT676" s="675"/>
      <c r="AU676" s="675"/>
      <c r="AV676" s="675"/>
      <c r="BI676" s="661" t="s">
        <v>126</v>
      </c>
      <c r="BJ676" s="665"/>
      <c r="CU676" s="662"/>
      <c r="CW676" s="662"/>
      <c r="EV676" s="818" t="str">
        <f t="shared" si="351"/>
        <v/>
      </c>
      <c r="EW676" s="818"/>
    </row>
    <row r="677" spans="1:153" s="656" customFormat="1">
      <c r="A677" s="654" t="str">
        <f t="shared" ca="1" si="349"/>
        <v>D.1.677</v>
      </c>
      <c r="B677" s="654" t="str">
        <f t="shared" ca="1" si="350"/>
        <v>1.677</v>
      </c>
      <c r="C677" s="654" t="str">
        <f t="shared" si="331"/>
        <v>[677]</v>
      </c>
      <c r="D677" s="654">
        <f>ROW()</f>
        <v>677</v>
      </c>
      <c r="E677" s="1130" t="str">
        <f>CU677</f>
        <v>- STATUS-Ansatz: Gemäß Szenario-Rahmen [27].</v>
      </c>
      <c r="F677" s="1130"/>
      <c r="G677" s="1130"/>
      <c r="H677" s="1130"/>
      <c r="I677" s="1130"/>
      <c r="J677" s="1130"/>
      <c r="K677" s="1130"/>
      <c r="L677" s="1130"/>
      <c r="M677" s="1130"/>
      <c r="N677" s="1131"/>
      <c r="O677" s="869">
        <v>671</v>
      </c>
      <c r="P677" s="691" t="str">
        <f ca="1">HYPERLINK(EK677,EJ677)</f>
        <v/>
      </c>
      <c r="Q677" s="692" t="str">
        <f>Y677</f>
        <v xml:space="preserve"> </v>
      </c>
      <c r="R677" s="852"/>
      <c r="S677" s="784"/>
      <c r="T677" s="864"/>
      <c r="U677" s="1023" t="str">
        <f>"Gemäß Szenario-Rahmen "&amp;C27&amp;"."</f>
        <v>Gemäß Szenario-Rahmen [27].</v>
      </c>
      <c r="V677" s="905" t="s">
        <v>126</v>
      </c>
      <c r="W677" s="1094">
        <f ca="1">K27</f>
        <v>2016</v>
      </c>
      <c r="X677" s="672"/>
      <c r="Y677" s="672" t="s">
        <v>126</v>
      </c>
      <c r="Z677" s="1025"/>
      <c r="AA677" s="658"/>
      <c r="AB677" s="801"/>
      <c r="AC677" s="801"/>
      <c r="AD677" s="801"/>
      <c r="AE677" s="801"/>
      <c r="AF677" s="801"/>
      <c r="AG677" s="801"/>
      <c r="AH677" s="801"/>
      <c r="AI677" s="801"/>
      <c r="AJ677" s="801"/>
      <c r="AK677" s="801"/>
      <c r="AL677" s="801"/>
      <c r="AM677" s="801"/>
      <c r="AN677" s="801"/>
      <c r="AO677" s="801"/>
      <c r="AP677" s="801"/>
      <c r="AQ677" s="801"/>
      <c r="AR677" s="801"/>
      <c r="AS677" s="801"/>
      <c r="AT677" s="801"/>
      <c r="AU677" s="801"/>
      <c r="AV677" s="801"/>
      <c r="AY677" s="656">
        <f ca="1">AY674/AY$246%</f>
        <v>14.091645358575692</v>
      </c>
      <c r="BA677" s="656">
        <f ca="1">BA674/BA$246%</f>
        <v>100</v>
      </c>
      <c r="BF677" s="657"/>
      <c r="BI677" s="656" t="s">
        <v>126</v>
      </c>
      <c r="BJ677" s="666"/>
      <c r="BO677" s="656" t="s">
        <v>259</v>
      </c>
      <c r="CU677" s="663" t="str">
        <f>CG$1&amp;IF(U677="",BF677,U677)</f>
        <v>- STATUS-Ansatz: Gemäß Szenario-Rahmen [27].</v>
      </c>
      <c r="CW677" s="663"/>
      <c r="DT677" s="671">
        <f>I_Basisdaten!A300</f>
        <v>0</v>
      </c>
      <c r="EJ677" s="656" t="str">
        <f>IF(X677=0,"",EJ$1&amp;X677)</f>
        <v/>
      </c>
      <c r="EK677" s="656" t="str">
        <f ca="1">EK$1&amp;X677</f>
        <v>[D_Python.xlsx]9.Quellen!C</v>
      </c>
      <c r="EV677" s="819">
        <f t="shared" si="351"/>
        <v>677</v>
      </c>
      <c r="EW677" s="819"/>
    </row>
    <row r="678" spans="1:153" s="661" customFormat="1" ht="4">
      <c r="A678" s="677" t="str">
        <f t="shared" ca="1" si="349"/>
        <v>D.1.678</v>
      </c>
      <c r="B678" s="677" t="str">
        <f t="shared" ca="1" si="350"/>
        <v>1.678</v>
      </c>
      <c r="C678" s="677" t="str">
        <f t="shared" si="331"/>
        <v>[678]</v>
      </c>
      <c r="D678" s="677">
        <f>ROW()</f>
        <v>678</v>
      </c>
      <c r="E678" s="680"/>
      <c r="F678" s="680"/>
      <c r="G678" s="680"/>
      <c r="H678" s="680"/>
      <c r="I678" s="679"/>
      <c r="J678" s="679"/>
      <c r="K678" s="679"/>
      <c r="L678" s="679"/>
      <c r="M678" s="679"/>
      <c r="N678" s="680"/>
      <c r="O678" s="871">
        <v>672</v>
      </c>
      <c r="P678" s="688"/>
      <c r="Q678" s="689"/>
      <c r="R678" s="888"/>
      <c r="S678" s="802"/>
      <c r="T678" s="882"/>
      <c r="AB678" s="675"/>
      <c r="AC678" s="675"/>
      <c r="AD678" s="675"/>
      <c r="AE678" s="675"/>
      <c r="AF678" s="675"/>
      <c r="AG678" s="675"/>
      <c r="AH678" s="675"/>
      <c r="AI678" s="675"/>
      <c r="AJ678" s="675"/>
      <c r="AK678" s="675"/>
      <c r="AL678" s="675"/>
      <c r="AM678" s="675"/>
      <c r="AN678" s="675"/>
      <c r="AO678" s="675"/>
      <c r="AP678" s="675"/>
      <c r="AQ678" s="675"/>
      <c r="AR678" s="675"/>
      <c r="AS678" s="675"/>
      <c r="AT678" s="675"/>
      <c r="AU678" s="675"/>
      <c r="AV678" s="675"/>
      <c r="BI678" s="661" t="s">
        <v>126</v>
      </c>
      <c r="BJ678" s="665"/>
      <c r="CU678" s="662"/>
      <c r="CW678" s="662"/>
      <c r="EV678" s="818" t="str">
        <f t="shared" si="351"/>
        <v/>
      </c>
      <c r="EW678" s="818"/>
    </row>
    <row r="679" spans="1:153" s="656" customFormat="1">
      <c r="A679" s="654" t="str">
        <f t="shared" ca="1" si="349"/>
        <v>D.1.679</v>
      </c>
      <c r="B679" s="654" t="str">
        <f t="shared" ca="1" si="350"/>
        <v>1.679</v>
      </c>
      <c r="C679" s="654" t="str">
        <f t="shared" si="331"/>
        <v>[679]</v>
      </c>
      <c r="D679" s="654">
        <f>ROW()</f>
        <v>679</v>
      </c>
      <c r="E679" s="1125" t="str">
        <f t="shared" ref="E679" si="361">CU679</f>
        <v>- ZIEL-Ansatz: Gemäß Szenario-Rahmen [27].</v>
      </c>
      <c r="F679" s="1125"/>
      <c r="G679" s="1125"/>
      <c r="H679" s="1125"/>
      <c r="I679" s="1125"/>
      <c r="J679" s="1125"/>
      <c r="K679" s="1125"/>
      <c r="L679" s="1125"/>
      <c r="M679" s="1125"/>
      <c r="N679" s="1132"/>
      <c r="O679" s="869">
        <v>673</v>
      </c>
      <c r="P679" s="691" t="str">
        <f ca="1">HYPERLINK(EK679,EJ679)</f>
        <v/>
      </c>
      <c r="Q679" s="692" t="str">
        <f>Y679</f>
        <v xml:space="preserve"> </v>
      </c>
      <c r="R679" s="852"/>
      <c r="S679" s="784"/>
      <c r="T679" s="864"/>
      <c r="U679" s="1023" t="str">
        <f>"Gemäß Szenario-Rahmen "&amp;C27&amp;"."</f>
        <v>Gemäß Szenario-Rahmen [27].</v>
      </c>
      <c r="V679" s="905" t="s">
        <v>126</v>
      </c>
      <c r="W679" s="1094">
        <f ca="1">M27</f>
        <v>2040</v>
      </c>
      <c r="X679" s="672"/>
      <c r="Y679" s="672" t="s">
        <v>126</v>
      </c>
      <c r="Z679" s="1025"/>
      <c r="AA679" s="905"/>
      <c r="AB679" s="801"/>
      <c r="AC679" s="1020"/>
      <c r="AD679" s="801"/>
      <c r="AE679" s="801"/>
      <c r="AF679" s="801"/>
      <c r="AG679" s="801"/>
      <c r="AH679" s="801"/>
      <c r="AI679" s="801"/>
      <c r="AJ679" s="801"/>
      <c r="AK679" s="801"/>
      <c r="AL679" s="801"/>
      <c r="AM679" s="801"/>
      <c r="AN679" s="801"/>
      <c r="AO679" s="801"/>
      <c r="AP679" s="801"/>
      <c r="AQ679" s="801"/>
      <c r="AR679" s="801"/>
      <c r="AS679" s="801"/>
      <c r="AT679" s="801"/>
      <c r="AU679" s="801"/>
      <c r="AV679" s="801"/>
      <c r="BF679" s="657"/>
      <c r="BI679" s="656" t="s">
        <v>126</v>
      </c>
      <c r="BJ679" s="666"/>
      <c r="BO679" s="656" t="s">
        <v>259</v>
      </c>
      <c r="CU679" s="663" t="str">
        <f>CH$1&amp;IF(U679="",BF679,U679)</f>
        <v>- ZIEL-Ansatz: Gemäß Szenario-Rahmen [27].</v>
      </c>
      <c r="CW679" s="663"/>
      <c r="DT679" s="671">
        <v>53</v>
      </c>
      <c r="EJ679" s="656" t="str">
        <f>IF(X679=0,"",EJ$1&amp;X679)</f>
        <v/>
      </c>
      <c r="EK679" s="656" t="str">
        <f ca="1">EK$1&amp;X679</f>
        <v>[D_Python.xlsx]9.Quellen!C</v>
      </c>
      <c r="EV679" s="819">
        <f t="shared" si="351"/>
        <v>679</v>
      </c>
      <c r="EW679" s="819"/>
    </row>
    <row r="680" spans="1:153" s="661" customFormat="1" ht="4">
      <c r="A680" s="677" t="str">
        <f t="shared" ca="1" si="349"/>
        <v>D.1.680</v>
      </c>
      <c r="B680" s="677" t="str">
        <f t="shared" ca="1" si="350"/>
        <v>1.680</v>
      </c>
      <c r="C680" s="677" t="str">
        <f t="shared" si="331"/>
        <v>[680]</v>
      </c>
      <c r="D680" s="677">
        <f>ROW()</f>
        <v>680</v>
      </c>
      <c r="E680" s="685"/>
      <c r="F680" s="685"/>
      <c r="G680" s="685"/>
      <c r="H680" s="685"/>
      <c r="I680" s="686"/>
      <c r="J680" s="686"/>
      <c r="K680" s="686"/>
      <c r="L680" s="686"/>
      <c r="M680" s="686"/>
      <c r="N680" s="685"/>
      <c r="O680" s="871">
        <v>674</v>
      </c>
      <c r="P680" s="693"/>
      <c r="Q680" s="694"/>
      <c r="R680" s="888"/>
      <c r="S680" s="802"/>
      <c r="T680" s="882"/>
      <c r="AB680" s="675"/>
      <c r="AC680" s="675"/>
      <c r="AD680" s="675"/>
      <c r="AE680" s="675"/>
      <c r="AF680" s="675"/>
      <c r="AG680" s="675"/>
      <c r="AH680" s="675"/>
      <c r="AI680" s="675"/>
      <c r="AJ680" s="675"/>
      <c r="AK680" s="675"/>
      <c r="AL680" s="675"/>
      <c r="AM680" s="675"/>
      <c r="AN680" s="675"/>
      <c r="AO680" s="675"/>
      <c r="AP680" s="675"/>
      <c r="AQ680" s="675"/>
      <c r="AR680" s="675"/>
      <c r="AS680" s="675"/>
      <c r="AT680" s="675"/>
      <c r="AU680" s="675"/>
      <c r="AV680" s="675"/>
      <c r="AZ680" s="669"/>
      <c r="BB680" s="669"/>
      <c r="BI680" s="661" t="s">
        <v>126</v>
      </c>
      <c r="BJ680" s="665"/>
      <c r="CU680" s="662"/>
      <c r="CW680" s="662"/>
      <c r="EV680" s="818" t="str">
        <f t="shared" si="351"/>
        <v/>
      </c>
      <c r="EW680" s="818"/>
    </row>
    <row r="681" spans="1:153" s="475" customFormat="1" ht="13.5" customHeight="1">
      <c r="A681" s="654" t="str">
        <f t="shared" ca="1" si="349"/>
        <v>D.1.681</v>
      </c>
      <c r="B681" s="654" t="str">
        <f t="shared" ca="1" si="350"/>
        <v>1.681</v>
      </c>
      <c r="C681" s="654" t="str">
        <f t="shared" si="331"/>
        <v>[681]</v>
      </c>
      <c r="D681" s="654">
        <f>ROW()</f>
        <v>681</v>
      </c>
      <c r="E681" s="1129" t="str">
        <f>BP681</f>
        <v>Durchschnittliche Jahresrate BIP/Kopf</v>
      </c>
      <c r="F681" s="1129"/>
      <c r="G681" s="1129"/>
      <c r="H681" s="1129"/>
      <c r="I681" s="1129"/>
      <c r="J681" s="471" t="s">
        <v>38</v>
      </c>
      <c r="K681" s="1150">
        <f ca="1">INDIRECT($W$1&amp;U681)</f>
        <v>0</v>
      </c>
      <c r="L681" s="1151"/>
      <c r="M681" s="1152"/>
      <c r="N681" s="533" t="str">
        <f ca="1">HYPERLINK($CK$1&amp;W681,$CE$1&amp;W681&amp;$CF$1)</f>
        <v>[682]</v>
      </c>
      <c r="O681" s="869">
        <v>675</v>
      </c>
      <c r="P681" s="570"/>
      <c r="Q681" s="583"/>
      <c r="R681" s="852"/>
      <c r="S681" s="784"/>
      <c r="T681" s="864" t="s">
        <v>1036</v>
      </c>
      <c r="U681" s="672">
        <f>D682</f>
        <v>682</v>
      </c>
      <c r="V681" s="905" t="s">
        <v>126</v>
      </c>
      <c r="W681" s="672">
        <f>D682</f>
        <v>682</v>
      </c>
      <c r="X681" s="658"/>
      <c r="Y681" s="658"/>
      <c r="Z681" s="658"/>
      <c r="AA681" s="658"/>
      <c r="AB681" s="801"/>
      <c r="AC681" s="801"/>
      <c r="AD681" s="674"/>
      <c r="AE681" s="674"/>
      <c r="AF681" s="674"/>
      <c r="AG681" s="674"/>
      <c r="AH681" s="674"/>
      <c r="AI681" s="674"/>
      <c r="AJ681" s="674"/>
      <c r="AK681" s="674"/>
      <c r="AL681" s="674"/>
      <c r="AM681" s="674"/>
      <c r="AN681" s="674"/>
      <c r="AO681" s="674"/>
      <c r="AP681" s="674"/>
      <c r="AQ681" s="674"/>
      <c r="AR681" s="674"/>
      <c r="AS681" s="674"/>
      <c r="AT681" s="674"/>
      <c r="AU681" s="674"/>
      <c r="AV681" s="674"/>
      <c r="AX681" s="475" t="s">
        <v>244</v>
      </c>
      <c r="AY681" s="500">
        <f ca="1">DA681</f>
        <v>35.041575718754729</v>
      </c>
      <c r="AZ681" s="508" t="str">
        <f ca="1">HYPERLINK(DN681,DC681)</f>
        <v xml:space="preserve"> 225</v>
      </c>
      <c r="BA681" s="500">
        <f ca="1">DB681</f>
        <v>0</v>
      </c>
      <c r="BB681" s="508" t="str">
        <f ca="1">HYPERLINK(DO681,DD681)</f>
        <v xml:space="preserve"> 226</v>
      </c>
      <c r="BC681" s="475" t="str">
        <f ca="1">CY681&amp;" | "&amp;CZ681</f>
        <v>Brennstoffgew.
 für Heizung | 0</v>
      </c>
      <c r="BI681" s="475" t="s">
        <v>126</v>
      </c>
      <c r="BJ681" s="492" t="str">
        <f>E681</f>
        <v>Durchschnittliche Jahresrate BIP/Kopf</v>
      </c>
      <c r="BK681" s="486">
        <f ca="1">K681</f>
        <v>0</v>
      </c>
      <c r="BL681" s="486">
        <f>M681</f>
        <v>0</v>
      </c>
      <c r="BM681" s="472">
        <f>D681</f>
        <v>681</v>
      </c>
      <c r="BN681" s="658"/>
      <c r="BO681" s="475" t="s">
        <v>251</v>
      </c>
      <c r="BP681" s="521" t="s">
        <v>722</v>
      </c>
      <c r="CU681" s="476"/>
      <c r="CV681" s="658"/>
      <c r="CW681" s="518">
        <v>54</v>
      </c>
      <c r="CY681" s="472" t="str">
        <f t="shared" ref="CY681:DO681" ca="1" si="362">INDIRECT($CX$1&amp;CY$1&amp;$CW681)</f>
        <v>Brennstoffgew.
 für Heizung</v>
      </c>
      <c r="CZ681" s="472">
        <f t="shared" ca="1" si="362"/>
        <v>0</v>
      </c>
      <c r="DA681" s="472">
        <f t="shared" ca="1" si="362"/>
        <v>35.041575718754729</v>
      </c>
      <c r="DB681" s="472">
        <f t="shared" ca="1" si="362"/>
        <v>0</v>
      </c>
      <c r="DC681" s="472" t="str">
        <f t="shared" ca="1" si="362"/>
        <v xml:space="preserve"> 225</v>
      </c>
      <c r="DD681" s="472" t="str">
        <f t="shared" ca="1" si="362"/>
        <v xml:space="preserve"> 226</v>
      </c>
      <c r="DE681" s="472" t="str">
        <f t="shared" ca="1" si="362"/>
        <v>Ho98</v>
      </c>
      <c r="DF681" s="472" t="str">
        <f t="shared" ca="1" si="362"/>
        <v>Ho36</v>
      </c>
      <c r="DG681" s="472" t="str">
        <f t="shared" ca="1" si="362"/>
        <v>Ho</v>
      </c>
      <c r="DH681" s="472" t="str">
        <f t="shared" ca="1" si="362"/>
        <v>98</v>
      </c>
      <c r="DI681" s="472" t="str">
        <f t="shared" ca="1" si="362"/>
        <v>[Ho.xls]TEXT!Z98S5</v>
      </c>
      <c r="DJ681" s="472" t="str">
        <f t="shared" ca="1" si="362"/>
        <v>Ho</v>
      </c>
      <c r="DK681" s="472" t="str">
        <f t="shared" ca="1" si="362"/>
        <v>36</v>
      </c>
      <c r="DL681" s="472" t="str">
        <f t="shared" ca="1" si="362"/>
        <v>[Ho.xls]TEXT!Z36S5</v>
      </c>
      <c r="DM681" s="472">
        <f t="shared" ca="1" si="362"/>
        <v>54</v>
      </c>
      <c r="DN681" s="472" t="str">
        <f t="shared" ca="1" si="362"/>
        <v>[Region.xls]PARAMETER!Z225S6</v>
      </c>
      <c r="DO681" s="472" t="str">
        <f t="shared" ca="1" si="362"/>
        <v>[Region.xls]PARAMETER!Z226S6</v>
      </c>
      <c r="DP681" s="472"/>
      <c r="DS681" s="656"/>
      <c r="DV681" s="472"/>
      <c r="DW681" s="472"/>
      <c r="DX681" s="472"/>
      <c r="DY681" s="472"/>
      <c r="DZ681" s="472"/>
      <c r="EA681" s="472"/>
      <c r="EB681" s="472"/>
      <c r="EC681" s="472"/>
      <c r="ED681" s="472"/>
      <c r="EE681" s="472"/>
      <c r="EF681" s="472"/>
      <c r="EG681" s="472"/>
      <c r="EH681" s="472"/>
      <c r="EI681" s="472"/>
      <c r="EJ681" s="472"/>
      <c r="EK681" s="472"/>
      <c r="EV681" s="819">
        <f t="shared" si="351"/>
        <v>681</v>
      </c>
      <c r="EW681" s="819"/>
    </row>
    <row r="682" spans="1:153" s="472" customFormat="1" ht="130">
      <c r="A682" s="654" t="str">
        <f t="shared" ca="1" si="349"/>
        <v>D.1.682</v>
      </c>
      <c r="B682" s="654" t="str">
        <f t="shared" ca="1" si="350"/>
        <v>1.682</v>
      </c>
      <c r="C682" s="654" t="str">
        <f t="shared" si="331"/>
        <v>[682]</v>
      </c>
      <c r="D682" s="654">
        <f>ROW()</f>
        <v>682</v>
      </c>
      <c r="E682" s="1125" t="str">
        <f>CU682</f>
        <v>Da es in einem begrenzten System kein unbegrenztes Wachstum geben kann, ist die Überwindung materiellen Wachstums unausweichlich (siehe [883]). Es stellt sich die Frage, auf welchem Niveau die Wirtschaftsleistung stabilisiert werden sollte. Hier wird von einer langfristigen Stabilisierung auf heutigem Niveau ausgegangen, was einem durchschnittlichen Nullwachstum entspricht. 
Zur Information: Der Ansatz im Niedersachsen-Szenario orientierte sich dagegen an drei Studien zur Energiezukunft Deutschlands. Für das Bruttoinlandsprodukt bzw. die Bruttowertschöpfung werden dort folgende durchschnittliche Wachstumsraten angenommen: 0,85 %/a in der BMU-Leitstudie 2011 [684],   0,7 %/a im WWF-Szenario [685] und ebenfalls   0,7 %/a in der UBA-Studie Treibhausgasneutrales Deutschland 2050 [686]. Im Niedersachsen-Szenario wurde für das absolute Wachstum eine durchschnittliche Rate von 0,7%/a angenomen.  Bei der angenommenen Bevölkerungsdegression [37] entsprach das einer durchschnittlichen pro-Kopf-Wachstumsrate  von 1,04 %/a.</v>
      </c>
      <c r="F682" s="1125"/>
      <c r="G682" s="1125"/>
      <c r="H682" s="1125"/>
      <c r="I682" s="1125"/>
      <c r="J682" s="1125"/>
      <c r="K682" s="1125"/>
      <c r="L682" s="1125"/>
      <c r="M682" s="1125"/>
      <c r="N682" s="1125"/>
      <c r="O682" s="869">
        <v>676</v>
      </c>
      <c r="P682" s="573" t="str">
        <f ca="1">HYPERLINK(EK682,EJ682)</f>
        <v/>
      </c>
      <c r="Q682" s="574" t="str">
        <f>Y682</f>
        <v xml:space="preserve"> </v>
      </c>
      <c r="R682" s="852"/>
      <c r="S682" s="784"/>
      <c r="T682" s="884">
        <v>43187</v>
      </c>
      <c r="U682" s="1033" t="str">
        <f>"Da es in einem begrenzten System kein unbegrenztes Wachstum geben kann, ist die Überwindung materiellen Wachstums unausweichlich (siehe "&amp;C883&amp;"). Es stellt sich die Frage, auf welchem Niveau die Wirtschaftsleistung stabilisiert werden sollte. Hier wird von einer langfristigen Stabilisierung auf heutigem Niveau ausgegangen, was einem durchschnittlichen Nullwachstum entspricht. "&amp;"
Zur Information: Der Ansatz im Niedersachsen-Szenario orientierte sich dagegen an drei Studien zur Energiezukunft Deutschlands. Für das Bruttoinlandsprodukt bzw. die Bruttowertschöpfung "&amp;"werden dort folgende durchschnittliche Wachstumsraten angenommen: 0,85 %/a in der BMU-Leitstudie 2011 "&amp;C684&amp;",   0,7 %/a im WWF-Szenario "&amp;C685&amp;" und ebenfalls   0,7 %/a in der UBA-Studie Treibhausgasneutrales Deutschland 2050 "&amp;C686&amp;". Im Niedersachsen-Szenario wurde für das absolute Wachstum eine durchschnittliche Rate von 0,7%/a angenomen.  Bei der angenommenen Bevölkerungsdegression "&amp;C37&amp;" entsprach das einer durchschnittlichen pro-Kopf-Wachstumsrate  von "&amp;AD682&amp;" %/a."</f>
        <v>Da es in einem begrenzten System kein unbegrenztes Wachstum geben kann, ist die Überwindung materiellen Wachstums unausweichlich (siehe [883]). Es stellt sich die Frage, auf welchem Niveau die Wirtschaftsleistung stabilisiert werden sollte. Hier wird von einer langfristigen Stabilisierung auf heutigem Niveau ausgegangen, was einem durchschnittlichen Nullwachstum entspricht. 
Zur Information: Der Ansatz im Niedersachsen-Szenario orientierte sich dagegen an drei Studien zur Energiezukunft Deutschlands. Für das Bruttoinlandsprodukt bzw. die Bruttowertschöpfung werden dort folgende durchschnittliche Wachstumsraten angenommen: 0,85 %/a in der BMU-Leitstudie 2011 [684],   0,7 %/a im WWF-Szenario [685] und ebenfalls   0,7 %/a in der UBA-Studie Treibhausgasneutrales Deutschland 2050 [686]. Im Niedersachsen-Szenario wurde für das absolute Wachstum eine durchschnittliche Rate von 0,7%/a angenomen.  Bei der angenommenen Bevölkerungsdegression [37] entsprach das einer durchschnittlichen pro-Kopf-Wachstumsrate  von 1,04 %/a.</v>
      </c>
      <c r="V682" s="905" t="s">
        <v>126</v>
      </c>
      <c r="W682" s="1079">
        <v>0</v>
      </c>
      <c r="X682" s="672">
        <f>'9.Quellen'!C285</f>
        <v>0</v>
      </c>
      <c r="Y682" s="672" t="s">
        <v>126</v>
      </c>
      <c r="Z682" s="1025"/>
      <c r="AA682" s="905"/>
      <c r="AB682" s="801"/>
      <c r="AC682" s="801"/>
      <c r="AD682" s="801">
        <v>1.04</v>
      </c>
      <c r="AE682" s="801"/>
      <c r="AF682" s="801"/>
      <c r="AG682" s="801"/>
      <c r="AH682" s="801"/>
      <c r="AI682" s="801"/>
      <c r="AJ682" s="801"/>
      <c r="AK682" s="801"/>
      <c r="AL682" s="801"/>
      <c r="AM682" s="801"/>
      <c r="AN682" s="801"/>
      <c r="AO682" s="801"/>
      <c r="AP682" s="801"/>
      <c r="AQ682" s="801"/>
      <c r="AR682" s="801"/>
      <c r="AS682" s="801"/>
      <c r="AT682" s="801"/>
      <c r="AU682" s="801"/>
      <c r="AV682" s="801"/>
      <c r="BF682" s="473"/>
      <c r="BI682" s="472" t="s">
        <v>126</v>
      </c>
      <c r="BJ682" s="490"/>
      <c r="BN682" s="656"/>
      <c r="BO682" s="472" t="s">
        <v>252</v>
      </c>
      <c r="CU682" s="480" t="str">
        <f>IF(U682="",BF682,U682)</f>
        <v>Da es in einem begrenzten System kein unbegrenztes Wachstum geben kann, ist die Überwindung materiellen Wachstums unausweichlich (siehe [883]). Es stellt sich die Frage, auf welchem Niveau die Wirtschaftsleistung stabilisiert werden sollte. Hier wird von einer langfristigen Stabilisierung auf heutigem Niveau ausgegangen, was einem durchschnittlichen Nullwachstum entspricht. 
Zur Information: Der Ansatz im Niedersachsen-Szenario orientierte sich dagegen an drei Studien zur Energiezukunft Deutschlands. Für das Bruttoinlandsprodukt bzw. die Bruttowertschöpfung werden dort folgende durchschnittliche Wachstumsraten angenommen: 0,85 %/a in der BMU-Leitstudie 2011 [684],   0,7 %/a im WWF-Szenario [685] und ebenfalls   0,7 %/a in der UBA-Studie Treibhausgasneutrales Deutschland 2050 [686]. Im Niedersachsen-Szenario wurde für das absolute Wachstum eine durchschnittliche Rate von 0,7%/a angenomen.  Bei der angenommenen Bevölkerungsdegression [37] entsprach das einer durchschnittlichen pro-Kopf-Wachstumsrate  von 1,04 %/a.</v>
      </c>
      <c r="CV682" s="656"/>
      <c r="CW682" s="480"/>
      <c r="DS682" s="656"/>
      <c r="DT682" s="518"/>
      <c r="EJ682" s="472" t="str">
        <f>IF(X682=0,"",EJ$1&amp;X682)</f>
        <v/>
      </c>
      <c r="EK682" s="472" t="str">
        <f ca="1">EK$1&amp;X682</f>
        <v>[D_Python.xlsx]9.Quellen!C0</v>
      </c>
      <c r="EV682" s="819">
        <f t="shared" si="351"/>
        <v>682</v>
      </c>
      <c r="EW682" s="819"/>
    </row>
    <row r="683" spans="1:153" s="656" customFormat="1" ht="104">
      <c r="A683" s="654" t="str">
        <f t="shared" ca="1" si="349"/>
        <v>D.1.683</v>
      </c>
      <c r="B683" s="654" t="str">
        <f t="shared" ca="1" si="350"/>
        <v>1.683</v>
      </c>
      <c r="C683" s="654" t="str">
        <f>CE$1&amp;D683&amp;CF$1</f>
        <v>[683]</v>
      </c>
      <c r="D683" s="654">
        <f>ROW()</f>
        <v>683</v>
      </c>
      <c r="E683" s="1166" t="str">
        <f>CU683</f>
        <v>HINWEIS im Nds-Szenario: Der Nachweis einer umweltverträglichen und versorgungssicheren Energieversorgung mit 100% Erneuerbaren Energien (Zielprämissen) unter Fortschreibung des Wirtschaftswachstums wird mit diesem Szenario für das Jahr 2050 erbracht. Dazu wurden die vertretbaren bzw. zumutbaren Flächenpotenziale für Energiegewinnung und die Effizienzpotenziale weitgehend ausgeschöpft, ein über 2050 hinaus weiter steigender Energiebedarf wäre unter Einhaltung der Zielprämissen von der Fläche der betrachteten Region  nicht zu decken. Voraussetzung für weiteres Wirtschaftswachstum ist somit entweder eine vollständige Entkopplung des Energieverbrauchs oder der Import regenerativer Energien vom Weltmarkt, der prinzipiell allerdings ebenfalls begrenzt ist.</v>
      </c>
      <c r="F683" s="1167"/>
      <c r="G683" s="1167"/>
      <c r="H683" s="1167"/>
      <c r="I683" s="1167"/>
      <c r="J683" s="1167"/>
      <c r="K683" s="1167"/>
      <c r="L683" s="1167"/>
      <c r="M683" s="1167"/>
      <c r="N683" s="1168"/>
      <c r="O683" s="869">
        <v>677</v>
      </c>
      <c r="P683" s="691" t="str">
        <f ca="1">HYPERLINK(EK683,EJ683)</f>
        <v/>
      </c>
      <c r="Q683" s="692" t="str">
        <f>Y683</f>
        <v xml:space="preserve"> </v>
      </c>
      <c r="R683" s="852"/>
      <c r="S683" s="784"/>
      <c r="T683" s="884">
        <v>43187</v>
      </c>
      <c r="U683" s="1023" t="s">
        <v>1051</v>
      </c>
      <c r="V683" s="905" t="s">
        <v>126</v>
      </c>
      <c r="W683" s="1025"/>
      <c r="X683" s="672"/>
      <c r="Y683" s="672" t="s">
        <v>126</v>
      </c>
      <c r="Z683" s="1025"/>
      <c r="AA683" s="905"/>
      <c r="AB683" s="801"/>
      <c r="AC683" s="801"/>
      <c r="AD683" s="801">
        <v>4.2</v>
      </c>
      <c r="AE683" s="801" t="s">
        <v>743</v>
      </c>
      <c r="AF683" s="801">
        <v>18.7</v>
      </c>
      <c r="AG683" s="801" t="s">
        <v>743</v>
      </c>
      <c r="AH683" s="687">
        <f>AD683/AF683%</f>
        <v>22.459893048128343</v>
      </c>
      <c r="AI683" s="801" t="s">
        <v>835</v>
      </c>
      <c r="AJ683" s="801"/>
      <c r="AK683" s="801"/>
      <c r="AL683" s="801"/>
      <c r="AM683" s="801"/>
      <c r="AN683" s="801"/>
      <c r="AO683" s="801"/>
      <c r="AP683" s="801"/>
      <c r="AQ683" s="801"/>
      <c r="AR683" s="801"/>
      <c r="AS683" s="801"/>
      <c r="AT683" s="801"/>
      <c r="AU683" s="801"/>
      <c r="AV683" s="801"/>
      <c r="BF683" s="657" t="s">
        <v>126</v>
      </c>
      <c r="BI683" s="656" t="s">
        <v>126</v>
      </c>
      <c r="BJ683" s="666"/>
      <c r="BO683" s="656" t="s">
        <v>259</v>
      </c>
      <c r="BQ683" s="678" t="s">
        <v>271</v>
      </c>
      <c r="CU683" s="663" t="str">
        <f>IF(U683="",BF683,U683)</f>
        <v>HINWEIS im Nds-Szenario: Der Nachweis einer umweltverträglichen und versorgungssicheren Energieversorgung mit 100% Erneuerbaren Energien (Zielprämissen) unter Fortschreibung des Wirtschaftswachstums wird mit diesem Szenario für das Jahr 2050 erbracht. Dazu wurden die vertretbaren bzw. zumutbaren Flächenpotenziale für Energiegewinnung und die Effizienzpotenziale weitgehend ausgeschöpft, ein über 2050 hinaus weiter steigender Energiebedarf wäre unter Einhaltung der Zielprämissen von der Fläche der betrachteten Region  nicht zu decken. Voraussetzung für weiteres Wirtschaftswachstum ist somit entweder eine vollständige Entkopplung des Energieverbrauchs oder der Import regenerativer Energien vom Weltmarkt, der prinzipiell allerdings ebenfalls begrenzt ist.</v>
      </c>
      <c r="CW683" s="663"/>
      <c r="EJ683" s="656" t="str">
        <f>IF(X683=0,"",EJ$1&amp;X683)</f>
        <v/>
      </c>
      <c r="EK683" s="656" t="str">
        <f ca="1">EK$1&amp;X683</f>
        <v>[D_Python.xlsx]9.Quellen!C</v>
      </c>
      <c r="EV683" s="819">
        <f t="shared" si="351"/>
        <v>683</v>
      </c>
      <c r="EW683" s="819"/>
    </row>
    <row r="684" spans="1:153" s="656" customFormat="1" ht="26">
      <c r="A684" s="654" t="str">
        <f t="shared" ca="1" si="349"/>
        <v>D.1.684</v>
      </c>
      <c r="B684" s="654" t="str">
        <f t="shared" ca="1" si="350"/>
        <v>1.684</v>
      </c>
      <c r="C684" s="654" t="str">
        <f>CE$1&amp;D684&amp;CF$1</f>
        <v>[684]</v>
      </c>
      <c r="D684" s="654">
        <f>ROW()</f>
        <v>684</v>
      </c>
      <c r="E684" s="1125" t="str">
        <f ca="1">CU684</f>
        <v>BMU Leitstudie 2011 [9.60], S. 2: "In den Szenarien wächst das Bruttoinlandsprodukt (ausgehend vom Niveau 2010) bis zum Jahr 2050 real um über 40%." Das ensptricht einer Wachstumsrate von 0,85%/a.</v>
      </c>
      <c r="F684" s="1125"/>
      <c r="G684" s="1125"/>
      <c r="H684" s="1125"/>
      <c r="I684" s="1125"/>
      <c r="J684" s="1125"/>
      <c r="K684" s="1125"/>
      <c r="L684" s="1125"/>
      <c r="M684" s="1125"/>
      <c r="N684" s="1132"/>
      <c r="O684" s="869">
        <v>678</v>
      </c>
      <c r="P684" s="691" t="str">
        <f ca="1">HYPERLINK(EK684,EJ684)</f>
        <v>9.60</v>
      </c>
      <c r="Q684" s="692" t="str">
        <f>Y684</f>
        <v>S. 2</v>
      </c>
      <c r="R684" s="852"/>
      <c r="S684" s="784"/>
      <c r="T684" s="864"/>
      <c r="U684" s="1023" t="str">
        <f ca="1">"BMU Leitstudie 2011 ["&amp;P684&amp;"], "&amp;Q684&amp;": ""In den Szenarien wächst das Bruttoinlandsprodukt (ausgehend vom Niveau 2010) bis zum Jahr 2050 real um über 40%."" Das ensptricht einer Wachstumsrate von 0,85%/a."</f>
        <v>BMU Leitstudie 2011 [9.60], S. 2: "In den Szenarien wächst das Bruttoinlandsprodukt (ausgehend vom Niveau 2010) bis zum Jahr 2050 real um über 40%." Das ensptricht einer Wachstumsrate von 0,85%/a.</v>
      </c>
      <c r="V684" s="905" t="s">
        <v>126</v>
      </c>
      <c r="W684" s="1025"/>
      <c r="X684" s="672">
        <f>'9.Quellen'!C$60</f>
        <v>60</v>
      </c>
      <c r="Y684" s="672" t="s">
        <v>691</v>
      </c>
      <c r="Z684" s="1025"/>
      <c r="AA684" s="905"/>
      <c r="AB684" s="801"/>
      <c r="AC684" s="801"/>
      <c r="AD684" s="801">
        <v>4.2</v>
      </c>
      <c r="AE684" s="801" t="s">
        <v>743</v>
      </c>
      <c r="AF684" s="801">
        <v>18.7</v>
      </c>
      <c r="AG684" s="801" t="s">
        <v>743</v>
      </c>
      <c r="AH684" s="687">
        <f>AD684/AF684%</f>
        <v>22.459893048128343</v>
      </c>
      <c r="AI684" s="801" t="s">
        <v>835</v>
      </c>
      <c r="AJ684" s="801"/>
      <c r="AK684" s="801"/>
      <c r="AL684" s="801"/>
      <c r="AM684" s="801"/>
      <c r="AN684" s="801"/>
      <c r="AO684" s="801"/>
      <c r="AP684" s="801"/>
      <c r="AQ684" s="801"/>
      <c r="AR684" s="801"/>
      <c r="AS684" s="801"/>
      <c r="AT684" s="801"/>
      <c r="AU684" s="801"/>
      <c r="AV684" s="801"/>
      <c r="BF684" s="657" t="s">
        <v>126</v>
      </c>
      <c r="BI684" s="656" t="s">
        <v>126</v>
      </c>
      <c r="BJ684" s="666"/>
      <c r="BO684" s="656" t="s">
        <v>259</v>
      </c>
      <c r="BQ684" s="678" t="s">
        <v>271</v>
      </c>
      <c r="CU684" s="663" t="str">
        <f ca="1">IF(U684="",BF684,U684)</f>
        <v>BMU Leitstudie 2011 [9.60], S. 2: "In den Szenarien wächst das Bruttoinlandsprodukt (ausgehend vom Niveau 2010) bis zum Jahr 2050 real um über 40%." Das ensptricht einer Wachstumsrate von 0,85%/a.</v>
      </c>
      <c r="CW684" s="663"/>
      <c r="EJ684" s="656" t="str">
        <f ca="1">IF(X684=0,"",EJ$1&amp;X684)</f>
        <v>9.60</v>
      </c>
      <c r="EK684" s="656" t="str">
        <f ca="1">EK$1&amp;X684</f>
        <v>[D_Python.xlsx]9.Quellen!C60</v>
      </c>
      <c r="EV684" s="819">
        <f t="shared" ca="1" si="351"/>
        <v>684</v>
      </c>
      <c r="EW684" s="819"/>
    </row>
    <row r="685" spans="1:153" s="656" customFormat="1" ht="26">
      <c r="A685" s="654" t="str">
        <f t="shared" ca="1" si="349"/>
        <v>D.1.685</v>
      </c>
      <c r="B685" s="654" t="str">
        <f t="shared" ca="1" si="350"/>
        <v>1.685</v>
      </c>
      <c r="C685" s="654" t="str">
        <f t="shared" si="331"/>
        <v>[685]</v>
      </c>
      <c r="D685" s="654">
        <f>ROW()</f>
        <v>685</v>
      </c>
      <c r="E685" s="1125" t="str">
        <f ca="1">CU685</f>
        <v>WWF Modell Deutschland [9.270], S. 38: "Den Szenarien liegt ein durchschnittliches reales Wirtschaftswachstum von 0,7% p.a. zu Grunde."</v>
      </c>
      <c r="F685" s="1125"/>
      <c r="G685" s="1125"/>
      <c r="H685" s="1125"/>
      <c r="I685" s="1125"/>
      <c r="J685" s="1125"/>
      <c r="K685" s="1125"/>
      <c r="L685" s="1125"/>
      <c r="M685" s="1125"/>
      <c r="N685" s="1132"/>
      <c r="O685" s="869">
        <v>679</v>
      </c>
      <c r="P685" s="691" t="str">
        <f t="shared" ref="P685" ca="1" si="363">HYPERLINK(EK685,EJ685)</f>
        <v>9.270</v>
      </c>
      <c r="Q685" s="692" t="str">
        <f t="shared" ref="Q685" si="364">Y685</f>
        <v>S. 38</v>
      </c>
      <c r="R685" s="852"/>
      <c r="S685" s="784"/>
      <c r="T685" s="864"/>
      <c r="U685" s="1023" t="str">
        <f ca="1">"WWF Modell Deutschland ["&amp;P685&amp;"], "&amp;Q685&amp;": ""Den Szenarien liegt ein durchschnittliches reales Wirtschaftswachstum von 0,7% p.a. zu Grunde."""</f>
        <v>WWF Modell Deutschland [9.270], S. 38: "Den Szenarien liegt ein durchschnittliches reales Wirtschaftswachstum von 0,7% p.a. zu Grunde."</v>
      </c>
      <c r="V685" s="905" t="s">
        <v>126</v>
      </c>
      <c r="W685" s="905"/>
      <c r="X685" s="672">
        <f>'9.Quellen'!C$270</f>
        <v>270</v>
      </c>
      <c r="Y685" s="672" t="s">
        <v>359</v>
      </c>
      <c r="Z685" s="1025"/>
      <c r="AA685" s="905"/>
      <c r="AB685" s="801"/>
      <c r="AC685" s="801"/>
      <c r="AD685" s="801"/>
      <c r="AE685" s="801"/>
      <c r="AF685" s="801"/>
      <c r="AG685" s="801"/>
      <c r="AH685" s="801"/>
      <c r="AI685" s="801"/>
      <c r="AJ685" s="801"/>
      <c r="AK685" s="801"/>
      <c r="AL685" s="801"/>
      <c r="AM685" s="801"/>
      <c r="AN685" s="801"/>
      <c r="AO685" s="801"/>
      <c r="AP685" s="801"/>
      <c r="AQ685" s="801"/>
      <c r="AR685" s="801"/>
      <c r="AS685" s="801"/>
      <c r="AT685" s="801"/>
      <c r="AU685" s="801"/>
      <c r="AV685" s="801"/>
      <c r="BF685" s="657"/>
      <c r="BI685" s="656" t="s">
        <v>126</v>
      </c>
      <c r="BJ685" s="666"/>
      <c r="BO685" s="656" t="s">
        <v>252</v>
      </c>
      <c r="CU685" s="663" t="str">
        <f ca="1">IF(U685="",BF685,U685)</f>
        <v>WWF Modell Deutschland [9.270], S. 38: "Den Szenarien liegt ein durchschnittliches reales Wirtschaftswachstum von 0,7% p.a. zu Grunde."</v>
      </c>
      <c r="CW685" s="663"/>
      <c r="DT685" s="671"/>
      <c r="EJ685" s="656" t="str">
        <f ca="1">IF(X685=0,"",EJ$1&amp;X685)</f>
        <v>9.270</v>
      </c>
      <c r="EK685" s="656" t="str">
        <f ca="1">EK$1&amp;X685</f>
        <v>[D_Python.xlsx]9.Quellen!C270</v>
      </c>
      <c r="EV685" s="819">
        <f t="shared" ca="1" si="351"/>
        <v>685</v>
      </c>
      <c r="EW685" s="819"/>
    </row>
    <row r="686" spans="1:153" s="656" customFormat="1" ht="39">
      <c r="A686" s="654" t="str">
        <f t="shared" ca="1" si="349"/>
        <v>D.1.686</v>
      </c>
      <c r="B686" s="654" t="str">
        <f t="shared" ca="1" si="350"/>
        <v>1.686</v>
      </c>
      <c r="C686" s="654" t="str">
        <f t="shared" ref="C686" si="365">CE$1&amp;D686&amp;CF$1</f>
        <v>[686]</v>
      </c>
      <c r="D686" s="654">
        <f>ROW()</f>
        <v>686</v>
      </c>
      <c r="E686" s="1125" t="str">
        <f ca="1">CU686</f>
        <v>UBA Treibhausgasneutrales Deutschland 2050 [9.249], S. 29: Geht im Szeario davon aus, "...dass Deutschland im Jahre 2050 ein exportierendes Industrieland mit einem bis dahin durchschnittlichen jährlichen Wirtschaftswachstum von 0,7 % des Bruttoinlandsprodukts ist."</v>
      </c>
      <c r="F686" s="1125"/>
      <c r="G686" s="1125"/>
      <c r="H686" s="1125"/>
      <c r="I686" s="1125"/>
      <c r="J686" s="1125"/>
      <c r="K686" s="1125"/>
      <c r="L686" s="1125"/>
      <c r="M686" s="1125"/>
      <c r="N686" s="1132"/>
      <c r="O686" s="869">
        <v>680</v>
      </c>
      <c r="P686" s="691" t="str">
        <f t="shared" ref="P686" ca="1" si="366">HYPERLINK(EK686,EJ686)</f>
        <v>9.249</v>
      </c>
      <c r="Q686" s="692" t="str">
        <f t="shared" ref="Q686" si="367">Y686</f>
        <v>S. 29</v>
      </c>
      <c r="R686" s="852"/>
      <c r="S686" s="784"/>
      <c r="T686" s="864"/>
      <c r="U686" s="1023" t="str">
        <f ca="1">"UBA Treibhausgasneutrales Deutschland 2050 ["&amp;P686&amp;"], "&amp;Q686&amp;": Geht im Szeario davon aus, ""...dass Deutschland im Jahre 2050 ein exportierendes Industrieland mit einem bis dahin durchschnittlichen jährlichen Wirtschaftswachstum von 0,7 % des Bruttoinlandsprodukts ist."""</f>
        <v>UBA Treibhausgasneutrales Deutschland 2050 [9.249], S. 29: Geht im Szeario davon aus, "...dass Deutschland im Jahre 2050 ein exportierendes Industrieland mit einem bis dahin durchschnittlichen jährlichen Wirtschaftswachstum von 0,7 % des Bruttoinlandsprodukts ist."</v>
      </c>
      <c r="V686" s="905" t="s">
        <v>126</v>
      </c>
      <c r="W686" s="1025"/>
      <c r="X686" s="672">
        <f>'9.Quellen'!C$249</f>
        <v>249</v>
      </c>
      <c r="Y686" s="672" t="s">
        <v>759</v>
      </c>
      <c r="Z686" s="1025"/>
      <c r="AA686" s="905"/>
      <c r="AB686" s="801"/>
      <c r="AC686" s="801"/>
      <c r="AD686" s="801"/>
      <c r="AE686" s="801"/>
      <c r="AF686" s="801"/>
      <c r="AG686" s="801"/>
      <c r="AH686" s="801"/>
      <c r="AI686" s="801"/>
      <c r="AJ686" s="801"/>
      <c r="AK686" s="801"/>
      <c r="AL686" s="801"/>
      <c r="AM686" s="801"/>
      <c r="AN686" s="801"/>
      <c r="AO686" s="801"/>
      <c r="AP686" s="801"/>
      <c r="AQ686" s="801"/>
      <c r="AR686" s="801"/>
      <c r="AS686" s="801"/>
      <c r="AT686" s="801"/>
      <c r="AU686" s="801"/>
      <c r="AV686" s="801"/>
      <c r="BF686" s="657"/>
      <c r="BI686" s="656" t="s">
        <v>126</v>
      </c>
      <c r="BJ686" s="666"/>
      <c r="BO686" s="656" t="s">
        <v>252</v>
      </c>
      <c r="CU686" s="663" t="str">
        <f ca="1">IF(U686="",BF686,U686)</f>
        <v>UBA Treibhausgasneutrales Deutschland 2050 [9.249], S. 29: Geht im Szeario davon aus, "...dass Deutschland im Jahre 2050 ein exportierendes Industrieland mit einem bis dahin durchschnittlichen jährlichen Wirtschaftswachstum von 0,7 % des Bruttoinlandsprodukts ist."</v>
      </c>
      <c r="CW686" s="663"/>
      <c r="DT686" s="671"/>
      <c r="EJ686" s="656" t="str">
        <f ca="1">IF(X686=0,"",EJ$1&amp;X686)</f>
        <v>9.249</v>
      </c>
      <c r="EK686" s="656" t="str">
        <f ca="1">EK$1&amp;X686</f>
        <v>[D_Python.xlsx]9.Quellen!C249</v>
      </c>
      <c r="EV686" s="819">
        <f t="shared" ca="1" si="351"/>
        <v>686</v>
      </c>
      <c r="EW686" s="819"/>
    </row>
    <row r="687" spans="1:153" s="478" customFormat="1" ht="4">
      <c r="A687" s="677" t="str">
        <f t="shared" ca="1" si="349"/>
        <v>D.1.687</v>
      </c>
      <c r="B687" s="677" t="str">
        <f t="shared" ca="1" si="350"/>
        <v>1.687</v>
      </c>
      <c r="C687" s="677" t="str">
        <f t="shared" si="331"/>
        <v>[687]</v>
      </c>
      <c r="D687" s="677">
        <f>ROW()</f>
        <v>687</v>
      </c>
      <c r="E687" s="548"/>
      <c r="F687" s="548"/>
      <c r="G687" s="548"/>
      <c r="H687" s="548"/>
      <c r="I687" s="549"/>
      <c r="J687" s="549"/>
      <c r="K687" s="549"/>
      <c r="L687" s="549"/>
      <c r="M687" s="549"/>
      <c r="N687" s="548"/>
      <c r="O687" s="871">
        <v>681</v>
      </c>
      <c r="P687" s="575"/>
      <c r="Q687" s="576"/>
      <c r="R687" s="888"/>
      <c r="S687" s="802"/>
      <c r="T687" s="882"/>
      <c r="U687" s="661"/>
      <c r="V687" s="661"/>
      <c r="W687" s="661"/>
      <c r="X687" s="661"/>
      <c r="Y687" s="661"/>
      <c r="Z687" s="661"/>
      <c r="AA687" s="661"/>
      <c r="AB687" s="675"/>
      <c r="AC687" s="675"/>
      <c r="AD687" s="675"/>
      <c r="AE687" s="675"/>
      <c r="AF687" s="675"/>
      <c r="AG687" s="675"/>
      <c r="AH687" s="675"/>
      <c r="AI687" s="675"/>
      <c r="AJ687" s="675"/>
      <c r="AK687" s="675"/>
      <c r="AL687" s="675"/>
      <c r="AM687" s="675"/>
      <c r="AN687" s="675"/>
      <c r="AO687" s="675"/>
      <c r="AP687" s="675"/>
      <c r="AQ687" s="675"/>
      <c r="AR687" s="675"/>
      <c r="AS687" s="675"/>
      <c r="AT687" s="675"/>
      <c r="AU687" s="675"/>
      <c r="AV687" s="675"/>
      <c r="AZ687" s="505"/>
      <c r="BB687" s="505"/>
      <c r="BI687" s="478" t="s">
        <v>126</v>
      </c>
      <c r="BJ687" s="489"/>
      <c r="BN687" s="661"/>
      <c r="CU687" s="479"/>
      <c r="CV687" s="661"/>
      <c r="CW687" s="479"/>
      <c r="DS687" s="661"/>
      <c r="EV687" s="818" t="str">
        <f t="shared" si="351"/>
        <v/>
      </c>
      <c r="EW687" s="818"/>
    </row>
    <row r="688" spans="1:153" s="475" customFormat="1" ht="13.5" customHeight="1">
      <c r="A688" s="654" t="str">
        <f t="shared" ca="1" si="349"/>
        <v>D.1.688</v>
      </c>
      <c r="B688" s="654" t="str">
        <f t="shared" ca="1" si="350"/>
        <v>1.688</v>
      </c>
      <c r="C688" s="654" t="str">
        <f t="shared" si="331"/>
        <v>[688]</v>
      </c>
      <c r="D688" s="654">
        <f>ROW()</f>
        <v>688</v>
      </c>
      <c r="E688" s="1129" t="str">
        <f>BP688</f>
        <v>BIP pro Kopf</v>
      </c>
      <c r="F688" s="1129"/>
      <c r="G688" s="1129"/>
      <c r="H688" s="1129"/>
      <c r="I688" s="1129"/>
      <c r="J688" s="471" t="s">
        <v>575</v>
      </c>
      <c r="K688" s="684">
        <f ca="1">INDIRECT($W$1&amp;U688)</f>
        <v>33569</v>
      </c>
      <c r="L688" s="597" t="str">
        <f ca="1">HYPERLINK($CK$1&amp;U688,$CE$1&amp;U688&amp;$CF$1)</f>
        <v>[689]</v>
      </c>
      <c r="M688" s="652" t="str">
        <f ca="1">INDIRECT($W$1&amp;W688)</f>
        <v>(resultiert)</v>
      </c>
      <c r="N688" s="533" t="str">
        <f ca="1">HYPERLINK($CK$1&amp;W688,$CE$1&amp;W688&amp;$CF$1)</f>
        <v>[691]</v>
      </c>
      <c r="O688" s="869">
        <v>682</v>
      </c>
      <c r="P688" s="570"/>
      <c r="Q688" s="583"/>
      <c r="R688" s="852"/>
      <c r="S688" s="784"/>
      <c r="T688" s="864"/>
      <c r="U688" s="672">
        <f>D689</f>
        <v>689</v>
      </c>
      <c r="V688" s="905" t="s">
        <v>126</v>
      </c>
      <c r="W688" s="672">
        <f>D691</f>
        <v>691</v>
      </c>
      <c r="X688" s="658"/>
      <c r="Y688" s="658"/>
      <c r="Z688" s="658"/>
      <c r="AA688" s="658"/>
      <c r="AB688" s="801"/>
      <c r="AC688" s="801"/>
      <c r="AD688" s="674"/>
      <c r="AE688" s="674"/>
      <c r="AF688" s="674"/>
      <c r="AG688" s="674"/>
      <c r="AH688" s="674"/>
      <c r="AI688" s="674"/>
      <c r="AJ688" s="674"/>
      <c r="AK688" s="674"/>
      <c r="AL688" s="674"/>
      <c r="AM688" s="674"/>
      <c r="AN688" s="674"/>
      <c r="AO688" s="674"/>
      <c r="AP688" s="674"/>
      <c r="AQ688" s="674"/>
      <c r="AR688" s="674"/>
      <c r="AS688" s="674"/>
      <c r="AT688" s="674"/>
      <c r="AU688" s="674"/>
      <c r="AV688" s="674"/>
      <c r="AX688" s="475" t="s">
        <v>244</v>
      </c>
      <c r="AY688" s="500">
        <f ca="1">DA688</f>
        <v>10.254559182513647</v>
      </c>
      <c r="AZ688" s="508" t="str">
        <f ca="1">HYPERLINK(DN688,DC688)</f>
        <v xml:space="preserve"> 235</v>
      </c>
      <c r="BA688" s="500">
        <f ca="1">DB688</f>
        <v>35</v>
      </c>
      <c r="BB688" s="508" t="str">
        <f ca="1">HYPERLINK(DO688,DD688)</f>
        <v xml:space="preserve"> 236</v>
      </c>
      <c r="BC688" s="475" t="str">
        <f ca="1">CY688&amp;" | "&amp;CZ688</f>
        <v>Brennstoffgew.
für Prozesse | 0</v>
      </c>
      <c r="BI688" s="475" t="s">
        <v>126</v>
      </c>
      <c r="BJ688" s="492" t="str">
        <f>E688</f>
        <v>BIP pro Kopf</v>
      </c>
      <c r="BK688" s="486">
        <f ca="1">K688</f>
        <v>33569</v>
      </c>
      <c r="BL688" s="486" t="str">
        <f ca="1">M688</f>
        <v>(resultiert)</v>
      </c>
      <c r="BM688" s="472">
        <f>D688</f>
        <v>688</v>
      </c>
      <c r="BN688" s="658"/>
      <c r="BO688" s="475" t="s">
        <v>251</v>
      </c>
      <c r="BP688" s="521" t="s">
        <v>764</v>
      </c>
      <c r="CU688" s="476"/>
      <c r="CV688" s="658"/>
      <c r="CW688" s="518">
        <v>61</v>
      </c>
      <c r="CY688" s="472" t="str">
        <f t="shared" ref="CY688:DO688" ca="1" si="368">INDIRECT($CX$1&amp;CY$1&amp;$CW688)</f>
        <v>Brennstoffgew.
für Prozesse</v>
      </c>
      <c r="CZ688" s="472">
        <f t="shared" ca="1" si="368"/>
        <v>0</v>
      </c>
      <c r="DA688" s="472">
        <f t="shared" ca="1" si="368"/>
        <v>10.254559182513647</v>
      </c>
      <c r="DB688" s="472">
        <f t="shared" ca="1" si="368"/>
        <v>35</v>
      </c>
      <c r="DC688" s="472" t="str">
        <f t="shared" ca="1" si="368"/>
        <v xml:space="preserve"> 235</v>
      </c>
      <c r="DD688" s="472" t="str">
        <f t="shared" ca="1" si="368"/>
        <v xml:space="preserve"> 236</v>
      </c>
      <c r="DE688" s="472" t="str">
        <f t="shared" ca="1" si="368"/>
        <v>Ho99</v>
      </c>
      <c r="DF688" s="472" t="str">
        <f t="shared" ca="1" si="368"/>
        <v>Ho36</v>
      </c>
      <c r="DG688" s="472" t="str">
        <f t="shared" ca="1" si="368"/>
        <v>Ho</v>
      </c>
      <c r="DH688" s="472" t="str">
        <f t="shared" ca="1" si="368"/>
        <v>99</v>
      </c>
      <c r="DI688" s="472" t="str">
        <f t="shared" ca="1" si="368"/>
        <v>[Ho.xls]TEXT!Z99S5</v>
      </c>
      <c r="DJ688" s="472" t="str">
        <f t="shared" ca="1" si="368"/>
        <v>Ho</v>
      </c>
      <c r="DK688" s="472" t="str">
        <f t="shared" ca="1" si="368"/>
        <v>36</v>
      </c>
      <c r="DL688" s="472" t="str">
        <f t="shared" ca="1" si="368"/>
        <v>[Ho.xls]TEXT!Z36S5</v>
      </c>
      <c r="DM688" s="472">
        <f t="shared" ca="1" si="368"/>
        <v>61</v>
      </c>
      <c r="DN688" s="472" t="str">
        <f t="shared" ca="1" si="368"/>
        <v>[Region.xls]PARAMETER!Z235S6</v>
      </c>
      <c r="DO688" s="472" t="str">
        <f t="shared" ca="1" si="368"/>
        <v>[Region.xls]PARAMETER!Z236S6</v>
      </c>
      <c r="DP688" s="472"/>
      <c r="DS688" s="656"/>
      <c r="DV688" s="472"/>
      <c r="DW688" s="472"/>
      <c r="DX688" s="472"/>
      <c r="DY688" s="472"/>
      <c r="DZ688" s="472"/>
      <c r="EA688" s="472"/>
      <c r="EB688" s="472"/>
      <c r="EC688" s="472"/>
      <c r="ED688" s="472"/>
      <c r="EE688" s="472"/>
      <c r="EF688" s="472"/>
      <c r="EG688" s="472"/>
      <c r="EH688" s="472"/>
      <c r="EI688" s="472"/>
      <c r="EJ688" s="472"/>
      <c r="EK688" s="472"/>
      <c r="EV688" s="819">
        <f t="shared" si="351"/>
        <v>688</v>
      </c>
      <c r="EW688" s="819"/>
    </row>
    <row r="689" spans="1:153" s="472" customFormat="1" ht="26">
      <c r="A689" s="654" t="str">
        <f t="shared" ca="1" si="349"/>
        <v>D.1.689</v>
      </c>
      <c r="B689" s="654" t="str">
        <f t="shared" ca="1" si="350"/>
        <v>1.689</v>
      </c>
      <c r="C689" s="654" t="str">
        <f t="shared" si="331"/>
        <v>[689]</v>
      </c>
      <c r="D689" s="654">
        <f>ROW()</f>
        <v>689</v>
      </c>
      <c r="E689" s="1130" t="str">
        <f ca="1">CU689</f>
        <v>- STATUS-Ansatz: Wirtschaftsleistung Deutschlands im Jahr 2012 als Bruttoinlandsprodukt pro Kopf gemäß STATISTA [9.229].</v>
      </c>
      <c r="F689" s="1130"/>
      <c r="G689" s="1130"/>
      <c r="H689" s="1130"/>
      <c r="I689" s="1130"/>
      <c r="J689" s="1130"/>
      <c r="K689" s="1130"/>
      <c r="L689" s="1130"/>
      <c r="M689" s="1130"/>
      <c r="N689" s="1131"/>
      <c r="O689" s="869">
        <v>683</v>
      </c>
      <c r="P689" s="573" t="str">
        <f ca="1">HYPERLINK(EK689,EJ689)</f>
        <v>9.229</v>
      </c>
      <c r="Q689" s="574" t="str">
        <f>Y689</f>
        <v xml:space="preserve"> </v>
      </c>
      <c r="R689" s="852"/>
      <c r="S689" s="784"/>
      <c r="T689" s="864"/>
      <c r="U689" s="1023" t="str">
        <f ca="1">"Wirtschaftsleistung Deutschlands im Jahr 2012 als Bruttoinlandsprodukt pro Kopf gemäß "&amp;'9.Quellen'!E229&amp;" ["&amp;P689&amp;"]."</f>
        <v>Wirtschaftsleistung Deutschlands im Jahr 2012 als Bruttoinlandsprodukt pro Kopf gemäß STATISTA [9.229].</v>
      </c>
      <c r="V689" s="905" t="s">
        <v>126</v>
      </c>
      <c r="W689" s="1024">
        <v>33569</v>
      </c>
      <c r="X689" s="672">
        <f>'9.Quellen'!C229</f>
        <v>229</v>
      </c>
      <c r="Y689" s="672" t="s">
        <v>126</v>
      </c>
      <c r="Z689" s="1025"/>
      <c r="AA689" s="658"/>
      <c r="AB689" s="801"/>
      <c r="AC689" s="801"/>
      <c r="AD689" s="801"/>
      <c r="AE689" s="801"/>
      <c r="AF689" s="801"/>
      <c r="AG689" s="801"/>
      <c r="AH689" s="801"/>
      <c r="AI689" s="801"/>
      <c r="AJ689" s="801"/>
      <c r="AK689" s="801"/>
      <c r="AL689" s="801"/>
      <c r="AM689" s="801"/>
      <c r="AN689" s="801"/>
      <c r="AO689" s="801"/>
      <c r="AP689" s="801"/>
      <c r="AQ689" s="801"/>
      <c r="AR689" s="801"/>
      <c r="AS689" s="801"/>
      <c r="AT689" s="801"/>
      <c r="AU689" s="801"/>
      <c r="AV689" s="801"/>
      <c r="AY689" s="472">
        <f ca="1">AY688/AY$246%</f>
        <v>14.091645358575692</v>
      </c>
      <c r="BA689" s="472">
        <f ca="1">BA688/BA$246%</f>
        <v>100</v>
      </c>
      <c r="BF689" s="473"/>
      <c r="BI689" s="472" t="s">
        <v>126</v>
      </c>
      <c r="BJ689" s="490"/>
      <c r="BN689" s="656"/>
      <c r="BO689" s="472" t="s">
        <v>259</v>
      </c>
      <c r="CU689" s="480" t="str">
        <f ca="1">CG$1&amp;IF(U689="",BF689,U689)</f>
        <v>- STATUS-Ansatz: Wirtschaftsleistung Deutschlands im Jahr 2012 als Bruttoinlandsprodukt pro Kopf gemäß STATISTA [9.229].</v>
      </c>
      <c r="CV689" s="656"/>
      <c r="CW689" s="480"/>
      <c r="DS689" s="656"/>
      <c r="DT689" s="518">
        <f>I_Basisdaten!A308</f>
        <v>0</v>
      </c>
      <c r="EJ689" s="472" t="str">
        <f ca="1">IF(X689=0,"",EJ$1&amp;X689)</f>
        <v>9.229</v>
      </c>
      <c r="EK689" s="472" t="str">
        <f ca="1">EK$1&amp;X689</f>
        <v>[D_Python.xlsx]9.Quellen!C229</v>
      </c>
      <c r="EV689" s="819">
        <f t="shared" ca="1" si="351"/>
        <v>689</v>
      </c>
      <c r="EW689" s="819"/>
    </row>
    <row r="690" spans="1:153" s="478" customFormat="1" ht="4">
      <c r="A690" s="677" t="str">
        <f t="shared" ca="1" si="349"/>
        <v>D.1.690</v>
      </c>
      <c r="B690" s="677" t="str">
        <f t="shared" ca="1" si="350"/>
        <v>1.690</v>
      </c>
      <c r="C690" s="677" t="str">
        <f t="shared" si="331"/>
        <v>[690]</v>
      </c>
      <c r="D690" s="677">
        <f>ROW()</f>
        <v>690</v>
      </c>
      <c r="E690" s="528"/>
      <c r="F690" s="528"/>
      <c r="G690" s="528"/>
      <c r="H690" s="528"/>
      <c r="I690" s="527"/>
      <c r="J690" s="527"/>
      <c r="K690" s="527"/>
      <c r="L690" s="527"/>
      <c r="M690" s="527"/>
      <c r="N690" s="528"/>
      <c r="O690" s="871">
        <v>684</v>
      </c>
      <c r="P690" s="566"/>
      <c r="Q690" s="567"/>
      <c r="R690" s="888"/>
      <c r="S690" s="802"/>
      <c r="T690" s="882"/>
      <c r="U690" s="661"/>
      <c r="V690" s="661"/>
      <c r="W690" s="661"/>
      <c r="X690" s="661"/>
      <c r="Y690" s="661"/>
      <c r="Z690" s="661"/>
      <c r="AA690" s="661"/>
      <c r="AB690" s="675"/>
      <c r="AC690" s="675"/>
      <c r="AD690" s="675"/>
      <c r="AE690" s="675"/>
      <c r="AF690" s="675"/>
      <c r="AG690" s="675"/>
      <c r="AH690" s="675"/>
      <c r="AI690" s="675"/>
      <c r="AJ690" s="675"/>
      <c r="AK690" s="675"/>
      <c r="AL690" s="675"/>
      <c r="AM690" s="675"/>
      <c r="AN690" s="675"/>
      <c r="AO690" s="675"/>
      <c r="AP690" s="675"/>
      <c r="AQ690" s="675"/>
      <c r="AR690" s="675"/>
      <c r="AS690" s="675"/>
      <c r="AT690" s="675"/>
      <c r="AU690" s="675"/>
      <c r="AV690" s="675"/>
      <c r="BI690" s="478" t="s">
        <v>126</v>
      </c>
      <c r="BJ690" s="489"/>
      <c r="BN690" s="661"/>
      <c r="CU690" s="479"/>
      <c r="CV690" s="661"/>
      <c r="CW690" s="479"/>
      <c r="DS690" s="661"/>
      <c r="EV690" s="818" t="str">
        <f t="shared" si="351"/>
        <v/>
      </c>
      <c r="EW690" s="818"/>
    </row>
    <row r="691" spans="1:153" s="472" customFormat="1" ht="39">
      <c r="A691" s="654" t="str">
        <f t="shared" ca="1" si="349"/>
        <v>D.1.691</v>
      </c>
      <c r="B691" s="654" t="str">
        <f t="shared" ca="1" si="350"/>
        <v>1.691</v>
      </c>
      <c r="C691" s="654" t="str">
        <f t="shared" si="331"/>
        <v>[691]</v>
      </c>
      <c r="D691" s="654">
        <f>ROW()</f>
        <v>691</v>
      </c>
      <c r="E691" s="1125" t="str">
        <f t="shared" ref="E691" si="369">CU691</f>
        <v>- ZIEL-Ansatz: Nicht hier im Datenmodell erforderlich. Resultiert aus dem Statusansatz [689] und der durchschnittlichen Jahresrate  für die Veränderung des Bruttoinlandsproduktes pro Kopf [681] im Betrachtungszeitraum [674]. Berechnung erfolgt in der Szenario-Tabelle nach der Zinseszins-Formel.</v>
      </c>
      <c r="F691" s="1125"/>
      <c r="G691" s="1125"/>
      <c r="H691" s="1125"/>
      <c r="I691" s="1125"/>
      <c r="J691" s="1125"/>
      <c r="K691" s="1125"/>
      <c r="L691" s="1125"/>
      <c r="M691" s="1125"/>
      <c r="N691" s="1132"/>
      <c r="O691" s="869">
        <v>685</v>
      </c>
      <c r="P691" s="573" t="str">
        <f ca="1">HYPERLINK(EK691,EJ691)</f>
        <v/>
      </c>
      <c r="Q691" s="574" t="str">
        <f>Y691</f>
        <v xml:space="preserve"> </v>
      </c>
      <c r="R691" s="852"/>
      <c r="S691" s="784"/>
      <c r="T691" s="864"/>
      <c r="U691" s="1023" t="str">
        <f>"Nicht hier im Datenmodell erforderlich. Resultiert aus dem Statusansatz "&amp;C689&amp;" und der durchschnittlichen Jahresrate  für die Veränderung des Bruttoinlandsproduktes pro Kopf "&amp;C681&amp;" im Betrachtungszeitraum "&amp;C674&amp;". Berechnung erfolgt in der Szenario-Tabelle nach der Zinseszins-Formel."</f>
        <v>Nicht hier im Datenmodell erforderlich. Resultiert aus dem Statusansatz [689] und der durchschnittlichen Jahresrate  für die Veränderung des Bruttoinlandsproduktes pro Kopf [681] im Betrachtungszeitraum [674]. Berechnung erfolgt in der Szenario-Tabelle nach der Zinseszins-Formel.</v>
      </c>
      <c r="V691" s="905" t="s">
        <v>126</v>
      </c>
      <c r="W691" s="1024" t="s">
        <v>507</v>
      </c>
      <c r="X691" s="672"/>
      <c r="Y691" s="672" t="s">
        <v>126</v>
      </c>
      <c r="Z691" s="1025"/>
      <c r="AA691" s="905"/>
      <c r="AB691" s="801"/>
      <c r="AC691" s="801"/>
      <c r="AD691" s="801"/>
      <c r="AE691" s="801"/>
      <c r="AF691" s="801"/>
      <c r="AG691" s="801"/>
      <c r="AH691" s="801"/>
      <c r="AI691" s="801"/>
      <c r="AJ691" s="801"/>
      <c r="AK691" s="801"/>
      <c r="AL691" s="801"/>
      <c r="AM691" s="801"/>
      <c r="AN691" s="801"/>
      <c r="AO691" s="801"/>
      <c r="AP691" s="801"/>
      <c r="AQ691" s="801"/>
      <c r="AR691" s="801"/>
      <c r="AS691" s="801"/>
      <c r="AT691" s="801"/>
      <c r="AU691" s="801"/>
      <c r="AV691" s="801"/>
      <c r="BF691" s="473"/>
      <c r="BI691" s="472" t="s">
        <v>126</v>
      </c>
      <c r="BJ691" s="490"/>
      <c r="BN691" s="656"/>
      <c r="BO691" s="472" t="s">
        <v>259</v>
      </c>
      <c r="CU691" s="480" t="str">
        <f>CH$1&amp;IF(U691="",BF691,U691)</f>
        <v>- ZIEL-Ansatz: Nicht hier im Datenmodell erforderlich. Resultiert aus dem Statusansatz [689] und der durchschnittlichen Jahresrate  für die Veränderung des Bruttoinlandsproduktes pro Kopf [681] im Betrachtungszeitraum [674]. Berechnung erfolgt in der Szenario-Tabelle nach der Zinseszins-Formel.</v>
      </c>
      <c r="CV691" s="656"/>
      <c r="CW691" s="480"/>
      <c r="DS691" s="656"/>
      <c r="DT691" s="518">
        <v>53</v>
      </c>
      <c r="EJ691" s="472" t="str">
        <f>IF(X691=0,"",EJ$1&amp;X691)</f>
        <v/>
      </c>
      <c r="EK691" s="472" t="str">
        <f ca="1">EK$1&amp;X691</f>
        <v>[D_Python.xlsx]9.Quellen!C</v>
      </c>
      <c r="EV691" s="819">
        <f t="shared" si="351"/>
        <v>691</v>
      </c>
      <c r="EW691" s="819"/>
    </row>
    <row r="692" spans="1:153" s="478" customFormat="1" ht="4">
      <c r="A692" s="677" t="str">
        <f t="shared" ca="1" si="349"/>
        <v>D.1.692</v>
      </c>
      <c r="B692" s="677" t="str">
        <f t="shared" ca="1" si="350"/>
        <v>1.692</v>
      </c>
      <c r="C692" s="677" t="str">
        <f t="shared" si="331"/>
        <v>[692]</v>
      </c>
      <c r="D692" s="677">
        <f>ROW()</f>
        <v>692</v>
      </c>
      <c r="E692" s="548"/>
      <c r="F692" s="548"/>
      <c r="G692" s="548"/>
      <c r="H692" s="548"/>
      <c r="I692" s="549"/>
      <c r="J692" s="549"/>
      <c r="K692" s="549"/>
      <c r="L692" s="549"/>
      <c r="M692" s="549"/>
      <c r="N692" s="548"/>
      <c r="O692" s="871">
        <v>686</v>
      </c>
      <c r="P692" s="575"/>
      <c r="Q692" s="576"/>
      <c r="R692" s="888"/>
      <c r="S692" s="802"/>
      <c r="T692" s="882"/>
      <c r="U692" s="661"/>
      <c r="V692" s="661"/>
      <c r="W692" s="661"/>
      <c r="X692" s="661"/>
      <c r="Y692" s="661"/>
      <c r="Z692" s="661"/>
      <c r="AA692" s="661"/>
      <c r="AB692" s="675"/>
      <c r="AC692" s="675"/>
      <c r="AD692" s="675"/>
      <c r="AE692" s="675"/>
      <c r="AF692" s="675"/>
      <c r="AG692" s="675"/>
      <c r="AH692" s="675"/>
      <c r="AI692" s="675"/>
      <c r="AJ692" s="675"/>
      <c r="AK692" s="675"/>
      <c r="AL692" s="675"/>
      <c r="AM692" s="675"/>
      <c r="AN692" s="675"/>
      <c r="AO692" s="675"/>
      <c r="AP692" s="675"/>
      <c r="AQ692" s="675"/>
      <c r="AR692" s="675"/>
      <c r="AS692" s="675"/>
      <c r="AT692" s="675"/>
      <c r="AU692" s="675"/>
      <c r="AV692" s="675"/>
      <c r="AZ692" s="505"/>
      <c r="BB692" s="505"/>
      <c r="BI692" s="478" t="s">
        <v>126</v>
      </c>
      <c r="BJ692" s="489"/>
      <c r="BN692" s="661"/>
      <c r="CU692" s="479"/>
      <c r="CV692" s="661"/>
      <c r="CW692" s="479"/>
      <c r="DS692" s="661"/>
      <c r="EV692" s="818" t="str">
        <f t="shared" si="351"/>
        <v/>
      </c>
      <c r="EW692" s="818"/>
    </row>
    <row r="693" spans="1:153" s="658" customFormat="1" ht="13.5" customHeight="1">
      <c r="A693" s="654" t="str">
        <f t="shared" ca="1" si="349"/>
        <v>D.1.693</v>
      </c>
      <c r="B693" s="654" t="str">
        <f t="shared" ca="1" si="350"/>
        <v>1.693</v>
      </c>
      <c r="C693" s="654" t="str">
        <f t="shared" si="331"/>
        <v>[693]</v>
      </c>
      <c r="D693" s="654">
        <f>ROW()</f>
        <v>693</v>
      </c>
      <c r="E693" s="1129" t="str">
        <f>BP693</f>
        <v>Anteil Dienstleistungsbereiche an BIP/Kopf</v>
      </c>
      <c r="F693" s="1129"/>
      <c r="G693" s="1129"/>
      <c r="H693" s="1129"/>
      <c r="I693" s="1129"/>
      <c r="J693" s="655" t="s">
        <v>38</v>
      </c>
      <c r="K693" s="605">
        <f ca="1">INDIRECT($W$1&amp;U693)</f>
        <v>68.599999999999994</v>
      </c>
      <c r="L693" s="697" t="str">
        <f ca="1">HYPERLINK($CK$1&amp;U693,$CE$1&amp;U693&amp;$CF$1)</f>
        <v>[694]</v>
      </c>
      <c r="M693" s="683">
        <f ca="1">INDIRECT($W$1&amp;W693)</f>
        <v>68.599999999999994</v>
      </c>
      <c r="N693" s="681" t="str">
        <f ca="1">HYPERLINK($CK$1&amp;W693,$CE$1&amp;W693&amp;$CF$1)</f>
        <v>[696]</v>
      </c>
      <c r="O693" s="869">
        <v>687</v>
      </c>
      <c r="P693" s="690"/>
      <c r="Q693" s="695"/>
      <c r="R693" s="852"/>
      <c r="S693" s="784"/>
      <c r="T693" s="864"/>
      <c r="U693" s="672">
        <f>D694</f>
        <v>694</v>
      </c>
      <c r="V693" s="905" t="s">
        <v>126</v>
      </c>
      <c r="W693" s="672">
        <f>D696</f>
        <v>696</v>
      </c>
      <c r="AB693" s="801"/>
      <c r="AC693" s="801"/>
      <c r="AD693" s="674"/>
      <c r="AE693" s="674"/>
      <c r="AF693" s="674"/>
      <c r="AG693" s="674"/>
      <c r="AH693" s="674"/>
      <c r="AI693" s="674"/>
      <c r="AJ693" s="674"/>
      <c r="AK693" s="674"/>
      <c r="AL693" s="674"/>
      <c r="AM693" s="674"/>
      <c r="AN693" s="674"/>
      <c r="AO693" s="674"/>
      <c r="AP693" s="674"/>
      <c r="AQ693" s="674"/>
      <c r="AR693" s="674"/>
      <c r="AS693" s="674"/>
      <c r="AT693" s="674"/>
      <c r="AU693" s="674"/>
      <c r="AV693" s="674"/>
      <c r="AX693" s="658" t="s">
        <v>244</v>
      </c>
      <c r="AY693" s="668">
        <f ca="1">DA693</f>
        <v>10.254559182513647</v>
      </c>
      <c r="AZ693" s="670" t="str">
        <f ca="1">HYPERLINK(DN693,DC693)</f>
        <v xml:space="preserve"> 235</v>
      </c>
      <c r="BA693" s="668">
        <f ca="1">DB693</f>
        <v>35</v>
      </c>
      <c r="BB693" s="670" t="str">
        <f ca="1">HYPERLINK(DO693,DD693)</f>
        <v xml:space="preserve"> 236</v>
      </c>
      <c r="BC693" s="658" t="str">
        <f ca="1">CY693&amp;" | "&amp;CZ693</f>
        <v>Brennstoffgew.
für Prozesse | 0</v>
      </c>
      <c r="BI693" s="658" t="s">
        <v>126</v>
      </c>
      <c r="BJ693" s="667" t="str">
        <f>E693</f>
        <v>Anteil Dienstleistungsbereiche an BIP/Kopf</v>
      </c>
      <c r="BK693" s="664">
        <f ca="1">K693</f>
        <v>68.599999999999994</v>
      </c>
      <c r="BL693" s="664">
        <f ca="1">M693</f>
        <v>68.599999999999994</v>
      </c>
      <c r="BM693" s="656">
        <f>D693</f>
        <v>693</v>
      </c>
      <c r="BO693" s="658" t="s">
        <v>251</v>
      </c>
      <c r="BP693" s="676" t="s">
        <v>765</v>
      </c>
      <c r="CU693" s="659"/>
      <c r="CW693" s="671">
        <v>61</v>
      </c>
      <c r="CY693" s="656" t="str">
        <f t="shared" ref="CY693:DO693" ca="1" si="370">INDIRECT($CX$1&amp;CY$1&amp;$CW693)</f>
        <v>Brennstoffgew.
für Prozesse</v>
      </c>
      <c r="CZ693" s="656">
        <f t="shared" ca="1" si="370"/>
        <v>0</v>
      </c>
      <c r="DA693" s="656">
        <f t="shared" ca="1" si="370"/>
        <v>10.254559182513647</v>
      </c>
      <c r="DB693" s="656">
        <f t="shared" ca="1" si="370"/>
        <v>35</v>
      </c>
      <c r="DC693" s="656" t="str">
        <f t="shared" ca="1" si="370"/>
        <v xml:space="preserve"> 235</v>
      </c>
      <c r="DD693" s="656" t="str">
        <f t="shared" ca="1" si="370"/>
        <v xml:space="preserve"> 236</v>
      </c>
      <c r="DE693" s="656" t="str">
        <f t="shared" ca="1" si="370"/>
        <v>Ho99</v>
      </c>
      <c r="DF693" s="656" t="str">
        <f t="shared" ca="1" si="370"/>
        <v>Ho36</v>
      </c>
      <c r="DG693" s="656" t="str">
        <f t="shared" ca="1" si="370"/>
        <v>Ho</v>
      </c>
      <c r="DH693" s="656" t="str">
        <f t="shared" ca="1" si="370"/>
        <v>99</v>
      </c>
      <c r="DI693" s="656" t="str">
        <f t="shared" ca="1" si="370"/>
        <v>[Ho.xls]TEXT!Z99S5</v>
      </c>
      <c r="DJ693" s="656" t="str">
        <f t="shared" ca="1" si="370"/>
        <v>Ho</v>
      </c>
      <c r="DK693" s="656" t="str">
        <f t="shared" ca="1" si="370"/>
        <v>36</v>
      </c>
      <c r="DL693" s="656" t="str">
        <f t="shared" ca="1" si="370"/>
        <v>[Ho.xls]TEXT!Z36S5</v>
      </c>
      <c r="DM693" s="656">
        <f t="shared" ca="1" si="370"/>
        <v>61</v>
      </c>
      <c r="DN693" s="656" t="str">
        <f t="shared" ca="1" si="370"/>
        <v>[Region.xls]PARAMETER!Z235S6</v>
      </c>
      <c r="DO693" s="656" t="str">
        <f t="shared" ca="1" si="370"/>
        <v>[Region.xls]PARAMETER!Z236S6</v>
      </c>
      <c r="DP693" s="656"/>
      <c r="DS693" s="656"/>
      <c r="DV693" s="656"/>
      <c r="DW693" s="656"/>
      <c r="DX693" s="656"/>
      <c r="DY693" s="656"/>
      <c r="DZ693" s="656"/>
      <c r="EA693" s="656"/>
      <c r="EB693" s="656"/>
      <c r="EC693" s="656"/>
      <c r="ED693" s="656"/>
      <c r="EE693" s="656"/>
      <c r="EF693" s="656"/>
      <c r="EG693" s="656"/>
      <c r="EH693" s="656"/>
      <c r="EI693" s="656"/>
      <c r="EJ693" s="656"/>
      <c r="EK693" s="656"/>
      <c r="EV693" s="819">
        <f t="shared" si="351"/>
        <v>693</v>
      </c>
      <c r="EW693" s="819"/>
    </row>
    <row r="694" spans="1:153" s="656" customFormat="1" ht="52">
      <c r="A694" s="654" t="str">
        <f t="shared" ca="1" si="349"/>
        <v>D.1.694</v>
      </c>
      <c r="B694" s="654" t="str">
        <f t="shared" ca="1" si="350"/>
        <v>1.694</v>
      </c>
      <c r="C694" s="654" t="str">
        <f t="shared" si="331"/>
        <v>[694]</v>
      </c>
      <c r="D694" s="654">
        <f>ROW()</f>
        <v>694</v>
      </c>
      <c r="E694" s="1130" t="str">
        <f ca="1">CU694</f>
        <v xml:space="preserve">- STATUS-Ansatz: Gemäß  [9.226] für Deutschland im Jahr 2014. Dient der Abgrenzung der Dienstleistungsbereiche von produzierendem Gewerbe (Industrie) einschließlich Baugewerbe (produzierender Teil im Sektor 'Gewerbe/Handel/Dienstleistungen, wie er in der Energiebilanz gefasst ist) zur Berechnung mit unterschiedlichen wirtschaftlichen Entwicklungen. </v>
      </c>
      <c r="F694" s="1130"/>
      <c r="G694" s="1130"/>
      <c r="H694" s="1130"/>
      <c r="I694" s="1130"/>
      <c r="J694" s="1130"/>
      <c r="K694" s="1130"/>
      <c r="L694" s="1130"/>
      <c r="M694" s="1130"/>
      <c r="N694" s="1130"/>
      <c r="O694" s="869">
        <v>688</v>
      </c>
      <c r="P694" s="691" t="str">
        <f ca="1">HYPERLINK(EK694,EJ694)</f>
        <v>9.226</v>
      </c>
      <c r="Q694" s="692" t="str">
        <f>Y694</f>
        <v xml:space="preserve"> </v>
      </c>
      <c r="R694" s="852"/>
      <c r="S694" s="784"/>
      <c r="T694" s="864"/>
      <c r="U694" s="1023" t="str">
        <f ca="1">"Gemäß "&amp;'9.Quellen'!E210&amp;" ["&amp;P694&amp;"] für Deutschland im Jahr 2014. Dient der Abgrenzung der Dienstleistungsbereiche von produzierendem Gewerbe (Industrie) einschließlich Baugewerbe (produzierender Teil im Sektor 'Gewerbe/Handel/Dienstleistungen, wie er in der Energiebilanz gefasst ist) "&amp;"zur Berechnung mit unterschiedlichen wirtschaftlichen Entwicklungen. "</f>
        <v xml:space="preserve">Gemäß  [9.226] für Deutschland im Jahr 2014. Dient der Abgrenzung der Dienstleistungsbereiche von produzierendem Gewerbe (Industrie) einschließlich Baugewerbe (produzierender Teil im Sektor 'Gewerbe/Handel/Dienstleistungen, wie er in der Energiebilanz gefasst ist) zur Berechnung mit unterschiedlichen wirtschaftlichen Entwicklungen. </v>
      </c>
      <c r="V694" s="905" t="s">
        <v>126</v>
      </c>
      <c r="W694" s="1095">
        <v>68.599999999999994</v>
      </c>
      <c r="X694" s="672">
        <f>'9.Quellen'!C226</f>
        <v>226</v>
      </c>
      <c r="Y694" s="672" t="s">
        <v>126</v>
      </c>
      <c r="Z694" s="1025"/>
      <c r="AA694" s="658"/>
      <c r="AB694" s="801"/>
      <c r="AC694" s="801"/>
      <c r="AD694" s="801"/>
      <c r="AE694" s="801"/>
      <c r="AF694" s="801"/>
      <c r="AG694" s="801"/>
      <c r="AH694" s="801"/>
      <c r="AI694" s="801"/>
      <c r="AJ694" s="801"/>
      <c r="AK694" s="801"/>
      <c r="AL694" s="801"/>
      <c r="AM694" s="801"/>
      <c r="AN694" s="801"/>
      <c r="AO694" s="801"/>
      <c r="AP694" s="801"/>
      <c r="AQ694" s="801"/>
      <c r="AR694" s="801"/>
      <c r="AS694" s="801"/>
      <c r="AT694" s="801"/>
      <c r="AU694" s="801"/>
      <c r="AV694" s="801"/>
      <c r="AY694" s="656">
        <f ca="1">AY693/AY$246%</f>
        <v>14.091645358575692</v>
      </c>
      <c r="BA694" s="656">
        <f ca="1">BA693/BA$246%</f>
        <v>100</v>
      </c>
      <c r="BF694" s="657"/>
      <c r="BI694" s="656" t="s">
        <v>126</v>
      </c>
      <c r="BJ694" s="666"/>
      <c r="BO694" s="656" t="s">
        <v>259</v>
      </c>
      <c r="CU694" s="663" t="str">
        <f ca="1">CG$1&amp;IF(U694="",BF694,U694)</f>
        <v xml:space="preserve">- STATUS-Ansatz: Gemäß  [9.226] für Deutschland im Jahr 2014. Dient der Abgrenzung der Dienstleistungsbereiche von produzierendem Gewerbe (Industrie) einschließlich Baugewerbe (produzierender Teil im Sektor 'Gewerbe/Handel/Dienstleistungen, wie er in der Energiebilanz gefasst ist) zur Berechnung mit unterschiedlichen wirtschaftlichen Entwicklungen. </v>
      </c>
      <c r="CW694" s="663"/>
      <c r="DT694" s="671">
        <f>I_Basisdaten!A313</f>
        <v>0</v>
      </c>
      <c r="EJ694" s="656" t="str">
        <f ca="1">IF(X694=0,"",EJ$1&amp;X694)</f>
        <v>9.226</v>
      </c>
      <c r="EK694" s="656" t="str">
        <f ca="1">EK$1&amp;X694</f>
        <v>[D_Python.xlsx]9.Quellen!C226</v>
      </c>
      <c r="EV694" s="819">
        <f t="shared" ca="1" si="351"/>
        <v>694</v>
      </c>
      <c r="EW694" s="819"/>
    </row>
    <row r="695" spans="1:153" s="661" customFormat="1" ht="4">
      <c r="A695" s="677" t="str">
        <f t="shared" ca="1" si="349"/>
        <v>D.1.695</v>
      </c>
      <c r="B695" s="677" t="str">
        <f t="shared" ca="1" si="350"/>
        <v>1.695</v>
      </c>
      <c r="C695" s="677" t="str">
        <f t="shared" si="331"/>
        <v>[695]</v>
      </c>
      <c r="D695" s="677">
        <f>ROW()</f>
        <v>695</v>
      </c>
      <c r="E695" s="680"/>
      <c r="F695" s="680"/>
      <c r="G695" s="680"/>
      <c r="H695" s="680"/>
      <c r="I695" s="679"/>
      <c r="J695" s="679"/>
      <c r="K695" s="679"/>
      <c r="L695" s="679"/>
      <c r="M695" s="679"/>
      <c r="N695" s="680"/>
      <c r="O695" s="871">
        <v>689</v>
      </c>
      <c r="P695" s="688"/>
      <c r="Q695" s="689"/>
      <c r="R695" s="888"/>
      <c r="S695" s="802"/>
      <c r="T695" s="882"/>
      <c r="AB695" s="675"/>
      <c r="AC695" s="675"/>
      <c r="AD695" s="675"/>
      <c r="AE695" s="675"/>
      <c r="AF695" s="675"/>
      <c r="AG695" s="675"/>
      <c r="AH695" s="675"/>
      <c r="AI695" s="675"/>
      <c r="AJ695" s="675"/>
      <c r="AK695" s="675"/>
      <c r="AL695" s="675"/>
      <c r="AM695" s="675"/>
      <c r="AN695" s="675"/>
      <c r="AO695" s="675"/>
      <c r="AP695" s="675"/>
      <c r="AQ695" s="675"/>
      <c r="AR695" s="675"/>
      <c r="AS695" s="675"/>
      <c r="AT695" s="675"/>
      <c r="AU695" s="675"/>
      <c r="AV695" s="675"/>
      <c r="BI695" s="661" t="s">
        <v>126</v>
      </c>
      <c r="BJ695" s="665"/>
      <c r="CU695" s="662"/>
      <c r="CW695" s="662"/>
      <c r="EV695" s="818" t="str">
        <f t="shared" si="351"/>
        <v/>
      </c>
      <c r="EW695" s="818"/>
    </row>
    <row r="696" spans="1:153" s="656" customFormat="1" ht="65">
      <c r="A696" s="654" t="str">
        <f t="shared" ca="1" si="349"/>
        <v>D.1.696</v>
      </c>
      <c r="B696" s="654" t="str">
        <f t="shared" ca="1" si="350"/>
        <v>1.696</v>
      </c>
      <c r="C696" s="654" t="str">
        <f t="shared" si="331"/>
        <v>[696]</v>
      </c>
      <c r="D696" s="654">
        <f>ROW()</f>
        <v>696</v>
      </c>
      <c r="E696" s="1149" t="str">
        <f t="shared" ref="E696" si="371">CU696</f>
        <v>- ZIEL-Ansatz: Dient der Abschätzung der wirtschaftlichen Entwicklung und des daraus resultierenden Energiebedarfe differenziert für den Industrie- und Dienstleistungsbereich. Er ist orientiert an folgender Überlegung: Einerseits war in der Vergangenheit eine Verschiebung vom Produzierenden bzw. verarbeitenden Gewerbe zu Handel/Dienstleistungen zu verzeichnen. Andererseits ist davon auszugehen, dass dieser Trend in Deutschland als Industrie- und Exportnation sich nicht beliebig fortsetzt. Hier wird von einem gleichbleibenden Anteil ausgegangen.</v>
      </c>
      <c r="F696" s="1149"/>
      <c r="G696" s="1149"/>
      <c r="H696" s="1149"/>
      <c r="I696" s="1149"/>
      <c r="J696" s="1149"/>
      <c r="K696" s="1149"/>
      <c r="L696" s="1149"/>
      <c r="M696" s="1149"/>
      <c r="N696" s="1149"/>
      <c r="O696" s="869">
        <v>690</v>
      </c>
      <c r="P696" s="691" t="str">
        <f ca="1">HYPERLINK(EK696,EJ696)</f>
        <v/>
      </c>
      <c r="Q696" s="692" t="str">
        <f>Y696</f>
        <v xml:space="preserve"> </v>
      </c>
      <c r="R696" s="852"/>
      <c r="S696" s="784"/>
      <c r="T696" s="864"/>
      <c r="U696" s="1023" t="s">
        <v>766</v>
      </c>
      <c r="V696" s="905" t="s">
        <v>126</v>
      </c>
      <c r="W696" s="1095">
        <f>W694</f>
        <v>68.599999999999994</v>
      </c>
      <c r="X696" s="672"/>
      <c r="Y696" s="672" t="s">
        <v>126</v>
      </c>
      <c r="Z696" s="1025"/>
      <c r="AA696" s="905"/>
      <c r="AB696" s="801"/>
      <c r="AC696" s="801"/>
      <c r="AD696" s="801"/>
      <c r="AE696" s="801"/>
      <c r="AF696" s="801"/>
      <c r="AG696" s="801"/>
      <c r="AH696" s="801"/>
      <c r="AI696" s="801"/>
      <c r="AJ696" s="801"/>
      <c r="AK696" s="801"/>
      <c r="AL696" s="801"/>
      <c r="AM696" s="801"/>
      <c r="AN696" s="801"/>
      <c r="AO696" s="801"/>
      <c r="AP696" s="801"/>
      <c r="AQ696" s="801"/>
      <c r="AR696" s="801"/>
      <c r="AS696" s="801"/>
      <c r="AT696" s="801"/>
      <c r="AU696" s="801"/>
      <c r="AV696" s="801"/>
      <c r="BF696" s="657"/>
      <c r="BI696" s="656" t="s">
        <v>126</v>
      </c>
      <c r="BJ696" s="666"/>
      <c r="BO696" s="656" t="s">
        <v>259</v>
      </c>
      <c r="CU696" s="663" t="str">
        <f>CH$1&amp;IF(U696="",BF696,U696)</f>
        <v>- ZIEL-Ansatz: Dient der Abschätzung der wirtschaftlichen Entwicklung und des daraus resultierenden Energiebedarfe differenziert für den Industrie- und Dienstleistungsbereich. Er ist orientiert an folgender Überlegung: Einerseits war in der Vergangenheit eine Verschiebung vom Produzierenden bzw. verarbeitenden Gewerbe zu Handel/Dienstleistungen zu verzeichnen. Andererseits ist davon auszugehen, dass dieser Trend in Deutschland als Industrie- und Exportnation sich nicht beliebig fortsetzt. Hier wird von einem gleichbleibenden Anteil ausgegangen.</v>
      </c>
      <c r="CW696" s="663"/>
      <c r="DT696" s="671">
        <v>53</v>
      </c>
      <c r="EJ696" s="656" t="str">
        <f>IF(X696=0,"",EJ$1&amp;X696)</f>
        <v/>
      </c>
      <c r="EK696" s="656" t="str">
        <f ca="1">EK$1&amp;X696</f>
        <v>[D_Python.xlsx]9.Quellen!C</v>
      </c>
      <c r="EV696" s="819">
        <f t="shared" si="351"/>
        <v>696</v>
      </c>
      <c r="EW696" s="819"/>
    </row>
    <row r="697" spans="1:153" s="478" customFormat="1" ht="4">
      <c r="A697" s="677" t="str">
        <f t="shared" ca="1" si="349"/>
        <v>D.1.697</v>
      </c>
      <c r="B697" s="677" t="str">
        <f t="shared" ca="1" si="350"/>
        <v>1.697</v>
      </c>
      <c r="C697" s="677" t="str">
        <f t="shared" si="331"/>
        <v>[697]</v>
      </c>
      <c r="D697" s="677">
        <f>ROW()</f>
        <v>697</v>
      </c>
      <c r="E697" s="528"/>
      <c r="F697" s="528"/>
      <c r="G697" s="528"/>
      <c r="H697" s="528"/>
      <c r="I697" s="527"/>
      <c r="J697" s="527"/>
      <c r="K697" s="527"/>
      <c r="L697" s="527"/>
      <c r="M697" s="527"/>
      <c r="N697" s="528"/>
      <c r="O697" s="871">
        <v>691</v>
      </c>
      <c r="P697" s="566"/>
      <c r="Q697" s="567"/>
      <c r="R697" s="888"/>
      <c r="S697" s="802"/>
      <c r="T697" s="882"/>
      <c r="U697" s="661"/>
      <c r="V697" s="661"/>
      <c r="W697" s="661"/>
      <c r="X697" s="661"/>
      <c r="Y697" s="661"/>
      <c r="Z697" s="661"/>
      <c r="AA697" s="661"/>
      <c r="AB697" s="675"/>
      <c r="AC697" s="675"/>
      <c r="AD697" s="675"/>
      <c r="AE697" s="675"/>
      <c r="AF697" s="675"/>
      <c r="AG697" s="675"/>
      <c r="AH697" s="675"/>
      <c r="AI697" s="675"/>
      <c r="AJ697" s="675"/>
      <c r="AK697" s="675"/>
      <c r="AL697" s="675"/>
      <c r="AM697" s="675"/>
      <c r="AN697" s="675"/>
      <c r="AO697" s="675"/>
      <c r="AP697" s="675"/>
      <c r="AQ697" s="675"/>
      <c r="AR697" s="675"/>
      <c r="AS697" s="675"/>
      <c r="AT697" s="675"/>
      <c r="AU697" s="675"/>
      <c r="AV697" s="675"/>
      <c r="BI697" s="478" t="s">
        <v>126</v>
      </c>
      <c r="BJ697" s="489"/>
      <c r="BN697" s="661"/>
      <c r="CU697" s="479"/>
      <c r="CV697" s="661"/>
      <c r="CW697" s="479"/>
      <c r="DS697" s="661"/>
      <c r="EV697" s="818" t="str">
        <f t="shared" si="351"/>
        <v/>
      </c>
      <c r="EW697" s="818"/>
    </row>
    <row r="698" spans="1:153" s="472" customFormat="1" ht="13">
      <c r="A698" s="654" t="str">
        <f t="shared" ca="1" si="349"/>
        <v>D.1.698</v>
      </c>
      <c r="B698" s="654" t="str">
        <f t="shared" ca="1" si="350"/>
        <v>1.698</v>
      </c>
      <c r="C698" s="654" t="str">
        <f t="shared" si="331"/>
        <v>[698]</v>
      </c>
      <c r="D698" s="654">
        <f>ROW()</f>
        <v>698</v>
      </c>
      <c r="E698" s="481" t="str">
        <f>BP698</f>
        <v>Kraft, Licht, Inform./Komm., Kälte-Endenergieverbr. (KLIK)</v>
      </c>
      <c r="F698" s="482"/>
      <c r="G698" s="482"/>
      <c r="H698" s="482"/>
      <c r="I698" s="483"/>
      <c r="J698" s="484"/>
      <c r="K698" s="484"/>
      <c r="L698" s="484"/>
      <c r="M698" s="484"/>
      <c r="N698" s="532"/>
      <c r="O698" s="869">
        <v>692</v>
      </c>
      <c r="P698" s="568"/>
      <c r="Q698" s="569"/>
      <c r="R698" s="852"/>
      <c r="S698" s="804"/>
      <c r="T698" s="864"/>
      <c r="U698" s="905"/>
      <c r="V698" s="905"/>
      <c r="W698" s="905"/>
      <c r="X698" s="905"/>
      <c r="Y698" s="905"/>
      <c r="Z698" s="905"/>
      <c r="AA698" s="905"/>
      <c r="AB698" s="801"/>
      <c r="AC698" s="801"/>
      <c r="AD698" s="801"/>
      <c r="AE698" s="801"/>
      <c r="AF698" s="801"/>
      <c r="AG698" s="801"/>
      <c r="AH698" s="801"/>
      <c r="AI698" s="801"/>
      <c r="AJ698" s="801"/>
      <c r="AK698" s="801"/>
      <c r="AL698" s="801"/>
      <c r="AM698" s="801"/>
      <c r="AN698" s="801"/>
      <c r="AO698" s="801"/>
      <c r="AP698" s="801"/>
      <c r="AQ698" s="801"/>
      <c r="AR698" s="801"/>
      <c r="AS698" s="801"/>
      <c r="AT698" s="801"/>
      <c r="AU698" s="801"/>
      <c r="AV698" s="801"/>
      <c r="AZ698" s="504"/>
      <c r="BB698" s="506"/>
      <c r="BI698" s="472" t="s">
        <v>126</v>
      </c>
      <c r="BJ698" s="490"/>
      <c r="BN698" s="656"/>
      <c r="BO698" s="472" t="s">
        <v>250</v>
      </c>
      <c r="BP698" s="518" t="s">
        <v>491</v>
      </c>
      <c r="CU698" s="480"/>
      <c r="CV698" s="656"/>
      <c r="CW698" s="480"/>
      <c r="DS698" s="656"/>
      <c r="EV698" s="819">
        <f t="shared" si="351"/>
        <v>698</v>
      </c>
      <c r="EW698" s="819"/>
    </row>
    <row r="699" spans="1:153" s="478" customFormat="1" ht="4">
      <c r="A699" s="677" t="str">
        <f t="shared" ca="1" si="349"/>
        <v>D.1.699</v>
      </c>
      <c r="B699" s="677" t="str">
        <f t="shared" ca="1" si="350"/>
        <v>1.699</v>
      </c>
      <c r="C699" s="677" t="str">
        <f t="shared" si="331"/>
        <v>[699]</v>
      </c>
      <c r="D699" s="677">
        <f>ROW()</f>
        <v>699</v>
      </c>
      <c r="E699" s="528"/>
      <c r="F699" s="528"/>
      <c r="G699" s="528"/>
      <c r="H699" s="528"/>
      <c r="I699" s="527"/>
      <c r="J699" s="527"/>
      <c r="K699" s="527"/>
      <c r="L699" s="527"/>
      <c r="M699" s="527"/>
      <c r="N699" s="528"/>
      <c r="O699" s="871">
        <v>693</v>
      </c>
      <c r="P699" s="566"/>
      <c r="Q699" s="567"/>
      <c r="R699" s="888"/>
      <c r="S699" s="802"/>
      <c r="T699" s="882"/>
      <c r="U699" s="661"/>
      <c r="V699" s="661"/>
      <c r="W699" s="661"/>
      <c r="X699" s="661"/>
      <c r="Y699" s="661"/>
      <c r="Z699" s="661"/>
      <c r="AA699" s="661"/>
      <c r="AB699" s="675"/>
      <c r="AC699" s="675"/>
      <c r="AD699" s="675"/>
      <c r="AE699" s="675"/>
      <c r="AF699" s="675"/>
      <c r="AG699" s="675"/>
      <c r="AH699" s="675"/>
      <c r="AI699" s="675"/>
      <c r="AJ699" s="675"/>
      <c r="AK699" s="675"/>
      <c r="AL699" s="675"/>
      <c r="AM699" s="675"/>
      <c r="AN699" s="675"/>
      <c r="AO699" s="675"/>
      <c r="AP699" s="675"/>
      <c r="AQ699" s="675"/>
      <c r="AR699" s="675"/>
      <c r="AS699" s="675"/>
      <c r="AT699" s="675"/>
      <c r="AU699" s="675"/>
      <c r="AV699" s="675"/>
      <c r="BI699" s="478" t="s">
        <v>126</v>
      </c>
      <c r="BJ699" s="489"/>
      <c r="BN699" s="661"/>
      <c r="CU699" s="479"/>
      <c r="CV699" s="661"/>
      <c r="CW699" s="479"/>
      <c r="DS699" s="661"/>
      <c r="EV699" s="818" t="str">
        <f t="shared" si="351"/>
        <v/>
      </c>
      <c r="EW699" s="818"/>
    </row>
    <row r="700" spans="1:153" s="475" customFormat="1" ht="13.5" customHeight="1">
      <c r="A700" s="654" t="str">
        <f t="shared" ca="1" si="349"/>
        <v>D.1.700</v>
      </c>
      <c r="B700" s="654" t="str">
        <f t="shared" ca="1" si="350"/>
        <v>1.700</v>
      </c>
      <c r="C700" s="654" t="str">
        <f t="shared" si="331"/>
        <v>[700]</v>
      </c>
      <c r="D700" s="654">
        <f>ROW()</f>
        <v>700</v>
      </c>
      <c r="E700" s="1129" t="str">
        <f>BP700</f>
        <v>Anteil Haushalte an KLIK</v>
      </c>
      <c r="F700" s="1129"/>
      <c r="G700" s="1129"/>
      <c r="H700" s="1129"/>
      <c r="I700" s="1129"/>
      <c r="J700" s="471" t="s">
        <v>38</v>
      </c>
      <c r="K700" s="605">
        <f ca="1">INDIRECT($W$1&amp;U700)</f>
        <v>17.034934792891409</v>
      </c>
      <c r="L700" s="597" t="str">
        <f ca="1">HYPERLINK($CK$1&amp;U700,$CE$1&amp;U700&amp;$CF$1)</f>
        <v>[701]</v>
      </c>
      <c r="M700" s="545">
        <f ca="1">INDIRECT($W$1&amp;W700)</f>
        <v>17.034934792891409</v>
      </c>
      <c r="N700" s="533" t="str">
        <f ca="1">HYPERLINK($CK$1&amp;W700,$CE$1&amp;W700&amp;$CF$1)</f>
        <v>[703]</v>
      </c>
      <c r="O700" s="869">
        <v>694</v>
      </c>
      <c r="P700" s="570"/>
      <c r="Q700" s="583"/>
      <c r="R700" s="852"/>
      <c r="S700" s="784"/>
      <c r="T700" s="864"/>
      <c r="U700" s="672">
        <f>D701</f>
        <v>701</v>
      </c>
      <c r="V700" s="905" t="s">
        <v>126</v>
      </c>
      <c r="W700" s="672">
        <f>D703</f>
        <v>703</v>
      </c>
      <c r="X700" s="658"/>
      <c r="Y700" s="658"/>
      <c r="Z700" s="658"/>
      <c r="AA700" s="658"/>
      <c r="AB700" s="801"/>
      <c r="AC700" s="801"/>
      <c r="AD700" s="674"/>
      <c r="AE700" s="674"/>
      <c r="AF700" s="674"/>
      <c r="AG700" s="674"/>
      <c r="AH700" s="674"/>
      <c r="AI700" s="674"/>
      <c r="AJ700" s="674"/>
      <c r="AK700" s="674"/>
      <c r="AL700" s="674"/>
      <c r="AM700" s="674"/>
      <c r="AN700" s="674"/>
      <c r="AO700" s="674"/>
      <c r="AP700" s="674"/>
      <c r="AQ700" s="674"/>
      <c r="AR700" s="674"/>
      <c r="AS700" s="674"/>
      <c r="AT700" s="674"/>
      <c r="AU700" s="674"/>
      <c r="AV700" s="674"/>
      <c r="AX700" s="475" t="s">
        <v>244</v>
      </c>
      <c r="AY700" s="500">
        <f ca="1">DA700</f>
        <v>10.254559182513647</v>
      </c>
      <c r="AZ700" s="508" t="str">
        <f ca="1">HYPERLINK(DN700,DC700)</f>
        <v xml:space="preserve"> 235</v>
      </c>
      <c r="BA700" s="500">
        <f ca="1">DB700</f>
        <v>35</v>
      </c>
      <c r="BB700" s="508" t="str">
        <f ca="1">HYPERLINK(DO700,DD700)</f>
        <v xml:space="preserve"> 236</v>
      </c>
      <c r="BC700" s="475" t="str">
        <f ca="1">CY700&amp;" | "&amp;CZ700</f>
        <v>Brennstoffgew.
für Prozesse | 0</v>
      </c>
      <c r="BI700" s="475" t="s">
        <v>126</v>
      </c>
      <c r="BJ700" s="492" t="str">
        <f>E700</f>
        <v>Anteil Haushalte an KLIK</v>
      </c>
      <c r="BK700" s="486">
        <f ca="1">K700</f>
        <v>17.034934792891409</v>
      </c>
      <c r="BL700" s="486">
        <f ca="1">M700</f>
        <v>17.034934792891409</v>
      </c>
      <c r="BM700" s="472">
        <f>D700</f>
        <v>700</v>
      </c>
      <c r="BN700" s="658"/>
      <c r="BO700" s="475" t="s">
        <v>251</v>
      </c>
      <c r="BP700" s="521" t="s">
        <v>492</v>
      </c>
      <c r="CU700" s="476"/>
      <c r="CV700" s="658"/>
      <c r="CW700" s="518">
        <v>61</v>
      </c>
      <c r="CY700" s="472" t="str">
        <f t="shared" ref="CY700:DO700" ca="1" si="372">INDIRECT($CX$1&amp;CY$1&amp;$CW700)</f>
        <v>Brennstoffgew.
für Prozesse</v>
      </c>
      <c r="CZ700" s="472">
        <f t="shared" ca="1" si="372"/>
        <v>0</v>
      </c>
      <c r="DA700" s="472">
        <f t="shared" ca="1" si="372"/>
        <v>10.254559182513647</v>
      </c>
      <c r="DB700" s="472">
        <f t="shared" ca="1" si="372"/>
        <v>35</v>
      </c>
      <c r="DC700" s="472" t="str">
        <f t="shared" ca="1" si="372"/>
        <v xml:space="preserve"> 235</v>
      </c>
      <c r="DD700" s="472" t="str">
        <f t="shared" ca="1" si="372"/>
        <v xml:space="preserve"> 236</v>
      </c>
      <c r="DE700" s="472" t="str">
        <f t="shared" ca="1" si="372"/>
        <v>Ho99</v>
      </c>
      <c r="DF700" s="472" t="str">
        <f t="shared" ca="1" si="372"/>
        <v>Ho36</v>
      </c>
      <c r="DG700" s="472" t="str">
        <f t="shared" ca="1" si="372"/>
        <v>Ho</v>
      </c>
      <c r="DH700" s="472" t="str">
        <f t="shared" ca="1" si="372"/>
        <v>99</v>
      </c>
      <c r="DI700" s="472" t="str">
        <f t="shared" ca="1" si="372"/>
        <v>[Ho.xls]TEXT!Z99S5</v>
      </c>
      <c r="DJ700" s="472" t="str">
        <f t="shared" ca="1" si="372"/>
        <v>Ho</v>
      </c>
      <c r="DK700" s="472" t="str">
        <f t="shared" ca="1" si="372"/>
        <v>36</v>
      </c>
      <c r="DL700" s="472" t="str">
        <f t="shared" ca="1" si="372"/>
        <v>[Ho.xls]TEXT!Z36S5</v>
      </c>
      <c r="DM700" s="472">
        <f t="shared" ca="1" si="372"/>
        <v>61</v>
      </c>
      <c r="DN700" s="472" t="str">
        <f t="shared" ca="1" si="372"/>
        <v>[Region.xls]PARAMETER!Z235S6</v>
      </c>
      <c r="DO700" s="472" t="str">
        <f t="shared" ca="1" si="372"/>
        <v>[Region.xls]PARAMETER!Z236S6</v>
      </c>
      <c r="DP700" s="472"/>
      <c r="DS700" s="656"/>
      <c r="DV700" s="472"/>
      <c r="DW700" s="472"/>
      <c r="DX700" s="472"/>
      <c r="DY700" s="472"/>
      <c r="DZ700" s="472"/>
      <c r="EA700" s="472"/>
      <c r="EB700" s="472"/>
      <c r="EC700" s="472"/>
      <c r="ED700" s="472"/>
      <c r="EE700" s="472"/>
      <c r="EF700" s="472"/>
      <c r="EG700" s="472"/>
      <c r="EH700" s="472"/>
      <c r="EI700" s="472"/>
      <c r="EJ700" s="472"/>
      <c r="EK700" s="472"/>
      <c r="EV700" s="819">
        <f t="shared" si="351"/>
        <v>700</v>
      </c>
      <c r="EW700" s="819"/>
    </row>
    <row r="701" spans="1:153" s="472" customFormat="1" ht="52">
      <c r="A701" s="654" t="str">
        <f t="shared" ca="1" si="349"/>
        <v>D.1.701</v>
      </c>
      <c r="B701" s="654" t="str">
        <f t="shared" ca="1" si="350"/>
        <v>1.701</v>
      </c>
      <c r="C701" s="654" t="str">
        <f t="shared" si="331"/>
        <v>[701]</v>
      </c>
      <c r="D701" s="654">
        <f>ROW()</f>
        <v>701</v>
      </c>
      <c r="E701" s="1130" t="str">
        <f ca="1">CU701</f>
        <v>- STATUS-Ansatz: Endenergieverbrauch der elektrischen Geräte in Haushalten für Kraft=Mechanische Energie, Licht=Beleuchtung, Informations-/Kommunikations-Kommunikations-Technolgien, Kälte (kurz 'KLIK', Geräte für Gebäudewärme- und Prozesswärme-Bereitstellung sind unter GW bzw. PW gefasst und bleiben hier ausgespart). Gemäß Arbeitsgemeinschaft Energiebilanzen [9.28] für das Jahr 2012, Aufbereitung siehe [7.90].</v>
      </c>
      <c r="F701" s="1130"/>
      <c r="G701" s="1130"/>
      <c r="H701" s="1130"/>
      <c r="I701" s="1130"/>
      <c r="J701" s="1130"/>
      <c r="K701" s="1130"/>
      <c r="L701" s="1130"/>
      <c r="M701" s="1130"/>
      <c r="N701" s="1131"/>
      <c r="O701" s="869">
        <v>695</v>
      </c>
      <c r="P701" s="573" t="str">
        <f ca="1">HYPERLINK(EK701,EJ701)</f>
        <v>9.28</v>
      </c>
      <c r="Q701" s="646" t="str">
        <f ca="1">IF(Y701="&gt;",HYPERLINK(EO701,EN701),Y701)</f>
        <v>7.90</v>
      </c>
      <c r="R701" s="852"/>
      <c r="S701" s="784"/>
      <c r="T701" s="864"/>
      <c r="U701" s="1023" t="str">
        <f ca="1">"Endenergieverbrauch der elektrischen Geräte in Haushalten für Kraft=Mechanische Energie, Licht=Beleuchtung, Informations-/Kommunikations-Kommunikations-Technolgien, "&amp;"Kälte (kurz 'KLIK', Geräte für Gebäudewärme- und Prozesswärme-Bereitstellung sind unter GW bzw. PW gefasst und bleiben hier ausgespart). Gemäß Arbeitsgemeinschaft Energiebilanzen ["&amp;P701&amp;"] für das Jahr 2012, Aufbereitung siehe ["&amp;Q701&amp;"]."</f>
        <v>Endenergieverbrauch der elektrischen Geräte in Haushalten für Kraft=Mechanische Energie, Licht=Beleuchtung, Informations-/Kommunikations-Kommunikations-Technolgien, Kälte (kurz 'KLIK', Geräte für Gebäudewärme- und Prozesswärme-Bereitstellung sind unter GW bzw. PW gefasst und bleiben hier ausgespart). Gemäß Arbeitsgemeinschaft Energiebilanzen [9.28] für das Jahr 2012, Aufbereitung siehe [7.90].</v>
      </c>
      <c r="V701" s="905" t="s">
        <v>126</v>
      </c>
      <c r="W701" s="1096">
        <f>'7.VerbrauchStatus'!H90</f>
        <v>17.034934792891409</v>
      </c>
      <c r="X701" s="672">
        <f>'9.Quellen'!C$28</f>
        <v>28</v>
      </c>
      <c r="Y701" s="672" t="s">
        <v>479</v>
      </c>
      <c r="Z701" s="672">
        <f>'7.VerbrauchStatus'!D90</f>
        <v>90</v>
      </c>
      <c r="AA701" s="658"/>
      <c r="AB701" s="801"/>
      <c r="AC701" s="801"/>
      <c r="AD701" s="801">
        <f>'7.VerbrauchStatus'!N53</f>
        <v>2858.715048408757</v>
      </c>
      <c r="AE701" s="801">
        <f>'7.VerbrauchStatus'!N52</f>
        <v>0</v>
      </c>
      <c r="AF701" s="801">
        <f>AD701+AE701</f>
        <v>2858.715048408757</v>
      </c>
      <c r="AG701" s="801" t="str">
        <f>'7.VerbrauchStatus'!E53</f>
        <v>BS.2.10</v>
      </c>
      <c r="AH701" s="801" t="str">
        <f ca="1">'7.VerbrauchStatus'!B53</f>
        <v>7.53</v>
      </c>
      <c r="AI701" s="801"/>
      <c r="AJ701" s="801"/>
      <c r="AK701" s="801"/>
      <c r="AL701" s="801"/>
      <c r="AM701" s="801"/>
      <c r="AN701" s="801"/>
      <c r="AO701" s="801"/>
      <c r="AP701" s="801"/>
      <c r="AQ701" s="801"/>
      <c r="AR701" s="801"/>
      <c r="AS701" s="801"/>
      <c r="AT701" s="801"/>
      <c r="AU701" s="801"/>
      <c r="AV701" s="801"/>
      <c r="AY701" s="472">
        <f ca="1">AY700/AY$246%</f>
        <v>14.091645358575692</v>
      </c>
      <c r="BA701" s="472">
        <f ca="1">BA700/BA$246%</f>
        <v>100</v>
      </c>
      <c r="BF701" s="473"/>
      <c r="BI701" s="472" t="s">
        <v>126</v>
      </c>
      <c r="BJ701" s="490"/>
      <c r="BN701" s="656"/>
      <c r="BO701" s="472" t="s">
        <v>259</v>
      </c>
      <c r="CU701" s="480" t="str">
        <f ca="1">CG$1&amp;IF(U701="",BF701,U701)</f>
        <v>- STATUS-Ansatz: Endenergieverbrauch der elektrischen Geräte in Haushalten für Kraft=Mechanische Energie, Licht=Beleuchtung, Informations-/Kommunikations-Kommunikations-Technolgien, Kälte (kurz 'KLIK', Geräte für Gebäudewärme- und Prozesswärme-Bereitstellung sind unter GW bzw. PW gefasst und bleiben hier ausgespart). Gemäß Arbeitsgemeinschaft Energiebilanzen [9.28] für das Jahr 2012, Aufbereitung siehe [7.90].</v>
      </c>
      <c r="CV701" s="656"/>
      <c r="CW701" s="480"/>
      <c r="DS701" s="656"/>
      <c r="DT701" s="518">
        <f>I_Basisdaten!A279</f>
        <v>0</v>
      </c>
      <c r="EJ701" s="472" t="str">
        <f ca="1">IF(X701=0,"",EJ$1&amp;X701)</f>
        <v>9.28</v>
      </c>
      <c r="EK701" s="472" t="str">
        <f ca="1">EK$1&amp;X701</f>
        <v>[D_Python.xlsx]9.Quellen!C28</v>
      </c>
      <c r="EN701" s="472" t="str">
        <f ca="1">IF(Z701=0,"",EN$1&amp;Z701)</f>
        <v>7.90</v>
      </c>
      <c r="EO701" s="472" t="str">
        <f ca="1">EO$1&amp;Z701</f>
        <v>[D_Python.xlsx]7.VerbrauchStatus!D90</v>
      </c>
      <c r="EV701" s="819">
        <f t="shared" ca="1" si="351"/>
        <v>701</v>
      </c>
      <c r="EW701" s="819"/>
    </row>
    <row r="702" spans="1:153" s="478" customFormat="1" ht="4">
      <c r="A702" s="677" t="str">
        <f t="shared" ca="1" si="349"/>
        <v>D.1.702</v>
      </c>
      <c r="B702" s="677" t="str">
        <f t="shared" ca="1" si="350"/>
        <v>1.702</v>
      </c>
      <c r="C702" s="677" t="str">
        <f t="shared" si="331"/>
        <v>[702]</v>
      </c>
      <c r="D702" s="677">
        <f>ROW()</f>
        <v>702</v>
      </c>
      <c r="E702" s="528"/>
      <c r="F702" s="528"/>
      <c r="G702" s="528"/>
      <c r="H702" s="528"/>
      <c r="I702" s="527"/>
      <c r="J702" s="527"/>
      <c r="K702" s="527"/>
      <c r="L702" s="527"/>
      <c r="M702" s="527"/>
      <c r="N702" s="528"/>
      <c r="O702" s="871">
        <v>696</v>
      </c>
      <c r="P702" s="566"/>
      <c r="Q702" s="567"/>
      <c r="R702" s="888"/>
      <c r="S702" s="802"/>
      <c r="T702" s="882"/>
      <c r="U702" s="661"/>
      <c r="V702" s="661"/>
      <c r="W702" s="606"/>
      <c r="X702" s="661"/>
      <c r="Y702" s="661"/>
      <c r="Z702" s="661"/>
      <c r="AA702" s="661"/>
      <c r="AB702" s="675"/>
      <c r="AC702" s="675"/>
      <c r="AD702" s="675"/>
      <c r="AE702" s="675"/>
      <c r="AF702" s="675"/>
      <c r="AG702" s="675"/>
      <c r="AH702" s="675"/>
      <c r="AI702" s="675"/>
      <c r="AJ702" s="675"/>
      <c r="AK702" s="675"/>
      <c r="AL702" s="675"/>
      <c r="AM702" s="675"/>
      <c r="AN702" s="675"/>
      <c r="AO702" s="675"/>
      <c r="AP702" s="675"/>
      <c r="AQ702" s="675"/>
      <c r="AR702" s="675"/>
      <c r="AS702" s="675"/>
      <c r="AT702" s="675"/>
      <c r="AU702" s="675"/>
      <c r="AV702" s="675"/>
      <c r="BI702" s="478" t="s">
        <v>126</v>
      </c>
      <c r="BJ702" s="489"/>
      <c r="BN702" s="661"/>
      <c r="CU702" s="479"/>
      <c r="CV702" s="661"/>
      <c r="CW702" s="479"/>
      <c r="DS702" s="661"/>
      <c r="EV702" s="818" t="str">
        <f t="shared" si="351"/>
        <v/>
      </c>
      <c r="EW702" s="818"/>
    </row>
    <row r="703" spans="1:153" s="472" customFormat="1" ht="52">
      <c r="A703" s="654" t="str">
        <f t="shared" ca="1" si="349"/>
        <v>D.1.703</v>
      </c>
      <c r="B703" s="654" t="str">
        <f t="shared" ca="1" si="350"/>
        <v>1.703</v>
      </c>
      <c r="C703" s="654" t="str">
        <f t="shared" si="331"/>
        <v>[703]</v>
      </c>
      <c r="D703" s="654">
        <f>ROW()</f>
        <v>703</v>
      </c>
      <c r="E703" s="1125" t="str">
        <f t="shared" ref="E703" si="373">CU703</f>
        <v>- ZIEL-Ansatz: Dient als Berechnungsgrundlage für das (fiktive) künftige Bedarfsniveau im Anwendungsbereich 'Kraft, Licht, Informations-/Kommunikations-Technolgien, Kälte'  im Sektor Haushalte, das sich ohne Volumen-, Effizienz-und Energiemix-Änderungen einstellen würde. Der Status-Ansatz wird methodisch bedingt unverändert übernommen.</v>
      </c>
      <c r="F703" s="1125"/>
      <c r="G703" s="1125"/>
      <c r="H703" s="1125"/>
      <c r="I703" s="1125"/>
      <c r="J703" s="1125"/>
      <c r="K703" s="1125"/>
      <c r="L703" s="1125"/>
      <c r="M703" s="1125"/>
      <c r="N703" s="1132"/>
      <c r="O703" s="869">
        <v>697</v>
      </c>
      <c r="P703" s="573" t="str">
        <f ca="1">HYPERLINK(EK703,EJ703)</f>
        <v/>
      </c>
      <c r="Q703" s="574" t="str">
        <f>Y703</f>
        <v xml:space="preserve"> </v>
      </c>
      <c r="R703" s="852"/>
      <c r="S703" s="784"/>
      <c r="T703" s="864"/>
      <c r="U703" s="1023" t="s">
        <v>778</v>
      </c>
      <c r="V703" s="905" t="s">
        <v>126</v>
      </c>
      <c r="W703" s="1096">
        <f>W701</f>
        <v>17.034934792891409</v>
      </c>
      <c r="X703" s="672"/>
      <c r="Y703" s="672" t="s">
        <v>126</v>
      </c>
      <c r="Z703" s="1025"/>
      <c r="AA703" s="905"/>
      <c r="AB703" s="801"/>
      <c r="AC703" s="801"/>
      <c r="AD703" s="801"/>
      <c r="AE703" s="801"/>
      <c r="AF703" s="801"/>
      <c r="AG703" s="801"/>
      <c r="AH703" s="801"/>
      <c r="AI703" s="801"/>
      <c r="AJ703" s="801"/>
      <c r="AK703" s="801"/>
      <c r="AL703" s="801"/>
      <c r="AM703" s="801"/>
      <c r="AN703" s="801"/>
      <c r="AO703" s="801"/>
      <c r="AP703" s="801"/>
      <c r="AQ703" s="801"/>
      <c r="AR703" s="801"/>
      <c r="AS703" s="801"/>
      <c r="AT703" s="801"/>
      <c r="AU703" s="801"/>
      <c r="AV703" s="801"/>
      <c r="BF703" s="473"/>
      <c r="BI703" s="472" t="s">
        <v>126</v>
      </c>
      <c r="BJ703" s="490"/>
      <c r="BN703" s="656"/>
      <c r="BO703" s="472" t="s">
        <v>259</v>
      </c>
      <c r="CU703" s="480" t="str">
        <f>CH$1&amp;IF(U703="",BF703,U703)</f>
        <v>- ZIEL-Ansatz: Dient als Berechnungsgrundlage für das (fiktive) künftige Bedarfsniveau im Anwendungsbereich 'Kraft, Licht, Informations-/Kommunikations-Technolgien, Kälte'  im Sektor Haushalte, das sich ohne Volumen-, Effizienz-und Energiemix-Änderungen einstellen würde. Der Status-Ansatz wird methodisch bedingt unverändert übernommen.</v>
      </c>
      <c r="CV703" s="656"/>
      <c r="CW703" s="480"/>
      <c r="DS703" s="656"/>
      <c r="DT703" s="518">
        <v>53</v>
      </c>
      <c r="EJ703" s="472" t="str">
        <f>IF(X703=0,"",EJ$1&amp;X703)</f>
        <v/>
      </c>
      <c r="EK703" s="472" t="str">
        <f ca="1">EK$1&amp;X703</f>
        <v>[D_Python.xlsx]9.Quellen!C</v>
      </c>
      <c r="EV703" s="819">
        <f t="shared" si="351"/>
        <v>703</v>
      </c>
      <c r="EW703" s="819"/>
    </row>
    <row r="704" spans="1:153" s="478" customFormat="1" ht="4">
      <c r="A704" s="677" t="str">
        <f t="shared" ca="1" si="349"/>
        <v>D.1.704</v>
      </c>
      <c r="B704" s="677" t="str">
        <f t="shared" ca="1" si="350"/>
        <v>1.704</v>
      </c>
      <c r="C704" s="677" t="str">
        <f t="shared" si="331"/>
        <v>[704]</v>
      </c>
      <c r="D704" s="677">
        <f>ROW()</f>
        <v>704</v>
      </c>
      <c r="E704" s="548"/>
      <c r="F704" s="548"/>
      <c r="G704" s="548"/>
      <c r="H704" s="548"/>
      <c r="I704" s="549"/>
      <c r="J704" s="549"/>
      <c r="K704" s="549"/>
      <c r="L704" s="549"/>
      <c r="M704" s="549"/>
      <c r="N704" s="548"/>
      <c r="O704" s="871">
        <v>698</v>
      </c>
      <c r="P704" s="575"/>
      <c r="Q704" s="576"/>
      <c r="R704" s="888"/>
      <c r="S704" s="802"/>
      <c r="T704" s="882"/>
      <c r="U704" s="661"/>
      <c r="V704" s="661"/>
      <c r="W704" s="661"/>
      <c r="X704" s="661"/>
      <c r="Y704" s="661"/>
      <c r="Z704" s="661"/>
      <c r="AA704" s="661"/>
      <c r="AB704" s="675"/>
      <c r="AC704" s="675"/>
      <c r="AD704" s="675"/>
      <c r="AE704" s="675"/>
      <c r="AF704" s="675"/>
      <c r="AG704" s="675"/>
      <c r="AH704" s="675"/>
      <c r="AI704" s="675"/>
      <c r="AJ704" s="675"/>
      <c r="AK704" s="675"/>
      <c r="AL704" s="675"/>
      <c r="AM704" s="675"/>
      <c r="AN704" s="675"/>
      <c r="AO704" s="675"/>
      <c r="AP704" s="675"/>
      <c r="AQ704" s="675"/>
      <c r="AR704" s="675"/>
      <c r="AS704" s="675"/>
      <c r="AT704" s="675"/>
      <c r="AU704" s="675"/>
      <c r="AV704" s="675"/>
      <c r="AZ704" s="505"/>
      <c r="BB704" s="505"/>
      <c r="BI704" s="478" t="s">
        <v>126</v>
      </c>
      <c r="BJ704" s="489"/>
      <c r="BN704" s="661"/>
      <c r="CU704" s="479"/>
      <c r="CV704" s="661"/>
      <c r="CW704" s="479"/>
      <c r="DS704" s="661"/>
      <c r="EV704" s="818" t="str">
        <f t="shared" si="351"/>
        <v/>
      </c>
      <c r="EW704" s="818"/>
    </row>
    <row r="705" spans="1:153" s="475" customFormat="1" ht="13.5" customHeight="1">
      <c r="A705" s="654" t="str">
        <f t="shared" ca="1" si="349"/>
        <v>D.1.705</v>
      </c>
      <c r="B705" s="654" t="str">
        <f t="shared" ca="1" si="350"/>
        <v>1.705</v>
      </c>
      <c r="C705" s="654" t="str">
        <f t="shared" si="331"/>
        <v>[705]</v>
      </c>
      <c r="D705" s="654">
        <f>ROW()</f>
        <v>705</v>
      </c>
      <c r="E705" s="1129" t="str">
        <f>BP705</f>
        <v>Zieleinfluss Endgeräte-Effizienz Haushalte auf KLIK</v>
      </c>
      <c r="F705" s="1129"/>
      <c r="G705" s="1129"/>
      <c r="H705" s="1129"/>
      <c r="I705" s="1129"/>
      <c r="J705" s="471" t="s">
        <v>38</v>
      </c>
      <c r="K705" s="605">
        <f ca="1">INDIRECT($W$1&amp;U705)</f>
        <v>100</v>
      </c>
      <c r="L705" s="597" t="str">
        <f ca="1">HYPERLINK($CK$1&amp;U705,$CE$1&amp;U705&amp;$CF$1)</f>
        <v>[706]</v>
      </c>
      <c r="M705" s="545">
        <f ca="1">INDIRECT($W$1&amp;W705)</f>
        <v>73</v>
      </c>
      <c r="N705" s="533" t="str">
        <f ca="1">HYPERLINK($CK$1&amp;W705,$CE$1&amp;W705&amp;$CF$1)</f>
        <v>[708]</v>
      </c>
      <c r="O705" s="869">
        <v>699</v>
      </c>
      <c r="P705" s="570"/>
      <c r="Q705" s="583"/>
      <c r="R705" s="852"/>
      <c r="S705" s="784"/>
      <c r="T705" s="864"/>
      <c r="U705" s="672">
        <f>D706</f>
        <v>706</v>
      </c>
      <c r="V705" s="905" t="s">
        <v>126</v>
      </c>
      <c r="W705" s="672">
        <f>D708</f>
        <v>708</v>
      </c>
      <c r="X705" s="658"/>
      <c r="Y705" s="658"/>
      <c r="Z705" s="658"/>
      <c r="AA705" s="658"/>
      <c r="AB705" s="801"/>
      <c r="AC705" s="801"/>
      <c r="AD705" s="674"/>
      <c r="AE705" s="674"/>
      <c r="AF705" s="674"/>
      <c r="AG705" s="674"/>
      <c r="AH705" s="674"/>
      <c r="AI705" s="674"/>
      <c r="AJ705" s="674"/>
      <c r="AK705" s="674"/>
      <c r="AL705" s="674"/>
      <c r="AM705" s="674"/>
      <c r="AN705" s="674"/>
      <c r="AO705" s="674"/>
      <c r="AP705" s="674"/>
      <c r="AQ705" s="674"/>
      <c r="AR705" s="674"/>
      <c r="AS705" s="674"/>
      <c r="AT705" s="674"/>
      <c r="AU705" s="674"/>
      <c r="AV705" s="674"/>
      <c r="AX705" s="475" t="s">
        <v>244</v>
      </c>
      <c r="AY705" s="500">
        <f ca="1">DA705</f>
        <v>10.254559182513647</v>
      </c>
      <c r="AZ705" s="508" t="str">
        <f ca="1">HYPERLINK(DN705,DC705)</f>
        <v xml:space="preserve"> 235</v>
      </c>
      <c r="BA705" s="500">
        <f ca="1">DB705</f>
        <v>35</v>
      </c>
      <c r="BB705" s="508" t="str">
        <f ca="1">HYPERLINK(DO705,DD705)</f>
        <v xml:space="preserve"> 236</v>
      </c>
      <c r="BC705" s="475" t="str">
        <f ca="1">CY705&amp;" | "&amp;CZ705</f>
        <v>Brennstoffgew.
für Prozesse | 0</v>
      </c>
      <c r="BI705" s="475" t="s">
        <v>126</v>
      </c>
      <c r="BJ705" s="492" t="str">
        <f>E705</f>
        <v>Zieleinfluss Endgeräte-Effizienz Haushalte auf KLIK</v>
      </c>
      <c r="BK705" s="486">
        <f ca="1">K705</f>
        <v>100</v>
      </c>
      <c r="BL705" s="486">
        <f ca="1">M705</f>
        <v>73</v>
      </c>
      <c r="BM705" s="472">
        <f>D705</f>
        <v>705</v>
      </c>
      <c r="BN705" s="658"/>
      <c r="BO705" s="475" t="s">
        <v>251</v>
      </c>
      <c r="BP705" s="521" t="s">
        <v>493</v>
      </c>
      <c r="CU705" s="476"/>
      <c r="CV705" s="658"/>
      <c r="CW705" s="518">
        <v>61</v>
      </c>
      <c r="CY705" s="472" t="str">
        <f t="shared" ref="CY705:DO705" ca="1" si="374">INDIRECT($CX$1&amp;CY$1&amp;$CW705)</f>
        <v>Brennstoffgew.
für Prozesse</v>
      </c>
      <c r="CZ705" s="472">
        <f t="shared" ca="1" si="374"/>
        <v>0</v>
      </c>
      <c r="DA705" s="472">
        <f t="shared" ca="1" si="374"/>
        <v>10.254559182513647</v>
      </c>
      <c r="DB705" s="472">
        <f t="shared" ca="1" si="374"/>
        <v>35</v>
      </c>
      <c r="DC705" s="472" t="str">
        <f t="shared" ca="1" si="374"/>
        <v xml:space="preserve"> 235</v>
      </c>
      <c r="DD705" s="472" t="str">
        <f t="shared" ca="1" si="374"/>
        <v xml:space="preserve"> 236</v>
      </c>
      <c r="DE705" s="472" t="str">
        <f t="shared" ca="1" si="374"/>
        <v>Ho99</v>
      </c>
      <c r="DF705" s="472" t="str">
        <f t="shared" ca="1" si="374"/>
        <v>Ho36</v>
      </c>
      <c r="DG705" s="472" t="str">
        <f t="shared" ca="1" si="374"/>
        <v>Ho</v>
      </c>
      <c r="DH705" s="472" t="str">
        <f t="shared" ca="1" si="374"/>
        <v>99</v>
      </c>
      <c r="DI705" s="472" t="str">
        <f t="shared" ca="1" si="374"/>
        <v>[Ho.xls]TEXT!Z99S5</v>
      </c>
      <c r="DJ705" s="472" t="str">
        <f t="shared" ca="1" si="374"/>
        <v>Ho</v>
      </c>
      <c r="DK705" s="472" t="str">
        <f t="shared" ca="1" si="374"/>
        <v>36</v>
      </c>
      <c r="DL705" s="472" t="str">
        <f t="shared" ca="1" si="374"/>
        <v>[Ho.xls]TEXT!Z36S5</v>
      </c>
      <c r="DM705" s="472">
        <f t="shared" ca="1" si="374"/>
        <v>61</v>
      </c>
      <c r="DN705" s="472" t="str">
        <f t="shared" ca="1" si="374"/>
        <v>[Region.xls]PARAMETER!Z235S6</v>
      </c>
      <c r="DO705" s="472" t="str">
        <f t="shared" ca="1" si="374"/>
        <v>[Region.xls]PARAMETER!Z236S6</v>
      </c>
      <c r="DP705" s="472"/>
      <c r="DS705" s="656"/>
      <c r="DV705" s="472"/>
      <c r="DW705" s="472"/>
      <c r="DX705" s="472"/>
      <c r="DY705" s="472"/>
      <c r="DZ705" s="472"/>
      <c r="EA705" s="472"/>
      <c r="EB705" s="472"/>
      <c r="EC705" s="472"/>
      <c r="ED705" s="472"/>
      <c r="EE705" s="472"/>
      <c r="EF705" s="472"/>
      <c r="EG705" s="472"/>
      <c r="EH705" s="472"/>
      <c r="EI705" s="472"/>
      <c r="EJ705" s="472"/>
      <c r="EK705" s="472"/>
      <c r="EV705" s="819">
        <f t="shared" si="351"/>
        <v>705</v>
      </c>
      <c r="EW705" s="819"/>
    </row>
    <row r="706" spans="1:153" s="472" customFormat="1" ht="65">
      <c r="A706" s="654" t="str">
        <f t="shared" ca="1" si="349"/>
        <v>D.1.706</v>
      </c>
      <c r="B706" s="654" t="str">
        <f t="shared" ca="1" si="350"/>
        <v>1.706</v>
      </c>
      <c r="C706" s="654" t="str">
        <f t="shared" si="331"/>
        <v>[706]</v>
      </c>
      <c r="D706" s="654">
        <f>ROW()</f>
        <v>706</v>
      </c>
      <c r="E706" s="1130" t="str">
        <f>CU706</f>
        <v>- STATUS-Ansatz: Repräsentiert den Status der Energieintensität (Strombedarf pro erbrachte Dienstleistung) der elektrischen Geräte in Haushalten für Kraft=Mechanische Energie, Licht=Beleuchtung, Informations-/Kommunikations-Kommunikations-Technolgien, Kälte (kurz 'KLIK', Geräte für Gebäudewärme- und Prozesswärme-Bereitstellung sind unter GW bzw. PW gefasst und bleiben hier ausgespart). Dient als Referenz für den im Ziel durch Effizienzsteigerung gesenkten Energiebedarf.</v>
      </c>
      <c r="F706" s="1130"/>
      <c r="G706" s="1130"/>
      <c r="H706" s="1130"/>
      <c r="I706" s="1130"/>
      <c r="J706" s="1130"/>
      <c r="K706" s="1130"/>
      <c r="L706" s="1130"/>
      <c r="M706" s="1130"/>
      <c r="N706" s="1131"/>
      <c r="O706" s="869">
        <v>700</v>
      </c>
      <c r="P706" s="573" t="str">
        <f ca="1">HYPERLINK(EK706,EJ706)</f>
        <v/>
      </c>
      <c r="Q706" s="574" t="str">
        <f>Y706</f>
        <v xml:space="preserve"> </v>
      </c>
      <c r="R706" s="852"/>
      <c r="S706" s="784"/>
      <c r="T706" s="864"/>
      <c r="U706" s="1023" t="s">
        <v>1037</v>
      </c>
      <c r="V706" s="905" t="s">
        <v>126</v>
      </c>
      <c r="W706" s="1096">
        <v>100</v>
      </c>
      <c r="X706" s="672"/>
      <c r="Y706" s="672" t="s">
        <v>126</v>
      </c>
      <c r="Z706" s="1025"/>
      <c r="AA706" s="658"/>
      <c r="AB706" s="801"/>
      <c r="AC706" s="801"/>
      <c r="AD706" s="801"/>
      <c r="AE706" s="801"/>
      <c r="AF706" s="801"/>
      <c r="AG706" s="801"/>
      <c r="AH706" s="801"/>
      <c r="AI706" s="801"/>
      <c r="AJ706" s="801"/>
      <c r="AK706" s="801"/>
      <c r="AL706" s="801"/>
      <c r="AM706" s="801"/>
      <c r="AN706" s="801"/>
      <c r="AO706" s="801"/>
      <c r="AP706" s="801"/>
      <c r="AQ706" s="801"/>
      <c r="AR706" s="801"/>
      <c r="AS706" s="801"/>
      <c r="AT706" s="801"/>
      <c r="AU706" s="801"/>
      <c r="AV706" s="801"/>
      <c r="AY706" s="472">
        <f ca="1">AY705/AY$246%</f>
        <v>14.091645358575692</v>
      </c>
      <c r="BA706" s="472">
        <f ca="1">BA705/BA$246%</f>
        <v>100</v>
      </c>
      <c r="BF706" s="473"/>
      <c r="BI706" s="472" t="s">
        <v>126</v>
      </c>
      <c r="BJ706" s="490"/>
      <c r="BN706" s="656"/>
      <c r="BO706" s="472" t="s">
        <v>259</v>
      </c>
      <c r="CU706" s="480" t="str">
        <f>CG$1&amp;IF(U706="",BF706,U706)</f>
        <v>- STATUS-Ansatz: Repräsentiert den Status der Energieintensität (Strombedarf pro erbrachte Dienstleistung) der elektrischen Geräte in Haushalten für Kraft=Mechanische Energie, Licht=Beleuchtung, Informations-/Kommunikations-Kommunikations-Technolgien, Kälte (kurz 'KLIK', Geräte für Gebäudewärme- und Prozesswärme-Bereitstellung sind unter GW bzw. PW gefasst und bleiben hier ausgespart). Dient als Referenz für den im Ziel durch Effizienzsteigerung gesenkten Energiebedarf.</v>
      </c>
      <c r="CV706" s="656"/>
      <c r="CW706" s="480"/>
      <c r="DS706" s="656"/>
      <c r="DT706" s="518">
        <f>I_Basisdaten!A290</f>
        <v>0</v>
      </c>
      <c r="EJ706" s="472" t="str">
        <f>IF(X706=0,"",EJ$1&amp;X706)</f>
        <v/>
      </c>
      <c r="EK706" s="472" t="str">
        <f ca="1">EK$1&amp;X706</f>
        <v>[D_Python.xlsx]9.Quellen!C</v>
      </c>
      <c r="EV706" s="819">
        <f t="shared" si="351"/>
        <v>706</v>
      </c>
      <c r="EW706" s="819"/>
    </row>
    <row r="707" spans="1:153" s="478" customFormat="1" ht="4">
      <c r="A707" s="677" t="str">
        <f t="shared" ca="1" si="349"/>
        <v>D.1.707</v>
      </c>
      <c r="B707" s="677" t="str">
        <f t="shared" ca="1" si="350"/>
        <v>1.707</v>
      </c>
      <c r="C707" s="677" t="str">
        <f t="shared" si="331"/>
        <v>[707]</v>
      </c>
      <c r="D707" s="677">
        <f>ROW()</f>
        <v>707</v>
      </c>
      <c r="E707" s="528"/>
      <c r="F707" s="528"/>
      <c r="G707" s="528"/>
      <c r="H707" s="528"/>
      <c r="I707" s="527"/>
      <c r="J707" s="527"/>
      <c r="K707" s="527"/>
      <c r="L707" s="527"/>
      <c r="M707" s="527"/>
      <c r="N707" s="528"/>
      <c r="O707" s="871">
        <v>701</v>
      </c>
      <c r="P707" s="566"/>
      <c r="Q707" s="567"/>
      <c r="R707" s="888"/>
      <c r="S707" s="802"/>
      <c r="T707" s="882"/>
      <c r="U707" s="661"/>
      <c r="V707" s="661"/>
      <c r="W707" s="606"/>
      <c r="X707" s="661"/>
      <c r="Y707" s="661"/>
      <c r="Z707" s="661"/>
      <c r="AA707" s="661"/>
      <c r="AB707" s="675"/>
      <c r="AC707" s="675"/>
      <c r="AD707" s="675"/>
      <c r="AE707" s="675"/>
      <c r="AF707" s="675"/>
      <c r="AG707" s="675"/>
      <c r="AH707" s="675"/>
      <c r="AI707" s="675"/>
      <c r="AJ707" s="675"/>
      <c r="AK707" s="675"/>
      <c r="AL707" s="675"/>
      <c r="AM707" s="675"/>
      <c r="AN707" s="675"/>
      <c r="AO707" s="675"/>
      <c r="AP707" s="675"/>
      <c r="AQ707" s="675"/>
      <c r="AR707" s="675"/>
      <c r="AS707" s="675"/>
      <c r="AT707" s="675"/>
      <c r="AU707" s="675"/>
      <c r="AV707" s="675"/>
      <c r="BI707" s="478" t="s">
        <v>126</v>
      </c>
      <c r="BJ707" s="489"/>
      <c r="BN707" s="661"/>
      <c r="CU707" s="479"/>
      <c r="CV707" s="661"/>
      <c r="CW707" s="479"/>
      <c r="DS707" s="661"/>
      <c r="EV707" s="818" t="str">
        <f t="shared" si="351"/>
        <v/>
      </c>
      <c r="EW707" s="818"/>
    </row>
    <row r="708" spans="1:153" s="472" customFormat="1" ht="15" customHeight="1">
      <c r="A708" s="654" t="str">
        <f t="shared" ca="1" si="349"/>
        <v>D.1.708</v>
      </c>
      <c r="B708" s="654" t="str">
        <f t="shared" ca="1" si="350"/>
        <v>1.708</v>
      </c>
      <c r="C708" s="654" t="str">
        <f t="shared" si="331"/>
        <v>[708]</v>
      </c>
      <c r="D708" s="654">
        <f>ROW()</f>
        <v>708</v>
      </c>
      <c r="E708" s="1132" t="str">
        <f t="shared" ref="E708" ca="1" si="375">CU708</f>
        <v>- ZIEL-Ansatz: Orientiert an den Ergebnissen einer Studie des VDE [9.255], aufbereitet in [9.208], Absatz Ba72. Die pessimistischere Aussage in [710] blieb hier unberücksichtigt.</v>
      </c>
      <c r="F708" s="1132"/>
      <c r="G708" s="1132"/>
      <c r="H708" s="1132"/>
      <c r="I708" s="1132"/>
      <c r="J708" s="1132"/>
      <c r="K708" s="1132"/>
      <c r="L708" s="1132"/>
      <c r="M708" s="1132"/>
      <c r="N708" s="1132"/>
      <c r="O708" s="869">
        <v>702</v>
      </c>
      <c r="P708" s="573" t="str">
        <f ca="1">HYPERLINK(EK708,EJ708)</f>
        <v>9.255</v>
      </c>
      <c r="Q708" s="574" t="str">
        <f>Y708</f>
        <v>S. 38</v>
      </c>
      <c r="R708" s="852"/>
      <c r="S708" s="784"/>
      <c r="T708" s="864"/>
      <c r="U708" s="1023" t="str">
        <f ca="1">"Orientiert an den Ergebnissen einer Studie des "&amp;'9.Quellen'!E255&amp;" ["&amp;P708&amp;"], aufbereitet in ["&amp;P709&amp;"], Absatz "&amp;Q709&amp;". Die pessimistischere Aussage in "&amp;C710&amp;" blieb hier unberücksichtigt."</f>
        <v>Orientiert an den Ergebnissen einer Studie des VDE [9.255], aufbereitet in [9.208], Absatz Ba72. Die pessimistischere Aussage in [710] blieb hier unberücksichtigt.</v>
      </c>
      <c r="V708" s="905" t="s">
        <v>126</v>
      </c>
      <c r="W708" s="1095">
        <v>73</v>
      </c>
      <c r="X708" s="672">
        <f>'9.Quellen'!C$255</f>
        <v>255</v>
      </c>
      <c r="Y708" s="672" t="s">
        <v>359</v>
      </c>
      <c r="Z708" s="1025"/>
      <c r="AA708" s="905"/>
      <c r="AB708" s="801"/>
      <c r="AC708" s="801"/>
      <c r="AD708" s="801"/>
      <c r="AE708" s="801"/>
      <c r="AF708" s="801"/>
      <c r="AG708" s="801"/>
      <c r="AH708" s="801"/>
      <c r="AI708" s="801"/>
      <c r="AJ708" s="801"/>
      <c r="AK708" s="801"/>
      <c r="AL708" s="801"/>
      <c r="AM708" s="801"/>
      <c r="AN708" s="801"/>
      <c r="AO708" s="801"/>
      <c r="AP708" s="801"/>
      <c r="AQ708" s="801"/>
      <c r="AR708" s="801"/>
      <c r="AS708" s="801"/>
      <c r="AT708" s="801"/>
      <c r="AU708" s="801"/>
      <c r="AV708" s="801"/>
      <c r="BF708" s="473"/>
      <c r="BI708" s="472" t="s">
        <v>126</v>
      </c>
      <c r="BJ708" s="490"/>
      <c r="BN708" s="656"/>
      <c r="BO708" s="472" t="s">
        <v>259</v>
      </c>
      <c r="CU708" s="480" t="str">
        <f ca="1">CH$1&amp;IF(U708="",BF708,U708)</f>
        <v>- ZIEL-Ansatz: Orientiert an den Ergebnissen einer Studie des VDE [9.255], aufbereitet in [9.208], Absatz Ba72. Die pessimistischere Aussage in [710] blieb hier unberücksichtigt.</v>
      </c>
      <c r="CV708" s="656"/>
      <c r="CW708" s="480"/>
      <c r="DS708" s="656"/>
      <c r="DT708" s="518">
        <v>53</v>
      </c>
      <c r="EJ708" s="472" t="str">
        <f ca="1">IF(X708=0,"",EJ$1&amp;X708)</f>
        <v>9.255</v>
      </c>
      <c r="EK708" s="472" t="str">
        <f ca="1">EK$1&amp;X708</f>
        <v>[D_Python.xlsx]9.Quellen!C255</v>
      </c>
      <c r="EV708" s="819">
        <f t="shared" ca="1" si="351"/>
        <v>708</v>
      </c>
      <c r="EW708" s="819"/>
    </row>
    <row r="709" spans="1:153" s="656" customFormat="1">
      <c r="A709" s="654" t="str">
        <f t="shared" ca="1" si="349"/>
        <v>D.1.709</v>
      </c>
      <c r="B709" s="654" t="str">
        <f t="shared" ca="1" si="350"/>
        <v>1.709</v>
      </c>
      <c r="C709" s="654" t="str">
        <f t="shared" si="331"/>
        <v>[709]</v>
      </c>
      <c r="D709" s="654">
        <f>ROW()</f>
        <v>709</v>
      </c>
      <c r="E709" s="1132"/>
      <c r="F709" s="1132"/>
      <c r="G709" s="1132"/>
      <c r="H709" s="1132"/>
      <c r="I709" s="1132"/>
      <c r="J709" s="1132"/>
      <c r="K709" s="1132"/>
      <c r="L709" s="1132"/>
      <c r="M709" s="1132"/>
      <c r="N709" s="1132"/>
      <c r="O709" s="869">
        <v>703</v>
      </c>
      <c r="P709" s="691" t="str">
        <f ca="1">HYPERLINK(EK709,EJ709)</f>
        <v>9.208</v>
      </c>
      <c r="Q709" s="692" t="str">
        <f>Y709</f>
        <v>Ba72</v>
      </c>
      <c r="R709" s="852"/>
      <c r="S709" s="784"/>
      <c r="T709" s="864"/>
      <c r="U709" s="1033"/>
      <c r="V709" s="905" t="s">
        <v>126</v>
      </c>
      <c r="W709" s="1024"/>
      <c r="X709" s="672">
        <f>'9.Quellen'!C208</f>
        <v>208</v>
      </c>
      <c r="Y709" s="672" t="s">
        <v>520</v>
      </c>
      <c r="Z709" s="1025"/>
      <c r="AA709" s="905"/>
      <c r="AB709" s="801"/>
      <c r="AC709" s="801"/>
      <c r="AD709" s="801"/>
      <c r="AE709" s="801"/>
      <c r="AF709" s="801"/>
      <c r="AG709" s="801"/>
      <c r="AH709" s="801"/>
      <c r="AI709" s="801"/>
      <c r="AJ709" s="801"/>
      <c r="AK709" s="801"/>
      <c r="AL709" s="801"/>
      <c r="AM709" s="801"/>
      <c r="AN709" s="801"/>
      <c r="AO709" s="801"/>
      <c r="AP709" s="801"/>
      <c r="AQ709" s="801"/>
      <c r="AR709" s="801"/>
      <c r="AS709" s="801"/>
      <c r="AT709" s="801"/>
      <c r="AU709" s="801"/>
      <c r="AV709" s="801"/>
      <c r="BF709" s="657"/>
      <c r="BI709" s="656" t="s">
        <v>126</v>
      </c>
      <c r="BJ709" s="666"/>
      <c r="BO709" s="656" t="s">
        <v>252</v>
      </c>
      <c r="CU709" s="663">
        <f>IF(U709="",BF709,U709)</f>
        <v>0</v>
      </c>
      <c r="CW709" s="663"/>
      <c r="DT709" s="671"/>
      <c r="EJ709" s="656" t="str">
        <f ca="1">IF(X709=0,"",EJ$1&amp;X709)</f>
        <v>9.208</v>
      </c>
      <c r="EK709" s="656" t="str">
        <f ca="1">EK$1&amp;X709</f>
        <v>[D_Python.xlsx]9.Quellen!C208</v>
      </c>
      <c r="EV709" s="819" t="str">
        <f t="shared" si="351"/>
        <v/>
      </c>
      <c r="EW709" s="819"/>
    </row>
    <row r="710" spans="1:153" s="656" customFormat="1" ht="52">
      <c r="A710" s="654" t="str">
        <f t="shared" ca="1" si="349"/>
        <v>D.1.710</v>
      </c>
      <c r="B710" s="654" t="str">
        <f t="shared" ca="1" si="350"/>
        <v>1.710</v>
      </c>
      <c r="C710" s="654" t="str">
        <f t="shared" si="331"/>
        <v>[710]</v>
      </c>
      <c r="D710" s="654">
        <f>ROW()</f>
        <v>710</v>
      </c>
      <c r="E710" s="1125" t="str">
        <f ca="1">CU710</f>
        <v xml:space="preserve">Nach den Aussagen eines Forschungsberichtes an das Bundesministerium für Wirtschaft und Technologie [9.193], S. 54 kann das Effizienz-Potenzial als marginal eingeschätzt werden: Wäschetrockner und Waschmaschinen werden auf 10% Bedarfsminderung  (Wirtschaftliches Potenzial 2007-2016) geschätzt, Kochen und Backen bleiben, vermutlich wegen sehr geringer Potenziale, unbetrachtet. </v>
      </c>
      <c r="F710" s="1125"/>
      <c r="G710" s="1125"/>
      <c r="H710" s="1125"/>
      <c r="I710" s="1125"/>
      <c r="J710" s="1125"/>
      <c r="K710" s="1125"/>
      <c r="L710" s="1125"/>
      <c r="M710" s="1125"/>
      <c r="N710" s="1132"/>
      <c r="O710" s="869">
        <v>704</v>
      </c>
      <c r="P710" s="691" t="str">
        <f ca="1">HYPERLINK(EK710,EJ710)</f>
        <v>9.193</v>
      </c>
      <c r="Q710" s="692" t="str">
        <f>Y710</f>
        <v>S. 54</v>
      </c>
      <c r="R710" s="852"/>
      <c r="S710" s="784"/>
      <c r="T710" s="864"/>
      <c r="U710" s="649" t="str">
        <f ca="1">"Nach den Aussagen eines Forschungsberichtes an das Bundesministerium für Wirtschaft und Technologie ["&amp;P710&amp;"], "&amp;Q710&amp;" kann das Effizienz-Potenzial als marginal eingeschätzt werden: Wäschetrockner und Waschmaschinen werden auf 10% Bedarfsminderung  (Wirtschaftliches Potenzial 2007-2016) geschätzt, "&amp;"Kochen und Backen bleiben, vermutlich wegen sehr geringer Potenziale, unbetrachtet. "</f>
        <v xml:space="preserve">Nach den Aussagen eines Forschungsberichtes an das Bundesministerium für Wirtschaft und Technologie [9.193], S. 54 kann das Effizienz-Potenzial als marginal eingeschätzt werden: Wäschetrockner und Waschmaschinen werden auf 10% Bedarfsminderung  (Wirtschaftliches Potenzial 2007-2016) geschätzt, Kochen und Backen bleiben, vermutlich wegen sehr geringer Potenziale, unbetrachtet. </v>
      </c>
      <c r="V710" s="905" t="s">
        <v>126</v>
      </c>
      <c r="W710" s="1024">
        <v>90</v>
      </c>
      <c r="X710" s="672">
        <f>'9.Quellen'!C$193</f>
        <v>193</v>
      </c>
      <c r="Y710" s="672" t="s">
        <v>472</v>
      </c>
      <c r="Z710" s="1025"/>
      <c r="AA710" s="905"/>
      <c r="AB710" s="801"/>
      <c r="AC710" s="801"/>
      <c r="AD710" s="801"/>
      <c r="AE710" s="801"/>
      <c r="AF710" s="801"/>
      <c r="AG710" s="801"/>
      <c r="AH710" s="801"/>
      <c r="AI710" s="801"/>
      <c r="AJ710" s="801"/>
      <c r="AK710" s="687"/>
      <c r="AL710" s="801"/>
      <c r="AM710" s="801"/>
      <c r="AN710" s="801"/>
      <c r="AO710" s="801"/>
      <c r="AP710" s="801"/>
      <c r="AQ710" s="801"/>
      <c r="AR710" s="801"/>
      <c r="AS710" s="801"/>
      <c r="AT710" s="801"/>
      <c r="AU710" s="801"/>
      <c r="AV710" s="801"/>
      <c r="BF710" s="657"/>
      <c r="BI710" s="656" t="s">
        <v>126</v>
      </c>
      <c r="BJ710" s="666"/>
      <c r="BO710" s="656" t="s">
        <v>252</v>
      </c>
      <c r="CU710" s="663" t="str">
        <f ca="1">IF(U710="",BF710,U710)</f>
        <v xml:space="preserve">Nach den Aussagen eines Forschungsberichtes an das Bundesministerium für Wirtschaft und Technologie [9.193], S. 54 kann das Effizienz-Potenzial als marginal eingeschätzt werden: Wäschetrockner und Waschmaschinen werden auf 10% Bedarfsminderung  (Wirtschaftliches Potenzial 2007-2016) geschätzt, Kochen und Backen bleiben, vermutlich wegen sehr geringer Potenziale, unbetrachtet. </v>
      </c>
      <c r="CW710" s="663"/>
      <c r="DT710" s="671"/>
      <c r="EJ710" s="656" t="str">
        <f ca="1">IF(X710=0,"",EJ$1&amp;X710)</f>
        <v>9.193</v>
      </c>
      <c r="EK710" s="656" t="str">
        <f ca="1">EK$1&amp;X710</f>
        <v>[D_Python.xlsx]9.Quellen!C193</v>
      </c>
      <c r="EV710" s="819">
        <f t="shared" ca="1" si="351"/>
        <v>710</v>
      </c>
      <c r="EW710" s="819"/>
    </row>
    <row r="711" spans="1:153" s="478" customFormat="1" ht="4">
      <c r="A711" s="677" t="str">
        <f t="shared" ca="1" si="349"/>
        <v>D.1.711</v>
      </c>
      <c r="B711" s="677" t="str">
        <f t="shared" ca="1" si="350"/>
        <v>1.711</v>
      </c>
      <c r="C711" s="677" t="str">
        <f t="shared" ref="C711:C792" si="376">CE$1&amp;D711&amp;CF$1</f>
        <v>[711]</v>
      </c>
      <c r="D711" s="677">
        <f>ROW()</f>
        <v>711</v>
      </c>
      <c r="E711" s="548"/>
      <c r="F711" s="548"/>
      <c r="G711" s="548"/>
      <c r="H711" s="548"/>
      <c r="I711" s="549"/>
      <c r="J711" s="549"/>
      <c r="K711" s="549"/>
      <c r="L711" s="549"/>
      <c r="M711" s="549"/>
      <c r="N711" s="548"/>
      <c r="O711" s="871">
        <v>705</v>
      </c>
      <c r="P711" s="575"/>
      <c r="Q711" s="576"/>
      <c r="R711" s="888"/>
      <c r="S711" s="802"/>
      <c r="T711" s="882"/>
      <c r="U711" s="661"/>
      <c r="V711" s="661"/>
      <c r="W711" s="661"/>
      <c r="X711" s="661"/>
      <c r="Y711" s="661"/>
      <c r="Z711" s="661"/>
      <c r="AA711" s="661"/>
      <c r="AB711" s="675"/>
      <c r="AC711" s="675"/>
      <c r="AD711" s="675"/>
      <c r="AE711" s="675"/>
      <c r="AF711" s="675"/>
      <c r="AG711" s="675"/>
      <c r="AH711" s="675"/>
      <c r="AI711" s="675"/>
      <c r="AJ711" s="675"/>
      <c r="AK711" s="675"/>
      <c r="AL711" s="675"/>
      <c r="AM711" s="675"/>
      <c r="AN711" s="675"/>
      <c r="AO711" s="675"/>
      <c r="AP711" s="675"/>
      <c r="AQ711" s="675"/>
      <c r="AR711" s="675"/>
      <c r="AS711" s="675"/>
      <c r="AT711" s="675"/>
      <c r="AU711" s="675"/>
      <c r="AV711" s="675"/>
      <c r="AZ711" s="505"/>
      <c r="BB711" s="505"/>
      <c r="BI711" s="478" t="s">
        <v>126</v>
      </c>
      <c r="BJ711" s="489"/>
      <c r="BN711" s="661"/>
      <c r="CU711" s="479"/>
      <c r="CV711" s="661"/>
      <c r="CW711" s="479"/>
      <c r="DS711" s="661"/>
      <c r="EV711" s="818" t="str">
        <f t="shared" si="351"/>
        <v/>
      </c>
      <c r="EW711" s="818"/>
    </row>
    <row r="712" spans="1:153" s="475" customFormat="1" ht="13.5" customHeight="1">
      <c r="A712" s="654" t="str">
        <f t="shared" ca="1" si="349"/>
        <v>D.1.712</v>
      </c>
      <c r="B712" s="654" t="str">
        <f t="shared" ca="1" si="350"/>
        <v>1.712</v>
      </c>
      <c r="C712" s="654" t="str">
        <f t="shared" si="376"/>
        <v>[712]</v>
      </c>
      <c r="D712" s="654">
        <f>ROW()</f>
        <v>712</v>
      </c>
      <c r="E712" s="1129" t="str">
        <f>BP712</f>
        <v>Anteil Handel/Dienstleistungen an KLIK</v>
      </c>
      <c r="F712" s="1129"/>
      <c r="G712" s="1129"/>
      <c r="H712" s="1129"/>
      <c r="I712" s="1129"/>
      <c r="J712" s="471" t="s">
        <v>38</v>
      </c>
      <c r="K712" s="605">
        <f ca="1">INDIRECT($W$1&amp;U712)</f>
        <v>29.610108791134532</v>
      </c>
      <c r="L712" s="597" t="str">
        <f ca="1">HYPERLINK($CK$1&amp;U712,$CE$1&amp;U712&amp;$CF$1)</f>
        <v>[713]</v>
      </c>
      <c r="M712" s="545">
        <f ca="1">INDIRECT($W$1&amp;W712)</f>
        <v>29.610108791134532</v>
      </c>
      <c r="N712" s="533" t="str">
        <f ca="1">HYPERLINK($CK$1&amp;W712,$CE$1&amp;W712&amp;$CF$1)</f>
        <v>[715]</v>
      </c>
      <c r="O712" s="869">
        <v>706</v>
      </c>
      <c r="P712" s="570"/>
      <c r="Q712" s="583"/>
      <c r="R712" s="852"/>
      <c r="S712" s="784"/>
      <c r="T712" s="864"/>
      <c r="U712" s="672">
        <f>D713</f>
        <v>713</v>
      </c>
      <c r="V712" s="905" t="s">
        <v>126</v>
      </c>
      <c r="W712" s="672">
        <f>D715</f>
        <v>715</v>
      </c>
      <c r="X712" s="658"/>
      <c r="Y712" s="658"/>
      <c r="Z712" s="658"/>
      <c r="AA712" s="658"/>
      <c r="AB712" s="801"/>
      <c r="AC712" s="801"/>
      <c r="AD712" s="674"/>
      <c r="AE712" s="674"/>
      <c r="AF712" s="674"/>
      <c r="AG712" s="674"/>
      <c r="AH712" s="674"/>
      <c r="AI712" s="674"/>
      <c r="AJ712" s="674"/>
      <c r="AK712" s="674"/>
      <c r="AL712" s="674"/>
      <c r="AM712" s="674"/>
      <c r="AN712" s="674"/>
      <c r="AO712" s="674"/>
      <c r="AP712" s="674"/>
      <c r="AQ712" s="674"/>
      <c r="AR712" s="674"/>
      <c r="AS712" s="674"/>
      <c r="AT712" s="674"/>
      <c r="AU712" s="674"/>
      <c r="AV712" s="674"/>
      <c r="AX712" s="475" t="s">
        <v>244</v>
      </c>
      <c r="AY712" s="500">
        <f ca="1">DA712</f>
        <v>10.254559182513647</v>
      </c>
      <c r="AZ712" s="508" t="str">
        <f ca="1">HYPERLINK(DN712,DC712)</f>
        <v xml:space="preserve"> 235</v>
      </c>
      <c r="BA712" s="500">
        <f ca="1">DB712</f>
        <v>35</v>
      </c>
      <c r="BB712" s="508" t="str">
        <f ca="1">HYPERLINK(DO712,DD712)</f>
        <v xml:space="preserve"> 236</v>
      </c>
      <c r="BC712" s="475" t="str">
        <f ca="1">CY712&amp;" | "&amp;CZ712</f>
        <v>Brennstoffgew.
für Prozesse | 0</v>
      </c>
      <c r="BI712" s="475" t="s">
        <v>126</v>
      </c>
      <c r="BJ712" s="492" t="str">
        <f>E712</f>
        <v>Anteil Handel/Dienstleistungen an KLIK</v>
      </c>
      <c r="BK712" s="486">
        <f ca="1">K712</f>
        <v>29.610108791134532</v>
      </c>
      <c r="BL712" s="486">
        <f ca="1">M712</f>
        <v>29.610108791134532</v>
      </c>
      <c r="BM712" s="472">
        <f>D712</f>
        <v>712</v>
      </c>
      <c r="BN712" s="658"/>
      <c r="BO712" s="475" t="s">
        <v>251</v>
      </c>
      <c r="BP712" s="521" t="s">
        <v>508</v>
      </c>
      <c r="CU712" s="476"/>
      <c r="CV712" s="658"/>
      <c r="CW712" s="518">
        <v>61</v>
      </c>
      <c r="CY712" s="472" t="str">
        <f t="shared" ref="CY712:DO712" ca="1" si="377">INDIRECT($CX$1&amp;CY$1&amp;$CW712)</f>
        <v>Brennstoffgew.
für Prozesse</v>
      </c>
      <c r="CZ712" s="472">
        <f t="shared" ca="1" si="377"/>
        <v>0</v>
      </c>
      <c r="DA712" s="472">
        <f t="shared" ca="1" si="377"/>
        <v>10.254559182513647</v>
      </c>
      <c r="DB712" s="472">
        <f t="shared" ca="1" si="377"/>
        <v>35</v>
      </c>
      <c r="DC712" s="472" t="str">
        <f t="shared" ca="1" si="377"/>
        <v xml:space="preserve"> 235</v>
      </c>
      <c r="DD712" s="472" t="str">
        <f t="shared" ca="1" si="377"/>
        <v xml:space="preserve"> 236</v>
      </c>
      <c r="DE712" s="472" t="str">
        <f t="shared" ca="1" si="377"/>
        <v>Ho99</v>
      </c>
      <c r="DF712" s="472" t="str">
        <f t="shared" ca="1" si="377"/>
        <v>Ho36</v>
      </c>
      <c r="DG712" s="472" t="str">
        <f t="shared" ca="1" si="377"/>
        <v>Ho</v>
      </c>
      <c r="DH712" s="472" t="str">
        <f t="shared" ca="1" si="377"/>
        <v>99</v>
      </c>
      <c r="DI712" s="472" t="str">
        <f t="shared" ca="1" si="377"/>
        <v>[Ho.xls]TEXT!Z99S5</v>
      </c>
      <c r="DJ712" s="472" t="str">
        <f t="shared" ca="1" si="377"/>
        <v>Ho</v>
      </c>
      <c r="DK712" s="472" t="str">
        <f t="shared" ca="1" si="377"/>
        <v>36</v>
      </c>
      <c r="DL712" s="472" t="str">
        <f t="shared" ca="1" si="377"/>
        <v>[Ho.xls]TEXT!Z36S5</v>
      </c>
      <c r="DM712" s="472">
        <f t="shared" ca="1" si="377"/>
        <v>61</v>
      </c>
      <c r="DN712" s="472" t="str">
        <f t="shared" ca="1" si="377"/>
        <v>[Region.xls]PARAMETER!Z235S6</v>
      </c>
      <c r="DO712" s="472" t="str">
        <f t="shared" ca="1" si="377"/>
        <v>[Region.xls]PARAMETER!Z236S6</v>
      </c>
      <c r="DP712" s="472"/>
      <c r="DS712" s="656"/>
      <c r="DV712" s="472"/>
      <c r="DW712" s="472"/>
      <c r="DX712" s="472"/>
      <c r="DY712" s="472"/>
      <c r="DZ712" s="472"/>
      <c r="EA712" s="472"/>
      <c r="EB712" s="472"/>
      <c r="EC712" s="472"/>
      <c r="ED712" s="472"/>
      <c r="EE712" s="472"/>
      <c r="EF712" s="472"/>
      <c r="EG712" s="472"/>
      <c r="EH712" s="472"/>
      <c r="EI712" s="472"/>
      <c r="EJ712" s="472"/>
      <c r="EK712" s="472"/>
      <c r="EV712" s="819">
        <f t="shared" si="351"/>
        <v>712</v>
      </c>
      <c r="EW712" s="819"/>
    </row>
    <row r="713" spans="1:153" s="472" customFormat="1" ht="52">
      <c r="A713" s="654" t="str">
        <f t="shared" ca="1" si="349"/>
        <v>D.1.713</v>
      </c>
      <c r="B713" s="654" t="str">
        <f t="shared" ca="1" si="350"/>
        <v>1.713</v>
      </c>
      <c r="C713" s="654" t="str">
        <f t="shared" si="376"/>
        <v>[713]</v>
      </c>
      <c r="D713" s="654">
        <f>ROW()</f>
        <v>713</v>
      </c>
      <c r="E713" s="1130" t="str">
        <f ca="1">CU713</f>
        <v>- STATUS-Ansatz: Endenergieverbrauch der elektrischen Geräte im Sektor Handel/Dienstleistungen (ohne produzierendes Gewerbe) für Licht=Beleuchtung, Informations-/Kommunikations-Technolgien, Kälte (kurz 'KLIK', Geräte für Gebäudewärme-Bereitstellung sind unter GW gefasst und bleiben hier ausgespart). Gemäß Arbeitsgemeinschaft Energiebilanzen [9.28] für das Jahr 2012, Aufbereitung siehe [7.91].</v>
      </c>
      <c r="F713" s="1130"/>
      <c r="G713" s="1130"/>
      <c r="H713" s="1130"/>
      <c r="I713" s="1130"/>
      <c r="J713" s="1130"/>
      <c r="K713" s="1130"/>
      <c r="L713" s="1130"/>
      <c r="M713" s="1130"/>
      <c r="N713" s="1131"/>
      <c r="O713" s="869">
        <v>707</v>
      </c>
      <c r="P713" s="573" t="str">
        <f ca="1">HYPERLINK(EK713,EJ713)</f>
        <v>9.28</v>
      </c>
      <c r="Q713" s="646" t="str">
        <f ca="1">IF(Y713="&gt;",HYPERLINK(EO713,EN713),Y713)</f>
        <v>7.91</v>
      </c>
      <c r="R713" s="852"/>
      <c r="S713" s="784"/>
      <c r="T713" s="864"/>
      <c r="U713" s="1023" t="str">
        <f ca="1">"Endenergieverbrauch der elektrischen Geräte im Sektor Handel/Dienstleistungen (ohne produzierendes Gewerbe) für Licht=Beleuchtung, Informations-/Kommunikations-Technolgien, "&amp;"Kälte (kurz 'KLIK', Geräte für Gebäudewärme-Bereitstellung sind unter GW gefasst und bleiben hier ausgespart). Gemäß Arbeitsgemeinschaft Energiebilanzen ["&amp;P713&amp;"] für das Jahr 2012, Aufbereitung siehe ["&amp;Q713&amp;"]."</f>
        <v>Endenergieverbrauch der elektrischen Geräte im Sektor Handel/Dienstleistungen (ohne produzierendes Gewerbe) für Licht=Beleuchtung, Informations-/Kommunikations-Technolgien, Kälte (kurz 'KLIK', Geräte für Gebäudewärme-Bereitstellung sind unter GW gefasst und bleiben hier ausgespart). Gemäß Arbeitsgemeinschaft Energiebilanzen [9.28] für das Jahr 2012, Aufbereitung siehe [7.91].</v>
      </c>
      <c r="V713" s="905" t="s">
        <v>126</v>
      </c>
      <c r="W713" s="1096">
        <f>'7.VerbrauchStatus'!H91</f>
        <v>29.610108791134532</v>
      </c>
      <c r="X713" s="672">
        <f>'9.Quellen'!C$28</f>
        <v>28</v>
      </c>
      <c r="Y713" s="672" t="s">
        <v>479</v>
      </c>
      <c r="Z713" s="672">
        <f>'7.VerbrauchStatus'!D91</f>
        <v>91</v>
      </c>
      <c r="AA713" s="658"/>
      <c r="AB713" s="801"/>
      <c r="AC713" s="801"/>
      <c r="AD713" s="801"/>
      <c r="AE713" s="801"/>
      <c r="AF713" s="801"/>
      <c r="AG713" s="801"/>
      <c r="AH713" s="801"/>
      <c r="AI713" s="801"/>
      <c r="AJ713" s="801"/>
      <c r="AK713" s="801"/>
      <c r="AL713" s="801"/>
      <c r="AM713" s="801"/>
      <c r="AN713" s="801"/>
      <c r="AO713" s="801"/>
      <c r="AP713" s="801"/>
      <c r="AQ713" s="801"/>
      <c r="AR713" s="801"/>
      <c r="AS713" s="801"/>
      <c r="AT713" s="801"/>
      <c r="AU713" s="801"/>
      <c r="AV713" s="801"/>
      <c r="AY713" s="472">
        <f ca="1">AY712/AY$246%</f>
        <v>14.091645358575692</v>
      </c>
      <c r="BA713" s="472">
        <f ca="1">BA712/BA$246%</f>
        <v>100</v>
      </c>
      <c r="BF713" s="473"/>
      <c r="BI713" s="472" t="s">
        <v>126</v>
      </c>
      <c r="BJ713" s="490"/>
      <c r="BN713" s="656"/>
      <c r="BO713" s="472" t="s">
        <v>259</v>
      </c>
      <c r="CU713" s="480" t="str">
        <f ca="1">CG$1&amp;IF(U713="",BF713,U713)</f>
        <v>- STATUS-Ansatz: Endenergieverbrauch der elektrischen Geräte im Sektor Handel/Dienstleistungen (ohne produzierendes Gewerbe) für Licht=Beleuchtung, Informations-/Kommunikations-Technolgien, Kälte (kurz 'KLIK', Geräte für Gebäudewärme-Bereitstellung sind unter GW gefasst und bleiben hier ausgespart). Gemäß Arbeitsgemeinschaft Energiebilanzen [9.28] für das Jahr 2012, Aufbereitung siehe [7.91].</v>
      </c>
      <c r="CV713" s="656"/>
      <c r="CW713" s="480"/>
      <c r="DS713" s="656"/>
      <c r="DT713" s="518">
        <f>I_Basisdaten!A290</f>
        <v>0</v>
      </c>
      <c r="EJ713" s="472" t="str">
        <f ca="1">IF(X713=0,"",EJ$1&amp;X713)</f>
        <v>9.28</v>
      </c>
      <c r="EK713" s="472" t="str">
        <f ca="1">EK$1&amp;X713</f>
        <v>[D_Python.xlsx]9.Quellen!C28</v>
      </c>
      <c r="EN713" s="472" t="str">
        <f ca="1">IF(Z713=0,"",EN$1&amp;Z713)</f>
        <v>7.91</v>
      </c>
      <c r="EO713" s="472" t="str">
        <f ca="1">EO$1&amp;Z713</f>
        <v>[D_Python.xlsx]7.VerbrauchStatus!D91</v>
      </c>
      <c r="EV713" s="819">
        <f t="shared" ca="1" si="351"/>
        <v>713</v>
      </c>
      <c r="EW713" s="819"/>
    </row>
    <row r="714" spans="1:153" s="478" customFormat="1" ht="4">
      <c r="A714" s="677" t="str">
        <f t="shared" ca="1" si="349"/>
        <v>D.1.714</v>
      </c>
      <c r="B714" s="677" t="str">
        <f t="shared" ca="1" si="350"/>
        <v>1.714</v>
      </c>
      <c r="C714" s="677" t="str">
        <f t="shared" si="376"/>
        <v>[714]</v>
      </c>
      <c r="D714" s="677">
        <f>ROW()</f>
        <v>714</v>
      </c>
      <c r="E714" s="528"/>
      <c r="F714" s="528"/>
      <c r="G714" s="528"/>
      <c r="H714" s="528"/>
      <c r="I714" s="527"/>
      <c r="J714" s="527"/>
      <c r="K714" s="527"/>
      <c r="L714" s="527"/>
      <c r="M714" s="527"/>
      <c r="N714" s="528"/>
      <c r="O714" s="871">
        <v>708</v>
      </c>
      <c r="P714" s="566"/>
      <c r="Q714" s="567"/>
      <c r="R714" s="888"/>
      <c r="S714" s="802"/>
      <c r="T714" s="882"/>
      <c r="U714" s="661"/>
      <c r="V714" s="661"/>
      <c r="W714" s="606"/>
      <c r="X714" s="661"/>
      <c r="Y714" s="661"/>
      <c r="Z714" s="661"/>
      <c r="AA714" s="661"/>
      <c r="AB714" s="675"/>
      <c r="AC714" s="675"/>
      <c r="AD714" s="675"/>
      <c r="AE714" s="675"/>
      <c r="AF714" s="675"/>
      <c r="AG714" s="675"/>
      <c r="AH714" s="675"/>
      <c r="AI714" s="675"/>
      <c r="AJ714" s="675"/>
      <c r="AK714" s="675"/>
      <c r="AL714" s="675"/>
      <c r="AM714" s="675"/>
      <c r="AN714" s="675"/>
      <c r="AO714" s="675"/>
      <c r="AP714" s="675"/>
      <c r="AQ714" s="675"/>
      <c r="AR714" s="675"/>
      <c r="AS714" s="675"/>
      <c r="AT714" s="675"/>
      <c r="AU714" s="675"/>
      <c r="AV714" s="675"/>
      <c r="BI714" s="478" t="s">
        <v>126</v>
      </c>
      <c r="BJ714" s="489"/>
      <c r="BN714" s="661"/>
      <c r="CU714" s="479"/>
      <c r="CV714" s="661"/>
      <c r="CW714" s="479"/>
      <c r="DS714" s="661"/>
      <c r="EV714" s="818" t="str">
        <f t="shared" si="351"/>
        <v/>
      </c>
      <c r="EW714" s="818"/>
    </row>
    <row r="715" spans="1:153" s="472" customFormat="1" ht="48" customHeight="1">
      <c r="A715" s="654" t="str">
        <f t="shared" ca="1" si="349"/>
        <v>D.1.715</v>
      </c>
      <c r="B715" s="654" t="str">
        <f t="shared" ca="1" si="350"/>
        <v>1.715</v>
      </c>
      <c r="C715" s="654" t="str">
        <f t="shared" si="376"/>
        <v>[715]</v>
      </c>
      <c r="D715" s="654">
        <f>ROW()</f>
        <v>715</v>
      </c>
      <c r="E715" s="1125" t="str">
        <f t="shared" ref="E715" si="378">CU715</f>
        <v>- ZIEL-Ansatz: Dient als Berechnungsgrundlage für das (fiktive) künftige Bedarfsniveau im Anwendungsbereich Kraft/Licht/Informations-u.Kommunikationstechnologien/Kälte im Sektor Gewerbe/Handel/Dienstleistungen, das sich ohne Volumen-, Effizienz-und Energiemix-Änderungen einstellen würde. Der Status-Ansatz wird methodisch bedingt unverändert übernommen.</v>
      </c>
      <c r="F715" s="1125"/>
      <c r="G715" s="1125"/>
      <c r="H715" s="1125"/>
      <c r="I715" s="1125"/>
      <c r="J715" s="1125"/>
      <c r="K715" s="1125"/>
      <c r="L715" s="1125"/>
      <c r="M715" s="1125"/>
      <c r="N715" s="1132"/>
      <c r="O715" s="869">
        <v>709</v>
      </c>
      <c r="P715" s="573" t="str">
        <f ca="1">HYPERLINK(EK715,EJ715)</f>
        <v/>
      </c>
      <c r="Q715" s="574" t="str">
        <f>Y715</f>
        <v xml:space="preserve"> </v>
      </c>
      <c r="R715" s="852"/>
      <c r="S715" s="784"/>
      <c r="T715" s="864"/>
      <c r="U715" s="1023" t="s">
        <v>779</v>
      </c>
      <c r="V715" s="905" t="s">
        <v>126</v>
      </c>
      <c r="W715" s="1096">
        <f>W713</f>
        <v>29.610108791134532</v>
      </c>
      <c r="X715" s="672"/>
      <c r="Y715" s="672" t="s">
        <v>126</v>
      </c>
      <c r="Z715" s="1025"/>
      <c r="AA715" s="905"/>
      <c r="AB715" s="801"/>
      <c r="AC715" s="801"/>
      <c r="AD715" s="801"/>
      <c r="AE715" s="801"/>
      <c r="AF715" s="801"/>
      <c r="AG715" s="801"/>
      <c r="AH715" s="801"/>
      <c r="AI715" s="801"/>
      <c r="AJ715" s="801"/>
      <c r="AK715" s="801"/>
      <c r="AL715" s="801"/>
      <c r="AM715" s="801"/>
      <c r="AN715" s="801"/>
      <c r="AO715" s="801"/>
      <c r="AP715" s="801"/>
      <c r="AQ715" s="801"/>
      <c r="AR715" s="801"/>
      <c r="AS715" s="801"/>
      <c r="AT715" s="801"/>
      <c r="AU715" s="801"/>
      <c r="AV715" s="801"/>
      <c r="BF715" s="473"/>
      <c r="BI715" s="472" t="s">
        <v>126</v>
      </c>
      <c r="BJ715" s="490"/>
      <c r="BN715" s="656"/>
      <c r="BO715" s="472" t="s">
        <v>259</v>
      </c>
      <c r="CU715" s="480" t="str">
        <f>CH$1&amp;IF(U715="",BF715,U715)</f>
        <v>- ZIEL-Ansatz: Dient als Berechnungsgrundlage für das (fiktive) künftige Bedarfsniveau im Anwendungsbereich Kraft/Licht/Informations-u.Kommunikationstechnologien/Kälte im Sektor Gewerbe/Handel/Dienstleistungen, das sich ohne Volumen-, Effizienz-und Energiemix-Änderungen einstellen würde. Der Status-Ansatz wird methodisch bedingt unverändert übernommen.</v>
      </c>
      <c r="CV715" s="656"/>
      <c r="CW715" s="480"/>
      <c r="DS715" s="656"/>
      <c r="DT715" s="518">
        <v>53</v>
      </c>
      <c r="EJ715" s="472" t="str">
        <f>IF(X715=0,"",EJ$1&amp;X715)</f>
        <v/>
      </c>
      <c r="EK715" s="472" t="str">
        <f ca="1">EK$1&amp;X715</f>
        <v>[D_Python.xlsx]9.Quellen!C</v>
      </c>
      <c r="EV715" s="819">
        <f t="shared" si="351"/>
        <v>715</v>
      </c>
      <c r="EW715" s="819"/>
    </row>
    <row r="716" spans="1:153" s="661" customFormat="1" ht="4">
      <c r="A716" s="677" t="str">
        <f t="shared" ca="1" si="349"/>
        <v>D.1.716</v>
      </c>
      <c r="B716" s="677" t="str">
        <f t="shared" ca="1" si="350"/>
        <v>1.716</v>
      </c>
      <c r="C716" s="677" t="str">
        <f t="shared" ref="C716:C720" si="379">CE$1&amp;D716&amp;CF$1</f>
        <v>[716]</v>
      </c>
      <c r="D716" s="677">
        <f>ROW()</f>
        <v>716</v>
      </c>
      <c r="E716" s="685"/>
      <c r="F716" s="685"/>
      <c r="G716" s="685"/>
      <c r="H716" s="685"/>
      <c r="I716" s="686"/>
      <c r="J716" s="686"/>
      <c r="K716" s="686"/>
      <c r="L716" s="686"/>
      <c r="M716" s="686"/>
      <c r="N716" s="685"/>
      <c r="O716" s="871">
        <v>710</v>
      </c>
      <c r="P716" s="693"/>
      <c r="Q716" s="694"/>
      <c r="R716" s="888"/>
      <c r="S716" s="802"/>
      <c r="T716" s="882"/>
      <c r="AB716" s="675"/>
      <c r="AC716" s="675"/>
      <c r="AD716" s="675"/>
      <c r="AE716" s="675"/>
      <c r="AF716" s="675"/>
      <c r="AG716" s="675"/>
      <c r="AH716" s="675"/>
      <c r="AI716" s="675"/>
      <c r="AJ716" s="675"/>
      <c r="AK716" s="675"/>
      <c r="AL716" s="675"/>
      <c r="AM716" s="675"/>
      <c r="AN716" s="675"/>
      <c r="AO716" s="675"/>
      <c r="AP716" s="675"/>
      <c r="AQ716" s="675"/>
      <c r="AR716" s="675"/>
      <c r="AS716" s="675"/>
      <c r="AT716" s="675"/>
      <c r="AU716" s="675"/>
      <c r="AV716" s="675"/>
      <c r="AZ716" s="669"/>
      <c r="BB716" s="669"/>
      <c r="BI716" s="661" t="s">
        <v>126</v>
      </c>
      <c r="BJ716" s="665"/>
      <c r="CU716" s="662"/>
      <c r="CW716" s="662"/>
      <c r="EV716" s="818" t="str">
        <f t="shared" si="351"/>
        <v/>
      </c>
      <c r="EW716" s="818"/>
    </row>
    <row r="717" spans="1:153" s="658" customFormat="1" ht="13.5" customHeight="1">
      <c r="A717" s="654" t="str">
        <f t="shared" ca="1" si="349"/>
        <v>D.1.717</v>
      </c>
      <c r="B717" s="654" t="str">
        <f t="shared" ca="1" si="350"/>
        <v>1.717</v>
      </c>
      <c r="C717" s="654" t="str">
        <f t="shared" si="379"/>
        <v>[717]</v>
      </c>
      <c r="D717" s="654">
        <f>ROW()</f>
        <v>717</v>
      </c>
      <c r="E717" s="1129" t="str">
        <f>BP717</f>
        <v>Zieleinfl.Handels-/Dienstleist.-Vol./Pers.auf KLIK</v>
      </c>
      <c r="F717" s="1129"/>
      <c r="G717" s="1129"/>
      <c r="H717" s="1129"/>
      <c r="I717" s="1129"/>
      <c r="J717" s="655" t="s">
        <v>38</v>
      </c>
      <c r="K717" s="605">
        <f ca="1">INDIRECT($W$1&amp;U717)</f>
        <v>100</v>
      </c>
      <c r="L717" s="697" t="str">
        <f ca="1">HYPERLINK($CK$1&amp;U717,$CE$1&amp;U717&amp;$CF$1)</f>
        <v>[718]</v>
      </c>
      <c r="M717" s="683">
        <f ca="1">INDIRECT($W$1&amp;W717)</f>
        <v>100</v>
      </c>
      <c r="N717" s="681" t="str">
        <f ca="1">HYPERLINK($CK$1&amp;W717,$CE$1&amp;W717&amp;$CF$1)</f>
        <v>[720]</v>
      </c>
      <c r="O717" s="869">
        <v>711</v>
      </c>
      <c r="P717" s="690"/>
      <c r="Q717" s="695"/>
      <c r="R717" s="852"/>
      <c r="S717" s="784"/>
      <c r="T717" s="864"/>
      <c r="U717" s="672">
        <f>D718</f>
        <v>718</v>
      </c>
      <c r="V717" s="905" t="s">
        <v>126</v>
      </c>
      <c r="W717" s="672">
        <f>D720</f>
        <v>720</v>
      </c>
      <c r="AB717" s="801"/>
      <c r="AC717" s="801"/>
      <c r="AD717" s="674"/>
      <c r="AE717" s="674"/>
      <c r="AF717" s="674"/>
      <c r="AG717" s="674"/>
      <c r="AH717" s="674"/>
      <c r="AI717" s="674"/>
      <c r="AJ717" s="674"/>
      <c r="AK717" s="674"/>
      <c r="AL717" s="674"/>
      <c r="AM717" s="674"/>
      <c r="AN717" s="674"/>
      <c r="AO717" s="674"/>
      <c r="AP717" s="674"/>
      <c r="AQ717" s="674"/>
      <c r="AR717" s="674"/>
      <c r="AS717" s="674"/>
      <c r="AT717" s="674"/>
      <c r="AU717" s="674"/>
      <c r="AV717" s="674"/>
      <c r="AX717" s="658" t="s">
        <v>244</v>
      </c>
      <c r="AY717" s="668">
        <f ca="1">DA717</f>
        <v>10.254559182513647</v>
      </c>
      <c r="AZ717" s="670" t="str">
        <f ca="1">HYPERLINK(DN717,DC717)</f>
        <v xml:space="preserve"> 235</v>
      </c>
      <c r="BA717" s="668">
        <f ca="1">DB717</f>
        <v>35</v>
      </c>
      <c r="BB717" s="670" t="str">
        <f ca="1">HYPERLINK(DO717,DD717)</f>
        <v xml:space="preserve"> 236</v>
      </c>
      <c r="BC717" s="658" t="str">
        <f ca="1">CY717&amp;" | "&amp;CZ717</f>
        <v>Brennstoffgew.
für Prozesse | 0</v>
      </c>
      <c r="BI717" s="658" t="s">
        <v>126</v>
      </c>
      <c r="BJ717" s="667" t="str">
        <f>E717</f>
        <v>Zieleinfl.Handels-/Dienstleist.-Vol./Pers.auf KLIK</v>
      </c>
      <c r="BK717" s="664">
        <f ca="1">K717</f>
        <v>100</v>
      </c>
      <c r="BL717" s="664">
        <f ca="1">M717</f>
        <v>100</v>
      </c>
      <c r="BM717" s="656">
        <f>D717</f>
        <v>717</v>
      </c>
      <c r="BO717" s="658" t="s">
        <v>251</v>
      </c>
      <c r="BP717" s="676" t="s">
        <v>723</v>
      </c>
      <c r="CU717" s="659"/>
      <c r="CW717" s="671">
        <v>61</v>
      </c>
      <c r="CY717" s="656" t="str">
        <f t="shared" ref="CY717:DO717" ca="1" si="380">INDIRECT($CX$1&amp;CY$1&amp;$CW717)</f>
        <v>Brennstoffgew.
für Prozesse</v>
      </c>
      <c r="CZ717" s="656">
        <f t="shared" ca="1" si="380"/>
        <v>0</v>
      </c>
      <c r="DA717" s="656">
        <f t="shared" ca="1" si="380"/>
        <v>10.254559182513647</v>
      </c>
      <c r="DB717" s="656">
        <f t="shared" ca="1" si="380"/>
        <v>35</v>
      </c>
      <c r="DC717" s="656" t="str">
        <f t="shared" ca="1" si="380"/>
        <v xml:space="preserve"> 235</v>
      </c>
      <c r="DD717" s="656" t="str">
        <f t="shared" ca="1" si="380"/>
        <v xml:space="preserve"> 236</v>
      </c>
      <c r="DE717" s="656" t="str">
        <f t="shared" ca="1" si="380"/>
        <v>Ho99</v>
      </c>
      <c r="DF717" s="656" t="str">
        <f t="shared" ca="1" si="380"/>
        <v>Ho36</v>
      </c>
      <c r="DG717" s="656" t="str">
        <f t="shared" ca="1" si="380"/>
        <v>Ho</v>
      </c>
      <c r="DH717" s="656" t="str">
        <f t="shared" ca="1" si="380"/>
        <v>99</v>
      </c>
      <c r="DI717" s="656" t="str">
        <f t="shared" ca="1" si="380"/>
        <v>[Ho.xls]TEXT!Z99S5</v>
      </c>
      <c r="DJ717" s="656" t="str">
        <f t="shared" ca="1" si="380"/>
        <v>Ho</v>
      </c>
      <c r="DK717" s="656" t="str">
        <f t="shared" ca="1" si="380"/>
        <v>36</v>
      </c>
      <c r="DL717" s="656" t="str">
        <f t="shared" ca="1" si="380"/>
        <v>[Ho.xls]TEXT!Z36S5</v>
      </c>
      <c r="DM717" s="656">
        <f t="shared" ca="1" si="380"/>
        <v>61</v>
      </c>
      <c r="DN717" s="656" t="str">
        <f t="shared" ca="1" si="380"/>
        <v>[Region.xls]PARAMETER!Z235S6</v>
      </c>
      <c r="DO717" s="656" t="str">
        <f t="shared" ca="1" si="380"/>
        <v>[Region.xls]PARAMETER!Z236S6</v>
      </c>
      <c r="DP717" s="656"/>
      <c r="DS717" s="656"/>
      <c r="DV717" s="656"/>
      <c r="DW717" s="656"/>
      <c r="DX717" s="656"/>
      <c r="DY717" s="656"/>
      <c r="DZ717" s="656"/>
      <c r="EA717" s="656"/>
      <c r="EB717" s="656"/>
      <c r="EC717" s="656"/>
      <c r="ED717" s="656"/>
      <c r="EE717" s="656"/>
      <c r="EF717" s="656"/>
      <c r="EG717" s="656"/>
      <c r="EH717" s="656"/>
      <c r="EI717" s="656"/>
      <c r="EJ717" s="656"/>
      <c r="EK717" s="656"/>
      <c r="EV717" s="819">
        <f t="shared" si="351"/>
        <v>717</v>
      </c>
      <c r="EW717" s="819"/>
    </row>
    <row r="718" spans="1:153" s="656" customFormat="1" ht="52">
      <c r="A718" s="654" t="str">
        <f t="shared" ca="1" si="349"/>
        <v>D.1.718</v>
      </c>
      <c r="B718" s="654" t="str">
        <f t="shared" ca="1" si="350"/>
        <v>1.718</v>
      </c>
      <c r="C718" s="654" t="str">
        <f t="shared" si="379"/>
        <v>[718]</v>
      </c>
      <c r="D718" s="654">
        <f>ROW()</f>
        <v>718</v>
      </c>
      <c r="E718" s="1130" t="str">
        <f>CU718</f>
        <v>- STATUS-Ansatz: Repräsentiert den Status des spezifischen Stromverbrauchs für Kraft, Licht, Informations- und Kommunikaionstechnologien, Kälte im Durchschnitt über alle Prozesse im Dienstleistungsbereich (kurz 'KLIK', Sektor 'Gewerbe/Handel/Dienstleistungen' ohne den gewerblichen Anteil). Dient als Referenz für den im Ziel durch wirtschaftliche Entwicklung veränderten Energiebedarf.</v>
      </c>
      <c r="F718" s="1130"/>
      <c r="G718" s="1130"/>
      <c r="H718" s="1130"/>
      <c r="I718" s="1130"/>
      <c r="J718" s="1130"/>
      <c r="K718" s="1130"/>
      <c r="L718" s="1130"/>
      <c r="M718" s="1130"/>
      <c r="N718" s="1131"/>
      <c r="O718" s="869">
        <v>712</v>
      </c>
      <c r="P718" s="691" t="str">
        <f ca="1">HYPERLINK(EK718,EJ718)</f>
        <v/>
      </c>
      <c r="Q718" s="692" t="str">
        <f>Y718</f>
        <v xml:space="preserve"> </v>
      </c>
      <c r="R718" s="852"/>
      <c r="S718" s="784"/>
      <c r="T718" s="864"/>
      <c r="U718" s="1023" t="s">
        <v>1038</v>
      </c>
      <c r="V718" s="905" t="s">
        <v>126</v>
      </c>
      <c r="W718" s="1095">
        <v>100</v>
      </c>
      <c r="X718" s="672"/>
      <c r="Y718" s="672" t="s">
        <v>126</v>
      </c>
      <c r="Z718" s="1025"/>
      <c r="AA718" s="658"/>
      <c r="AB718" s="801"/>
      <c r="AC718" s="801"/>
      <c r="AD718" s="801"/>
      <c r="AE718" s="801"/>
      <c r="AF718" s="801"/>
      <c r="AG718" s="801"/>
      <c r="AH718" s="801"/>
      <c r="AI718" s="801"/>
      <c r="AJ718" s="801"/>
      <c r="AK718" s="801"/>
      <c r="AL718" s="801"/>
      <c r="AM718" s="801"/>
      <c r="AN718" s="801"/>
      <c r="AO718" s="801"/>
      <c r="AP718" s="801"/>
      <c r="AQ718" s="801"/>
      <c r="AR718" s="801"/>
      <c r="AS718" s="801"/>
      <c r="AT718" s="801"/>
      <c r="AU718" s="801"/>
      <c r="AV718" s="801"/>
      <c r="AY718" s="656">
        <f ca="1">AY717/AY$246%</f>
        <v>14.091645358575692</v>
      </c>
      <c r="BA718" s="656">
        <f ca="1">BA717/BA$246%</f>
        <v>100</v>
      </c>
      <c r="BF718" s="657"/>
      <c r="BI718" s="656" t="s">
        <v>126</v>
      </c>
      <c r="BJ718" s="666"/>
      <c r="BO718" s="656" t="s">
        <v>259</v>
      </c>
      <c r="CU718" s="663" t="str">
        <f>CG$1&amp;IF(U718="",BF718,U718)</f>
        <v>- STATUS-Ansatz: Repräsentiert den Status des spezifischen Stromverbrauchs für Kraft, Licht, Informations- und Kommunikaionstechnologien, Kälte im Durchschnitt über alle Prozesse im Dienstleistungsbereich (kurz 'KLIK', Sektor 'Gewerbe/Handel/Dienstleistungen' ohne den gewerblichen Anteil). Dient als Referenz für den im Ziel durch wirtschaftliche Entwicklung veränderten Energiebedarf.</v>
      </c>
      <c r="CW718" s="663"/>
      <c r="DT718" s="671">
        <f>I_Basisdaten!A289</f>
        <v>0</v>
      </c>
      <c r="EJ718" s="656" t="str">
        <f>IF(X718=0,"",EJ$1&amp;X718)</f>
        <v/>
      </c>
      <c r="EK718" s="656" t="str">
        <f ca="1">EK$1&amp;X718</f>
        <v>[D_Python.xlsx]9.Quellen!C</v>
      </c>
      <c r="EV718" s="819">
        <f t="shared" si="351"/>
        <v>718</v>
      </c>
      <c r="EW718" s="819"/>
    </row>
    <row r="719" spans="1:153" s="661" customFormat="1" ht="4">
      <c r="A719" s="677" t="str">
        <f t="shared" ca="1" si="349"/>
        <v>D.1.719</v>
      </c>
      <c r="B719" s="677" t="str">
        <f t="shared" ca="1" si="350"/>
        <v>1.719</v>
      </c>
      <c r="C719" s="677" t="str">
        <f t="shared" si="379"/>
        <v>[719]</v>
      </c>
      <c r="D719" s="677">
        <f>ROW()</f>
        <v>719</v>
      </c>
      <c r="E719" s="680"/>
      <c r="F719" s="680"/>
      <c r="G719" s="680"/>
      <c r="H719" s="680"/>
      <c r="I719" s="679"/>
      <c r="J719" s="679"/>
      <c r="K719" s="679"/>
      <c r="L719" s="679"/>
      <c r="M719" s="679"/>
      <c r="N719" s="680"/>
      <c r="O719" s="871">
        <v>713</v>
      </c>
      <c r="P719" s="688"/>
      <c r="Q719" s="689"/>
      <c r="R719" s="888"/>
      <c r="S719" s="802"/>
      <c r="T719" s="882"/>
      <c r="W719" s="606"/>
      <c r="AB719" s="675"/>
      <c r="AC719" s="675"/>
      <c r="AD719" s="675"/>
      <c r="AE719" s="675"/>
      <c r="AF719" s="675"/>
      <c r="AG719" s="675"/>
      <c r="AH719" s="675"/>
      <c r="AI719" s="675"/>
      <c r="AJ719" s="675"/>
      <c r="AK719" s="675"/>
      <c r="AL719" s="675"/>
      <c r="AM719" s="675"/>
      <c r="AN719" s="675"/>
      <c r="AO719" s="675"/>
      <c r="AP719" s="675"/>
      <c r="AQ719" s="675"/>
      <c r="AR719" s="675"/>
      <c r="AS719" s="675"/>
      <c r="AT719" s="675"/>
      <c r="AU719" s="675"/>
      <c r="AV719" s="675"/>
      <c r="BI719" s="661" t="s">
        <v>126</v>
      </c>
      <c r="BJ719" s="665"/>
      <c r="CU719" s="662"/>
      <c r="CW719" s="662"/>
      <c r="EV719" s="818" t="str">
        <f t="shared" si="351"/>
        <v/>
      </c>
      <c r="EW719" s="818"/>
    </row>
    <row r="720" spans="1:153" s="656" customFormat="1" ht="26">
      <c r="A720" s="654" t="str">
        <f t="shared" ca="1" si="349"/>
        <v>D.1.720</v>
      </c>
      <c r="B720" s="654" t="str">
        <f t="shared" ca="1" si="350"/>
        <v>1.720</v>
      </c>
      <c r="C720" s="654" t="str">
        <f t="shared" si="379"/>
        <v>[720]</v>
      </c>
      <c r="D720" s="654">
        <f>ROW()</f>
        <v>720</v>
      </c>
      <c r="E720" s="1125" t="str">
        <f t="shared" ref="E720" si="381">CU720</f>
        <v>- ZIEL-Ansatz: Es wird angenommen, dass die wirtschaftliche Entwicklung im Handels-/Dienstleistungssektor sich proportional auf den Stromverbrauch in diesem Bereich auswirkt.</v>
      </c>
      <c r="F720" s="1125"/>
      <c r="G720" s="1125"/>
      <c r="H720" s="1125"/>
      <c r="I720" s="1125"/>
      <c r="J720" s="1125"/>
      <c r="K720" s="1125"/>
      <c r="L720" s="1125"/>
      <c r="M720" s="1125"/>
      <c r="N720" s="1125"/>
      <c r="O720" s="869">
        <v>714</v>
      </c>
      <c r="P720" s="691" t="str">
        <f ca="1">HYPERLINK(EK720,EJ720)</f>
        <v/>
      </c>
      <c r="Q720" s="692" t="str">
        <f>Y720</f>
        <v xml:space="preserve"> </v>
      </c>
      <c r="R720" s="852"/>
      <c r="S720" s="784"/>
      <c r="T720" s="864"/>
      <c r="U720" s="1023" t="str">
        <f>"Es wird angenommen, dass die wirtschaftliche Entwicklung im Handels-/Dienstleistungssektor sich proportional auf den Stromverbrauch in diesem Bereich auswirkt."</f>
        <v>Es wird angenommen, dass die wirtschaftliche Entwicklung im Handels-/Dienstleistungssektor sich proportional auf den Stromverbrauch in diesem Bereich auswirkt.</v>
      </c>
      <c r="V720" s="905" t="s">
        <v>126</v>
      </c>
      <c r="W720" s="778">
        <v>100</v>
      </c>
      <c r="X720" s="672"/>
      <c r="Y720" s="672" t="s">
        <v>126</v>
      </c>
      <c r="Z720" s="1025"/>
      <c r="AA720" s="905"/>
      <c r="AB720" s="801"/>
      <c r="AC720" s="1020"/>
      <c r="AD720" s="801"/>
      <c r="AE720" s="801"/>
      <c r="AF720" s="801"/>
      <c r="AG720" s="801"/>
      <c r="AH720" s="801"/>
      <c r="AI720" s="801"/>
      <c r="AJ720" s="801"/>
      <c r="AK720" s="801"/>
      <c r="AL720" s="801"/>
      <c r="AM720" s="801"/>
      <c r="AN720" s="801"/>
      <c r="AO720" s="801"/>
      <c r="AP720" s="801"/>
      <c r="AQ720" s="801"/>
      <c r="AR720" s="801"/>
      <c r="AS720" s="801"/>
      <c r="AT720" s="801"/>
      <c r="AU720" s="801"/>
      <c r="AV720" s="801"/>
      <c r="BF720" s="657"/>
      <c r="BI720" s="656" t="s">
        <v>126</v>
      </c>
      <c r="BJ720" s="666"/>
      <c r="BO720" s="656" t="s">
        <v>259</v>
      </c>
      <c r="CU720" s="663" t="str">
        <f>CH$1&amp;IF(U720="",BF720,U720)</f>
        <v>- ZIEL-Ansatz: Es wird angenommen, dass die wirtschaftliche Entwicklung im Handels-/Dienstleistungssektor sich proportional auf den Stromverbrauch in diesem Bereich auswirkt.</v>
      </c>
      <c r="CW720" s="663"/>
      <c r="DT720" s="671">
        <v>53</v>
      </c>
      <c r="EJ720" s="656" t="str">
        <f>IF(X720=0,"",EJ$1&amp;X720)</f>
        <v/>
      </c>
      <c r="EK720" s="656" t="str">
        <f ca="1">EK$1&amp;X720</f>
        <v>[D_Python.xlsx]9.Quellen!C</v>
      </c>
      <c r="EV720" s="819">
        <f t="shared" si="351"/>
        <v>720</v>
      </c>
      <c r="EW720" s="819"/>
    </row>
    <row r="721" spans="1:153" s="478" customFormat="1" ht="4">
      <c r="A721" s="677" t="str">
        <f t="shared" ca="1" si="349"/>
        <v>D.1.721</v>
      </c>
      <c r="B721" s="677" t="str">
        <f t="shared" ca="1" si="350"/>
        <v>1.721</v>
      </c>
      <c r="C721" s="677" t="str">
        <f t="shared" si="376"/>
        <v>[721]</v>
      </c>
      <c r="D721" s="677">
        <f>ROW()</f>
        <v>721</v>
      </c>
      <c r="E721" s="548"/>
      <c r="F721" s="548"/>
      <c r="G721" s="548"/>
      <c r="H721" s="548"/>
      <c r="I721" s="549"/>
      <c r="J721" s="549"/>
      <c r="K721" s="549"/>
      <c r="L721" s="549"/>
      <c r="M721" s="549"/>
      <c r="N721" s="548"/>
      <c r="O721" s="871">
        <v>715</v>
      </c>
      <c r="P721" s="575"/>
      <c r="Q721" s="576"/>
      <c r="R721" s="888"/>
      <c r="S721" s="802"/>
      <c r="T721" s="882"/>
      <c r="U721" s="661"/>
      <c r="V721" s="661"/>
      <c r="W721" s="661"/>
      <c r="X721" s="661"/>
      <c r="Y721" s="661"/>
      <c r="Z721" s="661"/>
      <c r="AA721" s="661"/>
      <c r="AB721" s="675"/>
      <c r="AC721" s="675"/>
      <c r="AD721" s="675"/>
      <c r="AE721" s="675"/>
      <c r="AF721" s="675"/>
      <c r="AG721" s="675"/>
      <c r="AH721" s="675"/>
      <c r="AI721" s="675"/>
      <c r="AJ721" s="675"/>
      <c r="AK721" s="675"/>
      <c r="AL721" s="675"/>
      <c r="AM721" s="675"/>
      <c r="AN721" s="675"/>
      <c r="AO721" s="675"/>
      <c r="AP721" s="675"/>
      <c r="AQ721" s="675"/>
      <c r="AR721" s="675"/>
      <c r="AS721" s="675"/>
      <c r="AT721" s="675"/>
      <c r="AU721" s="675"/>
      <c r="AV721" s="675"/>
      <c r="AZ721" s="505"/>
      <c r="BB721" s="505"/>
      <c r="BI721" s="478" t="s">
        <v>126</v>
      </c>
      <c r="BJ721" s="489"/>
      <c r="BN721" s="661"/>
      <c r="CU721" s="479"/>
      <c r="CV721" s="661"/>
      <c r="CW721" s="479"/>
      <c r="DS721" s="661"/>
      <c r="EV721" s="818" t="str">
        <f t="shared" si="351"/>
        <v/>
      </c>
      <c r="EW721" s="818"/>
    </row>
    <row r="722" spans="1:153" s="475" customFormat="1" ht="13.5" customHeight="1">
      <c r="A722" s="654" t="str">
        <f t="shared" ca="1" si="349"/>
        <v>D.1.722</v>
      </c>
      <c r="B722" s="654" t="str">
        <f t="shared" ca="1" si="350"/>
        <v>1.722</v>
      </c>
      <c r="C722" s="654" t="str">
        <f t="shared" si="376"/>
        <v>[722]</v>
      </c>
      <c r="D722" s="654">
        <f>ROW()</f>
        <v>722</v>
      </c>
      <c r="E722" s="1129" t="str">
        <f>BP722</f>
        <v>Zieleinfluss Prozess-Effizienz Dienstleist. auf KLIK</v>
      </c>
      <c r="F722" s="1129"/>
      <c r="G722" s="1129"/>
      <c r="H722" s="1129"/>
      <c r="I722" s="1129"/>
      <c r="J722" s="471" t="s">
        <v>38</v>
      </c>
      <c r="K722" s="605">
        <f ca="1">INDIRECT($W$1&amp;U722)</f>
        <v>100</v>
      </c>
      <c r="L722" s="597" t="str">
        <f ca="1">HYPERLINK($CK$1&amp;U722,$CE$1&amp;U722&amp;$CF$1)</f>
        <v>[723]</v>
      </c>
      <c r="M722" s="545">
        <f ca="1">INDIRECT($W$1&amp;W722)</f>
        <v>73</v>
      </c>
      <c r="N722" s="533" t="str">
        <f ca="1">HYPERLINK($CK$1&amp;W722,$CE$1&amp;W722&amp;$CF$1)</f>
        <v>[725]</v>
      </c>
      <c r="O722" s="869">
        <v>716</v>
      </c>
      <c r="P722" s="570"/>
      <c r="Q722" s="583"/>
      <c r="R722" s="852"/>
      <c r="S722" s="784"/>
      <c r="T722" s="864"/>
      <c r="U722" s="672">
        <f>D723</f>
        <v>723</v>
      </c>
      <c r="V722" s="905" t="s">
        <v>126</v>
      </c>
      <c r="W722" s="672">
        <f>D725</f>
        <v>725</v>
      </c>
      <c r="X722" s="658"/>
      <c r="Y722" s="658"/>
      <c r="Z722" s="658"/>
      <c r="AA722" s="658"/>
      <c r="AB722" s="801"/>
      <c r="AC722" s="801"/>
      <c r="AD722" s="674"/>
      <c r="AE722" s="674"/>
      <c r="AF722" s="674"/>
      <c r="AG722" s="674"/>
      <c r="AH722" s="674"/>
      <c r="AI722" s="674"/>
      <c r="AJ722" s="674"/>
      <c r="AK722" s="674"/>
      <c r="AL722" s="674"/>
      <c r="AM722" s="674"/>
      <c r="AN722" s="674"/>
      <c r="AO722" s="674"/>
      <c r="AP722" s="674"/>
      <c r="AQ722" s="674"/>
      <c r="AR722" s="674"/>
      <c r="AS722" s="674"/>
      <c r="AT722" s="674"/>
      <c r="AU722" s="674"/>
      <c r="AV722" s="674"/>
      <c r="AX722" s="475" t="s">
        <v>244</v>
      </c>
      <c r="AY722" s="500">
        <f ca="1">DA722</f>
        <v>10.254559182513647</v>
      </c>
      <c r="AZ722" s="508" t="str">
        <f ca="1">HYPERLINK(DN722,DC722)</f>
        <v xml:space="preserve"> 235</v>
      </c>
      <c r="BA722" s="500">
        <f ca="1">DB722</f>
        <v>35</v>
      </c>
      <c r="BB722" s="508" t="str">
        <f ca="1">HYPERLINK(DO722,DD722)</f>
        <v xml:space="preserve"> 236</v>
      </c>
      <c r="BC722" s="475" t="str">
        <f ca="1">CY722&amp;" | "&amp;CZ722</f>
        <v>Brennstoffgew.
für Prozesse | 0</v>
      </c>
      <c r="BI722" s="475" t="s">
        <v>126</v>
      </c>
      <c r="BJ722" s="492" t="str">
        <f>E722</f>
        <v>Zieleinfluss Prozess-Effizienz Dienstleist. auf KLIK</v>
      </c>
      <c r="BK722" s="486">
        <f ca="1">K722</f>
        <v>100</v>
      </c>
      <c r="BL722" s="486">
        <f ca="1">M722</f>
        <v>73</v>
      </c>
      <c r="BM722" s="472">
        <f>D722</f>
        <v>722</v>
      </c>
      <c r="BN722" s="658"/>
      <c r="BO722" s="475" t="s">
        <v>251</v>
      </c>
      <c r="BP722" s="521" t="s">
        <v>494</v>
      </c>
      <c r="CU722" s="476"/>
      <c r="CV722" s="658"/>
      <c r="CW722" s="518">
        <v>61</v>
      </c>
      <c r="CY722" s="472" t="str">
        <f t="shared" ref="CY722:DO722" ca="1" si="382">INDIRECT($CX$1&amp;CY$1&amp;$CW722)</f>
        <v>Brennstoffgew.
für Prozesse</v>
      </c>
      <c r="CZ722" s="472">
        <f t="shared" ca="1" si="382"/>
        <v>0</v>
      </c>
      <c r="DA722" s="472">
        <f t="shared" ca="1" si="382"/>
        <v>10.254559182513647</v>
      </c>
      <c r="DB722" s="472">
        <f t="shared" ca="1" si="382"/>
        <v>35</v>
      </c>
      <c r="DC722" s="472" t="str">
        <f t="shared" ca="1" si="382"/>
        <v xml:space="preserve"> 235</v>
      </c>
      <c r="DD722" s="472" t="str">
        <f t="shared" ca="1" si="382"/>
        <v xml:space="preserve"> 236</v>
      </c>
      <c r="DE722" s="472" t="str">
        <f t="shared" ca="1" si="382"/>
        <v>Ho99</v>
      </c>
      <c r="DF722" s="472" t="str">
        <f t="shared" ca="1" si="382"/>
        <v>Ho36</v>
      </c>
      <c r="DG722" s="472" t="str">
        <f t="shared" ca="1" si="382"/>
        <v>Ho</v>
      </c>
      <c r="DH722" s="472" t="str">
        <f t="shared" ca="1" si="382"/>
        <v>99</v>
      </c>
      <c r="DI722" s="472" t="str">
        <f t="shared" ca="1" si="382"/>
        <v>[Ho.xls]TEXT!Z99S5</v>
      </c>
      <c r="DJ722" s="472" t="str">
        <f t="shared" ca="1" si="382"/>
        <v>Ho</v>
      </c>
      <c r="DK722" s="472" t="str">
        <f t="shared" ca="1" si="382"/>
        <v>36</v>
      </c>
      <c r="DL722" s="472" t="str">
        <f t="shared" ca="1" si="382"/>
        <v>[Ho.xls]TEXT!Z36S5</v>
      </c>
      <c r="DM722" s="472">
        <f t="shared" ca="1" si="382"/>
        <v>61</v>
      </c>
      <c r="DN722" s="472" t="str">
        <f t="shared" ca="1" si="382"/>
        <v>[Region.xls]PARAMETER!Z235S6</v>
      </c>
      <c r="DO722" s="472" t="str">
        <f t="shared" ca="1" si="382"/>
        <v>[Region.xls]PARAMETER!Z236S6</v>
      </c>
      <c r="DP722" s="472"/>
      <c r="DS722" s="656"/>
      <c r="DV722" s="472"/>
      <c r="DW722" s="472"/>
      <c r="DX722" s="472"/>
      <c r="DY722" s="472"/>
      <c r="DZ722" s="472"/>
      <c r="EA722" s="472"/>
      <c r="EB722" s="472"/>
      <c r="EC722" s="472"/>
      <c r="ED722" s="472"/>
      <c r="EE722" s="472"/>
      <c r="EF722" s="472"/>
      <c r="EG722" s="472"/>
      <c r="EH722" s="472"/>
      <c r="EI722" s="472"/>
      <c r="EJ722" s="472"/>
      <c r="EK722" s="472"/>
      <c r="EV722" s="819">
        <f t="shared" si="351"/>
        <v>722</v>
      </c>
      <c r="EW722" s="819"/>
    </row>
    <row r="723" spans="1:153" s="472" customFormat="1" ht="52">
      <c r="A723" s="654" t="str">
        <f t="shared" ca="1" si="349"/>
        <v>D.1.723</v>
      </c>
      <c r="B723" s="654" t="str">
        <f t="shared" ca="1" si="350"/>
        <v>1.723</v>
      </c>
      <c r="C723" s="654" t="str">
        <f t="shared" si="376"/>
        <v>[723]</v>
      </c>
      <c r="D723" s="654">
        <f>ROW()</f>
        <v>723</v>
      </c>
      <c r="E723" s="1130" t="str">
        <f>CU723</f>
        <v>- STATUS-Ansatz: Repräsentiert den Status des spezifischen Stromverbrauchs  für Kraft, Licht, Informations- und Kommunikaionstechnologien, Kälte im Durchschnitt über alle Prozesse im Dienstleistungsbereich (kurz 'KLIK', Sektor 'Gewerbe/Handel/Dienstleistungen' ohne den gewerblichen Anteil). Dient als Referenz für den im Ziel durch Effizienzsteigerung gesenkten Energiebedarf bei gleichem Leistungsumfang.</v>
      </c>
      <c r="F723" s="1130"/>
      <c r="G723" s="1130"/>
      <c r="H723" s="1130"/>
      <c r="I723" s="1130"/>
      <c r="J723" s="1130"/>
      <c r="K723" s="1130"/>
      <c r="L723" s="1130"/>
      <c r="M723" s="1130"/>
      <c r="N723" s="1131"/>
      <c r="O723" s="869">
        <v>717</v>
      </c>
      <c r="P723" s="573" t="str">
        <f ca="1">HYPERLINK(EK723,EJ723)</f>
        <v/>
      </c>
      <c r="Q723" s="574" t="str">
        <f>Y723</f>
        <v xml:space="preserve"> </v>
      </c>
      <c r="R723" s="852"/>
      <c r="S723" s="784"/>
      <c r="T723" s="864"/>
      <c r="U723" s="1023" t="s">
        <v>1039</v>
      </c>
      <c r="V723" s="905" t="s">
        <v>126</v>
      </c>
      <c r="W723" s="1095">
        <v>100</v>
      </c>
      <c r="X723" s="672"/>
      <c r="Y723" s="672" t="s">
        <v>126</v>
      </c>
      <c r="Z723" s="1025"/>
      <c r="AA723" s="658"/>
      <c r="AB723" s="801"/>
      <c r="AC723" s="801"/>
      <c r="AD723" s="801"/>
      <c r="AE723" s="801"/>
      <c r="AF723" s="801"/>
      <c r="AG723" s="801"/>
      <c r="AH723" s="801"/>
      <c r="AI723" s="801"/>
      <c r="AJ723" s="801"/>
      <c r="AK723" s="801"/>
      <c r="AL723" s="801"/>
      <c r="AM723" s="801"/>
      <c r="AN723" s="801"/>
      <c r="AO723" s="801"/>
      <c r="AP723" s="801"/>
      <c r="AQ723" s="801"/>
      <c r="AR723" s="801"/>
      <c r="AS723" s="801"/>
      <c r="AT723" s="801"/>
      <c r="AU723" s="801"/>
      <c r="AV723" s="801"/>
      <c r="AY723" s="472">
        <f ca="1">AY722/AY$246%</f>
        <v>14.091645358575692</v>
      </c>
      <c r="BA723" s="472">
        <f ca="1">BA722/BA$246%</f>
        <v>100</v>
      </c>
      <c r="BF723" s="473"/>
      <c r="BI723" s="472" t="s">
        <v>126</v>
      </c>
      <c r="BJ723" s="490"/>
      <c r="BN723" s="656"/>
      <c r="BO723" s="472" t="s">
        <v>259</v>
      </c>
      <c r="CU723" s="480" t="str">
        <f>CG$1&amp;IF(U723="",BF723,U723)</f>
        <v>- STATUS-Ansatz: Repräsentiert den Status des spezifischen Stromverbrauchs  für Kraft, Licht, Informations- und Kommunikaionstechnologien, Kälte im Durchschnitt über alle Prozesse im Dienstleistungsbereich (kurz 'KLIK', Sektor 'Gewerbe/Handel/Dienstleistungen' ohne den gewerblichen Anteil). Dient als Referenz für den im Ziel durch Effizienzsteigerung gesenkten Energiebedarf bei gleichem Leistungsumfang.</v>
      </c>
      <c r="CV723" s="656"/>
      <c r="CW723" s="480"/>
      <c r="DS723" s="656"/>
      <c r="DT723" s="518">
        <f>I_Basisdaten!A295</f>
        <v>0</v>
      </c>
      <c r="EJ723" s="472" t="str">
        <f>IF(X723=0,"",EJ$1&amp;X723)</f>
        <v/>
      </c>
      <c r="EK723" s="472" t="str">
        <f ca="1">EK$1&amp;X723</f>
        <v>[D_Python.xlsx]9.Quellen!C</v>
      </c>
      <c r="EV723" s="819">
        <f t="shared" si="351"/>
        <v>723</v>
      </c>
      <c r="EW723" s="819"/>
    </row>
    <row r="724" spans="1:153" s="478" customFormat="1" ht="4">
      <c r="A724" s="677" t="str">
        <f t="shared" ca="1" si="349"/>
        <v>D.1.724</v>
      </c>
      <c r="B724" s="677" t="str">
        <f t="shared" ca="1" si="350"/>
        <v>1.724</v>
      </c>
      <c r="C724" s="677" t="str">
        <f t="shared" si="376"/>
        <v>[724]</v>
      </c>
      <c r="D724" s="677">
        <f>ROW()</f>
        <v>724</v>
      </c>
      <c r="E724" s="528"/>
      <c r="F724" s="528"/>
      <c r="G724" s="528"/>
      <c r="H724" s="528"/>
      <c r="I724" s="527"/>
      <c r="J724" s="527"/>
      <c r="K724" s="527"/>
      <c r="L724" s="527"/>
      <c r="M724" s="527"/>
      <c r="N724" s="528"/>
      <c r="O724" s="871">
        <v>718</v>
      </c>
      <c r="P724" s="566"/>
      <c r="Q724" s="567"/>
      <c r="R724" s="888"/>
      <c r="S724" s="802"/>
      <c r="T724" s="882"/>
      <c r="U724" s="661"/>
      <c r="V724" s="661"/>
      <c r="W724" s="606"/>
      <c r="X724" s="661"/>
      <c r="Y724" s="661"/>
      <c r="Z724" s="661"/>
      <c r="AA724" s="661"/>
      <c r="AB724" s="675"/>
      <c r="AC724" s="675"/>
      <c r="AD724" s="675"/>
      <c r="AE724" s="675"/>
      <c r="AF724" s="675"/>
      <c r="AG724" s="675"/>
      <c r="AH724" s="675"/>
      <c r="AI724" s="675"/>
      <c r="AJ724" s="675"/>
      <c r="AK724" s="675"/>
      <c r="AL724" s="675"/>
      <c r="AM724" s="675"/>
      <c r="AN724" s="675"/>
      <c r="AO724" s="675"/>
      <c r="AP724" s="675"/>
      <c r="AQ724" s="675"/>
      <c r="AR724" s="675"/>
      <c r="AS724" s="675"/>
      <c r="AT724" s="675"/>
      <c r="AU724" s="675"/>
      <c r="AV724" s="675"/>
      <c r="BI724" s="478" t="s">
        <v>126</v>
      </c>
      <c r="BJ724" s="489"/>
      <c r="BN724" s="661"/>
      <c r="CU724" s="479"/>
      <c r="CV724" s="661"/>
      <c r="CW724" s="479"/>
      <c r="DS724" s="661"/>
      <c r="EV724" s="818" t="str">
        <f t="shared" si="351"/>
        <v/>
      </c>
      <c r="EW724" s="818"/>
    </row>
    <row r="725" spans="1:153" s="472" customFormat="1" ht="12.75" customHeight="1">
      <c r="A725" s="654" t="str">
        <f t="shared" ca="1" si="349"/>
        <v>D.1.725</v>
      </c>
      <c r="B725" s="654" t="str">
        <f t="shared" ca="1" si="350"/>
        <v>1.725</v>
      </c>
      <c r="C725" s="654" t="str">
        <f t="shared" si="376"/>
        <v>[725]</v>
      </c>
      <c r="D725" s="654">
        <f>ROW()</f>
        <v>725</v>
      </c>
      <c r="E725" s="1125" t="str">
        <f t="shared" ref="E725" ca="1" si="383">CU725</f>
        <v>- ZIEL-Ansatz: Orientiert an den Ergebnissen einer Studie des VDE [9.255], aufbereitet in [9.208], Absatz Ba72.</v>
      </c>
      <c r="F725" s="1125"/>
      <c r="G725" s="1125"/>
      <c r="H725" s="1125"/>
      <c r="I725" s="1125"/>
      <c r="J725" s="1125"/>
      <c r="K725" s="1125"/>
      <c r="L725" s="1125"/>
      <c r="M725" s="1125"/>
      <c r="N725" s="1125"/>
      <c r="O725" s="869">
        <v>719</v>
      </c>
      <c r="P725" s="573" t="str">
        <f ca="1">HYPERLINK(EK725,EJ725)</f>
        <v>9.255</v>
      </c>
      <c r="Q725" s="574" t="str">
        <f>Y725</f>
        <v>S. 38</v>
      </c>
      <c r="R725" s="852"/>
      <c r="S725" s="784"/>
      <c r="T725" s="864"/>
      <c r="U725" s="1023" t="str">
        <f ca="1">"Orientiert an den Ergebnissen einer Studie des "&amp;'9.Quellen'!E255&amp;" ["&amp;P725&amp;"], aufbereitet in ["&amp;P726&amp;"], Absatz "&amp;Q726&amp;"."</f>
        <v>Orientiert an den Ergebnissen einer Studie des VDE [9.255], aufbereitet in [9.208], Absatz Ba72.</v>
      </c>
      <c r="V725" s="905" t="s">
        <v>126</v>
      </c>
      <c r="W725" s="1095">
        <v>73</v>
      </c>
      <c r="X725" s="672">
        <f>'9.Quellen'!C255</f>
        <v>255</v>
      </c>
      <c r="Y725" s="672" t="s">
        <v>359</v>
      </c>
      <c r="Z725" s="1025"/>
      <c r="AA725" s="905"/>
      <c r="AB725" s="801"/>
      <c r="AC725" s="801"/>
      <c r="AD725" s="801"/>
      <c r="AE725" s="801"/>
      <c r="AF725" s="801"/>
      <c r="AG725" s="801"/>
      <c r="AH725" s="801"/>
      <c r="AI725" s="801"/>
      <c r="AJ725" s="801"/>
      <c r="AK725" s="801"/>
      <c r="AL725" s="801"/>
      <c r="AM725" s="801"/>
      <c r="AN725" s="801"/>
      <c r="AO725" s="801"/>
      <c r="AP725" s="801"/>
      <c r="AQ725" s="801"/>
      <c r="AR725" s="801"/>
      <c r="AS725" s="801"/>
      <c r="AT725" s="801"/>
      <c r="AU725" s="801"/>
      <c r="AV725" s="801"/>
      <c r="BF725" s="473"/>
      <c r="BI725" s="472" t="s">
        <v>126</v>
      </c>
      <c r="BJ725" s="490"/>
      <c r="BN725" s="656"/>
      <c r="BO725" s="472" t="s">
        <v>259</v>
      </c>
      <c r="CU725" s="480" t="str">
        <f ca="1">CH$1&amp;IF(U725="",BF725,U725)</f>
        <v>- ZIEL-Ansatz: Orientiert an den Ergebnissen einer Studie des VDE [9.255], aufbereitet in [9.208], Absatz Ba72.</v>
      </c>
      <c r="CV725" s="656"/>
      <c r="CW725" s="480"/>
      <c r="DS725" s="656"/>
      <c r="DT725" s="518">
        <v>53</v>
      </c>
      <c r="EJ725" s="472" t="str">
        <f ca="1">IF(X725=0,"",EJ$1&amp;X725)</f>
        <v>9.255</v>
      </c>
      <c r="EK725" s="472" t="str">
        <f ca="1">EK$1&amp;X725</f>
        <v>[D_Python.xlsx]9.Quellen!C255</v>
      </c>
      <c r="EV725" s="819">
        <f t="shared" ca="1" si="351"/>
        <v>725</v>
      </c>
      <c r="EW725" s="819"/>
    </row>
    <row r="726" spans="1:153" s="472" customFormat="1">
      <c r="A726" s="654" t="str">
        <f t="shared" ca="1" si="349"/>
        <v>D.1.726</v>
      </c>
      <c r="B726" s="654" t="str">
        <f t="shared" ca="1" si="350"/>
        <v>1.726</v>
      </c>
      <c r="C726" s="654" t="str">
        <f t="shared" si="376"/>
        <v>[726]</v>
      </c>
      <c r="D726" s="654">
        <f>ROW()</f>
        <v>726</v>
      </c>
      <c r="E726" s="1149"/>
      <c r="F726" s="1149"/>
      <c r="G726" s="1149"/>
      <c r="H726" s="1149"/>
      <c r="I726" s="1149"/>
      <c r="J726" s="1149"/>
      <c r="K726" s="1149"/>
      <c r="L726" s="1149"/>
      <c r="M726" s="1149"/>
      <c r="N726" s="1149"/>
      <c r="O726" s="869">
        <v>720</v>
      </c>
      <c r="P726" s="573" t="str">
        <f ca="1">HYPERLINK(EK726,EJ726)</f>
        <v>9.208</v>
      </c>
      <c r="Q726" s="574" t="str">
        <f>Y726</f>
        <v>Ba72</v>
      </c>
      <c r="R726" s="852"/>
      <c r="S726" s="784"/>
      <c r="T726" s="864"/>
      <c r="U726" s="1033"/>
      <c r="V726" s="905" t="s">
        <v>126</v>
      </c>
      <c r="W726" s="1024"/>
      <c r="X726" s="672">
        <f>'9.Quellen'!C208</f>
        <v>208</v>
      </c>
      <c r="Y726" s="672" t="s">
        <v>520</v>
      </c>
      <c r="Z726" s="1025"/>
      <c r="AA726" s="905"/>
      <c r="AB726" s="801"/>
      <c r="AC726" s="801"/>
      <c r="AD726" s="801"/>
      <c r="AE726" s="801"/>
      <c r="AF726" s="801"/>
      <c r="AG726" s="801"/>
      <c r="AH726" s="801"/>
      <c r="AI726" s="801"/>
      <c r="AJ726" s="801"/>
      <c r="AK726" s="801"/>
      <c r="AL726" s="801"/>
      <c r="AM726" s="801"/>
      <c r="AN726" s="801"/>
      <c r="AO726" s="801"/>
      <c r="AP726" s="801"/>
      <c r="AQ726" s="801"/>
      <c r="AR726" s="801"/>
      <c r="AS726" s="801"/>
      <c r="AT726" s="801"/>
      <c r="AU726" s="801"/>
      <c r="AV726" s="801"/>
      <c r="BF726" s="473"/>
      <c r="BI726" s="472" t="s">
        <v>126</v>
      </c>
      <c r="BJ726" s="490"/>
      <c r="BN726" s="656"/>
      <c r="BO726" s="472" t="s">
        <v>252</v>
      </c>
      <c r="CU726" s="480">
        <f>IF(U726="",BF726,U726)</f>
        <v>0</v>
      </c>
      <c r="CV726" s="656"/>
      <c r="CW726" s="480"/>
      <c r="DS726" s="656"/>
      <c r="DT726" s="518"/>
      <c r="EJ726" s="472" t="str">
        <f ca="1">IF(X726=0,"",EJ$1&amp;X726)</f>
        <v>9.208</v>
      </c>
      <c r="EK726" s="472" t="str">
        <f ca="1">EK$1&amp;X726</f>
        <v>[D_Python.xlsx]9.Quellen!C208</v>
      </c>
      <c r="EV726" s="819" t="str">
        <f t="shared" si="351"/>
        <v/>
      </c>
      <c r="EW726" s="819"/>
    </row>
    <row r="727" spans="1:153" s="478" customFormat="1" ht="4">
      <c r="A727" s="677" t="str">
        <f t="shared" ref="A727:A790" ca="1" si="384">BT$1&amp;D727</f>
        <v>D.1.727</v>
      </c>
      <c r="B727" s="677" t="str">
        <f t="shared" ref="B727:B790" ca="1" si="385">BW$1&amp;D727</f>
        <v>1.727</v>
      </c>
      <c r="C727" s="677" t="str">
        <f t="shared" si="376"/>
        <v>[727]</v>
      </c>
      <c r="D727" s="677">
        <f>ROW()</f>
        <v>727</v>
      </c>
      <c r="E727" s="548"/>
      <c r="F727" s="548"/>
      <c r="G727" s="548"/>
      <c r="H727" s="548"/>
      <c r="I727" s="549"/>
      <c r="J727" s="549"/>
      <c r="K727" s="549"/>
      <c r="L727" s="549"/>
      <c r="M727" s="549"/>
      <c r="N727" s="548"/>
      <c r="O727" s="871">
        <v>721</v>
      </c>
      <c r="P727" s="575"/>
      <c r="Q727" s="576"/>
      <c r="R727" s="888"/>
      <c r="S727" s="802"/>
      <c r="T727" s="882"/>
      <c r="U727" s="661"/>
      <c r="V727" s="661"/>
      <c r="W727" s="661"/>
      <c r="X727" s="661"/>
      <c r="Y727" s="661"/>
      <c r="Z727" s="661"/>
      <c r="AA727" s="661"/>
      <c r="AB727" s="675"/>
      <c r="AC727" s="675"/>
      <c r="AD727" s="675"/>
      <c r="AE727" s="675"/>
      <c r="AF727" s="675"/>
      <c r="AG727" s="675"/>
      <c r="AH727" s="675"/>
      <c r="AI727" s="675"/>
      <c r="AJ727" s="675"/>
      <c r="AK727" s="675"/>
      <c r="AL727" s="675"/>
      <c r="AM727" s="675"/>
      <c r="AN727" s="675"/>
      <c r="AO727" s="675"/>
      <c r="AP727" s="675"/>
      <c r="AQ727" s="675"/>
      <c r="AR727" s="675"/>
      <c r="AS727" s="675"/>
      <c r="AT727" s="675"/>
      <c r="AU727" s="675"/>
      <c r="AV727" s="675"/>
      <c r="AZ727" s="505"/>
      <c r="BB727" s="505"/>
      <c r="BI727" s="478" t="s">
        <v>126</v>
      </c>
      <c r="BJ727" s="489"/>
      <c r="BN727" s="661"/>
      <c r="CU727" s="479"/>
      <c r="CV727" s="661"/>
      <c r="CW727" s="479"/>
      <c r="DS727" s="661"/>
      <c r="EV727" s="818" t="str">
        <f t="shared" ref="EV727:EV790" si="386">IF(U727&amp;BP727="","",D727)</f>
        <v/>
      </c>
      <c r="EW727" s="818"/>
    </row>
    <row r="728" spans="1:153" s="475" customFormat="1" ht="13.5" customHeight="1">
      <c r="A728" s="654" t="str">
        <f t="shared" ca="1" si="384"/>
        <v>D.1.728</v>
      </c>
      <c r="B728" s="654" t="str">
        <f t="shared" ca="1" si="385"/>
        <v>1.728</v>
      </c>
      <c r="C728" s="654" t="str">
        <f t="shared" si="376"/>
        <v>[728]</v>
      </c>
      <c r="D728" s="654">
        <f>ROW()</f>
        <v>728</v>
      </c>
      <c r="E728" s="1129" t="str">
        <f>BP728</f>
        <v>Anteil Industrie + produzierendes Gewerbe an KLIK</v>
      </c>
      <c r="F728" s="1129"/>
      <c r="G728" s="1129"/>
      <c r="H728" s="1129"/>
      <c r="I728" s="1129"/>
      <c r="J728" s="471" t="s">
        <v>38</v>
      </c>
      <c r="K728" s="605">
        <f ca="1">INDIRECT($W$1&amp;U728)</f>
        <v>53.354956415974044</v>
      </c>
      <c r="L728" s="597" t="str">
        <f ca="1">HYPERLINK($CK$1&amp;U728,$CE$1&amp;U728&amp;$CF$1)</f>
        <v>[729]</v>
      </c>
      <c r="M728" s="545">
        <f ca="1">INDIRECT($W$1&amp;W728)</f>
        <v>53.354956415974044</v>
      </c>
      <c r="N728" s="533" t="str">
        <f ca="1">HYPERLINK($CK$1&amp;W728,$CE$1&amp;W728&amp;$CF$1)</f>
        <v>[731]</v>
      </c>
      <c r="O728" s="869">
        <v>722</v>
      </c>
      <c r="P728" s="570"/>
      <c r="Q728" s="583"/>
      <c r="R728" s="852"/>
      <c r="S728" s="784"/>
      <c r="T728" s="864"/>
      <c r="U728" s="672">
        <f>D729</f>
        <v>729</v>
      </c>
      <c r="V728" s="905" t="s">
        <v>126</v>
      </c>
      <c r="W728" s="672">
        <f>D731</f>
        <v>731</v>
      </c>
      <c r="X728" s="658"/>
      <c r="Y728" s="658"/>
      <c r="Z728" s="658"/>
      <c r="AA728" s="658"/>
      <c r="AB728" s="801"/>
      <c r="AC728" s="801"/>
      <c r="AD728" s="674"/>
      <c r="AE728" s="674"/>
      <c r="AF728" s="674"/>
      <c r="AG728" s="674"/>
      <c r="AH728" s="674"/>
      <c r="AI728" s="674"/>
      <c r="AJ728" s="674"/>
      <c r="AK728" s="674"/>
      <c r="AL728" s="674"/>
      <c r="AM728" s="674"/>
      <c r="AN728" s="674"/>
      <c r="AO728" s="674"/>
      <c r="AP728" s="674"/>
      <c r="AQ728" s="674"/>
      <c r="AR728" s="674"/>
      <c r="AS728" s="674"/>
      <c r="AT728" s="674"/>
      <c r="AU728" s="674"/>
      <c r="AV728" s="674"/>
      <c r="AX728" s="475" t="s">
        <v>244</v>
      </c>
      <c r="AY728" s="500">
        <f ca="1">DA728</f>
        <v>10.254559182513647</v>
      </c>
      <c r="AZ728" s="508" t="str">
        <f ca="1">HYPERLINK(DN728,DC728)</f>
        <v xml:space="preserve"> 235</v>
      </c>
      <c r="BA728" s="500">
        <f ca="1">DB728</f>
        <v>35</v>
      </c>
      <c r="BB728" s="508" t="str">
        <f ca="1">HYPERLINK(DO728,DD728)</f>
        <v xml:space="preserve"> 236</v>
      </c>
      <c r="BC728" s="475" t="str">
        <f ca="1">CY728&amp;" | "&amp;CZ728</f>
        <v>Brennstoffgew.
für Prozesse | 0</v>
      </c>
      <c r="BI728" s="475" t="s">
        <v>126</v>
      </c>
      <c r="BJ728" s="492" t="str">
        <f>E728</f>
        <v>Anteil Industrie + produzierendes Gewerbe an KLIK</v>
      </c>
      <c r="BK728" s="486">
        <f ca="1">K728</f>
        <v>53.354956415974044</v>
      </c>
      <c r="BL728" s="486">
        <f ca="1">M728</f>
        <v>53.354956415974044</v>
      </c>
      <c r="BM728" s="472">
        <f>D728</f>
        <v>728</v>
      </c>
      <c r="BN728" s="658"/>
      <c r="BO728" s="475" t="s">
        <v>251</v>
      </c>
      <c r="BP728" s="521" t="s">
        <v>509</v>
      </c>
      <c r="CU728" s="476"/>
      <c r="CV728" s="658"/>
      <c r="CW728" s="518">
        <v>61</v>
      </c>
      <c r="CY728" s="472" t="str">
        <f t="shared" ref="CY728:DO728" ca="1" si="387">INDIRECT($CX$1&amp;CY$1&amp;$CW728)</f>
        <v>Brennstoffgew.
für Prozesse</v>
      </c>
      <c r="CZ728" s="472">
        <f t="shared" ca="1" si="387"/>
        <v>0</v>
      </c>
      <c r="DA728" s="472">
        <f t="shared" ca="1" si="387"/>
        <v>10.254559182513647</v>
      </c>
      <c r="DB728" s="472">
        <f t="shared" ca="1" si="387"/>
        <v>35</v>
      </c>
      <c r="DC728" s="472" t="str">
        <f t="shared" ca="1" si="387"/>
        <v xml:space="preserve"> 235</v>
      </c>
      <c r="DD728" s="472" t="str">
        <f t="shared" ca="1" si="387"/>
        <v xml:space="preserve"> 236</v>
      </c>
      <c r="DE728" s="472" t="str">
        <f t="shared" ca="1" si="387"/>
        <v>Ho99</v>
      </c>
      <c r="DF728" s="472" t="str">
        <f t="shared" ca="1" si="387"/>
        <v>Ho36</v>
      </c>
      <c r="DG728" s="472" t="str">
        <f t="shared" ca="1" si="387"/>
        <v>Ho</v>
      </c>
      <c r="DH728" s="472" t="str">
        <f t="shared" ca="1" si="387"/>
        <v>99</v>
      </c>
      <c r="DI728" s="472" t="str">
        <f t="shared" ca="1" si="387"/>
        <v>[Ho.xls]TEXT!Z99S5</v>
      </c>
      <c r="DJ728" s="472" t="str">
        <f t="shared" ca="1" si="387"/>
        <v>Ho</v>
      </c>
      <c r="DK728" s="472" t="str">
        <f t="shared" ca="1" si="387"/>
        <v>36</v>
      </c>
      <c r="DL728" s="472" t="str">
        <f t="shared" ca="1" si="387"/>
        <v>[Ho.xls]TEXT!Z36S5</v>
      </c>
      <c r="DM728" s="472">
        <f t="shared" ca="1" si="387"/>
        <v>61</v>
      </c>
      <c r="DN728" s="472" t="str">
        <f t="shared" ca="1" si="387"/>
        <v>[Region.xls]PARAMETER!Z235S6</v>
      </c>
      <c r="DO728" s="472" t="str">
        <f t="shared" ca="1" si="387"/>
        <v>[Region.xls]PARAMETER!Z236S6</v>
      </c>
      <c r="DP728" s="472"/>
      <c r="DS728" s="656"/>
      <c r="DV728" s="472"/>
      <c r="DW728" s="472"/>
      <c r="DX728" s="472"/>
      <c r="DY728" s="472"/>
      <c r="DZ728" s="472"/>
      <c r="EA728" s="472"/>
      <c r="EB728" s="472"/>
      <c r="EC728" s="472"/>
      <c r="ED728" s="472"/>
      <c r="EE728" s="472"/>
      <c r="EF728" s="472"/>
      <c r="EG728" s="472"/>
      <c r="EH728" s="472"/>
      <c r="EI728" s="472"/>
      <c r="EJ728" s="472"/>
      <c r="EK728" s="472"/>
      <c r="EV728" s="819">
        <f t="shared" si="386"/>
        <v>728</v>
      </c>
      <c r="EW728" s="819"/>
    </row>
    <row r="729" spans="1:153" s="472" customFormat="1" ht="65">
      <c r="A729" s="654" t="str">
        <f t="shared" ca="1" si="384"/>
        <v>D.1.729</v>
      </c>
      <c r="B729" s="654" t="str">
        <f t="shared" ca="1" si="385"/>
        <v>1.729</v>
      </c>
      <c r="C729" s="654" t="str">
        <f t="shared" si="376"/>
        <v>[729]</v>
      </c>
      <c r="D729" s="654">
        <f>ROW()</f>
        <v>729</v>
      </c>
      <c r="E729" s="1130" t="str">
        <f ca="1">CU729</f>
        <v>- STATUS-Ansatz: Endenergieverbrauch der elektrischen Geräte im Sektor Industrie plus Gewerbeanteil im Sektor Gewerbe/Handel/Dienstleistungen für Kraft=Mechanische Energie, Licht=Beleuchtung, Informations-/Kommunikations-Technolgien, Kälte (kurz 'KLIK', Geräte für Gebäudewärme- und Prozesswärme-Bereitstellung sind unter GW bzw. PW gefasst und bleiben hier ausgespart). Gemäß Arbeitsgemeinschaft Energiebilanzen [9.28] für das Jahr 2012, Aufbereitung siehe [7.92].</v>
      </c>
      <c r="F729" s="1130"/>
      <c r="G729" s="1130"/>
      <c r="H729" s="1130"/>
      <c r="I729" s="1130"/>
      <c r="J729" s="1130"/>
      <c r="K729" s="1130"/>
      <c r="L729" s="1130"/>
      <c r="M729" s="1130"/>
      <c r="N729" s="1131"/>
      <c r="O729" s="869">
        <v>723</v>
      </c>
      <c r="P729" s="573" t="str">
        <f ca="1">HYPERLINK(EK729,EJ729)</f>
        <v>9.28</v>
      </c>
      <c r="Q729" s="646" t="str">
        <f ca="1">IF(Y729="&gt;",HYPERLINK(EO729,EN729),Y729)</f>
        <v>7.92</v>
      </c>
      <c r="R729" s="852"/>
      <c r="S729" s="784"/>
      <c r="T729" s="864"/>
      <c r="U729" s="1023" t="str">
        <f ca="1">"Endenergieverbrauch der elektrischen Geräte im Sektor Industrie plus Gewerbeanteil im Sektor Gewerbe/Handel/Dienstleistungen für Kraft=Mechanische Energie, Licht=Beleuchtung, Informations-/Kommunikations-Technolgien, "&amp;"Kälte (kurz 'KLIK', Geräte für Gebäudewärme- und Prozesswärme-Bereitstellung sind unter GW bzw. PW gefasst und bleiben hier ausgespart). Gemäß Arbeitsgemeinschaft Energiebilanzen ["&amp;P729&amp;"] für das Jahr 2012, Aufbereitung siehe ["&amp;Q729&amp;"]."</f>
        <v>Endenergieverbrauch der elektrischen Geräte im Sektor Industrie plus Gewerbeanteil im Sektor Gewerbe/Handel/Dienstleistungen für Kraft=Mechanische Energie, Licht=Beleuchtung, Informations-/Kommunikations-Technolgien, Kälte (kurz 'KLIK', Geräte für Gebäudewärme- und Prozesswärme-Bereitstellung sind unter GW bzw. PW gefasst und bleiben hier ausgespart). Gemäß Arbeitsgemeinschaft Energiebilanzen [9.28] für das Jahr 2012, Aufbereitung siehe [7.92].</v>
      </c>
      <c r="V729" s="905" t="s">
        <v>126</v>
      </c>
      <c r="W729" s="1096">
        <f>'7.VerbrauchStatus'!H92</f>
        <v>53.354956415974044</v>
      </c>
      <c r="X729" s="672">
        <f>'9.Quellen'!C$28</f>
        <v>28</v>
      </c>
      <c r="Y729" s="672" t="s">
        <v>479</v>
      </c>
      <c r="Z729" s="672">
        <f>'7.VerbrauchStatus'!D92</f>
        <v>92</v>
      </c>
      <c r="AA729" s="658"/>
      <c r="AB729" s="801"/>
      <c r="AC729" s="801"/>
      <c r="AD729" s="801"/>
      <c r="AE729" s="801"/>
      <c r="AF729" s="801"/>
      <c r="AG729" s="801"/>
      <c r="AH729" s="801"/>
      <c r="AI729" s="801"/>
      <c r="AJ729" s="801"/>
      <c r="AK729" s="801"/>
      <c r="AL729" s="801"/>
      <c r="AM729" s="801"/>
      <c r="AN729" s="801"/>
      <c r="AO729" s="801"/>
      <c r="AP729" s="801"/>
      <c r="AQ729" s="801"/>
      <c r="AR729" s="801"/>
      <c r="AS729" s="801"/>
      <c r="AT729" s="801"/>
      <c r="AU729" s="801"/>
      <c r="AV729" s="801"/>
      <c r="AY729" s="472">
        <f ca="1">AY728/AY$246%</f>
        <v>14.091645358575692</v>
      </c>
      <c r="BA729" s="472">
        <f ca="1">BA728/BA$246%</f>
        <v>100</v>
      </c>
      <c r="BF729" s="473"/>
      <c r="BI729" s="472" t="s">
        <v>126</v>
      </c>
      <c r="BJ729" s="490"/>
      <c r="BN729" s="656"/>
      <c r="BO729" s="472" t="s">
        <v>259</v>
      </c>
      <c r="CU729" s="480" t="str">
        <f ca="1">CG$1&amp;IF(U729="",BF729,U729)</f>
        <v>- STATUS-Ansatz: Endenergieverbrauch der elektrischen Geräte im Sektor Industrie plus Gewerbeanteil im Sektor Gewerbe/Handel/Dienstleistungen für Kraft=Mechanische Energie, Licht=Beleuchtung, Informations-/Kommunikations-Technolgien, Kälte (kurz 'KLIK', Geräte für Gebäudewärme- und Prozesswärme-Bereitstellung sind unter GW bzw. PW gefasst und bleiben hier ausgespart). Gemäß Arbeitsgemeinschaft Energiebilanzen [9.28] für das Jahr 2012, Aufbereitung siehe [7.92].</v>
      </c>
      <c r="CV729" s="656"/>
      <c r="CW729" s="480"/>
      <c r="DS729" s="656"/>
      <c r="DT729" s="518">
        <f>I_Basisdaten!A306</f>
        <v>0</v>
      </c>
      <c r="EJ729" s="472" t="str">
        <f ca="1">IF(X729=0,"",EJ$1&amp;X729)</f>
        <v>9.28</v>
      </c>
      <c r="EK729" s="472" t="str">
        <f ca="1">EK$1&amp;X729</f>
        <v>[D_Python.xlsx]9.Quellen!C28</v>
      </c>
      <c r="EN729" s="472" t="str">
        <f ca="1">IF(Z729=0,"",EN$1&amp;Z729)</f>
        <v>7.92</v>
      </c>
      <c r="EO729" s="472" t="str">
        <f ca="1">EO$1&amp;Z729</f>
        <v>[D_Python.xlsx]7.VerbrauchStatus!D92</v>
      </c>
      <c r="EV729" s="819">
        <f t="shared" ca="1" si="386"/>
        <v>729</v>
      </c>
      <c r="EW729" s="819"/>
    </row>
    <row r="730" spans="1:153" s="478" customFormat="1" ht="4">
      <c r="A730" s="677" t="str">
        <f t="shared" ca="1" si="384"/>
        <v>D.1.730</v>
      </c>
      <c r="B730" s="677" t="str">
        <f t="shared" ca="1" si="385"/>
        <v>1.730</v>
      </c>
      <c r="C730" s="677" t="str">
        <f t="shared" si="376"/>
        <v>[730]</v>
      </c>
      <c r="D730" s="677">
        <f>ROW()</f>
        <v>730</v>
      </c>
      <c r="E730" s="528"/>
      <c r="F730" s="528"/>
      <c r="G730" s="528"/>
      <c r="H730" s="528"/>
      <c r="I730" s="527"/>
      <c r="J730" s="527"/>
      <c r="K730" s="527"/>
      <c r="L730" s="527"/>
      <c r="M730" s="527"/>
      <c r="N730" s="528"/>
      <c r="O730" s="871">
        <v>724</v>
      </c>
      <c r="P730" s="566"/>
      <c r="Q730" s="567"/>
      <c r="R730" s="888"/>
      <c r="S730" s="802"/>
      <c r="T730" s="882"/>
      <c r="U730" s="661"/>
      <c r="V730" s="661"/>
      <c r="W730" s="606"/>
      <c r="X730" s="661"/>
      <c r="Y730" s="661"/>
      <c r="Z730" s="661"/>
      <c r="AA730" s="661"/>
      <c r="AB730" s="675"/>
      <c r="AC730" s="675"/>
      <c r="AD730" s="675"/>
      <c r="AE730" s="675"/>
      <c r="AF730" s="675"/>
      <c r="AG730" s="675"/>
      <c r="AH730" s="675"/>
      <c r="AI730" s="675"/>
      <c r="AJ730" s="675"/>
      <c r="AK730" s="675"/>
      <c r="AL730" s="675"/>
      <c r="AM730" s="675"/>
      <c r="AN730" s="675"/>
      <c r="AO730" s="675"/>
      <c r="AP730" s="675"/>
      <c r="AQ730" s="675"/>
      <c r="AR730" s="675"/>
      <c r="AS730" s="675"/>
      <c r="AT730" s="675"/>
      <c r="AU730" s="675"/>
      <c r="AV730" s="675"/>
      <c r="BI730" s="478" t="s">
        <v>126</v>
      </c>
      <c r="BJ730" s="489"/>
      <c r="BN730" s="661"/>
      <c r="CU730" s="479"/>
      <c r="CV730" s="661"/>
      <c r="CW730" s="479"/>
      <c r="DS730" s="661"/>
      <c r="EV730" s="818" t="str">
        <f t="shared" si="386"/>
        <v/>
      </c>
      <c r="EW730" s="818"/>
    </row>
    <row r="731" spans="1:153" s="472" customFormat="1" ht="39">
      <c r="A731" s="654" t="str">
        <f t="shared" ca="1" si="384"/>
        <v>D.1.731</v>
      </c>
      <c r="B731" s="654" t="str">
        <f t="shared" ca="1" si="385"/>
        <v>1.731</v>
      </c>
      <c r="C731" s="654" t="str">
        <f t="shared" si="376"/>
        <v>[731]</v>
      </c>
      <c r="D731" s="654">
        <f>ROW()</f>
        <v>731</v>
      </c>
      <c r="E731" s="1125" t="str">
        <f t="shared" ref="E731" si="388">CU731</f>
        <v>- ZIEL-Ansatz: Dient als Berechnungsgrundlage für das (fiktive) künftige Bedarfsniveau im Anwendungsbereich Prozesswärme im Sektor Industrie, das sich ohne Volumen-, Effizienz-und Energiemix-Änderungen einstellen würde. Der Status-Ansatz wird methodisch bedingt unverändert übernommen.</v>
      </c>
      <c r="F731" s="1125"/>
      <c r="G731" s="1125"/>
      <c r="H731" s="1125"/>
      <c r="I731" s="1125"/>
      <c r="J731" s="1125"/>
      <c r="K731" s="1125"/>
      <c r="L731" s="1125"/>
      <c r="M731" s="1125"/>
      <c r="N731" s="1132"/>
      <c r="O731" s="869">
        <v>725</v>
      </c>
      <c r="P731" s="573" t="str">
        <f ca="1">HYPERLINK(EK731,EJ731)</f>
        <v/>
      </c>
      <c r="Q731" s="574" t="str">
        <f>Y731</f>
        <v xml:space="preserve"> </v>
      </c>
      <c r="R731" s="852"/>
      <c r="S731" s="784"/>
      <c r="T731" s="864"/>
      <c r="U731" s="1023" t="s">
        <v>780</v>
      </c>
      <c r="V731" s="905" t="s">
        <v>126</v>
      </c>
      <c r="W731" s="1096">
        <f>W729</f>
        <v>53.354956415974044</v>
      </c>
      <c r="X731" s="672"/>
      <c r="Y731" s="672" t="s">
        <v>126</v>
      </c>
      <c r="Z731" s="1025"/>
      <c r="AA731" s="905"/>
      <c r="AB731" s="801"/>
      <c r="AC731" s="801"/>
      <c r="AD731" s="801"/>
      <c r="AE731" s="801"/>
      <c r="AF731" s="801"/>
      <c r="AG731" s="801"/>
      <c r="AH731" s="801"/>
      <c r="AI731" s="801"/>
      <c r="AJ731" s="801"/>
      <c r="AK731" s="801"/>
      <c r="AL731" s="801"/>
      <c r="AM731" s="801"/>
      <c r="AN731" s="801"/>
      <c r="AO731" s="801"/>
      <c r="AP731" s="801"/>
      <c r="AQ731" s="801"/>
      <c r="AR731" s="801"/>
      <c r="AS731" s="801"/>
      <c r="AT731" s="801"/>
      <c r="AU731" s="801"/>
      <c r="AV731" s="801"/>
      <c r="BF731" s="473"/>
      <c r="BI731" s="472" t="s">
        <v>126</v>
      </c>
      <c r="BJ731" s="490"/>
      <c r="BN731" s="656"/>
      <c r="BO731" s="472" t="s">
        <v>259</v>
      </c>
      <c r="CU731" s="480" t="str">
        <f>CH$1&amp;IF(U731="",BF731,U731)</f>
        <v>- ZIEL-Ansatz: Dient als Berechnungsgrundlage für das (fiktive) künftige Bedarfsniveau im Anwendungsbereich Prozesswärme im Sektor Industrie, das sich ohne Volumen-, Effizienz-und Energiemix-Änderungen einstellen würde. Der Status-Ansatz wird methodisch bedingt unverändert übernommen.</v>
      </c>
      <c r="CV731" s="656"/>
      <c r="CW731" s="480"/>
      <c r="DS731" s="656"/>
      <c r="DT731" s="518">
        <v>53</v>
      </c>
      <c r="EJ731" s="472" t="str">
        <f>IF(X731=0,"",EJ$1&amp;X731)</f>
        <v/>
      </c>
      <c r="EK731" s="472" t="str">
        <f ca="1">EK$1&amp;X731</f>
        <v>[D_Python.xlsx]9.Quellen!C</v>
      </c>
      <c r="EV731" s="819">
        <f t="shared" si="386"/>
        <v>731</v>
      </c>
      <c r="EW731" s="819"/>
    </row>
    <row r="732" spans="1:153" s="661" customFormat="1" ht="4">
      <c r="A732" s="677" t="str">
        <f t="shared" ca="1" si="384"/>
        <v>D.1.732</v>
      </c>
      <c r="B732" s="677" t="str">
        <f t="shared" ca="1" si="385"/>
        <v>1.732</v>
      </c>
      <c r="C732" s="677" t="str">
        <f t="shared" si="376"/>
        <v>[732]</v>
      </c>
      <c r="D732" s="677">
        <f>ROW()</f>
        <v>732</v>
      </c>
      <c r="E732" s="685"/>
      <c r="F732" s="685"/>
      <c r="G732" s="685"/>
      <c r="H732" s="685"/>
      <c r="I732" s="686"/>
      <c r="J732" s="686"/>
      <c r="K732" s="686"/>
      <c r="L732" s="686"/>
      <c r="M732" s="686"/>
      <c r="N732" s="685"/>
      <c r="O732" s="871">
        <v>726</v>
      </c>
      <c r="P732" s="693"/>
      <c r="Q732" s="694"/>
      <c r="R732" s="888"/>
      <c r="S732" s="802"/>
      <c r="T732" s="882"/>
      <c r="AB732" s="675"/>
      <c r="AC732" s="675"/>
      <c r="AD732" s="675"/>
      <c r="AE732" s="675"/>
      <c r="AF732" s="675"/>
      <c r="AG732" s="675"/>
      <c r="AH732" s="675"/>
      <c r="AI732" s="675"/>
      <c r="AJ732" s="675"/>
      <c r="AK732" s="675"/>
      <c r="AL732" s="675"/>
      <c r="AM732" s="675"/>
      <c r="AN732" s="675"/>
      <c r="AO732" s="675"/>
      <c r="AP732" s="675"/>
      <c r="AQ732" s="675"/>
      <c r="AR732" s="675"/>
      <c r="AS732" s="675"/>
      <c r="AT732" s="675"/>
      <c r="AU732" s="675"/>
      <c r="AV732" s="675"/>
      <c r="AZ732" s="669"/>
      <c r="BB732" s="669"/>
      <c r="BI732" s="661" t="s">
        <v>126</v>
      </c>
      <c r="BJ732" s="665"/>
      <c r="CU732" s="662"/>
      <c r="CW732" s="662"/>
      <c r="EV732" s="818" t="str">
        <f t="shared" si="386"/>
        <v/>
      </c>
      <c r="EW732" s="818"/>
    </row>
    <row r="733" spans="1:153" s="658" customFormat="1" ht="13.5" customHeight="1">
      <c r="A733" s="654" t="str">
        <f t="shared" ca="1" si="384"/>
        <v>D.1.733</v>
      </c>
      <c r="B733" s="654" t="str">
        <f t="shared" ca="1" si="385"/>
        <v>1.733</v>
      </c>
      <c r="C733" s="654" t="str">
        <f t="shared" si="376"/>
        <v>[733]</v>
      </c>
      <c r="D733" s="654">
        <f>ROW()</f>
        <v>733</v>
      </c>
      <c r="E733" s="1129" t="str">
        <f>BP733</f>
        <v>Zieleinfl.Materialdurchsatz/Pers.auf KLIK</v>
      </c>
      <c r="F733" s="1129"/>
      <c r="G733" s="1129"/>
      <c r="H733" s="1129"/>
      <c r="I733" s="1129"/>
      <c r="J733" s="655" t="s">
        <v>38</v>
      </c>
      <c r="K733" s="605">
        <f ca="1">INDIRECT($W$1&amp;U733)</f>
        <v>100</v>
      </c>
      <c r="L733" s="697" t="str">
        <f ca="1">HYPERLINK($CK$1&amp;U733,$CE$1&amp;U733&amp;$CF$1)</f>
        <v>[734]</v>
      </c>
      <c r="M733" s="683">
        <f ca="1">INDIRECT($W$1&amp;W733)</f>
        <v>100</v>
      </c>
      <c r="N733" s="681" t="str">
        <f ca="1">HYPERLINK($CK$1&amp;W733,$CE$1&amp;W733&amp;$CF$1)</f>
        <v>[736]</v>
      </c>
      <c r="O733" s="869">
        <v>727</v>
      </c>
      <c r="P733" s="690"/>
      <c r="Q733" s="695"/>
      <c r="R733" s="852"/>
      <c r="S733" s="784"/>
      <c r="T733" s="864"/>
      <c r="U733" s="672">
        <f>D734</f>
        <v>734</v>
      </c>
      <c r="V733" s="905" t="s">
        <v>126</v>
      </c>
      <c r="W733" s="672">
        <f>D736</f>
        <v>736</v>
      </c>
      <c r="AB733" s="801"/>
      <c r="AC733" s="801"/>
      <c r="AD733" s="674"/>
      <c r="AE733" s="674"/>
      <c r="AF733" s="674"/>
      <c r="AG733" s="674"/>
      <c r="AH733" s="674"/>
      <c r="AI733" s="674"/>
      <c r="AJ733" s="674"/>
      <c r="AK733" s="674"/>
      <c r="AL733" s="674"/>
      <c r="AM733" s="674"/>
      <c r="AN733" s="674"/>
      <c r="AO733" s="674"/>
      <c r="AP733" s="674"/>
      <c r="AQ733" s="674"/>
      <c r="AR733" s="674"/>
      <c r="AS733" s="674"/>
      <c r="AT733" s="674"/>
      <c r="AU733" s="674"/>
      <c r="AV733" s="674"/>
      <c r="AX733" s="658" t="s">
        <v>244</v>
      </c>
      <c r="AY733" s="668">
        <f ca="1">DA733</f>
        <v>10.254559182513647</v>
      </c>
      <c r="AZ733" s="670" t="str">
        <f ca="1">HYPERLINK(DN733,DC733)</f>
        <v xml:space="preserve"> 235</v>
      </c>
      <c r="BA733" s="668">
        <f ca="1">DB733</f>
        <v>35</v>
      </c>
      <c r="BB733" s="670" t="str">
        <f ca="1">HYPERLINK(DO733,DD733)</f>
        <v xml:space="preserve"> 236</v>
      </c>
      <c r="BC733" s="658" t="str">
        <f ca="1">CY733&amp;" | "&amp;CZ733</f>
        <v>Brennstoffgew.
für Prozesse | 0</v>
      </c>
      <c r="BI733" s="658" t="s">
        <v>126</v>
      </c>
      <c r="BJ733" s="667" t="str">
        <f>E733</f>
        <v>Zieleinfl.Materialdurchsatz/Pers.auf KLIK</v>
      </c>
      <c r="BK733" s="664">
        <f ca="1">K733</f>
        <v>100</v>
      </c>
      <c r="BL733" s="664">
        <f ca="1">M733</f>
        <v>100</v>
      </c>
      <c r="BM733" s="656">
        <f>D733</f>
        <v>733</v>
      </c>
      <c r="BO733" s="658" t="s">
        <v>251</v>
      </c>
      <c r="BP733" s="676" t="s">
        <v>724</v>
      </c>
      <c r="CU733" s="659"/>
      <c r="CW733" s="671">
        <v>61</v>
      </c>
      <c r="CY733" s="656" t="str">
        <f t="shared" ref="CY733:DO733" ca="1" si="389">INDIRECT($CX$1&amp;CY$1&amp;$CW733)</f>
        <v>Brennstoffgew.
für Prozesse</v>
      </c>
      <c r="CZ733" s="656">
        <f t="shared" ca="1" si="389"/>
        <v>0</v>
      </c>
      <c r="DA733" s="656">
        <f t="shared" ca="1" si="389"/>
        <v>10.254559182513647</v>
      </c>
      <c r="DB733" s="656">
        <f t="shared" ca="1" si="389"/>
        <v>35</v>
      </c>
      <c r="DC733" s="656" t="str">
        <f t="shared" ca="1" si="389"/>
        <v xml:space="preserve"> 235</v>
      </c>
      <c r="DD733" s="656" t="str">
        <f t="shared" ca="1" si="389"/>
        <v xml:space="preserve"> 236</v>
      </c>
      <c r="DE733" s="656" t="str">
        <f t="shared" ca="1" si="389"/>
        <v>Ho99</v>
      </c>
      <c r="DF733" s="656" t="str">
        <f t="shared" ca="1" si="389"/>
        <v>Ho36</v>
      </c>
      <c r="DG733" s="656" t="str">
        <f t="shared" ca="1" si="389"/>
        <v>Ho</v>
      </c>
      <c r="DH733" s="656" t="str">
        <f t="shared" ca="1" si="389"/>
        <v>99</v>
      </c>
      <c r="DI733" s="656" t="str">
        <f t="shared" ca="1" si="389"/>
        <v>[Ho.xls]TEXT!Z99S5</v>
      </c>
      <c r="DJ733" s="656" t="str">
        <f t="shared" ca="1" si="389"/>
        <v>Ho</v>
      </c>
      <c r="DK733" s="656" t="str">
        <f t="shared" ca="1" si="389"/>
        <v>36</v>
      </c>
      <c r="DL733" s="656" t="str">
        <f t="shared" ca="1" si="389"/>
        <v>[Ho.xls]TEXT!Z36S5</v>
      </c>
      <c r="DM733" s="656">
        <f t="shared" ca="1" si="389"/>
        <v>61</v>
      </c>
      <c r="DN733" s="656" t="str">
        <f t="shared" ca="1" si="389"/>
        <v>[Region.xls]PARAMETER!Z235S6</v>
      </c>
      <c r="DO733" s="656" t="str">
        <f t="shared" ca="1" si="389"/>
        <v>[Region.xls]PARAMETER!Z236S6</v>
      </c>
      <c r="DP733" s="656"/>
      <c r="DS733" s="656"/>
      <c r="DV733" s="656"/>
      <c r="DW733" s="656"/>
      <c r="DX733" s="656"/>
      <c r="DY733" s="656"/>
      <c r="DZ733" s="656"/>
      <c r="EA733" s="656"/>
      <c r="EB733" s="656"/>
      <c r="EC733" s="656"/>
      <c r="ED733" s="656"/>
      <c r="EE733" s="656"/>
      <c r="EF733" s="656"/>
      <c r="EG733" s="656"/>
      <c r="EH733" s="656"/>
      <c r="EI733" s="656"/>
      <c r="EJ733" s="656"/>
      <c r="EK733" s="656"/>
      <c r="EV733" s="819">
        <f t="shared" si="386"/>
        <v>733</v>
      </c>
      <c r="EW733" s="819"/>
    </row>
    <row r="734" spans="1:153" s="656" customFormat="1" ht="52">
      <c r="A734" s="654" t="str">
        <f t="shared" ca="1" si="384"/>
        <v>D.1.734</v>
      </c>
      <c r="B734" s="654" t="str">
        <f t="shared" ca="1" si="385"/>
        <v>1.734</v>
      </c>
      <c r="C734" s="654" t="str">
        <f t="shared" si="376"/>
        <v>[734]</v>
      </c>
      <c r="D734" s="654">
        <f>ROW()</f>
        <v>734</v>
      </c>
      <c r="E734" s="1130" t="str">
        <f>CU734</f>
        <v>- STATUS-Ansatz: Repräsentiert den Status des spezifischen Stromverbrauchs für Kraft, Licht, Informations- und Kommunikaionstechnologien, Kälte im Durchschnitt über alle Prozesse im produzierenden Gewerbe (kurz 'KLIK', Sektoren Industrie einschließlich Baugewerbe als Teil des Sektors 'Gewerbe/Handel/Dienstleistungen'). Dient als Referenz für den im Ziel durch wirtschaftliche Entwicklung veränderten Energiebedarf.</v>
      </c>
      <c r="F734" s="1130"/>
      <c r="G734" s="1130"/>
      <c r="H734" s="1130"/>
      <c r="I734" s="1130"/>
      <c r="J734" s="1130"/>
      <c r="K734" s="1130"/>
      <c r="L734" s="1130"/>
      <c r="M734" s="1130"/>
      <c r="N734" s="1131"/>
      <c r="O734" s="869">
        <v>728</v>
      </c>
      <c r="P734" s="691" t="str">
        <f ca="1">HYPERLINK(EK734,EJ734)</f>
        <v/>
      </c>
      <c r="Q734" s="692" t="str">
        <f>Y734</f>
        <v xml:space="preserve"> </v>
      </c>
      <c r="R734" s="852"/>
      <c r="S734" s="784"/>
      <c r="T734" s="864"/>
      <c r="U734" s="1023" t="s">
        <v>1040</v>
      </c>
      <c r="V734" s="905" t="s">
        <v>126</v>
      </c>
      <c r="W734" s="1096">
        <v>100</v>
      </c>
      <c r="X734" s="672"/>
      <c r="Y734" s="672" t="s">
        <v>126</v>
      </c>
      <c r="Z734" s="1025"/>
      <c r="AA734" s="658"/>
      <c r="AB734" s="801"/>
      <c r="AC734" s="801"/>
      <c r="AD734" s="801"/>
      <c r="AE734" s="801"/>
      <c r="AF734" s="801"/>
      <c r="AG734" s="801"/>
      <c r="AH734" s="801"/>
      <c r="AI734" s="801"/>
      <c r="AJ734" s="801"/>
      <c r="AK734" s="801"/>
      <c r="AL734" s="801"/>
      <c r="AM734" s="801"/>
      <c r="AN734" s="801"/>
      <c r="AO734" s="801"/>
      <c r="AP734" s="801"/>
      <c r="AQ734" s="801"/>
      <c r="AR734" s="801"/>
      <c r="AS734" s="801"/>
      <c r="AT734" s="801"/>
      <c r="AU734" s="801"/>
      <c r="AV734" s="801"/>
      <c r="AY734" s="656">
        <f ca="1">AY733/AY$246%</f>
        <v>14.091645358575692</v>
      </c>
      <c r="BA734" s="656">
        <f ca="1">BA733/BA$246%</f>
        <v>100</v>
      </c>
      <c r="BF734" s="657"/>
      <c r="BI734" s="656" t="s">
        <v>126</v>
      </c>
      <c r="BJ734" s="666"/>
      <c r="BO734" s="656" t="s">
        <v>259</v>
      </c>
      <c r="CU734" s="663" t="str">
        <f>CG$1&amp;IF(U734="",BF734,U734)</f>
        <v>- STATUS-Ansatz: Repräsentiert den Status des spezifischen Stromverbrauchs für Kraft, Licht, Informations- und Kommunikaionstechnologien, Kälte im Durchschnitt über alle Prozesse im produzierenden Gewerbe (kurz 'KLIK', Sektoren Industrie einschließlich Baugewerbe als Teil des Sektors 'Gewerbe/Handel/Dienstleistungen'). Dient als Referenz für den im Ziel durch wirtschaftliche Entwicklung veränderten Energiebedarf.</v>
      </c>
      <c r="CW734" s="663"/>
      <c r="DT734" s="671">
        <f>I_Basisdaten!A305</f>
        <v>0</v>
      </c>
      <c r="EJ734" s="656" t="str">
        <f>IF(X734=0,"",EJ$1&amp;X734)</f>
        <v/>
      </c>
      <c r="EK734" s="656" t="str">
        <f ca="1">EK$1&amp;X734</f>
        <v>[D_Python.xlsx]9.Quellen!C</v>
      </c>
      <c r="EV734" s="819">
        <f t="shared" si="386"/>
        <v>734</v>
      </c>
      <c r="EW734" s="819"/>
    </row>
    <row r="735" spans="1:153" s="661" customFormat="1" ht="4">
      <c r="A735" s="677" t="str">
        <f t="shared" ca="1" si="384"/>
        <v>D.1.735</v>
      </c>
      <c r="B735" s="677" t="str">
        <f t="shared" ca="1" si="385"/>
        <v>1.735</v>
      </c>
      <c r="C735" s="677" t="str">
        <f t="shared" si="376"/>
        <v>[735]</v>
      </c>
      <c r="D735" s="677">
        <f>ROW()</f>
        <v>735</v>
      </c>
      <c r="E735" s="680"/>
      <c r="F735" s="680"/>
      <c r="G735" s="680"/>
      <c r="H735" s="680"/>
      <c r="I735" s="679"/>
      <c r="J735" s="679"/>
      <c r="K735" s="679"/>
      <c r="L735" s="679"/>
      <c r="M735" s="679"/>
      <c r="N735" s="680"/>
      <c r="O735" s="871">
        <v>729</v>
      </c>
      <c r="P735" s="688"/>
      <c r="Q735" s="689"/>
      <c r="R735" s="888"/>
      <c r="S735" s="802"/>
      <c r="T735" s="882"/>
      <c r="W735" s="606"/>
      <c r="AB735" s="675"/>
      <c r="AC735" s="675"/>
      <c r="AD735" s="675"/>
      <c r="AE735" s="675"/>
      <c r="AF735" s="675"/>
      <c r="AG735" s="675"/>
      <c r="AH735" s="675"/>
      <c r="AI735" s="675"/>
      <c r="AJ735" s="675"/>
      <c r="AK735" s="675"/>
      <c r="AL735" s="675"/>
      <c r="AM735" s="675"/>
      <c r="AN735" s="675"/>
      <c r="AO735" s="675"/>
      <c r="AP735" s="675"/>
      <c r="AQ735" s="675"/>
      <c r="AR735" s="675"/>
      <c r="AS735" s="675"/>
      <c r="AT735" s="675"/>
      <c r="AU735" s="675"/>
      <c r="AV735" s="675"/>
      <c r="BI735" s="661" t="s">
        <v>126</v>
      </c>
      <c r="BJ735" s="665"/>
      <c r="CU735" s="662"/>
      <c r="CW735" s="662"/>
      <c r="EV735" s="818" t="str">
        <f t="shared" si="386"/>
        <v/>
      </c>
      <c r="EW735" s="818"/>
    </row>
    <row r="736" spans="1:153" s="656" customFormat="1" ht="65">
      <c r="A736" s="654" t="str">
        <f t="shared" ca="1" si="384"/>
        <v>D.1.736</v>
      </c>
      <c r="B736" s="654" t="str">
        <f t="shared" ca="1" si="385"/>
        <v>1.736</v>
      </c>
      <c r="C736" s="654" t="str">
        <f t="shared" si="376"/>
        <v>[736]</v>
      </c>
      <c r="D736" s="654">
        <f>ROW()</f>
        <v>736</v>
      </c>
      <c r="E736" s="1125" t="str">
        <f>CU736</f>
        <v>- ZIEL-Ansatz: Es wird angenommen, dass die wirtschaftliche Entwicklung im produzierenden Gewerbe (Sektor Industrie einschließlich Baugewerbe als Teil des Sektors Gewerbe/Handel/Dienstleistungen) sich mit halber Intensität auf den Stromverbrauch in diesem Bereich auswirkt. Hintergrund für diese Annahme ist eine weiter zurückgehende Materialintensität der künftigen Produktpalette, wie dies beispielsweise in der Datenverarbeitung mit dem Trend zu immer kleineren Geräten zu beobachten ist. Diese Annahme ist allerdings mit großen Unsicherheiten behaftet.</v>
      </c>
      <c r="F736" s="1125"/>
      <c r="G736" s="1125"/>
      <c r="H736" s="1125"/>
      <c r="I736" s="1125"/>
      <c r="J736" s="1125"/>
      <c r="K736" s="1125"/>
      <c r="L736" s="1125"/>
      <c r="M736" s="1125"/>
      <c r="N736" s="1125"/>
      <c r="O736" s="869">
        <v>730</v>
      </c>
      <c r="P736" s="691" t="str">
        <f ca="1">HYPERLINK(EK736,EJ736)</f>
        <v/>
      </c>
      <c r="Q736" s="692" t="str">
        <f>Y736</f>
        <v xml:space="preserve"> </v>
      </c>
      <c r="R736" s="852"/>
      <c r="S736" s="784"/>
      <c r="T736" s="864"/>
      <c r="U736" s="1023" t="str">
        <f>"Es wird angenommen, dass die wirtschaftliche Entwicklung im produzierenden Gewerbe (Sektor Industrie einschließlich Baugewerbe als Teil des Sektors Gewerbe/Handel/Dienstleistungen) "&amp;"sich mit halber Intensität auf den Stromverbrauch in diesem Bereich auswirkt."&amp;" Hintergrund für diese Annahme ist eine weiter zurückgehende Materialintensität der künftigen Produktpalette, wie dies beispielsweise in der Datenverarbeitung mit dem Trend zu immer kleineren Geräten zu beobachten ist. "&amp;"Diese Annahme ist allerdings mit großen Unsicherheiten behaftet."</f>
        <v>Es wird angenommen, dass die wirtschaftliche Entwicklung im produzierenden Gewerbe (Sektor Industrie einschließlich Baugewerbe als Teil des Sektors Gewerbe/Handel/Dienstleistungen) sich mit halber Intensität auf den Stromverbrauch in diesem Bereich auswirkt. Hintergrund für diese Annahme ist eine weiter zurückgehende Materialintensität der künftigen Produktpalette, wie dies beispielsweise in der Datenverarbeitung mit dem Trend zu immer kleineren Geräten zu beobachten ist. Diese Annahme ist allerdings mit großen Unsicherheiten behaftet.</v>
      </c>
      <c r="V736" s="905" t="s">
        <v>126</v>
      </c>
      <c r="W736" s="778">
        <v>100</v>
      </c>
      <c r="X736" s="672"/>
      <c r="Y736" s="672" t="s">
        <v>126</v>
      </c>
      <c r="Z736" s="1025"/>
      <c r="AA736" s="905"/>
      <c r="AB736" s="801"/>
      <c r="AC736" s="1020"/>
      <c r="AD736" s="801"/>
      <c r="AE736" s="801"/>
      <c r="AF736" s="801"/>
      <c r="AG736" s="801"/>
      <c r="AH736" s="801"/>
      <c r="AI736" s="801"/>
      <c r="AJ736" s="801"/>
      <c r="AK736" s="801"/>
      <c r="AL736" s="801"/>
      <c r="AM736" s="801"/>
      <c r="AN736" s="801"/>
      <c r="AO736" s="801"/>
      <c r="AP736" s="801"/>
      <c r="AQ736" s="801"/>
      <c r="AR736" s="801"/>
      <c r="AS736" s="801"/>
      <c r="AT736" s="801"/>
      <c r="AU736" s="801"/>
      <c r="AV736" s="801"/>
      <c r="BF736" s="657"/>
      <c r="BI736" s="656" t="s">
        <v>126</v>
      </c>
      <c r="BJ736" s="666"/>
      <c r="BO736" s="656" t="s">
        <v>259</v>
      </c>
      <c r="CU736" s="663" t="str">
        <f>CH$1&amp;IF(U736="",BF736,U736)</f>
        <v>- ZIEL-Ansatz: Es wird angenommen, dass die wirtschaftliche Entwicklung im produzierenden Gewerbe (Sektor Industrie einschließlich Baugewerbe als Teil des Sektors Gewerbe/Handel/Dienstleistungen) sich mit halber Intensität auf den Stromverbrauch in diesem Bereich auswirkt. Hintergrund für diese Annahme ist eine weiter zurückgehende Materialintensität der künftigen Produktpalette, wie dies beispielsweise in der Datenverarbeitung mit dem Trend zu immer kleineren Geräten zu beobachten ist. Diese Annahme ist allerdings mit großen Unsicherheiten behaftet.</v>
      </c>
      <c r="CW736" s="663"/>
      <c r="DT736" s="671">
        <v>53</v>
      </c>
      <c r="EJ736" s="656" t="str">
        <f>IF(X736=0,"",EJ$1&amp;X736)</f>
        <v/>
      </c>
      <c r="EK736" s="656" t="str">
        <f ca="1">EK$1&amp;X736</f>
        <v>[D_Python.xlsx]9.Quellen!C</v>
      </c>
      <c r="EV736" s="819">
        <f t="shared" si="386"/>
        <v>736</v>
      </c>
      <c r="EW736" s="819"/>
    </row>
    <row r="737" spans="1:153" s="478" customFormat="1" ht="4">
      <c r="A737" s="677" t="str">
        <f t="shared" ca="1" si="384"/>
        <v>D.1.737</v>
      </c>
      <c r="B737" s="677" t="str">
        <f t="shared" ca="1" si="385"/>
        <v>1.737</v>
      </c>
      <c r="C737" s="677" t="str">
        <f t="shared" si="376"/>
        <v>[737]</v>
      </c>
      <c r="D737" s="677">
        <f>ROW()</f>
        <v>737</v>
      </c>
      <c r="E737" s="548"/>
      <c r="F737" s="548"/>
      <c r="G737" s="548"/>
      <c r="H737" s="548"/>
      <c r="I737" s="549"/>
      <c r="J737" s="549"/>
      <c r="K737" s="549"/>
      <c r="L737" s="549"/>
      <c r="M737" s="549"/>
      <c r="N737" s="548"/>
      <c r="O737" s="871">
        <v>731</v>
      </c>
      <c r="P737" s="575"/>
      <c r="Q737" s="576"/>
      <c r="R737" s="888"/>
      <c r="S737" s="802"/>
      <c r="T737" s="882"/>
      <c r="U737" s="661"/>
      <c r="V737" s="661"/>
      <c r="W737" s="661"/>
      <c r="X737" s="661"/>
      <c r="Y737" s="661"/>
      <c r="Z737" s="661"/>
      <c r="AA737" s="661"/>
      <c r="AB737" s="675"/>
      <c r="AC737" s="675"/>
      <c r="AD737" s="675"/>
      <c r="AE737" s="675"/>
      <c r="AF737" s="675"/>
      <c r="AG737" s="675"/>
      <c r="AH737" s="675"/>
      <c r="AI737" s="675"/>
      <c r="AJ737" s="675"/>
      <c r="AK737" s="675"/>
      <c r="AL737" s="675"/>
      <c r="AM737" s="675"/>
      <c r="AN737" s="675"/>
      <c r="AO737" s="675"/>
      <c r="AP737" s="675"/>
      <c r="AQ737" s="675"/>
      <c r="AR737" s="675"/>
      <c r="AS737" s="675"/>
      <c r="AT737" s="675"/>
      <c r="AU737" s="675"/>
      <c r="AV737" s="675"/>
      <c r="AZ737" s="505"/>
      <c r="BB737" s="505"/>
      <c r="BI737" s="478" t="s">
        <v>126</v>
      </c>
      <c r="BJ737" s="489"/>
      <c r="BN737" s="661"/>
      <c r="CU737" s="479"/>
      <c r="CV737" s="661"/>
      <c r="CW737" s="479"/>
      <c r="DS737" s="661"/>
      <c r="EV737" s="818" t="str">
        <f t="shared" si="386"/>
        <v/>
      </c>
      <c r="EW737" s="818"/>
    </row>
    <row r="738" spans="1:153" s="475" customFormat="1" ht="13.5" customHeight="1">
      <c r="A738" s="654" t="str">
        <f t="shared" ca="1" si="384"/>
        <v>D.1.738</v>
      </c>
      <c r="B738" s="654" t="str">
        <f t="shared" ca="1" si="385"/>
        <v>1.738</v>
      </c>
      <c r="C738" s="654" t="str">
        <f t="shared" si="376"/>
        <v>[738]</v>
      </c>
      <c r="D738" s="654">
        <f>ROW()</f>
        <v>738</v>
      </c>
      <c r="E738" s="1129" t="str">
        <f>BP738</f>
        <v>Zieleinfluss Prozess-Effiz.prod.Gewerbe auf KLIK</v>
      </c>
      <c r="F738" s="1129"/>
      <c r="G738" s="1129"/>
      <c r="H738" s="1129"/>
      <c r="I738" s="1129"/>
      <c r="J738" s="471" t="s">
        <v>38</v>
      </c>
      <c r="K738" s="605">
        <f ca="1">INDIRECT($W$1&amp;U738)</f>
        <v>100</v>
      </c>
      <c r="L738" s="597" t="str">
        <f ca="1">HYPERLINK($CK$1&amp;U738,$CE$1&amp;U738&amp;$CF$1)</f>
        <v>[739]</v>
      </c>
      <c r="M738" s="545">
        <f ca="1">INDIRECT($W$1&amp;W738)</f>
        <v>73</v>
      </c>
      <c r="N738" s="533" t="str">
        <f ca="1">HYPERLINK($CK$1&amp;W738,$CE$1&amp;W738&amp;$CF$1)</f>
        <v>[741]</v>
      </c>
      <c r="O738" s="869">
        <v>732</v>
      </c>
      <c r="P738" s="570"/>
      <c r="Q738" s="583"/>
      <c r="R738" s="852"/>
      <c r="S738" s="784"/>
      <c r="T738" s="864"/>
      <c r="U738" s="672">
        <f>D739</f>
        <v>739</v>
      </c>
      <c r="V738" s="905" t="s">
        <v>126</v>
      </c>
      <c r="W738" s="672">
        <f>D741</f>
        <v>741</v>
      </c>
      <c r="X738" s="658"/>
      <c r="Y738" s="658"/>
      <c r="Z738" s="658"/>
      <c r="AA738" s="658"/>
      <c r="AB738" s="801"/>
      <c r="AC738" s="801"/>
      <c r="AD738" s="674"/>
      <c r="AE738" s="674"/>
      <c r="AF738" s="674"/>
      <c r="AG738" s="674"/>
      <c r="AH738" s="674"/>
      <c r="AI738" s="674"/>
      <c r="AJ738" s="674"/>
      <c r="AK738" s="674"/>
      <c r="AL738" s="674"/>
      <c r="AM738" s="674"/>
      <c r="AN738" s="674"/>
      <c r="AO738" s="674"/>
      <c r="AP738" s="674"/>
      <c r="AQ738" s="674"/>
      <c r="AR738" s="674"/>
      <c r="AS738" s="674"/>
      <c r="AT738" s="674"/>
      <c r="AU738" s="674"/>
      <c r="AV738" s="674"/>
      <c r="AX738" s="475" t="s">
        <v>244</v>
      </c>
      <c r="AY738" s="500">
        <f ca="1">DA738</f>
        <v>10.254559182513647</v>
      </c>
      <c r="AZ738" s="508" t="str">
        <f ca="1">HYPERLINK(DN738,DC738)</f>
        <v xml:space="preserve"> 235</v>
      </c>
      <c r="BA738" s="500">
        <f ca="1">DB738</f>
        <v>35</v>
      </c>
      <c r="BB738" s="508" t="str">
        <f ca="1">HYPERLINK(DO738,DD738)</f>
        <v xml:space="preserve"> 236</v>
      </c>
      <c r="BC738" s="475" t="str">
        <f ca="1">CY738&amp;" | "&amp;CZ738</f>
        <v>Brennstoffgew.
für Prozesse | 0</v>
      </c>
      <c r="BI738" s="475" t="s">
        <v>126</v>
      </c>
      <c r="BJ738" s="492" t="str">
        <f>E738</f>
        <v>Zieleinfluss Prozess-Effiz.prod.Gewerbe auf KLIK</v>
      </c>
      <c r="BK738" s="486">
        <f ca="1">K738</f>
        <v>100</v>
      </c>
      <c r="BL738" s="486">
        <f ca="1">M738</f>
        <v>73</v>
      </c>
      <c r="BM738" s="472">
        <f>D738</f>
        <v>738</v>
      </c>
      <c r="BN738" s="658"/>
      <c r="BO738" s="475" t="s">
        <v>251</v>
      </c>
      <c r="BP738" s="521" t="s">
        <v>775</v>
      </c>
      <c r="CU738" s="476"/>
      <c r="CV738" s="658"/>
      <c r="CW738" s="518">
        <v>61</v>
      </c>
      <c r="CY738" s="472" t="str">
        <f t="shared" ref="CY738:DO738" ca="1" si="390">INDIRECT($CX$1&amp;CY$1&amp;$CW738)</f>
        <v>Brennstoffgew.
für Prozesse</v>
      </c>
      <c r="CZ738" s="472">
        <f t="shared" ca="1" si="390"/>
        <v>0</v>
      </c>
      <c r="DA738" s="472">
        <f t="shared" ca="1" si="390"/>
        <v>10.254559182513647</v>
      </c>
      <c r="DB738" s="472">
        <f t="shared" ca="1" si="390"/>
        <v>35</v>
      </c>
      <c r="DC738" s="472" t="str">
        <f t="shared" ca="1" si="390"/>
        <v xml:space="preserve"> 235</v>
      </c>
      <c r="DD738" s="472" t="str">
        <f t="shared" ca="1" si="390"/>
        <v xml:space="preserve"> 236</v>
      </c>
      <c r="DE738" s="472" t="str">
        <f t="shared" ca="1" si="390"/>
        <v>Ho99</v>
      </c>
      <c r="DF738" s="472" t="str">
        <f t="shared" ca="1" si="390"/>
        <v>Ho36</v>
      </c>
      <c r="DG738" s="472" t="str">
        <f t="shared" ca="1" si="390"/>
        <v>Ho</v>
      </c>
      <c r="DH738" s="472" t="str">
        <f t="shared" ca="1" si="390"/>
        <v>99</v>
      </c>
      <c r="DI738" s="472" t="str">
        <f t="shared" ca="1" si="390"/>
        <v>[Ho.xls]TEXT!Z99S5</v>
      </c>
      <c r="DJ738" s="472" t="str">
        <f t="shared" ca="1" si="390"/>
        <v>Ho</v>
      </c>
      <c r="DK738" s="472" t="str">
        <f t="shared" ca="1" si="390"/>
        <v>36</v>
      </c>
      <c r="DL738" s="472" t="str">
        <f t="shared" ca="1" si="390"/>
        <v>[Ho.xls]TEXT!Z36S5</v>
      </c>
      <c r="DM738" s="472">
        <f t="shared" ca="1" si="390"/>
        <v>61</v>
      </c>
      <c r="DN738" s="472" t="str">
        <f t="shared" ca="1" si="390"/>
        <v>[Region.xls]PARAMETER!Z235S6</v>
      </c>
      <c r="DO738" s="472" t="str">
        <f t="shared" ca="1" si="390"/>
        <v>[Region.xls]PARAMETER!Z236S6</v>
      </c>
      <c r="DP738" s="472"/>
      <c r="DS738" s="656"/>
      <c r="DV738" s="472"/>
      <c r="DW738" s="472"/>
      <c r="DX738" s="472"/>
      <c r="DY738" s="472"/>
      <c r="DZ738" s="472"/>
      <c r="EA738" s="472"/>
      <c r="EB738" s="472"/>
      <c r="EC738" s="472"/>
      <c r="ED738" s="472"/>
      <c r="EE738" s="472"/>
      <c r="EF738" s="472"/>
      <c r="EG738" s="472"/>
      <c r="EH738" s="472"/>
      <c r="EI738" s="472"/>
      <c r="EJ738" s="472"/>
      <c r="EK738" s="472"/>
      <c r="EV738" s="819">
        <f t="shared" si="386"/>
        <v>738</v>
      </c>
      <c r="EW738" s="819"/>
    </row>
    <row r="739" spans="1:153" s="472" customFormat="1" ht="52">
      <c r="A739" s="654" t="str">
        <f t="shared" ca="1" si="384"/>
        <v>D.1.739</v>
      </c>
      <c r="B739" s="654" t="str">
        <f t="shared" ca="1" si="385"/>
        <v>1.739</v>
      </c>
      <c r="C739" s="654" t="str">
        <f t="shared" si="376"/>
        <v>[739]</v>
      </c>
      <c r="D739" s="654">
        <f>ROW()</f>
        <v>739</v>
      </c>
      <c r="E739" s="1130" t="str">
        <f>CU739</f>
        <v>- STATUS-Ansatz: Repräsentiert den Status des spezifischen Stromverbrauchs für Kraft, Licht, Informations- und Kommunikaionstechnologien, Kälte im Durchschnitt über alle Prozesse produzierenden Gewerbe (Sektor 'Industrie') plus dem gewerblichen Anteil des Sektors 'Gewerbe/Handel/Dienstleistungen'. Dient als Referenz für den im Ziel durch Effizienzsteigerung gesenkten Energiebedarf bei gleichem Leistungsumfang.</v>
      </c>
      <c r="F739" s="1130"/>
      <c r="G739" s="1130"/>
      <c r="H739" s="1130"/>
      <c r="I739" s="1130"/>
      <c r="J739" s="1130"/>
      <c r="K739" s="1130"/>
      <c r="L739" s="1130"/>
      <c r="M739" s="1130"/>
      <c r="N739" s="1131"/>
      <c r="O739" s="869">
        <v>733</v>
      </c>
      <c r="P739" s="573" t="str">
        <f ca="1">HYPERLINK(EK739,EJ739)</f>
        <v/>
      </c>
      <c r="Q739" s="574" t="str">
        <f>Y739</f>
        <v xml:space="preserve"> </v>
      </c>
      <c r="R739" s="852"/>
      <c r="S739" s="784"/>
      <c r="T739" s="864"/>
      <c r="U739" s="1023" t="s">
        <v>774</v>
      </c>
      <c r="V739" s="905" t="s">
        <v>126</v>
      </c>
      <c r="W739" s="1096">
        <v>100</v>
      </c>
      <c r="X739" s="672"/>
      <c r="Y739" s="672" t="s">
        <v>126</v>
      </c>
      <c r="Z739" s="1025"/>
      <c r="AA739" s="658"/>
      <c r="AB739" s="801"/>
      <c r="AC739" s="801"/>
      <c r="AD739" s="801"/>
      <c r="AE739" s="801"/>
      <c r="AF739" s="801"/>
      <c r="AG739" s="801"/>
      <c r="AH739" s="801"/>
      <c r="AI739" s="801"/>
      <c r="AJ739" s="801"/>
      <c r="AK739" s="801"/>
      <c r="AL739" s="801"/>
      <c r="AM739" s="801"/>
      <c r="AN739" s="801"/>
      <c r="AO739" s="801"/>
      <c r="AP739" s="801"/>
      <c r="AQ739" s="801"/>
      <c r="AR739" s="801"/>
      <c r="AS739" s="801"/>
      <c r="AT739" s="801"/>
      <c r="AU739" s="801"/>
      <c r="AV739" s="801"/>
      <c r="AY739" s="472">
        <f ca="1">AY738/AY$246%</f>
        <v>14.091645358575692</v>
      </c>
      <c r="BA739" s="472">
        <f ca="1">BA738/BA$246%</f>
        <v>100</v>
      </c>
      <c r="BF739" s="473"/>
      <c r="BI739" s="472" t="s">
        <v>126</v>
      </c>
      <c r="BJ739" s="490"/>
      <c r="BN739" s="656"/>
      <c r="BO739" s="472" t="s">
        <v>259</v>
      </c>
      <c r="CU739" s="480" t="str">
        <f>CG$1&amp;IF(U739="",BF739,U739)</f>
        <v>- STATUS-Ansatz: Repräsentiert den Status des spezifischen Stromverbrauchs für Kraft, Licht, Informations- und Kommunikaionstechnologien, Kälte im Durchschnitt über alle Prozesse produzierenden Gewerbe (Sektor 'Industrie') plus dem gewerblichen Anteil des Sektors 'Gewerbe/Handel/Dienstleistungen'. Dient als Referenz für den im Ziel durch Effizienzsteigerung gesenkten Energiebedarf bei gleichem Leistungsumfang.</v>
      </c>
      <c r="CV739" s="656"/>
      <c r="CW739" s="480"/>
      <c r="DS739" s="656"/>
      <c r="DT739" s="518">
        <f>I_Basisdaten!A311</f>
        <v>0</v>
      </c>
      <c r="EJ739" s="472" t="str">
        <f>IF(X739=0,"",EJ$1&amp;X739)</f>
        <v/>
      </c>
      <c r="EK739" s="472" t="str">
        <f ca="1">EK$1&amp;X739</f>
        <v>[D_Python.xlsx]9.Quellen!C</v>
      </c>
      <c r="EV739" s="819">
        <f t="shared" si="386"/>
        <v>739</v>
      </c>
      <c r="EW739" s="819"/>
    </row>
    <row r="740" spans="1:153" s="478" customFormat="1" ht="4">
      <c r="A740" s="677" t="str">
        <f t="shared" ca="1" si="384"/>
        <v>D.1.740</v>
      </c>
      <c r="B740" s="677" t="str">
        <f t="shared" ca="1" si="385"/>
        <v>1.740</v>
      </c>
      <c r="C740" s="677" t="str">
        <f t="shared" si="376"/>
        <v>[740]</v>
      </c>
      <c r="D740" s="677">
        <f>ROW()</f>
        <v>740</v>
      </c>
      <c r="E740" s="528"/>
      <c r="F740" s="528"/>
      <c r="G740" s="528"/>
      <c r="H740" s="528"/>
      <c r="I740" s="527"/>
      <c r="J740" s="527"/>
      <c r="K740" s="527"/>
      <c r="L740" s="527"/>
      <c r="M740" s="527"/>
      <c r="N740" s="528"/>
      <c r="O740" s="871">
        <v>734</v>
      </c>
      <c r="P740" s="566"/>
      <c r="Q740" s="567"/>
      <c r="R740" s="888"/>
      <c r="S740" s="802"/>
      <c r="T740" s="882"/>
      <c r="U740" s="661"/>
      <c r="V740" s="661"/>
      <c r="W740" s="606"/>
      <c r="X740" s="661"/>
      <c r="Y740" s="661"/>
      <c r="Z740" s="661"/>
      <c r="AA740" s="661"/>
      <c r="AB740" s="675"/>
      <c r="AC740" s="675"/>
      <c r="AD740" s="675"/>
      <c r="AE740" s="675"/>
      <c r="AF740" s="675"/>
      <c r="AG740" s="675"/>
      <c r="AH740" s="675"/>
      <c r="AI740" s="675"/>
      <c r="AJ740" s="675"/>
      <c r="AK740" s="675"/>
      <c r="AL740" s="675"/>
      <c r="AM740" s="675"/>
      <c r="AN740" s="675"/>
      <c r="AO740" s="675"/>
      <c r="AP740" s="675"/>
      <c r="AQ740" s="675"/>
      <c r="AR740" s="675"/>
      <c r="AS740" s="675"/>
      <c r="AT740" s="675"/>
      <c r="AU740" s="675"/>
      <c r="AV740" s="675"/>
      <c r="BI740" s="478" t="s">
        <v>126</v>
      </c>
      <c r="BJ740" s="489"/>
      <c r="BN740" s="661"/>
      <c r="CU740" s="479"/>
      <c r="CV740" s="661"/>
      <c r="CW740" s="479"/>
      <c r="DS740" s="661"/>
      <c r="EV740" s="818" t="str">
        <f t="shared" si="386"/>
        <v/>
      </c>
      <c r="EW740" s="818"/>
    </row>
    <row r="741" spans="1:153" s="472" customFormat="1" ht="12.75" customHeight="1">
      <c r="A741" s="654" t="str">
        <f t="shared" ca="1" si="384"/>
        <v>D.1.741</v>
      </c>
      <c r="B741" s="654" t="str">
        <f t="shared" ca="1" si="385"/>
        <v>1.741</v>
      </c>
      <c r="C741" s="654" t="str">
        <f t="shared" si="376"/>
        <v>[741]</v>
      </c>
      <c r="D741" s="654">
        <f>ROW()</f>
        <v>741</v>
      </c>
      <c r="E741" s="1125" t="str">
        <f t="shared" ref="E741" ca="1" si="391">CU741</f>
        <v>- ZIEL-Ansatz: Orientiert an den Ergebnissen einer Studie des VDE [9.255], aufbereitet in [9.208], Absatz S. 72.</v>
      </c>
      <c r="F741" s="1125"/>
      <c r="G741" s="1125"/>
      <c r="H741" s="1125"/>
      <c r="I741" s="1125"/>
      <c r="J741" s="1125"/>
      <c r="K741" s="1125"/>
      <c r="L741" s="1125"/>
      <c r="M741" s="1125"/>
      <c r="N741" s="1125"/>
      <c r="O741" s="869">
        <v>735</v>
      </c>
      <c r="P741" s="573" t="str">
        <f ca="1">HYPERLINK(EK741,EJ741)</f>
        <v>9.255</v>
      </c>
      <c r="Q741" s="574" t="str">
        <f>Y741</f>
        <v>S. 38</v>
      </c>
      <c r="R741" s="852"/>
      <c r="S741" s="784"/>
      <c r="T741" s="864"/>
      <c r="U741" s="1023" t="str">
        <f ca="1">"Orientiert an den Ergebnissen einer Studie des "&amp;'9.Quellen'!E255&amp;" ["&amp;P741&amp;"], aufbereitet in ["&amp;P742&amp;"], Absatz "&amp;Q742&amp;"."</f>
        <v>Orientiert an den Ergebnissen einer Studie des VDE [9.255], aufbereitet in [9.208], Absatz S. 72.</v>
      </c>
      <c r="V741" s="905" t="s">
        <v>126</v>
      </c>
      <c r="W741" s="1095">
        <v>73</v>
      </c>
      <c r="X741" s="672">
        <f>'9.Quellen'!C255</f>
        <v>255</v>
      </c>
      <c r="Y741" s="672" t="s">
        <v>359</v>
      </c>
      <c r="Z741" s="1025"/>
      <c r="AA741" s="905"/>
      <c r="AB741" s="801"/>
      <c r="AC741" s="801"/>
      <c r="AD741" s="801"/>
      <c r="AE741" s="801"/>
      <c r="AF741" s="801"/>
      <c r="AG741" s="801"/>
      <c r="AH741" s="801"/>
      <c r="AI741" s="801"/>
      <c r="AJ741" s="801"/>
      <c r="AK741" s="801"/>
      <c r="AL741" s="801"/>
      <c r="AM741" s="801"/>
      <c r="AN741" s="801"/>
      <c r="AO741" s="801"/>
      <c r="AP741" s="801"/>
      <c r="AQ741" s="801"/>
      <c r="AR741" s="801"/>
      <c r="AS741" s="801"/>
      <c r="AT741" s="801"/>
      <c r="AU741" s="801"/>
      <c r="AV741" s="801"/>
      <c r="BF741" s="473"/>
      <c r="BI741" s="472" t="s">
        <v>126</v>
      </c>
      <c r="BJ741" s="490"/>
      <c r="BN741" s="656"/>
      <c r="BO741" s="472" t="s">
        <v>259</v>
      </c>
      <c r="CU741" s="480" t="str">
        <f ca="1">CH$1&amp;IF(U741="",BF741,U741)</f>
        <v>- ZIEL-Ansatz: Orientiert an den Ergebnissen einer Studie des VDE [9.255], aufbereitet in [9.208], Absatz S. 72.</v>
      </c>
      <c r="CV741" s="656"/>
      <c r="CW741" s="480"/>
      <c r="DS741" s="656"/>
      <c r="DT741" s="518">
        <v>53</v>
      </c>
      <c r="EJ741" s="472" t="str">
        <f ca="1">IF(X741=0,"",EJ$1&amp;X741)</f>
        <v>9.255</v>
      </c>
      <c r="EK741" s="472" t="str">
        <f ca="1">EK$1&amp;X741</f>
        <v>[D_Python.xlsx]9.Quellen!C255</v>
      </c>
      <c r="EV741" s="819">
        <f t="shared" ca="1" si="386"/>
        <v>741</v>
      </c>
      <c r="EW741" s="819"/>
    </row>
    <row r="742" spans="1:153" s="472" customFormat="1">
      <c r="A742" s="654" t="str">
        <f t="shared" ca="1" si="384"/>
        <v>D.1.742</v>
      </c>
      <c r="B742" s="654" t="str">
        <f t="shared" ca="1" si="385"/>
        <v>1.742</v>
      </c>
      <c r="C742" s="654" t="str">
        <f t="shared" si="376"/>
        <v>[742]</v>
      </c>
      <c r="D742" s="654">
        <f>ROW()</f>
        <v>742</v>
      </c>
      <c r="E742" s="1149"/>
      <c r="F742" s="1149"/>
      <c r="G742" s="1149"/>
      <c r="H742" s="1149"/>
      <c r="I742" s="1149"/>
      <c r="J742" s="1149"/>
      <c r="K742" s="1149"/>
      <c r="L742" s="1149"/>
      <c r="M742" s="1149"/>
      <c r="N742" s="1149"/>
      <c r="O742" s="869">
        <v>736</v>
      </c>
      <c r="P742" s="573" t="str">
        <f ca="1">HYPERLINK(EK742,EJ742)</f>
        <v>9.208</v>
      </c>
      <c r="Q742" s="574" t="str">
        <f>Y742</f>
        <v>S. 72</v>
      </c>
      <c r="R742" s="852"/>
      <c r="S742" s="784"/>
      <c r="T742" s="864"/>
      <c r="U742" s="1033"/>
      <c r="V742" s="905" t="s">
        <v>126</v>
      </c>
      <c r="W742" s="1024"/>
      <c r="X742" s="672">
        <f>'9.Quellen'!C208</f>
        <v>208</v>
      </c>
      <c r="Y742" s="672" t="s">
        <v>519</v>
      </c>
      <c r="Z742" s="1025"/>
      <c r="AA742" s="905"/>
      <c r="AB742" s="801"/>
      <c r="AC742" s="801"/>
      <c r="AD742" s="801"/>
      <c r="AE742" s="801"/>
      <c r="AF742" s="801"/>
      <c r="AG742" s="801"/>
      <c r="AH742" s="801"/>
      <c r="AI742" s="801"/>
      <c r="AJ742" s="801"/>
      <c r="AK742" s="801"/>
      <c r="AL742" s="801"/>
      <c r="AM742" s="801"/>
      <c r="AN742" s="801"/>
      <c r="AO742" s="801"/>
      <c r="AP742" s="801"/>
      <c r="AQ742" s="801"/>
      <c r="AR742" s="801"/>
      <c r="AS742" s="801"/>
      <c r="AT742" s="801"/>
      <c r="AU742" s="801"/>
      <c r="AV742" s="801"/>
      <c r="BF742" s="473"/>
      <c r="BI742" s="472" t="s">
        <v>126</v>
      </c>
      <c r="BJ742" s="490"/>
      <c r="BN742" s="656"/>
      <c r="BO742" s="472" t="s">
        <v>252</v>
      </c>
      <c r="CU742" s="480">
        <f>IF(U742="",BF742,U742)</f>
        <v>0</v>
      </c>
      <c r="CV742" s="656"/>
      <c r="CW742" s="480"/>
      <c r="DS742" s="656"/>
      <c r="DT742" s="518"/>
      <c r="EJ742" s="472" t="str">
        <f ca="1">IF(X742=0,"",EJ$1&amp;X742)</f>
        <v>9.208</v>
      </c>
      <c r="EK742" s="472" t="str">
        <f ca="1">EK$1&amp;X742</f>
        <v>[D_Python.xlsx]9.Quellen!C208</v>
      </c>
      <c r="EV742" s="819" t="str">
        <f t="shared" si="386"/>
        <v/>
      </c>
      <c r="EW742" s="819"/>
    </row>
    <row r="743" spans="1:153" s="661" customFormat="1" ht="4">
      <c r="A743" s="677" t="str">
        <f t="shared" ca="1" si="384"/>
        <v>D.1.743</v>
      </c>
      <c r="B743" s="677" t="str">
        <f t="shared" ca="1" si="385"/>
        <v>1.743</v>
      </c>
      <c r="C743" s="677" t="str">
        <f t="shared" si="376"/>
        <v>[743]</v>
      </c>
      <c r="D743" s="677">
        <f>ROW()</f>
        <v>743</v>
      </c>
      <c r="E743" s="680"/>
      <c r="F743" s="680"/>
      <c r="G743" s="680"/>
      <c r="H743" s="680"/>
      <c r="I743" s="679"/>
      <c r="J743" s="679"/>
      <c r="K743" s="679"/>
      <c r="L743" s="679"/>
      <c r="M743" s="679"/>
      <c r="N743" s="680"/>
      <c r="O743" s="871">
        <v>737</v>
      </c>
      <c r="P743" s="688"/>
      <c r="Q743" s="689"/>
      <c r="R743" s="888"/>
      <c r="S743" s="802"/>
      <c r="T743" s="882"/>
      <c r="AB743" s="675"/>
      <c r="AC743" s="675"/>
      <c r="AD743" s="675"/>
      <c r="AE743" s="675"/>
      <c r="AF743" s="675"/>
      <c r="AG743" s="675"/>
      <c r="AH743" s="675"/>
      <c r="AI743" s="675"/>
      <c r="AJ743" s="675"/>
      <c r="AK743" s="675"/>
      <c r="AL743" s="675"/>
      <c r="AM743" s="675"/>
      <c r="AN743" s="675"/>
      <c r="AO743" s="675"/>
      <c r="AP743" s="675"/>
      <c r="AQ743" s="675"/>
      <c r="AR743" s="675"/>
      <c r="AS743" s="675"/>
      <c r="AT743" s="675"/>
      <c r="AU743" s="675"/>
      <c r="AV743" s="675"/>
      <c r="BI743" s="661" t="s">
        <v>126</v>
      </c>
      <c r="BJ743" s="665"/>
      <c r="CU743" s="662"/>
      <c r="CW743" s="662"/>
      <c r="EV743" s="818" t="str">
        <f t="shared" si="386"/>
        <v/>
      </c>
      <c r="EW743" s="818"/>
    </row>
    <row r="744" spans="1:153" s="656" customFormat="1" ht="13">
      <c r="A744" s="654" t="str">
        <f t="shared" ca="1" si="384"/>
        <v>D.1.744</v>
      </c>
      <c r="B744" s="654" t="str">
        <f t="shared" ca="1" si="385"/>
        <v>1.744</v>
      </c>
      <c r="C744" s="654" t="str">
        <f t="shared" si="376"/>
        <v>[744]</v>
      </c>
      <c r="D744" s="654">
        <f>ROW()</f>
        <v>744</v>
      </c>
      <c r="E744" s="481" t="str">
        <f>BP744</f>
        <v>Gebäudewärme-Endenergieverbrauch (GW)</v>
      </c>
      <c r="F744" s="482"/>
      <c r="G744" s="482"/>
      <c r="H744" s="482"/>
      <c r="I744" s="483"/>
      <c r="J744" s="484"/>
      <c r="K744" s="484"/>
      <c r="L744" s="484"/>
      <c r="M744" s="484"/>
      <c r="N744" s="532"/>
      <c r="O744" s="869">
        <v>738</v>
      </c>
      <c r="P744" s="568"/>
      <c r="Q744" s="569"/>
      <c r="R744" s="852"/>
      <c r="S744" s="804"/>
      <c r="T744" s="864"/>
      <c r="U744" s="905"/>
      <c r="V744" s="905"/>
      <c r="W744" s="905"/>
      <c r="X744" s="905"/>
      <c r="Y744" s="905"/>
      <c r="Z744" s="905"/>
      <c r="AA744" s="905"/>
      <c r="AB744" s="801"/>
      <c r="AC744" s="801"/>
      <c r="AD744" s="801"/>
      <c r="AE744" s="801"/>
      <c r="AF744" s="801"/>
      <c r="AG744" s="801"/>
      <c r="AH744" s="801"/>
      <c r="AI744" s="801"/>
      <c r="AJ744" s="801"/>
      <c r="AK744" s="801"/>
      <c r="AL744" s="801"/>
      <c r="AM744" s="801"/>
      <c r="AN744" s="801"/>
      <c r="AO744" s="801"/>
      <c r="AP744" s="801"/>
      <c r="AQ744" s="801"/>
      <c r="AR744" s="801"/>
      <c r="AS744" s="801"/>
      <c r="AT744" s="801"/>
      <c r="AU744" s="801"/>
      <c r="AV744" s="801"/>
      <c r="AZ744" s="504"/>
      <c r="BB744" s="506"/>
      <c r="BI744" s="656" t="s">
        <v>126</v>
      </c>
      <c r="BJ744" s="666"/>
      <c r="BO744" s="656" t="s">
        <v>250</v>
      </c>
      <c r="BP744" s="671" t="s">
        <v>673</v>
      </c>
      <c r="CU744" s="663"/>
      <c r="CW744" s="663"/>
      <c r="EV744" s="819">
        <f t="shared" si="386"/>
        <v>744</v>
      </c>
      <c r="EW744" s="819"/>
    </row>
    <row r="745" spans="1:153" s="661" customFormat="1" ht="4">
      <c r="A745" s="677" t="str">
        <f t="shared" ca="1" si="384"/>
        <v>D.1.745</v>
      </c>
      <c r="B745" s="677" t="str">
        <f t="shared" ca="1" si="385"/>
        <v>1.745</v>
      </c>
      <c r="C745" s="677" t="str">
        <f t="shared" si="376"/>
        <v>[745]</v>
      </c>
      <c r="D745" s="677">
        <f>ROW()</f>
        <v>745</v>
      </c>
      <c r="E745" s="680"/>
      <c r="F745" s="680"/>
      <c r="G745" s="680"/>
      <c r="H745" s="680"/>
      <c r="I745" s="679"/>
      <c r="J745" s="679"/>
      <c r="K745" s="679"/>
      <c r="L745" s="679"/>
      <c r="M745" s="679"/>
      <c r="N745" s="680"/>
      <c r="O745" s="871">
        <v>739</v>
      </c>
      <c r="P745" s="688"/>
      <c r="Q745" s="689"/>
      <c r="R745" s="888"/>
      <c r="S745" s="802"/>
      <c r="T745" s="882"/>
      <c r="AB745" s="675"/>
      <c r="AC745" s="675"/>
      <c r="AD745" s="675"/>
      <c r="AE745" s="675"/>
      <c r="AF745" s="675"/>
      <c r="AG745" s="675"/>
      <c r="AH745" s="675"/>
      <c r="AI745" s="675"/>
      <c r="AJ745" s="675"/>
      <c r="AK745" s="675"/>
      <c r="AL745" s="675"/>
      <c r="AM745" s="675"/>
      <c r="AN745" s="675"/>
      <c r="AO745" s="675"/>
      <c r="AP745" s="675"/>
      <c r="AQ745" s="675"/>
      <c r="AR745" s="675"/>
      <c r="AS745" s="675"/>
      <c r="AT745" s="675"/>
      <c r="AU745" s="675"/>
      <c r="AV745" s="675"/>
      <c r="BI745" s="661" t="s">
        <v>126</v>
      </c>
      <c r="BJ745" s="665"/>
      <c r="CU745" s="662"/>
      <c r="CW745" s="662"/>
      <c r="EV745" s="818" t="str">
        <f t="shared" si="386"/>
        <v/>
      </c>
      <c r="EW745" s="818"/>
    </row>
    <row r="746" spans="1:153" s="658" customFormat="1" ht="13.5" customHeight="1">
      <c r="A746" s="654" t="str">
        <f t="shared" ca="1" si="384"/>
        <v>D.1.746</v>
      </c>
      <c r="B746" s="654" t="str">
        <f t="shared" ca="1" si="385"/>
        <v>1.746</v>
      </c>
      <c r="C746" s="654" t="str">
        <f t="shared" si="376"/>
        <v>[746]</v>
      </c>
      <c r="D746" s="654">
        <f>ROW()</f>
        <v>746</v>
      </c>
      <c r="E746" s="1129" t="str">
        <f>BP746</f>
        <v>Anteil Haushalte an GW</v>
      </c>
      <c r="F746" s="1129"/>
      <c r="G746" s="1129"/>
      <c r="H746" s="1129"/>
      <c r="I746" s="1129"/>
      <c r="J746" s="655" t="s">
        <v>38</v>
      </c>
      <c r="K746" s="605">
        <f ca="1">INDIRECT($W$1&amp;U746)</f>
        <v>67.291728676786718</v>
      </c>
      <c r="L746" s="697" t="str">
        <f ca="1">HYPERLINK($CK$1&amp;U746,$CE$1&amp;U746&amp;$CF$1)</f>
        <v>[747]</v>
      </c>
      <c r="M746" s="683">
        <f ca="1">INDIRECT($W$1&amp;W746)</f>
        <v>67.291728676786718</v>
      </c>
      <c r="N746" s="681" t="str">
        <f ca="1">HYPERLINK($CK$1&amp;W746,$CE$1&amp;W746&amp;$CF$1)</f>
        <v>[749]</v>
      </c>
      <c r="O746" s="869">
        <v>740</v>
      </c>
      <c r="P746" s="690"/>
      <c r="Q746" s="695"/>
      <c r="R746" s="852"/>
      <c r="S746" s="784"/>
      <c r="T746" s="864"/>
      <c r="U746" s="672">
        <f>D747</f>
        <v>747</v>
      </c>
      <c r="V746" s="905" t="s">
        <v>126</v>
      </c>
      <c r="W746" s="672">
        <f>D749</f>
        <v>749</v>
      </c>
      <c r="AB746" s="801"/>
      <c r="AC746" s="801"/>
      <c r="AD746" s="674"/>
      <c r="AE746" s="674"/>
      <c r="AF746" s="674"/>
      <c r="AG746" s="674"/>
      <c r="AH746" s="674"/>
      <c r="AI746" s="674"/>
      <c r="AJ746" s="674"/>
      <c r="AK746" s="674"/>
      <c r="AL746" s="674"/>
      <c r="AM746" s="674"/>
      <c r="AN746" s="674"/>
      <c r="AO746" s="674"/>
      <c r="AP746" s="674"/>
      <c r="AQ746" s="674"/>
      <c r="AR746" s="674"/>
      <c r="AS746" s="674"/>
      <c r="AT746" s="674"/>
      <c r="AU746" s="674"/>
      <c r="AV746" s="674"/>
      <c r="AX746" s="658" t="s">
        <v>244</v>
      </c>
      <c r="AY746" s="668">
        <f ca="1">DA746</f>
        <v>10.254559182513647</v>
      </c>
      <c r="AZ746" s="670" t="str">
        <f ca="1">HYPERLINK(DN746,DC746)</f>
        <v xml:space="preserve"> 235</v>
      </c>
      <c r="BA746" s="668">
        <f ca="1">DB746</f>
        <v>35</v>
      </c>
      <c r="BB746" s="670" t="str">
        <f ca="1">HYPERLINK(DO746,DD746)</f>
        <v xml:space="preserve"> 236</v>
      </c>
      <c r="BC746" s="658" t="str">
        <f ca="1">CY746&amp;" | "&amp;CZ746</f>
        <v>Brennstoffgew.
für Prozesse | 0</v>
      </c>
      <c r="BI746" s="658" t="s">
        <v>126</v>
      </c>
      <c r="BJ746" s="667" t="str">
        <f>E746</f>
        <v>Anteil Haushalte an GW</v>
      </c>
      <c r="BK746" s="664">
        <f ca="1">K746</f>
        <v>67.291728676786718</v>
      </c>
      <c r="BL746" s="664">
        <f ca="1">M746</f>
        <v>67.291728676786718</v>
      </c>
      <c r="BM746" s="656">
        <f>D746</f>
        <v>746</v>
      </c>
      <c r="BO746" s="658" t="s">
        <v>251</v>
      </c>
      <c r="BP746" s="676" t="s">
        <v>674</v>
      </c>
      <c r="CU746" s="659"/>
      <c r="CW746" s="671">
        <v>61</v>
      </c>
      <c r="CY746" s="656" t="str">
        <f t="shared" ref="CY746:DO746" ca="1" si="392">INDIRECT($CX$1&amp;CY$1&amp;$CW746)</f>
        <v>Brennstoffgew.
für Prozesse</v>
      </c>
      <c r="CZ746" s="656">
        <f t="shared" ca="1" si="392"/>
        <v>0</v>
      </c>
      <c r="DA746" s="656">
        <f t="shared" ca="1" si="392"/>
        <v>10.254559182513647</v>
      </c>
      <c r="DB746" s="656">
        <f t="shared" ca="1" si="392"/>
        <v>35</v>
      </c>
      <c r="DC746" s="656" t="str">
        <f t="shared" ca="1" si="392"/>
        <v xml:space="preserve"> 235</v>
      </c>
      <c r="DD746" s="656" t="str">
        <f t="shared" ca="1" si="392"/>
        <v xml:space="preserve"> 236</v>
      </c>
      <c r="DE746" s="656" t="str">
        <f t="shared" ca="1" si="392"/>
        <v>Ho99</v>
      </c>
      <c r="DF746" s="656" t="str">
        <f t="shared" ca="1" si="392"/>
        <v>Ho36</v>
      </c>
      <c r="DG746" s="656" t="str">
        <f t="shared" ca="1" si="392"/>
        <v>Ho</v>
      </c>
      <c r="DH746" s="656" t="str">
        <f t="shared" ca="1" si="392"/>
        <v>99</v>
      </c>
      <c r="DI746" s="656" t="str">
        <f t="shared" ca="1" si="392"/>
        <v>[Ho.xls]TEXT!Z99S5</v>
      </c>
      <c r="DJ746" s="656" t="str">
        <f t="shared" ca="1" si="392"/>
        <v>Ho</v>
      </c>
      <c r="DK746" s="656" t="str">
        <f t="shared" ca="1" si="392"/>
        <v>36</v>
      </c>
      <c r="DL746" s="656" t="str">
        <f t="shared" ca="1" si="392"/>
        <v>[Ho.xls]TEXT!Z36S5</v>
      </c>
      <c r="DM746" s="656">
        <f t="shared" ca="1" si="392"/>
        <v>61</v>
      </c>
      <c r="DN746" s="656" t="str">
        <f t="shared" ca="1" si="392"/>
        <v>[Region.xls]PARAMETER!Z235S6</v>
      </c>
      <c r="DO746" s="656" t="str">
        <f t="shared" ca="1" si="392"/>
        <v>[Region.xls]PARAMETER!Z236S6</v>
      </c>
      <c r="DP746" s="656"/>
      <c r="DS746" s="656"/>
      <c r="DV746" s="656"/>
      <c r="DW746" s="656"/>
      <c r="DX746" s="656"/>
      <c r="DY746" s="656"/>
      <c r="DZ746" s="656"/>
      <c r="EA746" s="656"/>
      <c r="EB746" s="656"/>
      <c r="EC746" s="656"/>
      <c r="ED746" s="656"/>
      <c r="EE746" s="656"/>
      <c r="EF746" s="656"/>
      <c r="EG746" s="656"/>
      <c r="EH746" s="656"/>
      <c r="EI746" s="656"/>
      <c r="EJ746" s="656"/>
      <c r="EK746" s="656"/>
      <c r="EV746" s="819">
        <f t="shared" si="386"/>
        <v>746</v>
      </c>
      <c r="EW746" s="819"/>
    </row>
    <row r="747" spans="1:153" s="656" customFormat="1" ht="16">
      <c r="A747" s="654" t="str">
        <f t="shared" ca="1" si="384"/>
        <v>D.1.747</v>
      </c>
      <c r="B747" s="654" t="str">
        <f t="shared" ca="1" si="385"/>
        <v>1.747</v>
      </c>
      <c r="C747" s="654" t="str">
        <f t="shared" si="376"/>
        <v>[747]</v>
      </c>
      <c r="D747" s="654">
        <f>ROW()</f>
        <v>747</v>
      </c>
      <c r="E747" s="1130" t="str">
        <f ca="1">CU747</f>
        <v>- STATUS-Ansatz: Gemäß Arbeitsgemeinschaft Energiebilanzen [9.28] für das Jahr 2012, Aufbereitung siehe [7.90].</v>
      </c>
      <c r="F747" s="1130"/>
      <c r="G747" s="1130"/>
      <c r="H747" s="1130"/>
      <c r="I747" s="1130"/>
      <c r="J747" s="1130"/>
      <c r="K747" s="1130"/>
      <c r="L747" s="1130"/>
      <c r="M747" s="1130"/>
      <c r="N747" s="1131"/>
      <c r="O747" s="869">
        <v>741</v>
      </c>
      <c r="P747" s="691" t="str">
        <f ca="1">HYPERLINK(EK747,EJ747)</f>
        <v>9.28</v>
      </c>
      <c r="Q747" s="646" t="str">
        <f ca="1">IF(Y747="&gt;",HYPERLINK(EO747,EN747),Y747)</f>
        <v>7.90</v>
      </c>
      <c r="R747" s="852"/>
      <c r="S747" s="784"/>
      <c r="T747" s="864"/>
      <c r="U747" s="1023" t="str">
        <f ca="1">"Gemäß Arbeitsgemeinschaft Energiebilanzen ["&amp;P747&amp;"] für das Jahr 2012, Aufbereitung siehe ["&amp;Q747&amp;"]."</f>
        <v>Gemäß Arbeitsgemeinschaft Energiebilanzen [9.28] für das Jahr 2012, Aufbereitung siehe [7.90].</v>
      </c>
      <c r="V747" s="905" t="s">
        <v>126</v>
      </c>
      <c r="W747" s="1097">
        <f>'7.VerbrauchStatus'!K90</f>
        <v>67.291728676786718</v>
      </c>
      <c r="X747" s="672">
        <f>'9.Quellen'!C$28</f>
        <v>28</v>
      </c>
      <c r="Y747" s="672" t="s">
        <v>479</v>
      </c>
      <c r="Z747" s="672">
        <f>'7.VerbrauchStatus'!D90</f>
        <v>90</v>
      </c>
      <c r="AA747" s="658"/>
      <c r="AB747" s="801"/>
      <c r="AC747" s="801"/>
      <c r="AD747" s="801"/>
      <c r="AE747" s="801"/>
      <c r="AF747" s="801"/>
      <c r="AG747" s="801"/>
      <c r="AH747" s="801"/>
      <c r="AI747" s="801"/>
      <c r="AJ747" s="801"/>
      <c r="AK747" s="801"/>
      <c r="AL747" s="801"/>
      <c r="AM747" s="801"/>
      <c r="AN747" s="801"/>
      <c r="AO747" s="801"/>
      <c r="AP747" s="801"/>
      <c r="AQ747" s="801"/>
      <c r="AR747" s="801"/>
      <c r="AS747" s="801"/>
      <c r="AT747" s="801"/>
      <c r="AU747" s="801"/>
      <c r="AV747" s="801"/>
      <c r="AY747" s="656">
        <f ca="1">AY746/AY$246%</f>
        <v>14.091645358575692</v>
      </c>
      <c r="BA747" s="656">
        <f ca="1">BA746/BA$246%</f>
        <v>100</v>
      </c>
      <c r="BF747" s="657"/>
      <c r="BI747" s="656" t="s">
        <v>126</v>
      </c>
      <c r="BJ747" s="666"/>
      <c r="BO747" s="656" t="s">
        <v>259</v>
      </c>
      <c r="CU747" s="663" t="str">
        <f ca="1">CG$1&amp;IF(U747="",BF747,U747)</f>
        <v>- STATUS-Ansatz: Gemäß Arbeitsgemeinschaft Energiebilanzen [9.28] für das Jahr 2012, Aufbereitung siehe [7.90].</v>
      </c>
      <c r="CW747" s="663"/>
      <c r="DT747" s="671">
        <f>I_Basisdaten!A299</f>
        <v>0</v>
      </c>
      <c r="EJ747" s="656" t="str">
        <f ca="1">IF(X747=0,"",EJ$1&amp;X747)</f>
        <v>9.28</v>
      </c>
      <c r="EK747" s="656" t="str">
        <f ca="1">EK$1&amp;X747</f>
        <v>[D_Python.xlsx]9.Quellen!C28</v>
      </c>
      <c r="EN747" s="656" t="str">
        <f ca="1">IF(Z747=0,"",EN$1&amp;Z747)</f>
        <v>7.90</v>
      </c>
      <c r="EO747" s="656" t="str">
        <f ca="1">EO$1&amp;Z747</f>
        <v>[D_Python.xlsx]7.VerbrauchStatus!D90</v>
      </c>
      <c r="EV747" s="819">
        <f t="shared" ca="1" si="386"/>
        <v>747</v>
      </c>
      <c r="EW747" s="819"/>
    </row>
    <row r="748" spans="1:153" s="661" customFormat="1" ht="4">
      <c r="A748" s="677" t="str">
        <f t="shared" ca="1" si="384"/>
        <v>D.1.748</v>
      </c>
      <c r="B748" s="677" t="str">
        <f t="shared" ca="1" si="385"/>
        <v>1.748</v>
      </c>
      <c r="C748" s="677" t="str">
        <f t="shared" si="376"/>
        <v>[748]</v>
      </c>
      <c r="D748" s="677">
        <f>ROW()</f>
        <v>748</v>
      </c>
      <c r="E748" s="680"/>
      <c r="F748" s="680"/>
      <c r="G748" s="680"/>
      <c r="H748" s="680"/>
      <c r="I748" s="679"/>
      <c r="J748" s="679"/>
      <c r="K748" s="679"/>
      <c r="L748" s="679"/>
      <c r="M748" s="679"/>
      <c r="N748" s="680"/>
      <c r="O748" s="871">
        <v>742</v>
      </c>
      <c r="P748" s="688"/>
      <c r="Q748" s="689"/>
      <c r="R748" s="888"/>
      <c r="S748" s="802"/>
      <c r="T748" s="882"/>
      <c r="W748" s="606"/>
      <c r="AB748" s="675"/>
      <c r="AC748" s="675"/>
      <c r="AD748" s="675"/>
      <c r="AE748" s="675"/>
      <c r="AF748" s="675"/>
      <c r="AG748" s="675"/>
      <c r="AH748" s="675"/>
      <c r="AI748" s="675"/>
      <c r="AJ748" s="675"/>
      <c r="AK748" s="675"/>
      <c r="AL748" s="675"/>
      <c r="AM748" s="675"/>
      <c r="AN748" s="675"/>
      <c r="AO748" s="675"/>
      <c r="AP748" s="675"/>
      <c r="AQ748" s="675"/>
      <c r="AR748" s="675"/>
      <c r="AS748" s="675"/>
      <c r="AT748" s="675"/>
      <c r="AU748" s="675"/>
      <c r="AV748" s="675"/>
      <c r="BI748" s="661" t="s">
        <v>126</v>
      </c>
      <c r="BJ748" s="665"/>
      <c r="CU748" s="662"/>
      <c r="CW748" s="662"/>
      <c r="EV748" s="818" t="str">
        <f t="shared" si="386"/>
        <v/>
      </c>
      <c r="EW748" s="818"/>
    </row>
    <row r="749" spans="1:153" s="656" customFormat="1" ht="39">
      <c r="A749" s="654" t="str">
        <f t="shared" ca="1" si="384"/>
        <v>D.1.749</v>
      </c>
      <c r="B749" s="654" t="str">
        <f t="shared" ca="1" si="385"/>
        <v>1.749</v>
      </c>
      <c r="C749" s="654" t="str">
        <f t="shared" si="376"/>
        <v>[749]</v>
      </c>
      <c r="D749" s="654">
        <f>ROW()</f>
        <v>749</v>
      </c>
      <c r="E749" s="1125" t="str">
        <f t="shared" ref="E749" si="393">CU749</f>
        <v>- ZIEL-Ansatz: Dient als Berechnungsgrundlage für das (fiktive) künftige Bedarfsniveau im Anwendungsbereich Gebäudewärme im Sektor Haushalte, das sich ohne Volumen-, Effizienz-und Energiemix-Änderungen einstellen würde. Der Status-Ansatz wird methodisch bedingt unverändert übernommen.</v>
      </c>
      <c r="F749" s="1125"/>
      <c r="G749" s="1125"/>
      <c r="H749" s="1125"/>
      <c r="I749" s="1125"/>
      <c r="J749" s="1125"/>
      <c r="K749" s="1125"/>
      <c r="L749" s="1125"/>
      <c r="M749" s="1125"/>
      <c r="N749" s="1132"/>
      <c r="O749" s="869">
        <v>743</v>
      </c>
      <c r="P749" s="691" t="str">
        <f ca="1">HYPERLINK(EK749,EJ749)</f>
        <v/>
      </c>
      <c r="Q749" s="692" t="str">
        <f>Y749</f>
        <v xml:space="preserve"> </v>
      </c>
      <c r="R749" s="852"/>
      <c r="S749" s="784"/>
      <c r="T749" s="864"/>
      <c r="U749" s="1023" t="s">
        <v>777</v>
      </c>
      <c r="V749" s="905" t="s">
        <v>126</v>
      </c>
      <c r="W749" s="1097">
        <f>W747</f>
        <v>67.291728676786718</v>
      </c>
      <c r="X749" s="672"/>
      <c r="Y749" s="672" t="s">
        <v>126</v>
      </c>
      <c r="Z749" s="1025"/>
      <c r="AA749" s="905"/>
      <c r="AB749" s="801"/>
      <c r="AC749" s="801"/>
      <c r="AD749" s="801"/>
      <c r="AE749" s="801"/>
      <c r="AF749" s="801"/>
      <c r="AG749" s="801"/>
      <c r="AH749" s="801"/>
      <c r="AI749" s="801"/>
      <c r="AJ749" s="801"/>
      <c r="AK749" s="801"/>
      <c r="AL749" s="801"/>
      <c r="AM749" s="801"/>
      <c r="AN749" s="801"/>
      <c r="AO749" s="801"/>
      <c r="AP749" s="801"/>
      <c r="AQ749" s="801"/>
      <c r="AR749" s="801"/>
      <c r="AS749" s="801"/>
      <c r="AT749" s="801"/>
      <c r="AU749" s="801"/>
      <c r="AV749" s="801"/>
      <c r="BF749" s="657"/>
      <c r="BI749" s="656" t="s">
        <v>126</v>
      </c>
      <c r="BJ749" s="666"/>
      <c r="BO749" s="656" t="s">
        <v>259</v>
      </c>
      <c r="CU749" s="663" t="str">
        <f>CH$1&amp;IF(U749="",BF749,U749)</f>
        <v>- ZIEL-Ansatz: Dient als Berechnungsgrundlage für das (fiktive) künftige Bedarfsniveau im Anwendungsbereich Gebäudewärme im Sektor Haushalte, das sich ohne Volumen-, Effizienz-und Energiemix-Änderungen einstellen würde. Der Status-Ansatz wird methodisch bedingt unverändert übernommen.</v>
      </c>
      <c r="CW749" s="663"/>
      <c r="DT749" s="671">
        <v>53</v>
      </c>
      <c r="EJ749" s="656" t="str">
        <f>IF(X749=0,"",EJ$1&amp;X749)</f>
        <v/>
      </c>
      <c r="EK749" s="656" t="str">
        <f ca="1">EK$1&amp;X749</f>
        <v>[D_Python.xlsx]9.Quellen!C</v>
      </c>
      <c r="EV749" s="819">
        <f t="shared" si="386"/>
        <v>749</v>
      </c>
      <c r="EW749" s="819"/>
    </row>
    <row r="750" spans="1:153" s="661" customFormat="1" ht="4">
      <c r="A750" s="677" t="str">
        <f t="shared" ca="1" si="384"/>
        <v>D.1.750</v>
      </c>
      <c r="B750" s="677" t="str">
        <f t="shared" ca="1" si="385"/>
        <v>1.750</v>
      </c>
      <c r="C750" s="677" t="str">
        <f t="shared" si="376"/>
        <v>[750]</v>
      </c>
      <c r="D750" s="677">
        <f>ROW()</f>
        <v>750</v>
      </c>
      <c r="E750" s="685"/>
      <c r="F750" s="685"/>
      <c r="G750" s="685"/>
      <c r="H750" s="685"/>
      <c r="I750" s="686"/>
      <c r="J750" s="686"/>
      <c r="K750" s="686"/>
      <c r="L750" s="686"/>
      <c r="M750" s="686"/>
      <c r="N750" s="685"/>
      <c r="O750" s="871">
        <v>744</v>
      </c>
      <c r="P750" s="693"/>
      <c r="Q750" s="694"/>
      <c r="R750" s="888"/>
      <c r="S750" s="802"/>
      <c r="T750" s="882"/>
      <c r="AB750" s="675"/>
      <c r="AC750" s="675"/>
      <c r="AD750" s="675"/>
      <c r="AE750" s="675"/>
      <c r="AF750" s="675"/>
      <c r="AG750" s="675"/>
      <c r="AH750" s="675"/>
      <c r="AI750" s="675"/>
      <c r="AJ750" s="675"/>
      <c r="AK750" s="675"/>
      <c r="AL750" s="675"/>
      <c r="AM750" s="675"/>
      <c r="AN750" s="675"/>
      <c r="AO750" s="675"/>
      <c r="AP750" s="675"/>
      <c r="AQ750" s="675"/>
      <c r="AR750" s="675"/>
      <c r="AS750" s="675"/>
      <c r="AT750" s="675"/>
      <c r="AU750" s="675"/>
      <c r="AV750" s="675"/>
      <c r="AZ750" s="669"/>
      <c r="BB750" s="669"/>
      <c r="BI750" s="661" t="s">
        <v>126</v>
      </c>
      <c r="BJ750" s="665"/>
      <c r="CU750" s="662"/>
      <c r="CW750" s="662"/>
      <c r="EV750" s="818" t="str">
        <f t="shared" si="386"/>
        <v/>
      </c>
      <c r="EW750" s="818"/>
    </row>
    <row r="751" spans="1:153" s="658" customFormat="1" ht="13.5" customHeight="1">
      <c r="A751" s="654" t="str">
        <f t="shared" ca="1" si="384"/>
        <v>D.1.751</v>
      </c>
      <c r="B751" s="654" t="str">
        <f t="shared" ca="1" si="385"/>
        <v>1.751</v>
      </c>
      <c r="C751" s="654" t="str">
        <f t="shared" si="376"/>
        <v>[751]</v>
      </c>
      <c r="D751" s="654">
        <f>ROW()</f>
        <v>751</v>
      </c>
      <c r="E751" s="1129" t="str">
        <f>BP751</f>
        <v>Wohnfläche pro Person</v>
      </c>
      <c r="F751" s="1129"/>
      <c r="G751" s="1129"/>
      <c r="H751" s="1129"/>
      <c r="I751" s="1129"/>
      <c r="J751" s="559" t="s">
        <v>676</v>
      </c>
      <c r="K751" s="605">
        <f ca="1">INDIRECT($W$1&amp;U751)</f>
        <v>43.222000000000001</v>
      </c>
      <c r="L751" s="697" t="str">
        <f ca="1">HYPERLINK($CK$1&amp;U751,$CE$1&amp;U751&amp;$CF$1)</f>
        <v>[752]</v>
      </c>
      <c r="M751" s="683">
        <f ca="1">INDIRECT($W$1&amp;W751)</f>
        <v>43.222000000000001</v>
      </c>
      <c r="N751" s="681" t="str">
        <f ca="1">HYPERLINK($CK$1&amp;W751,$CE$1&amp;W751&amp;$CF$1)</f>
        <v>[754]</v>
      </c>
      <c r="O751" s="869">
        <v>745</v>
      </c>
      <c r="P751" s="690"/>
      <c r="Q751" s="695"/>
      <c r="R751" s="852"/>
      <c r="S751" s="784"/>
      <c r="T751" s="864"/>
      <c r="U751" s="672">
        <f>D752</f>
        <v>752</v>
      </c>
      <c r="V751" s="905" t="s">
        <v>126</v>
      </c>
      <c r="W751" s="672">
        <f>D754</f>
        <v>754</v>
      </c>
      <c r="AB751" s="801"/>
      <c r="AC751" s="801"/>
      <c r="AD751" s="674"/>
      <c r="AE751" s="674"/>
      <c r="AF751" s="674"/>
      <c r="AG751" s="674"/>
      <c r="AH751" s="674"/>
      <c r="AI751" s="674"/>
      <c r="AJ751" s="674"/>
      <c r="AK751" s="674"/>
      <c r="AL751" s="674"/>
      <c r="AM751" s="674"/>
      <c r="AN751" s="674"/>
      <c r="AO751" s="674"/>
      <c r="AP751" s="674"/>
      <c r="AQ751" s="674"/>
      <c r="AR751" s="674"/>
      <c r="AS751" s="674"/>
      <c r="AT751" s="674"/>
      <c r="AU751" s="674"/>
      <c r="AV751" s="674"/>
      <c r="AX751" s="658" t="s">
        <v>244</v>
      </c>
      <c r="AY751" s="668">
        <f ca="1">DA751</f>
        <v>10.254559182513647</v>
      </c>
      <c r="AZ751" s="670" t="str">
        <f ca="1">HYPERLINK(DN751,DC751)</f>
        <v xml:space="preserve"> 235</v>
      </c>
      <c r="BA751" s="668">
        <f ca="1">DB751</f>
        <v>35</v>
      </c>
      <c r="BB751" s="670" t="str">
        <f ca="1">HYPERLINK(DO751,DD751)</f>
        <v xml:space="preserve"> 236</v>
      </c>
      <c r="BC751" s="658" t="str">
        <f ca="1">CY751&amp;" | "&amp;CZ751</f>
        <v>Brennstoffgew.
für Prozesse | 0</v>
      </c>
      <c r="BI751" s="658" t="s">
        <v>126</v>
      </c>
      <c r="BJ751" s="667" t="str">
        <f>E751</f>
        <v>Wohnfläche pro Person</v>
      </c>
      <c r="BK751" s="664">
        <f ca="1">K751</f>
        <v>43.222000000000001</v>
      </c>
      <c r="BL751" s="664">
        <f ca="1">M751</f>
        <v>43.222000000000001</v>
      </c>
      <c r="BM751" s="656">
        <f>D751</f>
        <v>751</v>
      </c>
      <c r="BO751" s="658" t="s">
        <v>251</v>
      </c>
      <c r="BP751" s="676" t="s">
        <v>675</v>
      </c>
      <c r="CU751" s="659"/>
      <c r="CW751" s="671">
        <v>61</v>
      </c>
      <c r="CY751" s="656" t="str">
        <f t="shared" ref="CY751:DO751" ca="1" si="394">INDIRECT($CX$1&amp;CY$1&amp;$CW751)</f>
        <v>Brennstoffgew.
für Prozesse</v>
      </c>
      <c r="CZ751" s="656">
        <f t="shared" ca="1" si="394"/>
        <v>0</v>
      </c>
      <c r="DA751" s="656">
        <f t="shared" ca="1" si="394"/>
        <v>10.254559182513647</v>
      </c>
      <c r="DB751" s="656">
        <f t="shared" ca="1" si="394"/>
        <v>35</v>
      </c>
      <c r="DC751" s="656" t="str">
        <f t="shared" ca="1" si="394"/>
        <v xml:space="preserve"> 235</v>
      </c>
      <c r="DD751" s="656" t="str">
        <f t="shared" ca="1" si="394"/>
        <v xml:space="preserve"> 236</v>
      </c>
      <c r="DE751" s="656" t="str">
        <f t="shared" ca="1" si="394"/>
        <v>Ho99</v>
      </c>
      <c r="DF751" s="656" t="str">
        <f t="shared" ca="1" si="394"/>
        <v>Ho36</v>
      </c>
      <c r="DG751" s="656" t="str">
        <f t="shared" ca="1" si="394"/>
        <v>Ho</v>
      </c>
      <c r="DH751" s="656" t="str">
        <f t="shared" ca="1" si="394"/>
        <v>99</v>
      </c>
      <c r="DI751" s="656" t="str">
        <f t="shared" ca="1" si="394"/>
        <v>[Ho.xls]TEXT!Z99S5</v>
      </c>
      <c r="DJ751" s="656" t="str">
        <f t="shared" ca="1" si="394"/>
        <v>Ho</v>
      </c>
      <c r="DK751" s="656" t="str">
        <f t="shared" ca="1" si="394"/>
        <v>36</v>
      </c>
      <c r="DL751" s="656" t="str">
        <f t="shared" ca="1" si="394"/>
        <v>[Ho.xls]TEXT!Z36S5</v>
      </c>
      <c r="DM751" s="656">
        <f t="shared" ca="1" si="394"/>
        <v>61</v>
      </c>
      <c r="DN751" s="656" t="str">
        <f t="shared" ca="1" si="394"/>
        <v>[Region.xls]PARAMETER!Z235S6</v>
      </c>
      <c r="DO751" s="656" t="str">
        <f t="shared" ca="1" si="394"/>
        <v>[Region.xls]PARAMETER!Z236S6</v>
      </c>
      <c r="DP751" s="656"/>
      <c r="DS751" s="656"/>
      <c r="DV751" s="656"/>
      <c r="DW751" s="656"/>
      <c r="DX751" s="656"/>
      <c r="DY751" s="656"/>
      <c r="DZ751" s="656"/>
      <c r="EA751" s="656"/>
      <c r="EB751" s="656"/>
      <c r="EC751" s="656"/>
      <c r="ED751" s="656"/>
      <c r="EE751" s="656"/>
      <c r="EF751" s="656"/>
      <c r="EG751" s="656"/>
      <c r="EH751" s="656"/>
      <c r="EI751" s="656"/>
      <c r="EJ751" s="656"/>
      <c r="EK751" s="656"/>
      <c r="EV751" s="819">
        <f t="shared" si="386"/>
        <v>751</v>
      </c>
      <c r="EW751" s="819"/>
    </row>
    <row r="752" spans="1:153" s="656" customFormat="1" ht="26">
      <c r="A752" s="654" t="str">
        <f t="shared" ca="1" si="384"/>
        <v>D.1.752</v>
      </c>
      <c r="B752" s="654" t="str">
        <f t="shared" ca="1" si="385"/>
        <v>1.752</v>
      </c>
      <c r="C752" s="654" t="str">
        <f t="shared" si="376"/>
        <v>[752]</v>
      </c>
      <c r="D752" s="654">
        <f>ROW()</f>
        <v>752</v>
      </c>
      <c r="E752" s="1130" t="str">
        <f ca="1">CU752</f>
        <v>- STATUS-Ansatz: 43,2 qm/Kopf  resultieren aus einer linearen Interpolation der angegebenen Werte von 42,0 für 2010 und 44,11 für 2015 gemäß BMU Leitstudie 2011 [9.60], S. 47.</v>
      </c>
      <c r="F752" s="1130"/>
      <c r="G752" s="1130"/>
      <c r="H752" s="1130"/>
      <c r="I752" s="1130"/>
      <c r="J752" s="1130"/>
      <c r="K752" s="1130"/>
      <c r="L752" s="1130"/>
      <c r="M752" s="1130"/>
      <c r="N752" s="1130"/>
      <c r="O752" s="869">
        <v>746</v>
      </c>
      <c r="P752" s="691" t="str">
        <f ca="1">HYPERLINK(EK752,EJ752)</f>
        <v>9.60</v>
      </c>
      <c r="Q752" s="692" t="str">
        <f>Y752</f>
        <v>S. 47</v>
      </c>
      <c r="R752" s="852"/>
      <c r="S752" s="784"/>
      <c r="T752" s="864"/>
      <c r="U752" s="1023" t="str">
        <f ca="1">TEXT(AD752,"0,0")&amp;AE752&amp;" resultieren aus einer linearen Interpolation der angegebenen Werte von 42,0 für 2010 und 44,11 für 2015 gemäß BMU Leitstudie 2011 ["&amp;P752&amp;"], "&amp;Q752&amp;"."</f>
        <v>43,2 qm/Kopf  resultieren aus einer linearen Interpolation der angegebenen Werte von 42,0 für 2010 und 44,11 für 2015 gemäß BMU Leitstudie 2011 [9.60], S. 47.</v>
      </c>
      <c r="V752" s="905" t="s">
        <v>126</v>
      </c>
      <c r="W752" s="1095">
        <f>AD752</f>
        <v>43.222000000000001</v>
      </c>
      <c r="X752" s="672">
        <f>'9.Quellen'!C$60</f>
        <v>60</v>
      </c>
      <c r="Y752" s="672" t="s">
        <v>500</v>
      </c>
      <c r="Z752" s="1025"/>
      <c r="AA752" s="658"/>
      <c r="AB752" s="801"/>
      <c r="AC752" s="801"/>
      <c r="AD752" s="801">
        <f>(44.11-42.63)/5*2+42.63</f>
        <v>43.222000000000001</v>
      </c>
      <c r="AE752" s="801" t="s">
        <v>767</v>
      </c>
      <c r="AF752" s="801"/>
      <c r="AG752" s="801"/>
      <c r="AH752" s="801"/>
      <c r="AI752" s="801"/>
      <c r="AJ752" s="801"/>
      <c r="AK752" s="801"/>
      <c r="AL752" s="801"/>
      <c r="AM752" s="801"/>
      <c r="AN752" s="801"/>
      <c r="AO752" s="801"/>
      <c r="AP752" s="801"/>
      <c r="AQ752" s="801"/>
      <c r="AR752" s="801"/>
      <c r="AS752" s="801"/>
      <c r="AT752" s="801"/>
      <c r="AU752" s="801"/>
      <c r="AV752" s="801"/>
      <c r="AY752" s="656">
        <f ca="1">AY751/AY$246%</f>
        <v>14.091645358575692</v>
      </c>
      <c r="BA752" s="656">
        <f ca="1">BA751/BA$246%</f>
        <v>100</v>
      </c>
      <c r="BF752" s="657"/>
      <c r="BI752" s="656" t="s">
        <v>126</v>
      </c>
      <c r="BJ752" s="666"/>
      <c r="BO752" s="656" t="s">
        <v>259</v>
      </c>
      <c r="CU752" s="663" t="str">
        <f ca="1">CG$1&amp;IF(U752="",BF752,U752)</f>
        <v>- STATUS-Ansatz: 43,2 qm/Kopf  resultieren aus einer linearen Interpolation der angegebenen Werte von 42,0 für 2010 und 44,11 für 2015 gemäß BMU Leitstudie 2011 [9.60], S. 47.</v>
      </c>
      <c r="CW752" s="663"/>
      <c r="DT752" s="671">
        <f>I_Basisdaten!A315</f>
        <v>0</v>
      </c>
      <c r="EJ752" s="656" t="str">
        <f ca="1">IF(X752=0,"",EJ$1&amp;X752)</f>
        <v>9.60</v>
      </c>
      <c r="EK752" s="656" t="str">
        <f ca="1">EK$1&amp;X752</f>
        <v>[D_Python.xlsx]9.Quellen!C60</v>
      </c>
      <c r="EV752" s="819">
        <f t="shared" ca="1" si="386"/>
        <v>752</v>
      </c>
      <c r="EW752" s="819"/>
    </row>
    <row r="753" spans="1:153" s="661" customFormat="1" ht="13">
      <c r="A753" s="677" t="str">
        <f t="shared" ca="1" si="384"/>
        <v>D.1.753</v>
      </c>
      <c r="B753" s="677" t="str">
        <f t="shared" ca="1" si="385"/>
        <v>1.753</v>
      </c>
      <c r="C753" s="677" t="str">
        <f t="shared" si="376"/>
        <v>[753]</v>
      </c>
      <c r="D753" s="677">
        <f>ROW()</f>
        <v>753</v>
      </c>
      <c r="E753" s="680"/>
      <c r="F753" s="680"/>
      <c r="G753" s="680"/>
      <c r="H753" s="680"/>
      <c r="I753" s="679"/>
      <c r="J753" s="679"/>
      <c r="K753" s="679"/>
      <c r="L753" s="679"/>
      <c r="M753" s="679"/>
      <c r="N753" s="680"/>
      <c r="O753" s="871">
        <v>747</v>
      </c>
      <c r="P753" s="688"/>
      <c r="Q753" s="689"/>
      <c r="R753" s="888"/>
      <c r="S753" s="802"/>
      <c r="T753" s="864"/>
      <c r="W753" s="606"/>
      <c r="AB753" s="675"/>
      <c r="AC753" s="675"/>
      <c r="AD753" s="675"/>
      <c r="AE753" s="675"/>
      <c r="AF753" s="675"/>
      <c r="AG753" s="675"/>
      <c r="AH753" s="675"/>
      <c r="AI753" s="675"/>
      <c r="AJ753" s="675"/>
      <c r="AK753" s="675"/>
      <c r="AL753" s="675"/>
      <c r="AM753" s="675"/>
      <c r="AN753" s="675"/>
      <c r="AO753" s="675"/>
      <c r="AP753" s="675"/>
      <c r="AQ753" s="675"/>
      <c r="AR753" s="675"/>
      <c r="AS753" s="675"/>
      <c r="AT753" s="675"/>
      <c r="AU753" s="675"/>
      <c r="AV753" s="675"/>
      <c r="BI753" s="661" t="s">
        <v>126</v>
      </c>
      <c r="BJ753" s="665"/>
      <c r="CU753" s="662"/>
      <c r="CW753" s="662"/>
      <c r="EV753" s="818" t="str">
        <f t="shared" si="386"/>
        <v/>
      </c>
      <c r="EW753" s="818"/>
    </row>
    <row r="754" spans="1:153" s="656" customFormat="1" ht="39">
      <c r="A754" s="654" t="str">
        <f t="shared" ca="1" si="384"/>
        <v>D.1.754</v>
      </c>
      <c r="B754" s="654" t="str">
        <f t="shared" ca="1" si="385"/>
        <v>1.754</v>
      </c>
      <c r="C754" s="654" t="str">
        <f t="shared" si="376"/>
        <v>[754]</v>
      </c>
      <c r="D754" s="654">
        <f>ROW()</f>
        <v>754</v>
      </c>
      <c r="E754" s="1125" t="str">
        <f t="shared" ref="E754" ca="1" si="395">CU754</f>
        <v>- ZIEL-Ansatz: Abweichend vom Ansatz im Niedersachsen-Szenario wird hier davon ausgegangen, dass sich die Wohnfläche pro Person nicht weiter erhöht. 
Dort wurde eine Erhöhung auf 49,1 qm/Kopf  gemäß BMU Leitstudie 2011 [9.60], S. 47 angenommen.</v>
      </c>
      <c r="F754" s="1125"/>
      <c r="G754" s="1125"/>
      <c r="H754" s="1125"/>
      <c r="I754" s="1125"/>
      <c r="J754" s="1125"/>
      <c r="K754" s="1125"/>
      <c r="L754" s="1125"/>
      <c r="M754" s="1125"/>
      <c r="N754" s="1132"/>
      <c r="O754" s="869">
        <v>748</v>
      </c>
      <c r="P754" s="691" t="str">
        <f ca="1">HYPERLINK(EK754,EJ754)</f>
        <v>9.60</v>
      </c>
      <c r="Q754" s="692" t="str">
        <f>Y754</f>
        <v>S. 47</v>
      </c>
      <c r="R754" s="852"/>
      <c r="S754" s="784"/>
      <c r="T754" s="864"/>
      <c r="U754" s="1023" t="str">
        <f ca="1">"Abweichend vom Ansatz im Niedersachsen-Szenario wird hier davon ausgegangen, dass sich die Wohnfläche pro Person nicht weiter erhöht. 
Dort wurde eine Erhöhung auf "&amp;AD754&amp;AE754&amp;" gemäß BMU Leitstudie 2011 ["&amp;P754&amp;"], "&amp;Q754&amp;" angenommen."</f>
        <v>Abweichend vom Ansatz im Niedersachsen-Szenario wird hier davon ausgegangen, dass sich die Wohnfläche pro Person nicht weiter erhöht. 
Dort wurde eine Erhöhung auf 49,1 qm/Kopf  gemäß BMU Leitstudie 2011 [9.60], S. 47 angenommen.</v>
      </c>
      <c r="V754" s="905" t="s">
        <v>126</v>
      </c>
      <c r="W754" s="1098">
        <v>43.222000000000001</v>
      </c>
      <c r="X754" s="865">
        <f>'9.Quellen'!C$60</f>
        <v>60</v>
      </c>
      <c r="Y754" s="672" t="s">
        <v>500</v>
      </c>
      <c r="Z754" s="1025"/>
      <c r="AA754" s="905"/>
      <c r="AB754" s="801"/>
      <c r="AC754" s="1020"/>
      <c r="AD754" s="801">
        <v>49.1</v>
      </c>
      <c r="AE754" s="801" t="s">
        <v>767</v>
      </c>
      <c r="AF754" s="801"/>
      <c r="AG754" s="801"/>
      <c r="AH754" s="801"/>
      <c r="AI754" s="801"/>
      <c r="AJ754" s="801"/>
      <c r="AK754" s="801"/>
      <c r="AL754" s="801"/>
      <c r="AM754" s="801"/>
      <c r="AN754" s="801"/>
      <c r="AO754" s="801"/>
      <c r="AP754" s="801"/>
      <c r="AQ754" s="801"/>
      <c r="AR754" s="801"/>
      <c r="AS754" s="801"/>
      <c r="AT754" s="801"/>
      <c r="AU754" s="801"/>
      <c r="AV754" s="801"/>
      <c r="BF754" s="657"/>
      <c r="BI754" s="656" t="s">
        <v>126</v>
      </c>
      <c r="BJ754" s="666"/>
      <c r="BO754" s="656" t="s">
        <v>259</v>
      </c>
      <c r="CU754" s="663" t="str">
        <f ca="1">CH$1&amp;IF(U754="",BF754,U754)</f>
        <v>- ZIEL-Ansatz: Abweichend vom Ansatz im Niedersachsen-Szenario wird hier davon ausgegangen, dass sich die Wohnfläche pro Person nicht weiter erhöht. 
Dort wurde eine Erhöhung auf 49,1 qm/Kopf  gemäß BMU Leitstudie 2011 [9.60], S. 47 angenommen.</v>
      </c>
      <c r="CW754" s="663"/>
      <c r="DT754" s="671">
        <v>53</v>
      </c>
      <c r="EJ754" s="656" t="str">
        <f ca="1">IF(X754=0,"",EJ$1&amp;X754)</f>
        <v>9.60</v>
      </c>
      <c r="EK754" s="656" t="str">
        <f ca="1">EK$1&amp;X754</f>
        <v>[D_Python.xlsx]9.Quellen!C60</v>
      </c>
      <c r="EV754" s="819">
        <f t="shared" ca="1" si="386"/>
        <v>754</v>
      </c>
      <c r="EW754" s="819"/>
    </row>
    <row r="755" spans="1:153" s="661" customFormat="1" ht="13">
      <c r="A755" s="677" t="str">
        <f t="shared" ca="1" si="384"/>
        <v>D.1.755</v>
      </c>
      <c r="B755" s="677" t="str">
        <f t="shared" ca="1" si="385"/>
        <v>1.755</v>
      </c>
      <c r="C755" s="677" t="str">
        <f t="shared" si="376"/>
        <v>[755]</v>
      </c>
      <c r="D755" s="677">
        <f>ROW()</f>
        <v>755</v>
      </c>
      <c r="E755" s="685"/>
      <c r="F755" s="685"/>
      <c r="G755" s="685"/>
      <c r="H755" s="685"/>
      <c r="I755" s="686"/>
      <c r="J755" s="686"/>
      <c r="K755" s="686"/>
      <c r="L755" s="686"/>
      <c r="M755" s="686"/>
      <c r="N755" s="685"/>
      <c r="O755" s="871">
        <v>749</v>
      </c>
      <c r="P755" s="693"/>
      <c r="Q755" s="694"/>
      <c r="R755" s="888"/>
      <c r="S755" s="802"/>
      <c r="T755" s="864"/>
      <c r="AB755" s="675"/>
      <c r="AC755" s="675"/>
      <c r="AD755" s="675"/>
      <c r="AE755" s="675"/>
      <c r="AF755" s="675"/>
      <c r="AG755" s="675"/>
      <c r="AH755" s="675"/>
      <c r="AI755" s="675"/>
      <c r="AJ755" s="675"/>
      <c r="AK755" s="675"/>
      <c r="AL755" s="675"/>
      <c r="AM755" s="675"/>
      <c r="AN755" s="675"/>
      <c r="AO755" s="675"/>
      <c r="AP755" s="675"/>
      <c r="AQ755" s="675"/>
      <c r="AR755" s="675"/>
      <c r="AS755" s="675"/>
      <c r="AT755" s="675"/>
      <c r="AU755" s="675"/>
      <c r="AV755" s="675"/>
      <c r="AZ755" s="669"/>
      <c r="BB755" s="669"/>
      <c r="BI755" s="661" t="s">
        <v>126</v>
      </c>
      <c r="BJ755" s="665"/>
      <c r="CU755" s="662"/>
      <c r="CW755" s="662"/>
      <c r="EV755" s="818" t="str">
        <f t="shared" si="386"/>
        <v/>
      </c>
      <c r="EW755" s="818"/>
    </row>
    <row r="756" spans="1:153" s="658" customFormat="1" ht="13.5" customHeight="1">
      <c r="A756" s="654" t="str">
        <f t="shared" ca="1" si="384"/>
        <v>D.1.756</v>
      </c>
      <c r="B756" s="654" t="str">
        <f t="shared" ca="1" si="385"/>
        <v>1.756</v>
      </c>
      <c r="C756" s="654" t="str">
        <f t="shared" si="376"/>
        <v>[756]</v>
      </c>
      <c r="D756" s="654">
        <f>ROW()</f>
        <v>756</v>
      </c>
      <c r="E756" s="1129" t="str">
        <f>BP756</f>
        <v>Anteil GHD + Industrie an GW</v>
      </c>
      <c r="F756" s="1129"/>
      <c r="G756" s="1129"/>
      <c r="H756" s="1129"/>
      <c r="I756" s="1129"/>
      <c r="J756" s="655" t="s">
        <v>38</v>
      </c>
      <c r="K756" s="605">
        <f ca="1">INDIRECT($W$1&amp;U756)</f>
        <v>32.708271323213282</v>
      </c>
      <c r="L756" s="697" t="str">
        <f ca="1">HYPERLINK($CK$1&amp;U756,$CE$1&amp;U756&amp;$CF$1)</f>
        <v>[757]</v>
      </c>
      <c r="M756" s="683">
        <f ca="1">INDIRECT($W$1&amp;W756)</f>
        <v>32.708271323213282</v>
      </c>
      <c r="N756" s="681" t="str">
        <f ca="1">HYPERLINK($CK$1&amp;W756,$CE$1&amp;W756&amp;$CF$1)</f>
        <v>[759]</v>
      </c>
      <c r="O756" s="869">
        <v>750</v>
      </c>
      <c r="P756" s="690"/>
      <c r="Q756" s="695"/>
      <c r="R756" s="852"/>
      <c r="S756" s="784"/>
      <c r="T756" s="864"/>
      <c r="U756" s="672">
        <f>D757</f>
        <v>757</v>
      </c>
      <c r="V756" s="905" t="s">
        <v>126</v>
      </c>
      <c r="W756" s="672">
        <f>D759</f>
        <v>759</v>
      </c>
      <c r="AB756" s="801"/>
      <c r="AC756" s="801"/>
      <c r="AD756" s="674"/>
      <c r="AE756" s="674"/>
      <c r="AF756" s="674"/>
      <c r="AG756" s="674"/>
      <c r="AH756" s="674"/>
      <c r="AI756" s="674"/>
      <c r="AJ756" s="674"/>
      <c r="AK756" s="674"/>
      <c r="AL756" s="674"/>
      <c r="AM756" s="674"/>
      <c r="AN756" s="674"/>
      <c r="AO756" s="674"/>
      <c r="AP756" s="674"/>
      <c r="AQ756" s="674"/>
      <c r="AR756" s="674"/>
      <c r="AS756" s="674"/>
      <c r="AT756" s="674"/>
      <c r="AU756" s="674"/>
      <c r="AV756" s="674"/>
      <c r="AX756" s="658" t="s">
        <v>244</v>
      </c>
      <c r="AY756" s="668">
        <f ca="1">DA756</f>
        <v>10.254559182513647</v>
      </c>
      <c r="AZ756" s="670" t="str">
        <f ca="1">HYPERLINK(DN756,DC756)</f>
        <v xml:space="preserve"> 235</v>
      </c>
      <c r="BA756" s="668">
        <f ca="1">DB756</f>
        <v>35</v>
      </c>
      <c r="BB756" s="670" t="str">
        <f ca="1">HYPERLINK(DO756,DD756)</f>
        <v xml:space="preserve"> 236</v>
      </c>
      <c r="BC756" s="658" t="str">
        <f ca="1">CY756&amp;" | "&amp;CZ756</f>
        <v>Brennstoffgew.
für Prozesse | 0</v>
      </c>
      <c r="BI756" s="658" t="s">
        <v>126</v>
      </c>
      <c r="BJ756" s="667" t="str">
        <f>E756</f>
        <v>Anteil GHD + Industrie an GW</v>
      </c>
      <c r="BK756" s="664">
        <f ca="1">K756</f>
        <v>32.708271323213282</v>
      </c>
      <c r="BL756" s="664">
        <f ca="1">M756</f>
        <v>32.708271323213282</v>
      </c>
      <c r="BM756" s="656">
        <f>D756</f>
        <v>756</v>
      </c>
      <c r="BO756" s="658" t="s">
        <v>251</v>
      </c>
      <c r="BP756" s="676" t="s">
        <v>677</v>
      </c>
      <c r="CU756" s="659"/>
      <c r="CW756" s="671">
        <v>61</v>
      </c>
      <c r="CY756" s="656" t="str">
        <f t="shared" ref="CY756:DO756" ca="1" si="396">INDIRECT($CX$1&amp;CY$1&amp;$CW756)</f>
        <v>Brennstoffgew.
für Prozesse</v>
      </c>
      <c r="CZ756" s="656">
        <f t="shared" ca="1" si="396"/>
        <v>0</v>
      </c>
      <c r="DA756" s="656">
        <f t="shared" ca="1" si="396"/>
        <v>10.254559182513647</v>
      </c>
      <c r="DB756" s="656">
        <f t="shared" ca="1" si="396"/>
        <v>35</v>
      </c>
      <c r="DC756" s="656" t="str">
        <f t="shared" ca="1" si="396"/>
        <v xml:space="preserve"> 235</v>
      </c>
      <c r="DD756" s="656" t="str">
        <f t="shared" ca="1" si="396"/>
        <v xml:space="preserve"> 236</v>
      </c>
      <c r="DE756" s="656" t="str">
        <f t="shared" ca="1" si="396"/>
        <v>Ho99</v>
      </c>
      <c r="DF756" s="656" t="str">
        <f t="shared" ca="1" si="396"/>
        <v>Ho36</v>
      </c>
      <c r="DG756" s="656" t="str">
        <f t="shared" ca="1" si="396"/>
        <v>Ho</v>
      </c>
      <c r="DH756" s="656" t="str">
        <f t="shared" ca="1" si="396"/>
        <v>99</v>
      </c>
      <c r="DI756" s="656" t="str">
        <f t="shared" ca="1" si="396"/>
        <v>[Ho.xls]TEXT!Z99S5</v>
      </c>
      <c r="DJ756" s="656" t="str">
        <f t="shared" ca="1" si="396"/>
        <v>Ho</v>
      </c>
      <c r="DK756" s="656" t="str">
        <f t="shared" ca="1" si="396"/>
        <v>36</v>
      </c>
      <c r="DL756" s="656" t="str">
        <f t="shared" ca="1" si="396"/>
        <v>[Ho.xls]TEXT!Z36S5</v>
      </c>
      <c r="DM756" s="656">
        <f t="shared" ca="1" si="396"/>
        <v>61</v>
      </c>
      <c r="DN756" s="656" t="str">
        <f t="shared" ca="1" si="396"/>
        <v>[Region.xls]PARAMETER!Z235S6</v>
      </c>
      <c r="DO756" s="656" t="str">
        <f t="shared" ca="1" si="396"/>
        <v>[Region.xls]PARAMETER!Z236S6</v>
      </c>
      <c r="DP756" s="656"/>
      <c r="DS756" s="656"/>
      <c r="DV756" s="656"/>
      <c r="DW756" s="656"/>
      <c r="DX756" s="656"/>
      <c r="DY756" s="656"/>
      <c r="DZ756" s="656"/>
      <c r="EA756" s="656"/>
      <c r="EB756" s="656"/>
      <c r="EC756" s="656"/>
      <c r="ED756" s="656"/>
      <c r="EE756" s="656"/>
      <c r="EF756" s="656"/>
      <c r="EG756" s="656"/>
      <c r="EH756" s="656"/>
      <c r="EI756" s="656"/>
      <c r="EJ756" s="656"/>
      <c r="EK756" s="656"/>
      <c r="EV756" s="819">
        <f t="shared" si="386"/>
        <v>756</v>
      </c>
      <c r="EW756" s="819"/>
    </row>
    <row r="757" spans="1:153" s="656" customFormat="1" ht="26">
      <c r="A757" s="654" t="str">
        <f t="shared" ca="1" si="384"/>
        <v>D.1.757</v>
      </c>
      <c r="B757" s="654" t="str">
        <f t="shared" ca="1" si="385"/>
        <v>1.757</v>
      </c>
      <c r="C757" s="654" t="str">
        <f t="shared" si="376"/>
        <v>[757]</v>
      </c>
      <c r="D757" s="654">
        <f>ROW()</f>
        <v>757</v>
      </c>
      <c r="E757" s="1130" t="str">
        <f ca="1">CU757</f>
        <v>- STATUS-Ansatz: Gemäß Arbeitsgemeinschaft Energiebilanzen [9.28] für das Jahr 2012, Aufbereitung siehe [7.91] + [7.92].</v>
      </c>
      <c r="F757" s="1130"/>
      <c r="G757" s="1130"/>
      <c r="H757" s="1130"/>
      <c r="I757" s="1130"/>
      <c r="J757" s="1130"/>
      <c r="K757" s="1130"/>
      <c r="L757" s="1130"/>
      <c r="M757" s="1130"/>
      <c r="N757" s="1131"/>
      <c r="O757" s="869">
        <v>751</v>
      </c>
      <c r="P757" s="691" t="str">
        <f ca="1">HYPERLINK(EK757,EJ757)</f>
        <v>9.28</v>
      </c>
      <c r="Q757" s="646" t="str">
        <f ca="1">IF(Y757="&gt;",HYPERLINK(EO757,EN757),Y757)</f>
        <v>7.91</v>
      </c>
      <c r="R757" s="852"/>
      <c r="S757" s="784"/>
      <c r="T757" s="864"/>
      <c r="U757" s="1023" t="str">
        <f ca="1">"Gemäß Arbeitsgemeinschaft Energiebilanzen ["&amp;P757&amp;"] für das Jahr 2012, Aufbereitung siehe ["&amp;Q757&amp;"] + ["&amp;'7.VerbrauchStatus'!B92&amp;"]."</f>
        <v>Gemäß Arbeitsgemeinschaft Energiebilanzen [9.28] für das Jahr 2012, Aufbereitung siehe [7.91] + [7.92].</v>
      </c>
      <c r="V757" s="905" t="s">
        <v>126</v>
      </c>
      <c r="W757" s="1097">
        <f>'7.VerbrauchStatus'!K91+'7.VerbrauchStatus'!K92</f>
        <v>32.708271323213282</v>
      </c>
      <c r="X757" s="672">
        <f>'9.Quellen'!C$28</f>
        <v>28</v>
      </c>
      <c r="Y757" s="672" t="s">
        <v>479</v>
      </c>
      <c r="Z757" s="672">
        <f>'7.VerbrauchStatus'!D91</f>
        <v>91</v>
      </c>
      <c r="AA757" s="658"/>
      <c r="AB757" s="801"/>
      <c r="AC757" s="801"/>
      <c r="AD757" s="801"/>
      <c r="AE757" s="801"/>
      <c r="AF757" s="801"/>
      <c r="AG757" s="801"/>
      <c r="AH757" s="801"/>
      <c r="AI757" s="801"/>
      <c r="AJ757" s="801"/>
      <c r="AK757" s="801"/>
      <c r="AL757" s="801"/>
      <c r="AM757" s="801"/>
      <c r="AN757" s="801"/>
      <c r="AO757" s="801"/>
      <c r="AP757" s="801"/>
      <c r="AQ757" s="801"/>
      <c r="AR757" s="801"/>
      <c r="AS757" s="801"/>
      <c r="AT757" s="801"/>
      <c r="AU757" s="801"/>
      <c r="AV757" s="801"/>
      <c r="AY757" s="656">
        <f ca="1">AY756/AY$246%</f>
        <v>14.091645358575692</v>
      </c>
      <c r="BA757" s="656">
        <f ca="1">BA756/BA$246%</f>
        <v>100</v>
      </c>
      <c r="BF757" s="657"/>
      <c r="BI757" s="656" t="s">
        <v>126</v>
      </c>
      <c r="BJ757" s="666"/>
      <c r="BO757" s="656" t="s">
        <v>259</v>
      </c>
      <c r="CU757" s="663" t="str">
        <f ca="1">CG$1&amp;IF(U757="",BF757,U757)</f>
        <v>- STATUS-Ansatz: Gemäß Arbeitsgemeinschaft Energiebilanzen [9.28] für das Jahr 2012, Aufbereitung siehe [7.91] + [7.92].</v>
      </c>
      <c r="CW757" s="663"/>
      <c r="DT757" s="671">
        <f>I_Basisdaten!A309</f>
        <v>0</v>
      </c>
      <c r="EJ757" s="656" t="str">
        <f ca="1">IF(X757=0,"",EJ$1&amp;X757)</f>
        <v>9.28</v>
      </c>
      <c r="EK757" s="656" t="str">
        <f ca="1">EK$1&amp;X757</f>
        <v>[D_Python.xlsx]9.Quellen!C28</v>
      </c>
      <c r="EN757" s="656" t="str">
        <f ca="1">IF(Z757=0,"",EN$1&amp;Z757)</f>
        <v>7.91</v>
      </c>
      <c r="EO757" s="656" t="str">
        <f ca="1">EO$1&amp;Z757</f>
        <v>[D_Python.xlsx]7.VerbrauchStatus!D91</v>
      </c>
      <c r="EV757" s="819">
        <f t="shared" ca="1" si="386"/>
        <v>757</v>
      </c>
      <c r="EW757" s="819"/>
    </row>
    <row r="758" spans="1:153" s="661" customFormat="1" ht="4">
      <c r="A758" s="677" t="str">
        <f t="shared" ca="1" si="384"/>
        <v>D.1.758</v>
      </c>
      <c r="B758" s="677" t="str">
        <f t="shared" ca="1" si="385"/>
        <v>1.758</v>
      </c>
      <c r="C758" s="677" t="str">
        <f t="shared" si="376"/>
        <v>[758]</v>
      </c>
      <c r="D758" s="677">
        <f>ROW()</f>
        <v>758</v>
      </c>
      <c r="E758" s="680"/>
      <c r="F758" s="680"/>
      <c r="G758" s="680"/>
      <c r="H758" s="680"/>
      <c r="I758" s="679"/>
      <c r="J758" s="679"/>
      <c r="K758" s="679"/>
      <c r="L758" s="679"/>
      <c r="M758" s="679"/>
      <c r="N758" s="680"/>
      <c r="O758" s="871">
        <v>752</v>
      </c>
      <c r="P758" s="688"/>
      <c r="Q758" s="689"/>
      <c r="R758" s="888"/>
      <c r="S758" s="802"/>
      <c r="T758" s="882"/>
      <c r="W758" s="606"/>
      <c r="AB758" s="675"/>
      <c r="AC758" s="675"/>
      <c r="AD758" s="675"/>
      <c r="AE758" s="675"/>
      <c r="AF758" s="675"/>
      <c r="AG758" s="675"/>
      <c r="AH758" s="675"/>
      <c r="AI758" s="675"/>
      <c r="AJ758" s="675"/>
      <c r="AK758" s="675"/>
      <c r="AL758" s="675"/>
      <c r="AM758" s="675"/>
      <c r="AN758" s="675"/>
      <c r="AO758" s="675"/>
      <c r="AP758" s="675"/>
      <c r="AQ758" s="675"/>
      <c r="AR758" s="675"/>
      <c r="AS758" s="675"/>
      <c r="AT758" s="675"/>
      <c r="AU758" s="675"/>
      <c r="AV758" s="675"/>
      <c r="BI758" s="661" t="s">
        <v>126</v>
      </c>
      <c r="BJ758" s="665"/>
      <c r="CU758" s="662"/>
      <c r="CW758" s="662"/>
      <c r="EV758" s="818" t="str">
        <f t="shared" si="386"/>
        <v/>
      </c>
      <c r="EW758" s="818"/>
    </row>
    <row r="759" spans="1:153" s="656" customFormat="1" ht="39">
      <c r="A759" s="654" t="str">
        <f t="shared" ca="1" si="384"/>
        <v>D.1.759</v>
      </c>
      <c r="B759" s="654" t="str">
        <f t="shared" ca="1" si="385"/>
        <v>1.759</v>
      </c>
      <c r="C759" s="654" t="str">
        <f t="shared" si="376"/>
        <v>[759]</v>
      </c>
      <c r="D759" s="654">
        <f>ROW()</f>
        <v>759</v>
      </c>
      <c r="E759" s="1125" t="str">
        <f t="shared" ref="E759" si="397">CU759</f>
        <v>- ZIEL-Ansatz: Dient als Berechnungsgrundlage für das (fiktive) künftige Bedarfsniveau im Anwendungsbereich Gebäudewärme im Sektor Haushalte, das sich ohne Volumen-, Effizienz-und Energiemix-Änderungen einstellen würde. Der Status-Ansatz wird methodisch bedingt unverändert übernommen.</v>
      </c>
      <c r="F759" s="1125"/>
      <c r="G759" s="1125"/>
      <c r="H759" s="1125"/>
      <c r="I759" s="1125"/>
      <c r="J759" s="1125"/>
      <c r="K759" s="1125"/>
      <c r="L759" s="1125"/>
      <c r="M759" s="1125"/>
      <c r="N759" s="1132"/>
      <c r="O759" s="869">
        <v>753</v>
      </c>
      <c r="P759" s="691" t="str">
        <f ca="1">HYPERLINK(EK759,EJ759)</f>
        <v/>
      </c>
      <c r="Q759" s="692" t="str">
        <f>Y759</f>
        <v xml:space="preserve"> </v>
      </c>
      <c r="R759" s="852"/>
      <c r="S759" s="784"/>
      <c r="T759" s="864"/>
      <c r="U759" s="1023" t="s">
        <v>777</v>
      </c>
      <c r="V759" s="905" t="s">
        <v>126</v>
      </c>
      <c r="W759" s="1097">
        <f>W757</f>
        <v>32.708271323213282</v>
      </c>
      <c r="X759" s="672"/>
      <c r="Y759" s="672" t="s">
        <v>126</v>
      </c>
      <c r="Z759" s="1025"/>
      <c r="AA759" s="905"/>
      <c r="AB759" s="801"/>
      <c r="AC759" s="801"/>
      <c r="AD759" s="801"/>
      <c r="AE759" s="801"/>
      <c r="AF759" s="801"/>
      <c r="AG759" s="801"/>
      <c r="AH759" s="801"/>
      <c r="AI759" s="801"/>
      <c r="AJ759" s="801"/>
      <c r="AK759" s="801"/>
      <c r="AL759" s="801"/>
      <c r="AM759" s="801"/>
      <c r="AN759" s="801"/>
      <c r="AO759" s="801"/>
      <c r="AP759" s="801"/>
      <c r="AQ759" s="801"/>
      <c r="AR759" s="801"/>
      <c r="AS759" s="801"/>
      <c r="AT759" s="801"/>
      <c r="AU759" s="801"/>
      <c r="AV759" s="801"/>
      <c r="BF759" s="657"/>
      <c r="BI759" s="656" t="s">
        <v>126</v>
      </c>
      <c r="BJ759" s="666"/>
      <c r="BO759" s="656" t="s">
        <v>259</v>
      </c>
      <c r="CU759" s="663" t="str">
        <f>CH$1&amp;IF(U759="",BF759,U759)</f>
        <v>- ZIEL-Ansatz: Dient als Berechnungsgrundlage für das (fiktive) künftige Bedarfsniveau im Anwendungsbereich Gebäudewärme im Sektor Haushalte, das sich ohne Volumen-, Effizienz-und Energiemix-Änderungen einstellen würde. Der Status-Ansatz wird methodisch bedingt unverändert übernommen.</v>
      </c>
      <c r="CW759" s="663"/>
      <c r="DT759" s="671">
        <v>53</v>
      </c>
      <c r="EJ759" s="656" t="str">
        <f>IF(X759=0,"",EJ$1&amp;X759)</f>
        <v/>
      </c>
      <c r="EK759" s="656" t="str">
        <f ca="1">EK$1&amp;X759</f>
        <v>[D_Python.xlsx]9.Quellen!C</v>
      </c>
      <c r="EV759" s="819">
        <f t="shared" si="386"/>
        <v>759</v>
      </c>
      <c r="EW759" s="819"/>
    </row>
    <row r="760" spans="1:153" s="661" customFormat="1" ht="4">
      <c r="A760" s="677" t="str">
        <f t="shared" ca="1" si="384"/>
        <v>D.1.760</v>
      </c>
      <c r="B760" s="677" t="str">
        <f t="shared" ca="1" si="385"/>
        <v>1.760</v>
      </c>
      <c r="C760" s="677" t="str">
        <f t="shared" si="376"/>
        <v>[760]</v>
      </c>
      <c r="D760" s="677">
        <f>ROW()</f>
        <v>760</v>
      </c>
      <c r="E760" s="685"/>
      <c r="F760" s="685"/>
      <c r="G760" s="685"/>
      <c r="H760" s="685"/>
      <c r="I760" s="686"/>
      <c r="J760" s="686"/>
      <c r="K760" s="686"/>
      <c r="L760" s="686"/>
      <c r="M760" s="686"/>
      <c r="N760" s="685"/>
      <c r="O760" s="871">
        <v>754</v>
      </c>
      <c r="P760" s="693"/>
      <c r="Q760" s="694"/>
      <c r="R760" s="888"/>
      <c r="S760" s="802"/>
      <c r="T760" s="882"/>
      <c r="AB760" s="675"/>
      <c r="AC760" s="675"/>
      <c r="AD760" s="675"/>
      <c r="AE760" s="675"/>
      <c r="AF760" s="675"/>
      <c r="AG760" s="675"/>
      <c r="AH760" s="675"/>
      <c r="AI760" s="675"/>
      <c r="AJ760" s="675"/>
      <c r="AK760" s="675"/>
      <c r="AL760" s="675"/>
      <c r="AM760" s="675"/>
      <c r="AN760" s="675"/>
      <c r="AO760" s="675"/>
      <c r="AP760" s="675"/>
      <c r="AQ760" s="675"/>
      <c r="AR760" s="675"/>
      <c r="AS760" s="675"/>
      <c r="AT760" s="675"/>
      <c r="AU760" s="675"/>
      <c r="AV760" s="675"/>
      <c r="AZ760" s="669"/>
      <c r="BB760" s="669"/>
      <c r="BI760" s="661" t="s">
        <v>126</v>
      </c>
      <c r="BJ760" s="665"/>
      <c r="CU760" s="662"/>
      <c r="CW760" s="662"/>
      <c r="EV760" s="818" t="str">
        <f t="shared" si="386"/>
        <v/>
      </c>
      <c r="EW760" s="818"/>
    </row>
    <row r="761" spans="1:153" s="658" customFormat="1" ht="13.5" customHeight="1">
      <c r="A761" s="654" t="str">
        <f t="shared" ca="1" si="384"/>
        <v>D.1.761</v>
      </c>
      <c r="B761" s="654" t="str">
        <f t="shared" ca="1" si="385"/>
        <v>1.761</v>
      </c>
      <c r="C761" s="654" t="str">
        <f t="shared" si="376"/>
        <v>[761]</v>
      </c>
      <c r="D761" s="654">
        <f>ROW()</f>
        <v>761</v>
      </c>
      <c r="E761" s="1129" t="str">
        <f>BP761</f>
        <v>Zieleinfluss Erwerbstätigkeit auf GW</v>
      </c>
      <c r="F761" s="1129"/>
      <c r="G761" s="1129"/>
      <c r="H761" s="1129"/>
      <c r="I761" s="1129"/>
      <c r="J761" s="655" t="s">
        <v>38</v>
      </c>
      <c r="K761" s="605">
        <f ca="1">INDIRECT($W$1&amp;U761)</f>
        <v>100</v>
      </c>
      <c r="L761" s="697" t="str">
        <f ca="1">HYPERLINK($CK$1&amp;U761,$CE$1&amp;U761&amp;$CF$1)</f>
        <v>[762]</v>
      </c>
      <c r="M761" s="683">
        <f ca="1">INDIRECT($W$1&amp;W761)</f>
        <v>100</v>
      </c>
      <c r="N761" s="681" t="str">
        <f ca="1">HYPERLINK($CK$1&amp;W761,$CE$1&amp;W761&amp;$CF$1)</f>
        <v>[764]</v>
      </c>
      <c r="O761" s="869">
        <v>755</v>
      </c>
      <c r="P761" s="690"/>
      <c r="Q761" s="695"/>
      <c r="R761" s="852"/>
      <c r="S761" s="784"/>
      <c r="T761" s="864" t="s">
        <v>725</v>
      </c>
      <c r="U761" s="672">
        <f>D762</f>
        <v>762</v>
      </c>
      <c r="V761" s="905" t="s">
        <v>126</v>
      </c>
      <c r="W761" s="672">
        <f>D764</f>
        <v>764</v>
      </c>
      <c r="AB761" s="801"/>
      <c r="AC761" s="801"/>
      <c r="AD761" s="674"/>
      <c r="AE761" s="674"/>
      <c r="AF761" s="674"/>
      <c r="AG761" s="674"/>
      <c r="AH761" s="674"/>
      <c r="AI761" s="674"/>
      <c r="AJ761" s="674"/>
      <c r="AK761" s="674"/>
      <c r="AL761" s="674"/>
      <c r="AM761" s="674"/>
      <c r="AN761" s="674"/>
      <c r="AO761" s="674"/>
      <c r="AP761" s="674"/>
      <c r="AQ761" s="674"/>
      <c r="AR761" s="674"/>
      <c r="AS761" s="674"/>
      <c r="AT761" s="674"/>
      <c r="AU761" s="674"/>
      <c r="AV761" s="674"/>
      <c r="AX761" s="658" t="s">
        <v>244</v>
      </c>
      <c r="AY761" s="668">
        <f ca="1">DA761</f>
        <v>10.254559182513647</v>
      </c>
      <c r="AZ761" s="670" t="str">
        <f ca="1">HYPERLINK(DN761,DC761)</f>
        <v xml:space="preserve"> 235</v>
      </c>
      <c r="BA761" s="668">
        <f ca="1">DB761</f>
        <v>35</v>
      </c>
      <c r="BB761" s="670" t="str">
        <f ca="1">HYPERLINK(DO761,DD761)</f>
        <v xml:space="preserve"> 236</v>
      </c>
      <c r="BC761" s="658" t="str">
        <f ca="1">CY761&amp;" | "&amp;CZ761</f>
        <v>Brennstoffgew.
für Prozesse | 0</v>
      </c>
      <c r="BI761" s="658" t="s">
        <v>126</v>
      </c>
      <c r="BJ761" s="667" t="str">
        <f>E761</f>
        <v>Zieleinfluss Erwerbstätigkeit auf GW</v>
      </c>
      <c r="BK761" s="664">
        <f ca="1">K761</f>
        <v>100</v>
      </c>
      <c r="BL761" s="664">
        <f ca="1">M761</f>
        <v>100</v>
      </c>
      <c r="BM761" s="656">
        <f>D761</f>
        <v>761</v>
      </c>
      <c r="BO761" s="658" t="s">
        <v>251</v>
      </c>
      <c r="BP761" s="676" t="s">
        <v>727</v>
      </c>
      <c r="CU761" s="659"/>
      <c r="CW761" s="671">
        <v>61</v>
      </c>
      <c r="CY761" s="656" t="str">
        <f t="shared" ref="CY761:DO761" ca="1" si="398">INDIRECT($CX$1&amp;CY$1&amp;$CW761)</f>
        <v>Brennstoffgew.
für Prozesse</v>
      </c>
      <c r="CZ761" s="656">
        <f t="shared" ca="1" si="398"/>
        <v>0</v>
      </c>
      <c r="DA761" s="656">
        <f t="shared" ca="1" si="398"/>
        <v>10.254559182513647</v>
      </c>
      <c r="DB761" s="656">
        <f t="shared" ca="1" si="398"/>
        <v>35</v>
      </c>
      <c r="DC761" s="656" t="str">
        <f t="shared" ca="1" si="398"/>
        <v xml:space="preserve"> 235</v>
      </c>
      <c r="DD761" s="656" t="str">
        <f t="shared" ca="1" si="398"/>
        <v xml:space="preserve"> 236</v>
      </c>
      <c r="DE761" s="656" t="str">
        <f t="shared" ca="1" si="398"/>
        <v>Ho99</v>
      </c>
      <c r="DF761" s="656" t="str">
        <f t="shared" ca="1" si="398"/>
        <v>Ho36</v>
      </c>
      <c r="DG761" s="656" t="str">
        <f t="shared" ca="1" si="398"/>
        <v>Ho</v>
      </c>
      <c r="DH761" s="656" t="str">
        <f t="shared" ca="1" si="398"/>
        <v>99</v>
      </c>
      <c r="DI761" s="656" t="str">
        <f t="shared" ca="1" si="398"/>
        <v>[Ho.xls]TEXT!Z99S5</v>
      </c>
      <c r="DJ761" s="656" t="str">
        <f t="shared" ca="1" si="398"/>
        <v>Ho</v>
      </c>
      <c r="DK761" s="656" t="str">
        <f t="shared" ca="1" si="398"/>
        <v>36</v>
      </c>
      <c r="DL761" s="656" t="str">
        <f t="shared" ca="1" si="398"/>
        <v>[Ho.xls]TEXT!Z36S5</v>
      </c>
      <c r="DM761" s="656">
        <f t="shared" ca="1" si="398"/>
        <v>61</v>
      </c>
      <c r="DN761" s="656" t="str">
        <f t="shared" ca="1" si="398"/>
        <v>[Region.xls]PARAMETER!Z235S6</v>
      </c>
      <c r="DO761" s="656" t="str">
        <f t="shared" ca="1" si="398"/>
        <v>[Region.xls]PARAMETER!Z236S6</v>
      </c>
      <c r="DP761" s="656"/>
      <c r="DS761" s="656"/>
      <c r="DV761" s="656"/>
      <c r="DW761" s="656"/>
      <c r="DX761" s="656"/>
      <c r="DY761" s="656"/>
      <c r="DZ761" s="656"/>
      <c r="EA761" s="656"/>
      <c r="EB761" s="656"/>
      <c r="EC761" s="656"/>
      <c r="ED761" s="656"/>
      <c r="EE761" s="656"/>
      <c r="EF761" s="656"/>
      <c r="EG761" s="656"/>
      <c r="EH761" s="656"/>
      <c r="EI761" s="656"/>
      <c r="EJ761" s="656"/>
      <c r="EK761" s="656"/>
      <c r="EV761" s="819">
        <f t="shared" si="386"/>
        <v>761</v>
      </c>
      <c r="EW761" s="819"/>
    </row>
    <row r="762" spans="1:153" s="656" customFormat="1" ht="26">
      <c r="A762" s="654" t="str">
        <f t="shared" ca="1" si="384"/>
        <v>D.1.762</v>
      </c>
      <c r="B762" s="654" t="str">
        <f t="shared" ca="1" si="385"/>
        <v>1.762</v>
      </c>
      <c r="C762" s="654" t="str">
        <f t="shared" si="376"/>
        <v>[762]</v>
      </c>
      <c r="D762" s="654">
        <f>ROW()</f>
        <v>762</v>
      </c>
      <c r="E762" s="1130" t="str">
        <f>CU762</f>
        <v>- STATUS-Ansatz: Repräsentiert den Status des spezifischen Bedarfs an Gebäudewärme in gewerblich genutzten Gebäuden. Dient als Referenz für den im Ziel durch Entwicklung der Erwerbstätigkeit veränderten Energiebedarf.</v>
      </c>
      <c r="F762" s="1130"/>
      <c r="G762" s="1130"/>
      <c r="H762" s="1130"/>
      <c r="I762" s="1130"/>
      <c r="J762" s="1130"/>
      <c r="K762" s="1130"/>
      <c r="L762" s="1130"/>
      <c r="M762" s="1130"/>
      <c r="N762" s="1131"/>
      <c r="O762" s="869">
        <v>756</v>
      </c>
      <c r="P762" s="691" t="str">
        <f ca="1">HYPERLINK(EK762,EJ762)</f>
        <v/>
      </c>
      <c r="Q762" s="692" t="str">
        <f>Y762</f>
        <v xml:space="preserve"> </v>
      </c>
      <c r="R762" s="852"/>
      <c r="S762" s="784"/>
      <c r="T762" s="864"/>
      <c r="U762" s="1023" t="s">
        <v>776</v>
      </c>
      <c r="V762" s="905" t="s">
        <v>126</v>
      </c>
      <c r="W762" s="1097">
        <v>100</v>
      </c>
      <c r="X762" s="672"/>
      <c r="Y762" s="672" t="s">
        <v>126</v>
      </c>
      <c r="Z762" s="1025"/>
      <c r="AA762" s="658"/>
      <c r="AB762" s="801"/>
      <c r="AC762" s="801"/>
      <c r="AD762" s="801"/>
      <c r="AE762" s="801"/>
      <c r="AF762" s="801"/>
      <c r="AG762" s="801"/>
      <c r="AH762" s="801"/>
      <c r="AI762" s="801"/>
      <c r="AJ762" s="801"/>
      <c r="AK762" s="801"/>
      <c r="AL762" s="801"/>
      <c r="AM762" s="801"/>
      <c r="AN762" s="801"/>
      <c r="AO762" s="801"/>
      <c r="AP762" s="801"/>
      <c r="AQ762" s="801"/>
      <c r="AR762" s="801"/>
      <c r="AS762" s="801"/>
      <c r="AT762" s="801"/>
      <c r="AU762" s="801"/>
      <c r="AV762" s="801"/>
      <c r="AY762" s="656">
        <f ca="1">AY761/AY$246%</f>
        <v>14.091645358575692</v>
      </c>
      <c r="BA762" s="656">
        <f ca="1">BA761/BA$246%</f>
        <v>100</v>
      </c>
      <c r="BF762" s="657"/>
      <c r="BI762" s="656" t="s">
        <v>126</v>
      </c>
      <c r="BJ762" s="666"/>
      <c r="BO762" s="656" t="s">
        <v>259</v>
      </c>
      <c r="CU762" s="663" t="str">
        <f>CG$1&amp;IF(U762="",BF762,U762)</f>
        <v>- STATUS-Ansatz: Repräsentiert den Status des spezifischen Bedarfs an Gebäudewärme in gewerblich genutzten Gebäuden. Dient als Referenz für den im Ziel durch Entwicklung der Erwerbstätigkeit veränderten Energiebedarf.</v>
      </c>
      <c r="CW762" s="663"/>
      <c r="DT762" s="671">
        <f>I_Basisdaten!A333</f>
        <v>0</v>
      </c>
      <c r="EJ762" s="656" t="str">
        <f>IF(X762=0,"",EJ$1&amp;X762)</f>
        <v/>
      </c>
      <c r="EK762" s="656" t="str">
        <f ca="1">EK$1&amp;X762</f>
        <v>[D_Python.xlsx]9.Quellen!C</v>
      </c>
      <c r="EV762" s="819">
        <f t="shared" si="386"/>
        <v>762</v>
      </c>
      <c r="EW762" s="819"/>
    </row>
    <row r="763" spans="1:153" s="661" customFormat="1" ht="4">
      <c r="A763" s="677" t="str">
        <f t="shared" ca="1" si="384"/>
        <v>D.1.763</v>
      </c>
      <c r="B763" s="677" t="str">
        <f t="shared" ca="1" si="385"/>
        <v>1.763</v>
      </c>
      <c r="C763" s="677" t="str">
        <f t="shared" si="376"/>
        <v>[763]</v>
      </c>
      <c r="D763" s="677">
        <f>ROW()</f>
        <v>763</v>
      </c>
      <c r="E763" s="680"/>
      <c r="F763" s="680"/>
      <c r="G763" s="680"/>
      <c r="H763" s="680"/>
      <c r="I763" s="679"/>
      <c r="J763" s="679"/>
      <c r="K763" s="679"/>
      <c r="L763" s="679"/>
      <c r="M763" s="679"/>
      <c r="N763" s="680"/>
      <c r="O763" s="871">
        <v>757</v>
      </c>
      <c r="P763" s="688"/>
      <c r="Q763" s="689"/>
      <c r="R763" s="888"/>
      <c r="S763" s="802"/>
      <c r="T763" s="882"/>
      <c r="W763" s="606"/>
      <c r="AB763" s="675"/>
      <c r="AC763" s="675"/>
      <c r="AD763" s="675"/>
      <c r="AE763" s="675"/>
      <c r="AF763" s="675"/>
      <c r="AG763" s="675"/>
      <c r="AH763" s="675"/>
      <c r="AI763" s="675"/>
      <c r="AJ763" s="675"/>
      <c r="AK763" s="675"/>
      <c r="AL763" s="675"/>
      <c r="AM763" s="675"/>
      <c r="AN763" s="675"/>
      <c r="AO763" s="675"/>
      <c r="AP763" s="675"/>
      <c r="AQ763" s="675"/>
      <c r="AR763" s="675"/>
      <c r="AS763" s="675"/>
      <c r="AT763" s="675"/>
      <c r="AU763" s="675"/>
      <c r="AV763" s="675"/>
      <c r="BI763" s="661" t="s">
        <v>126</v>
      </c>
      <c r="BJ763" s="665"/>
      <c r="CU763" s="662"/>
      <c r="CW763" s="662"/>
      <c r="EV763" s="818" t="str">
        <f t="shared" si="386"/>
        <v/>
      </c>
      <c r="EW763" s="818"/>
    </row>
    <row r="764" spans="1:153" s="656" customFormat="1" ht="52">
      <c r="A764" s="654" t="str">
        <f t="shared" ca="1" si="384"/>
        <v>D.1.764</v>
      </c>
      <c r="B764" s="654" t="str">
        <f t="shared" ca="1" si="385"/>
        <v>1.764</v>
      </c>
      <c r="C764" s="654" t="str">
        <f t="shared" si="376"/>
        <v>[764]</v>
      </c>
      <c r="D764" s="654">
        <f>ROW()</f>
        <v>764</v>
      </c>
      <c r="E764" s="1125" t="str">
        <f t="shared" ref="E764" si="399">CU764</f>
        <v>- ZIEL-Ansatz: Abweichend vom Niedersachsen-Szenario wird hier davon ausgegangen, dass die Erwerbstätigkeit keine Veränderung auf den Bedarf an Gebäudewärme bewirkt. 
Dort war davon ausgegangen worden, dass 91,3 % des heutigen Bedarfs an Gebäudewärme in gewerblich genutzten Gebäuden aus der Entwicklung der Anzahl Beschäftigten und der Nutzfläche pro Beschäftigtem [765] resultieren.</v>
      </c>
      <c r="F764" s="1125"/>
      <c r="G764" s="1125"/>
      <c r="H764" s="1125"/>
      <c r="I764" s="1125"/>
      <c r="J764" s="1125"/>
      <c r="K764" s="1125"/>
      <c r="L764" s="1125"/>
      <c r="M764" s="1125"/>
      <c r="N764" s="1125"/>
      <c r="O764" s="869">
        <v>758</v>
      </c>
      <c r="P764" s="691" t="str">
        <f ca="1">HYPERLINK(EK764,EJ764)</f>
        <v/>
      </c>
      <c r="Q764" s="692" t="str">
        <f>Y764</f>
        <v xml:space="preserve"> </v>
      </c>
      <c r="R764" s="852"/>
      <c r="S764" s="784"/>
      <c r="T764" s="864"/>
      <c r="U764" s="1023" t="str">
        <f>"Abweichend vom Niedersachsen-Szenario wird hier davon ausgegangen, dass die Erwerbstätigkeit keine Veränderung auf den Bedarf an Gebäudewärme bewirkt. 
Dort war davon ausgegangen worden, dass "&amp;TEXT(AH764,"0,0")&amp;" % des heutigen Bedarfs an Gebäudewärme in gewerblich genutzten Gebäuden aus der Entwicklung der Anzahl Beschäftigten und der Nutzfläche pro Beschäftigtem "&amp;C765&amp;" resultieren."</f>
        <v>Abweichend vom Niedersachsen-Szenario wird hier davon ausgegangen, dass die Erwerbstätigkeit keine Veränderung auf den Bedarf an Gebäudewärme bewirkt. 
Dort war davon ausgegangen worden, dass 91,3 % des heutigen Bedarfs an Gebäudewärme in gewerblich genutzten Gebäuden aus der Entwicklung der Anzahl Beschäftigten und der Nutzfläche pro Beschäftigtem [765] resultieren.</v>
      </c>
      <c r="V764" s="905" t="s">
        <v>126</v>
      </c>
      <c r="W764" s="778">
        <v>100</v>
      </c>
      <c r="X764" s="672"/>
      <c r="Y764" s="672" t="s">
        <v>126</v>
      </c>
      <c r="Z764" s="1025"/>
      <c r="AA764" s="905"/>
      <c r="AB764" s="801"/>
      <c r="AC764" s="801"/>
      <c r="AD764" s="801">
        <f>AD765</f>
        <v>78</v>
      </c>
      <c r="AE764" s="801" t="s">
        <v>835</v>
      </c>
      <c r="AF764" s="801">
        <f>AF765</f>
        <v>117</v>
      </c>
      <c r="AG764" s="801" t="s">
        <v>835</v>
      </c>
      <c r="AH764" s="801">
        <f>AD764*AF764%</f>
        <v>91.259999999999991</v>
      </c>
      <c r="AI764" s="801" t="s">
        <v>835</v>
      </c>
      <c r="AJ764" s="801"/>
      <c r="AK764" s="801"/>
      <c r="AL764" s="801"/>
      <c r="AM764" s="801"/>
      <c r="AN764" s="801"/>
      <c r="AO764" s="801"/>
      <c r="AP764" s="801"/>
      <c r="AQ764" s="801"/>
      <c r="AR764" s="801"/>
      <c r="AS764" s="801"/>
      <c r="AT764" s="801"/>
      <c r="AU764" s="801"/>
      <c r="AV764" s="801"/>
      <c r="BF764" s="657"/>
      <c r="BI764" s="656" t="s">
        <v>126</v>
      </c>
      <c r="BJ764" s="666"/>
      <c r="BO764" s="656" t="s">
        <v>259</v>
      </c>
      <c r="CU764" s="663" t="str">
        <f>CH$1&amp;IF(U764="",BF764,U764)</f>
        <v>- ZIEL-Ansatz: Abweichend vom Niedersachsen-Szenario wird hier davon ausgegangen, dass die Erwerbstätigkeit keine Veränderung auf den Bedarf an Gebäudewärme bewirkt. 
Dort war davon ausgegangen worden, dass 91,3 % des heutigen Bedarfs an Gebäudewärme in gewerblich genutzten Gebäuden aus der Entwicklung der Anzahl Beschäftigten und der Nutzfläche pro Beschäftigtem [765] resultieren.</v>
      </c>
      <c r="CW764" s="663"/>
      <c r="DT764" s="671">
        <v>53</v>
      </c>
      <c r="EJ764" s="656" t="str">
        <f>IF(X764=0,"",EJ$1&amp;X764)</f>
        <v/>
      </c>
      <c r="EK764" s="656" t="str">
        <f ca="1">EK$1&amp;X764</f>
        <v>[D_Python.xlsx]9.Quellen!C</v>
      </c>
      <c r="EV764" s="819">
        <f t="shared" si="386"/>
        <v>764</v>
      </c>
      <c r="EW764" s="819"/>
    </row>
    <row r="765" spans="1:153" s="656" customFormat="1" ht="26">
      <c r="A765" s="654" t="str">
        <f t="shared" ca="1" si="384"/>
        <v>D.1.765</v>
      </c>
      <c r="B765" s="654" t="str">
        <f t="shared" ca="1" si="385"/>
        <v>1.765</v>
      </c>
      <c r="C765" s="654" t="str">
        <f t="shared" si="376"/>
        <v>[765]</v>
      </c>
      <c r="D765" s="654">
        <f>ROW()</f>
        <v>765</v>
      </c>
      <c r="E765" s="1125" t="str">
        <f ca="1">CU765</f>
        <v>In der BMU Leitstudie 2011 [9.60], S.47, wird von einem Rückgang der Beschäftigtenzahlen auf 78% , aber von einem Anstieg der Nutzfläche pro Beschäftigtem auf 117%  ausgegangen.</v>
      </c>
      <c r="F765" s="1125"/>
      <c r="G765" s="1125"/>
      <c r="H765" s="1125"/>
      <c r="I765" s="1125"/>
      <c r="J765" s="1125"/>
      <c r="K765" s="1125"/>
      <c r="L765" s="1125"/>
      <c r="M765" s="1125"/>
      <c r="N765" s="1132"/>
      <c r="O765" s="869">
        <v>759</v>
      </c>
      <c r="P765" s="691" t="str">
        <f t="shared" ref="P765" ca="1" si="400">HYPERLINK(EK765,EJ765)</f>
        <v>9.60</v>
      </c>
      <c r="Q765" s="692" t="str">
        <f t="shared" ref="Q765" si="401">Y765</f>
        <v>S.47</v>
      </c>
      <c r="R765" s="852"/>
      <c r="S765" s="784"/>
      <c r="T765" s="864"/>
      <c r="U765" s="1023" t="str">
        <f ca="1">"In der BMU Leitstudie 2011 ["&amp;P765&amp;"], "&amp;Q765&amp;", wird von einem Rückgang der Beschäftigtenzahlen auf "&amp;AD765&amp;AE765&amp;", aber von einem Anstieg der Nutzfläche pro Beschäftigtem auf "&amp;AF765&amp;AG765&amp;" ausgegangen."</f>
        <v>In der BMU Leitstudie 2011 [9.60], S.47, wird von einem Rückgang der Beschäftigtenzahlen auf 78% , aber von einem Anstieg der Nutzfläche pro Beschäftigtem auf 117%  ausgegangen.</v>
      </c>
      <c r="V765" s="905" t="s">
        <v>126</v>
      </c>
      <c r="W765" s="1024"/>
      <c r="X765" s="672">
        <f>'9.Quellen'!C$60</f>
        <v>60</v>
      </c>
      <c r="Y765" s="672" t="s">
        <v>768</v>
      </c>
      <c r="Z765" s="1025"/>
      <c r="AA765" s="905"/>
      <c r="AB765" s="801"/>
      <c r="AC765" s="801"/>
      <c r="AD765" s="801">
        <v>78</v>
      </c>
      <c r="AE765" s="801" t="s">
        <v>835</v>
      </c>
      <c r="AF765" s="801">
        <v>117</v>
      </c>
      <c r="AG765" s="801" t="s">
        <v>835</v>
      </c>
      <c r="AH765" s="801"/>
      <c r="AI765" s="801"/>
      <c r="AJ765" s="801"/>
      <c r="AK765" s="801"/>
      <c r="AL765" s="801"/>
      <c r="AM765" s="801"/>
      <c r="AN765" s="801"/>
      <c r="AO765" s="801"/>
      <c r="AP765" s="801"/>
      <c r="AQ765" s="801"/>
      <c r="AR765" s="801"/>
      <c r="AS765" s="801"/>
      <c r="AT765" s="801"/>
      <c r="AU765" s="801"/>
      <c r="AV765" s="801"/>
      <c r="BF765" s="657"/>
      <c r="BI765" s="656" t="s">
        <v>126</v>
      </c>
      <c r="BJ765" s="666"/>
      <c r="BO765" s="656" t="s">
        <v>252</v>
      </c>
      <c r="CU765" s="663" t="str">
        <f ca="1">IF(U765="",BF765,U765)</f>
        <v>In der BMU Leitstudie 2011 [9.60], S.47, wird von einem Rückgang der Beschäftigtenzahlen auf 78% , aber von einem Anstieg der Nutzfläche pro Beschäftigtem auf 117%  ausgegangen.</v>
      </c>
      <c r="CW765" s="663"/>
      <c r="DT765" s="671"/>
      <c r="EJ765" s="656" t="str">
        <f ca="1">IF(X765=0,"",EJ$1&amp;X765)</f>
        <v>9.60</v>
      </c>
      <c r="EK765" s="656" t="str">
        <f ca="1">EK$1&amp;X765</f>
        <v>[D_Python.xlsx]9.Quellen!C60</v>
      </c>
      <c r="EV765" s="819">
        <f t="shared" ca="1" si="386"/>
        <v>765</v>
      </c>
      <c r="EW765" s="819"/>
    </row>
    <row r="766" spans="1:153" s="661" customFormat="1" ht="4">
      <c r="A766" s="677" t="str">
        <f t="shared" ca="1" si="384"/>
        <v>D.1.766</v>
      </c>
      <c r="B766" s="677" t="str">
        <f t="shared" ca="1" si="385"/>
        <v>1.766</v>
      </c>
      <c r="C766" s="677" t="str">
        <f t="shared" si="376"/>
        <v>[766]</v>
      </c>
      <c r="D766" s="677">
        <f>ROW()</f>
        <v>766</v>
      </c>
      <c r="E766" s="685"/>
      <c r="F766" s="685"/>
      <c r="G766" s="685"/>
      <c r="H766" s="685"/>
      <c r="I766" s="686"/>
      <c r="J766" s="686"/>
      <c r="K766" s="686"/>
      <c r="L766" s="686"/>
      <c r="M766" s="686"/>
      <c r="N766" s="685"/>
      <c r="O766" s="871">
        <v>760</v>
      </c>
      <c r="P766" s="693"/>
      <c r="Q766" s="694"/>
      <c r="R766" s="888"/>
      <c r="S766" s="802"/>
      <c r="T766" s="882"/>
      <c r="AB766" s="675"/>
      <c r="AC766" s="675"/>
      <c r="AD766" s="675"/>
      <c r="AE766" s="675"/>
      <c r="AF766" s="675"/>
      <c r="AG766" s="675"/>
      <c r="AH766" s="675"/>
      <c r="AI766" s="675"/>
      <c r="AJ766" s="675"/>
      <c r="AK766" s="675"/>
      <c r="AL766" s="675"/>
      <c r="AM766" s="675"/>
      <c r="AN766" s="675"/>
      <c r="AO766" s="675"/>
      <c r="AP766" s="675"/>
      <c r="AQ766" s="675"/>
      <c r="AR766" s="675"/>
      <c r="AS766" s="675"/>
      <c r="AT766" s="675"/>
      <c r="AU766" s="675"/>
      <c r="AV766" s="675"/>
      <c r="AZ766" s="669"/>
      <c r="BB766" s="669"/>
      <c r="BI766" s="661" t="s">
        <v>126</v>
      </c>
      <c r="BJ766" s="665"/>
      <c r="CU766" s="662"/>
      <c r="CW766" s="662"/>
      <c r="EV766" s="818" t="str">
        <f t="shared" si="386"/>
        <v/>
      </c>
      <c r="EW766" s="818"/>
    </row>
    <row r="767" spans="1:153" s="658" customFormat="1" ht="13.5" customHeight="1">
      <c r="A767" s="654" t="str">
        <f t="shared" ca="1" si="384"/>
        <v>D.1.767</v>
      </c>
      <c r="B767" s="654" t="str">
        <f t="shared" ca="1" si="385"/>
        <v>1.767</v>
      </c>
      <c r="C767" s="654" t="str">
        <f t="shared" si="376"/>
        <v>[767]</v>
      </c>
      <c r="D767" s="654">
        <f>ROW()</f>
        <v>767</v>
      </c>
      <c r="E767" s="1129" t="str">
        <f>BP767</f>
        <v>Anteil Raumwärme an GW</v>
      </c>
      <c r="F767" s="1129"/>
      <c r="G767" s="1129"/>
      <c r="H767" s="1129"/>
      <c r="I767" s="1129"/>
      <c r="J767" s="655" t="s">
        <v>38</v>
      </c>
      <c r="K767" s="605">
        <f ca="1">INDIRECT($W$1&amp;U767)</f>
        <v>85.264498600478632</v>
      </c>
      <c r="L767" s="697" t="str">
        <f ca="1">HYPERLINK($CK$1&amp;U767,$CE$1&amp;U767&amp;$CF$1)</f>
        <v>[768]</v>
      </c>
      <c r="M767" s="683">
        <f ca="1">INDIRECT($W$1&amp;W767)</f>
        <v>85.264498600478632</v>
      </c>
      <c r="N767" s="681" t="str">
        <f ca="1">HYPERLINK($CK$1&amp;W767,$CE$1&amp;W767&amp;$CF$1)</f>
        <v>[770]</v>
      </c>
      <c r="O767" s="869">
        <v>761</v>
      </c>
      <c r="P767" s="690"/>
      <c r="Q767" s="695"/>
      <c r="R767" s="852"/>
      <c r="S767" s="784"/>
      <c r="T767" s="864"/>
      <c r="U767" s="672">
        <f>D768</f>
        <v>768</v>
      </c>
      <c r="V767" s="905" t="s">
        <v>126</v>
      </c>
      <c r="W767" s="672">
        <f>D770</f>
        <v>770</v>
      </c>
      <c r="AB767" s="801"/>
      <c r="AC767" s="801"/>
      <c r="AD767" s="674"/>
      <c r="AE767" s="674"/>
      <c r="AF767" s="674"/>
      <c r="AG767" s="674"/>
      <c r="AH767" s="674"/>
      <c r="AI767" s="674"/>
      <c r="AJ767" s="674"/>
      <c r="AK767" s="674"/>
      <c r="AL767" s="674"/>
      <c r="AM767" s="674"/>
      <c r="AN767" s="674"/>
      <c r="AO767" s="674"/>
      <c r="AP767" s="674"/>
      <c r="AQ767" s="674"/>
      <c r="AR767" s="674"/>
      <c r="AS767" s="674"/>
      <c r="AT767" s="674"/>
      <c r="AU767" s="674"/>
      <c r="AV767" s="674"/>
      <c r="AX767" s="658" t="s">
        <v>244</v>
      </c>
      <c r="AY767" s="668">
        <f ca="1">DA767</f>
        <v>10.254559182513647</v>
      </c>
      <c r="AZ767" s="670" t="str">
        <f ca="1">HYPERLINK(DN767,DC767)</f>
        <v xml:space="preserve"> 235</v>
      </c>
      <c r="BA767" s="668">
        <f ca="1">DB767</f>
        <v>35</v>
      </c>
      <c r="BB767" s="670" t="str">
        <f ca="1">HYPERLINK(DO767,DD767)</f>
        <v xml:space="preserve"> 236</v>
      </c>
      <c r="BC767" s="658" t="str">
        <f ca="1">CY767&amp;" | "&amp;CZ767</f>
        <v>Brennstoffgew.
für Prozesse | 0</v>
      </c>
      <c r="BI767" s="658" t="s">
        <v>126</v>
      </c>
      <c r="BJ767" s="667" t="str">
        <f>E767</f>
        <v>Anteil Raumwärme an GW</v>
      </c>
      <c r="BK767" s="664">
        <f ca="1">K767</f>
        <v>85.264498600478632</v>
      </c>
      <c r="BL767" s="664">
        <f ca="1">M767</f>
        <v>85.264498600478632</v>
      </c>
      <c r="BM767" s="656">
        <f>D767</f>
        <v>767</v>
      </c>
      <c r="BO767" s="658" t="s">
        <v>251</v>
      </c>
      <c r="BP767" s="676" t="s">
        <v>678</v>
      </c>
      <c r="CU767" s="659"/>
      <c r="CW767" s="671">
        <v>61</v>
      </c>
      <c r="CY767" s="656" t="str">
        <f t="shared" ref="CY767:DO767" ca="1" si="402">INDIRECT($CX$1&amp;CY$1&amp;$CW767)</f>
        <v>Brennstoffgew.
für Prozesse</v>
      </c>
      <c r="CZ767" s="656">
        <f t="shared" ca="1" si="402"/>
        <v>0</v>
      </c>
      <c r="DA767" s="656">
        <f t="shared" ca="1" si="402"/>
        <v>10.254559182513647</v>
      </c>
      <c r="DB767" s="656">
        <f t="shared" ca="1" si="402"/>
        <v>35</v>
      </c>
      <c r="DC767" s="656" t="str">
        <f t="shared" ca="1" si="402"/>
        <v xml:space="preserve"> 235</v>
      </c>
      <c r="DD767" s="656" t="str">
        <f t="shared" ca="1" si="402"/>
        <v xml:space="preserve"> 236</v>
      </c>
      <c r="DE767" s="656" t="str">
        <f t="shared" ca="1" si="402"/>
        <v>Ho99</v>
      </c>
      <c r="DF767" s="656" t="str">
        <f t="shared" ca="1" si="402"/>
        <v>Ho36</v>
      </c>
      <c r="DG767" s="656" t="str">
        <f t="shared" ca="1" si="402"/>
        <v>Ho</v>
      </c>
      <c r="DH767" s="656" t="str">
        <f t="shared" ca="1" si="402"/>
        <v>99</v>
      </c>
      <c r="DI767" s="656" t="str">
        <f t="shared" ca="1" si="402"/>
        <v>[Ho.xls]TEXT!Z99S5</v>
      </c>
      <c r="DJ767" s="656" t="str">
        <f t="shared" ca="1" si="402"/>
        <v>Ho</v>
      </c>
      <c r="DK767" s="656" t="str">
        <f t="shared" ca="1" si="402"/>
        <v>36</v>
      </c>
      <c r="DL767" s="656" t="str">
        <f t="shared" ca="1" si="402"/>
        <v>[Ho.xls]TEXT!Z36S5</v>
      </c>
      <c r="DM767" s="656">
        <f t="shared" ca="1" si="402"/>
        <v>61</v>
      </c>
      <c r="DN767" s="656" t="str">
        <f t="shared" ca="1" si="402"/>
        <v>[Region.xls]PARAMETER!Z235S6</v>
      </c>
      <c r="DO767" s="656" t="str">
        <f t="shared" ca="1" si="402"/>
        <v>[Region.xls]PARAMETER!Z236S6</v>
      </c>
      <c r="DP767" s="656"/>
      <c r="DS767" s="656"/>
      <c r="DV767" s="656"/>
      <c r="DW767" s="656"/>
      <c r="DX767" s="656"/>
      <c r="DY767" s="656"/>
      <c r="DZ767" s="656"/>
      <c r="EA767" s="656"/>
      <c r="EB767" s="656"/>
      <c r="EC767" s="656"/>
      <c r="ED767" s="656"/>
      <c r="EE767" s="656"/>
      <c r="EF767" s="656"/>
      <c r="EG767" s="656"/>
      <c r="EH767" s="656"/>
      <c r="EI767" s="656"/>
      <c r="EJ767" s="656"/>
      <c r="EK767" s="656"/>
      <c r="EV767" s="819">
        <f t="shared" si="386"/>
        <v>767</v>
      </c>
      <c r="EW767" s="819"/>
    </row>
    <row r="768" spans="1:153" s="656" customFormat="1" ht="16">
      <c r="A768" s="654" t="str">
        <f t="shared" ca="1" si="384"/>
        <v>D.1.768</v>
      </c>
      <c r="B768" s="654" t="str">
        <f t="shared" ca="1" si="385"/>
        <v>1.768</v>
      </c>
      <c r="C768" s="654" t="str">
        <f t="shared" si="376"/>
        <v>[768]</v>
      </c>
      <c r="D768" s="654">
        <f>ROW()</f>
        <v>768</v>
      </c>
      <c r="E768" s="1130" t="str">
        <f ca="1">CU768</f>
        <v>- STATUS-Ansatz: Gemäß Arbeitsgemeinschaft Energiebilanzen [9.28] für das Jahr 2012, Aufbereitung siehe [7.44].</v>
      </c>
      <c r="F768" s="1130"/>
      <c r="G768" s="1130"/>
      <c r="H768" s="1130"/>
      <c r="I768" s="1130"/>
      <c r="J768" s="1130"/>
      <c r="K768" s="1130"/>
      <c r="L768" s="1130"/>
      <c r="M768" s="1130"/>
      <c r="N768" s="1131"/>
      <c r="O768" s="869">
        <v>762</v>
      </c>
      <c r="P768" s="691" t="str">
        <f ca="1">HYPERLINK(EK768,EJ768)</f>
        <v>9.28</v>
      </c>
      <c r="Q768" s="646" t="str">
        <f ca="1">IF(Y768="&gt;",HYPERLINK(EO768,EN768),Y768)</f>
        <v>7.44</v>
      </c>
      <c r="R768" s="852"/>
      <c r="S768" s="784"/>
      <c r="T768" s="864"/>
      <c r="U768" s="1023" t="str">
        <f ca="1">"Gemäß Arbeitsgemeinschaft Energiebilanzen ["&amp;P768&amp;"] für das Jahr 2012, Aufbereitung siehe ["&amp;Q768&amp;"]."</f>
        <v>Gemäß Arbeitsgemeinschaft Energiebilanzen [9.28] für das Jahr 2012, Aufbereitung siehe [7.44].</v>
      </c>
      <c r="V768" s="905" t="s">
        <v>126</v>
      </c>
      <c r="W768" s="1097">
        <f>'7.VerbrauchStatus'!L44</f>
        <v>85.264498600478632</v>
      </c>
      <c r="X768" s="672">
        <f>'9.Quellen'!C$28</f>
        <v>28</v>
      </c>
      <c r="Y768" s="672" t="s">
        <v>479</v>
      </c>
      <c r="Z768" s="672">
        <f>'7.VerbrauchStatus'!D44</f>
        <v>44</v>
      </c>
      <c r="AA768" s="658"/>
      <c r="AB768" s="801"/>
      <c r="AC768" s="801"/>
      <c r="AD768" s="801"/>
      <c r="AE768" s="801"/>
      <c r="AF768" s="801"/>
      <c r="AG768" s="801"/>
      <c r="AH768" s="801"/>
      <c r="AI768" s="801"/>
      <c r="AJ768" s="801"/>
      <c r="AK768" s="801"/>
      <c r="AL768" s="801"/>
      <c r="AM768" s="801"/>
      <c r="AN768" s="801"/>
      <c r="AO768" s="801"/>
      <c r="AP768" s="801"/>
      <c r="AQ768" s="801"/>
      <c r="AR768" s="801"/>
      <c r="AS768" s="801"/>
      <c r="AT768" s="801"/>
      <c r="AU768" s="801"/>
      <c r="AV768" s="801"/>
      <c r="AY768" s="656">
        <f ca="1">AY767/AY$246%</f>
        <v>14.091645358575692</v>
      </c>
      <c r="BA768" s="656">
        <f ca="1">BA767/BA$246%</f>
        <v>100</v>
      </c>
      <c r="BF768" s="657"/>
      <c r="BI768" s="656" t="s">
        <v>126</v>
      </c>
      <c r="BJ768" s="666"/>
      <c r="BO768" s="656" t="s">
        <v>259</v>
      </c>
      <c r="CU768" s="663" t="str">
        <f ca="1">CG$1&amp;IF(U768="",BF768,U768)</f>
        <v>- STATUS-Ansatz: Gemäß Arbeitsgemeinschaft Energiebilanzen [9.28] für das Jahr 2012, Aufbereitung siehe [7.44].</v>
      </c>
      <c r="CW768" s="663"/>
      <c r="DT768" s="671">
        <f>I_Basisdaten!A314</f>
        <v>0</v>
      </c>
      <c r="EJ768" s="656" t="str">
        <f ca="1">IF(X768=0,"",EJ$1&amp;X768)</f>
        <v>9.28</v>
      </c>
      <c r="EK768" s="656" t="str">
        <f ca="1">EK$1&amp;X768</f>
        <v>[D_Python.xlsx]9.Quellen!C28</v>
      </c>
      <c r="EN768" s="656" t="str">
        <f ca="1">IF(Z768=0,"",EN$1&amp;Z768)</f>
        <v>7.44</v>
      </c>
      <c r="EO768" s="656" t="str">
        <f ca="1">EO$1&amp;Z768</f>
        <v>[D_Python.xlsx]7.VerbrauchStatus!D44</v>
      </c>
      <c r="EV768" s="819">
        <f t="shared" ca="1" si="386"/>
        <v>768</v>
      </c>
      <c r="EW768" s="819"/>
    </row>
    <row r="769" spans="1:153" s="661" customFormat="1" ht="4">
      <c r="A769" s="677" t="str">
        <f t="shared" ca="1" si="384"/>
        <v>D.1.769</v>
      </c>
      <c r="B769" s="677" t="str">
        <f t="shared" ca="1" si="385"/>
        <v>1.769</v>
      </c>
      <c r="C769" s="677" t="str">
        <f t="shared" si="376"/>
        <v>[769]</v>
      </c>
      <c r="D769" s="677">
        <f>ROW()</f>
        <v>769</v>
      </c>
      <c r="E769" s="680"/>
      <c r="F769" s="680"/>
      <c r="G769" s="680"/>
      <c r="H769" s="680"/>
      <c r="I769" s="679"/>
      <c r="J769" s="679"/>
      <c r="K769" s="679"/>
      <c r="L769" s="679"/>
      <c r="M769" s="679"/>
      <c r="N769" s="680"/>
      <c r="O769" s="871">
        <v>763</v>
      </c>
      <c r="P769" s="688"/>
      <c r="Q769" s="689"/>
      <c r="R769" s="888"/>
      <c r="S769" s="802"/>
      <c r="T769" s="882"/>
      <c r="W769" s="606"/>
      <c r="AB769" s="675"/>
      <c r="AC769" s="675"/>
      <c r="AD769" s="675"/>
      <c r="AE769" s="675"/>
      <c r="AF769" s="675"/>
      <c r="AG769" s="675"/>
      <c r="AH769" s="675"/>
      <c r="AI769" s="675"/>
      <c r="AJ769" s="675"/>
      <c r="AK769" s="675"/>
      <c r="AL769" s="675"/>
      <c r="AM769" s="675"/>
      <c r="AN769" s="675"/>
      <c r="AO769" s="675"/>
      <c r="AP769" s="675"/>
      <c r="AQ769" s="675"/>
      <c r="AR769" s="675"/>
      <c r="AS769" s="675"/>
      <c r="AT769" s="675"/>
      <c r="AU769" s="675"/>
      <c r="AV769" s="675"/>
      <c r="BI769" s="661" t="s">
        <v>126</v>
      </c>
      <c r="BJ769" s="665"/>
      <c r="CU769" s="662"/>
      <c r="CW769" s="662"/>
      <c r="EV769" s="818" t="str">
        <f t="shared" si="386"/>
        <v/>
      </c>
      <c r="EW769" s="818"/>
    </row>
    <row r="770" spans="1:153" s="656" customFormat="1" ht="39">
      <c r="A770" s="654" t="str">
        <f t="shared" ca="1" si="384"/>
        <v>D.1.770</v>
      </c>
      <c r="B770" s="654" t="str">
        <f t="shared" ca="1" si="385"/>
        <v>1.770</v>
      </c>
      <c r="C770" s="654" t="str">
        <f t="shared" si="376"/>
        <v>[770]</v>
      </c>
      <c r="D770" s="654">
        <f>ROW()</f>
        <v>770</v>
      </c>
      <c r="E770" s="1125" t="str">
        <f t="shared" ref="E770" si="403">CU770</f>
        <v>- ZIEL-Ansatz: Dient als Berechnungsgrundlage für das (fiktive) künftige Bedarfsniveau im Anwendungsbereich Gebäudewärme im Sektor Haushalte, das sich ohne Volumen-, Effizienz-und Energiemix-Änderungen einstellen würde. Der Status-Ansatz wird methodisch bedingt unverändert übernommen.</v>
      </c>
      <c r="F770" s="1125"/>
      <c r="G770" s="1125"/>
      <c r="H770" s="1125"/>
      <c r="I770" s="1125"/>
      <c r="J770" s="1125"/>
      <c r="K770" s="1125"/>
      <c r="L770" s="1125"/>
      <c r="M770" s="1125"/>
      <c r="N770" s="1132"/>
      <c r="O770" s="869">
        <v>764</v>
      </c>
      <c r="P770" s="691" t="str">
        <f ca="1">HYPERLINK(EK770,EJ770)</f>
        <v/>
      </c>
      <c r="Q770" s="692" t="str">
        <f>Y770</f>
        <v xml:space="preserve"> </v>
      </c>
      <c r="R770" s="852"/>
      <c r="S770" s="784"/>
      <c r="T770" s="864"/>
      <c r="U770" s="1023" t="s">
        <v>777</v>
      </c>
      <c r="V770" s="905" t="s">
        <v>126</v>
      </c>
      <c r="W770" s="1097">
        <f>W768</f>
        <v>85.264498600478632</v>
      </c>
      <c r="X770" s="672"/>
      <c r="Y770" s="672" t="s">
        <v>126</v>
      </c>
      <c r="Z770" s="1025"/>
      <c r="AA770" s="905"/>
      <c r="AB770" s="801"/>
      <c r="AC770" s="801"/>
      <c r="AD770" s="801"/>
      <c r="AE770" s="801"/>
      <c r="AF770" s="801"/>
      <c r="AG770" s="801"/>
      <c r="AH770" s="801"/>
      <c r="AI770" s="801"/>
      <c r="AJ770" s="801"/>
      <c r="AK770" s="801"/>
      <c r="AL770" s="801"/>
      <c r="AM770" s="801"/>
      <c r="AN770" s="801"/>
      <c r="AO770" s="801"/>
      <c r="AP770" s="801"/>
      <c r="AQ770" s="801"/>
      <c r="AR770" s="801"/>
      <c r="AS770" s="801"/>
      <c r="AT770" s="801"/>
      <c r="AU770" s="801"/>
      <c r="AV770" s="801"/>
      <c r="BF770" s="657"/>
      <c r="BI770" s="656" t="s">
        <v>126</v>
      </c>
      <c r="BJ770" s="666"/>
      <c r="BO770" s="656" t="s">
        <v>259</v>
      </c>
      <c r="CU770" s="663" t="str">
        <f>CH$1&amp;IF(U770="",BF770,U770)</f>
        <v>- ZIEL-Ansatz: Dient als Berechnungsgrundlage für das (fiktive) künftige Bedarfsniveau im Anwendungsbereich Gebäudewärme im Sektor Haushalte, das sich ohne Volumen-, Effizienz-und Energiemix-Änderungen einstellen würde. Der Status-Ansatz wird methodisch bedingt unverändert übernommen.</v>
      </c>
      <c r="CW770" s="663"/>
      <c r="DT770" s="671">
        <v>53</v>
      </c>
      <c r="EJ770" s="656" t="str">
        <f>IF(X770=0,"",EJ$1&amp;X770)</f>
        <v/>
      </c>
      <c r="EK770" s="656" t="str">
        <f ca="1">EK$1&amp;X770</f>
        <v>[D_Python.xlsx]9.Quellen!C</v>
      </c>
      <c r="EV770" s="819">
        <f t="shared" si="386"/>
        <v>770</v>
      </c>
      <c r="EW770" s="819"/>
    </row>
    <row r="771" spans="1:153" s="661" customFormat="1" ht="4">
      <c r="A771" s="677" t="str">
        <f t="shared" ca="1" si="384"/>
        <v>D.1.771</v>
      </c>
      <c r="B771" s="677" t="str">
        <f t="shared" ca="1" si="385"/>
        <v>1.771</v>
      </c>
      <c r="C771" s="677" t="str">
        <f t="shared" si="376"/>
        <v>[771]</v>
      </c>
      <c r="D771" s="677">
        <f>ROW()</f>
        <v>771</v>
      </c>
      <c r="E771" s="685"/>
      <c r="F771" s="685"/>
      <c r="G771" s="685"/>
      <c r="H771" s="685"/>
      <c r="I771" s="686"/>
      <c r="J771" s="686"/>
      <c r="K771" s="686"/>
      <c r="L771" s="686"/>
      <c r="M771" s="686"/>
      <c r="N771" s="685"/>
      <c r="O771" s="871">
        <v>765</v>
      </c>
      <c r="P771" s="693"/>
      <c r="Q771" s="694"/>
      <c r="R771" s="888"/>
      <c r="S771" s="802"/>
      <c r="T771" s="882"/>
      <c r="AB771" s="675"/>
      <c r="AC771" s="675"/>
      <c r="AD771" s="675"/>
      <c r="AE771" s="675"/>
      <c r="AF771" s="675"/>
      <c r="AG771" s="675"/>
      <c r="AH771" s="675"/>
      <c r="AI771" s="675"/>
      <c r="AJ771" s="675"/>
      <c r="AK771" s="675"/>
      <c r="AL771" s="675"/>
      <c r="AM771" s="675"/>
      <c r="AN771" s="675"/>
      <c r="AO771" s="675"/>
      <c r="AP771" s="675"/>
      <c r="AQ771" s="675"/>
      <c r="AR771" s="675"/>
      <c r="AS771" s="675"/>
      <c r="AT771" s="675"/>
      <c r="AU771" s="675"/>
      <c r="AV771" s="675"/>
      <c r="AZ771" s="669"/>
      <c r="BB771" s="669"/>
      <c r="BI771" s="661" t="s">
        <v>126</v>
      </c>
      <c r="BJ771" s="665"/>
      <c r="CU771" s="662"/>
      <c r="CW771" s="662"/>
      <c r="EV771" s="818" t="str">
        <f t="shared" si="386"/>
        <v/>
      </c>
      <c r="EW771" s="818"/>
    </row>
    <row r="772" spans="1:153" s="658" customFormat="1" ht="13.5" customHeight="1">
      <c r="A772" s="654" t="str">
        <f t="shared" ca="1" si="384"/>
        <v>D.1.772</v>
      </c>
      <c r="B772" s="654" t="str">
        <f t="shared" ca="1" si="385"/>
        <v>1.772</v>
      </c>
      <c r="C772" s="654" t="str">
        <f t="shared" si="376"/>
        <v>[772]</v>
      </c>
      <c r="D772" s="654">
        <f>ROW()</f>
        <v>772</v>
      </c>
      <c r="E772" s="1129" t="str">
        <f>BP772</f>
        <v>Spez. Raumwärmeverbrauch</v>
      </c>
      <c r="F772" s="1129"/>
      <c r="G772" s="1129"/>
      <c r="H772" s="1129"/>
      <c r="I772" s="1129"/>
      <c r="J772" s="559" t="s">
        <v>680</v>
      </c>
      <c r="K772" s="605">
        <f ca="1">INDIRECT($W$1&amp;U772)</f>
        <v>122.1</v>
      </c>
      <c r="L772" s="697" t="str">
        <f ca="1">HYPERLINK($CK$1&amp;U772,$CE$1&amp;U772&amp;$CF$1)</f>
        <v>[773]</v>
      </c>
      <c r="M772" s="683">
        <f ca="1">INDIRECT($W$1&amp;W772)</f>
        <v>45.2</v>
      </c>
      <c r="N772" s="681" t="str">
        <f ca="1">HYPERLINK($CK$1&amp;W772,$CE$1&amp;W772&amp;$CF$1)</f>
        <v>[776]</v>
      </c>
      <c r="O772" s="869">
        <v>766</v>
      </c>
      <c r="P772" s="690"/>
      <c r="Q772" s="695"/>
      <c r="R772" s="852"/>
      <c r="S772" s="784"/>
      <c r="T772" s="864"/>
      <c r="U772" s="672">
        <f>D773</f>
        <v>773</v>
      </c>
      <c r="V772" s="905" t="s">
        <v>126</v>
      </c>
      <c r="W772" s="672">
        <f>D776</f>
        <v>776</v>
      </c>
      <c r="AB772" s="801"/>
      <c r="AC772" s="801"/>
      <c r="AD772" s="674"/>
      <c r="AE772" s="674"/>
      <c r="AF772" s="674"/>
      <c r="AG772" s="674"/>
      <c r="AH772" s="674"/>
      <c r="AI772" s="674"/>
      <c r="AJ772" s="674"/>
      <c r="AK772" s="674"/>
      <c r="AL772" s="674"/>
      <c r="AM772" s="674"/>
      <c r="AN772" s="674"/>
      <c r="AO772" s="674"/>
      <c r="AP772" s="674"/>
      <c r="AQ772" s="674"/>
      <c r="AR772" s="674"/>
      <c r="AS772" s="674"/>
      <c r="AT772" s="674"/>
      <c r="AU772" s="674"/>
      <c r="AV772" s="674"/>
      <c r="AX772" s="658" t="s">
        <v>244</v>
      </c>
      <c r="AY772" s="668">
        <f ca="1">DA772</f>
        <v>10.254559182513647</v>
      </c>
      <c r="AZ772" s="670" t="str">
        <f ca="1">HYPERLINK(DN772,DC772)</f>
        <v xml:space="preserve"> 235</v>
      </c>
      <c r="BA772" s="668">
        <f ca="1">DB772</f>
        <v>35</v>
      </c>
      <c r="BB772" s="670" t="str">
        <f ca="1">HYPERLINK(DO772,DD772)</f>
        <v xml:space="preserve"> 236</v>
      </c>
      <c r="BC772" s="658" t="str">
        <f ca="1">CY772&amp;" | "&amp;CZ772</f>
        <v>Brennstoffgew.
für Prozesse | 0</v>
      </c>
      <c r="BI772" s="658" t="s">
        <v>126</v>
      </c>
      <c r="BJ772" s="667" t="str">
        <f>E772</f>
        <v>Spez. Raumwärmeverbrauch</v>
      </c>
      <c r="BK772" s="664">
        <f ca="1">K772</f>
        <v>122.1</v>
      </c>
      <c r="BL772" s="664">
        <f ca="1">M772</f>
        <v>45.2</v>
      </c>
      <c r="BM772" s="656">
        <f>D772</f>
        <v>772</v>
      </c>
      <c r="BO772" s="658" t="s">
        <v>251</v>
      </c>
      <c r="BP772" s="676" t="s">
        <v>696</v>
      </c>
      <c r="CU772" s="659"/>
      <c r="CW772" s="671">
        <v>61</v>
      </c>
      <c r="CY772" s="656" t="str">
        <f t="shared" ref="CY772:DO772" ca="1" si="404">INDIRECT($CX$1&amp;CY$1&amp;$CW772)</f>
        <v>Brennstoffgew.
für Prozesse</v>
      </c>
      <c r="CZ772" s="656">
        <f t="shared" ca="1" si="404"/>
        <v>0</v>
      </c>
      <c r="DA772" s="656">
        <f t="shared" ca="1" si="404"/>
        <v>10.254559182513647</v>
      </c>
      <c r="DB772" s="656">
        <f t="shared" ca="1" si="404"/>
        <v>35</v>
      </c>
      <c r="DC772" s="656" t="str">
        <f t="shared" ca="1" si="404"/>
        <v xml:space="preserve"> 235</v>
      </c>
      <c r="DD772" s="656" t="str">
        <f t="shared" ca="1" si="404"/>
        <v xml:space="preserve"> 236</v>
      </c>
      <c r="DE772" s="656" t="str">
        <f t="shared" ca="1" si="404"/>
        <v>Ho99</v>
      </c>
      <c r="DF772" s="656" t="str">
        <f t="shared" ca="1" si="404"/>
        <v>Ho36</v>
      </c>
      <c r="DG772" s="656" t="str">
        <f t="shared" ca="1" si="404"/>
        <v>Ho</v>
      </c>
      <c r="DH772" s="656" t="str">
        <f t="shared" ca="1" si="404"/>
        <v>99</v>
      </c>
      <c r="DI772" s="656" t="str">
        <f t="shared" ca="1" si="404"/>
        <v>[Ho.xls]TEXT!Z99S5</v>
      </c>
      <c r="DJ772" s="656" t="str">
        <f t="shared" ca="1" si="404"/>
        <v>Ho</v>
      </c>
      <c r="DK772" s="656" t="str">
        <f t="shared" ca="1" si="404"/>
        <v>36</v>
      </c>
      <c r="DL772" s="656" t="str">
        <f t="shared" ca="1" si="404"/>
        <v>[Ho.xls]TEXT!Z36S5</v>
      </c>
      <c r="DM772" s="656">
        <f t="shared" ca="1" si="404"/>
        <v>61</v>
      </c>
      <c r="DN772" s="656" t="str">
        <f t="shared" ca="1" si="404"/>
        <v>[Region.xls]PARAMETER!Z235S6</v>
      </c>
      <c r="DO772" s="656" t="str">
        <f t="shared" ca="1" si="404"/>
        <v>[Region.xls]PARAMETER!Z236S6</v>
      </c>
      <c r="DP772" s="656"/>
      <c r="DS772" s="656"/>
      <c r="DV772" s="656"/>
      <c r="DW772" s="656"/>
      <c r="DX772" s="656"/>
      <c r="DY772" s="656"/>
      <c r="DZ772" s="656"/>
      <c r="EA772" s="656"/>
      <c r="EB772" s="656"/>
      <c r="EC772" s="656"/>
      <c r="ED772" s="656"/>
      <c r="EE772" s="656"/>
      <c r="EF772" s="656"/>
      <c r="EG772" s="656"/>
      <c r="EH772" s="656"/>
      <c r="EI772" s="656"/>
      <c r="EJ772" s="656"/>
      <c r="EK772" s="656"/>
      <c r="EV772" s="819">
        <f t="shared" si="386"/>
        <v>772</v>
      </c>
      <c r="EW772" s="819"/>
    </row>
    <row r="773" spans="1:153" s="656" customFormat="1" ht="52">
      <c r="A773" s="654" t="str">
        <f t="shared" ca="1" si="384"/>
        <v>D.1.773</v>
      </c>
      <c r="B773" s="654" t="str">
        <f t="shared" ca="1" si="385"/>
        <v>1.773</v>
      </c>
      <c r="C773" s="654" t="str">
        <f t="shared" si="376"/>
        <v>[773]</v>
      </c>
      <c r="D773" s="654">
        <f>ROW()</f>
        <v>773</v>
      </c>
      <c r="E773" s="1130" t="str">
        <f ca="1">CU773</f>
        <v>- STATUS-Ansatz: Gemäß co2online [9.141] wird für Deutschland 2013 ein Heizenergieverbrauch von 134 kWh/qm/a . Die Raumwärme hatte daran einen Anteil von 122,1 kWh/qm/a  angegeben (errechnet mit [774]), der Rest dient der Warmwasserbereitung. Hier wird angenommen, dass der für Wohnungen ermittelte Wert ohne großen Fehler auch für gewerbliche und für Dienstleistungen genutzte Räume angesetzt werden kann.</v>
      </c>
      <c r="F773" s="1130"/>
      <c r="G773" s="1130"/>
      <c r="H773" s="1130"/>
      <c r="I773" s="1130"/>
      <c r="J773" s="1130"/>
      <c r="K773" s="1130"/>
      <c r="L773" s="1130"/>
      <c r="M773" s="1130"/>
      <c r="N773" s="1130"/>
      <c r="O773" s="869">
        <v>767</v>
      </c>
      <c r="P773" s="691" t="str">
        <f ca="1">HYPERLINK(EK773,EJ773)</f>
        <v>9.141</v>
      </c>
      <c r="Q773" s="692" t="str">
        <f>Y773</f>
        <v>S. 2</v>
      </c>
      <c r="R773" s="852"/>
      <c r="S773" s="784"/>
      <c r="T773" s="864"/>
      <c r="U773" s="1023" t="str">
        <f ca="1">"Gemäß co2online ["&amp;P773&amp;"] wird für Deutschland 2013 ein Heizenergieverbrauch von "&amp;AD773&amp;AE773&amp;". Die Raumwärme hatte daran einen Anteil von "&amp;AJ773&amp;AK773&amp;" angegeben (errechnet mit "&amp;C774&amp;"), der Rest dient der Warmwasserbereitung. Hier wird angenommen, dass der für Wohnungen ermittelte Wert ohne großen Fehler auch für gewerbliche und für Dienstleistungen genutzte Räume angesetzt werden kann."</f>
        <v>Gemäß co2online [9.141] wird für Deutschland 2013 ein Heizenergieverbrauch von 134 kWh/qm/a . Die Raumwärme hatte daran einen Anteil von 122,1 kWh/qm/a  angegeben (errechnet mit [774]), der Rest dient der Warmwasserbereitung. Hier wird angenommen, dass der für Wohnungen ermittelte Wert ohne großen Fehler auch für gewerbliche und für Dienstleistungen genutzte Räume angesetzt werden kann.</v>
      </c>
      <c r="V773" s="905" t="s">
        <v>126</v>
      </c>
      <c r="W773" s="1095">
        <f>AJ773</f>
        <v>122.1</v>
      </c>
      <c r="X773" s="672">
        <f>'9.Quellen'!C141</f>
        <v>141</v>
      </c>
      <c r="Y773" s="672" t="s">
        <v>691</v>
      </c>
      <c r="Z773" s="1025"/>
      <c r="AA773" s="658"/>
      <c r="AB773" s="801"/>
      <c r="AC773" s="801"/>
      <c r="AD773" s="801">
        <v>134</v>
      </c>
      <c r="AE773" s="801" t="s">
        <v>692</v>
      </c>
      <c r="AF773" s="801">
        <v>137</v>
      </c>
      <c r="AG773" s="801" t="s">
        <v>693</v>
      </c>
      <c r="AH773" s="801">
        <f>AL774</f>
        <v>91.1</v>
      </c>
      <c r="AI773" s="801" t="str">
        <f>AM774</f>
        <v xml:space="preserve">% </v>
      </c>
      <c r="AJ773" s="801">
        <f>ROUND(AD773*AH773%,1)</f>
        <v>122.1</v>
      </c>
      <c r="AK773" s="801" t="s">
        <v>692</v>
      </c>
      <c r="AL773" s="801"/>
      <c r="AM773" s="801"/>
      <c r="AN773" s="801"/>
      <c r="AO773" s="801"/>
      <c r="AP773" s="801"/>
      <c r="AQ773" s="801"/>
      <c r="AR773" s="801"/>
      <c r="AS773" s="801"/>
      <c r="AT773" s="801"/>
      <c r="AU773" s="801"/>
      <c r="AV773" s="801"/>
      <c r="AY773" s="656">
        <f ca="1">AY772/AY$246%</f>
        <v>14.091645358575692</v>
      </c>
      <c r="BA773" s="656">
        <f ca="1">BA772/BA$246%</f>
        <v>100</v>
      </c>
      <c r="BF773" s="657"/>
      <c r="BI773" s="656" t="s">
        <v>126</v>
      </c>
      <c r="BJ773" s="666"/>
      <c r="BO773" s="656" t="s">
        <v>259</v>
      </c>
      <c r="CU773" s="663" t="str">
        <f ca="1">CG$1&amp;IF(U773="",BF773,U773)</f>
        <v>- STATUS-Ansatz: Gemäß co2online [9.141] wird für Deutschland 2013 ein Heizenergieverbrauch von 134 kWh/qm/a . Die Raumwärme hatte daran einen Anteil von 122,1 kWh/qm/a  angegeben (errechnet mit [774]), der Rest dient der Warmwasserbereitung. Hier wird angenommen, dass der für Wohnungen ermittelte Wert ohne großen Fehler auch für gewerbliche und für Dienstleistungen genutzte Räume angesetzt werden kann.</v>
      </c>
      <c r="CW773" s="663"/>
      <c r="DT773" s="671">
        <f>I_Basisdaten!A330</f>
        <v>0</v>
      </c>
      <c r="EJ773" s="656" t="str">
        <f ca="1">IF(X773=0,"",EJ$1&amp;X773)</f>
        <v>9.141</v>
      </c>
      <c r="EK773" s="656" t="str">
        <f ca="1">EK$1&amp;X773</f>
        <v>[D_Python.xlsx]9.Quellen!C141</v>
      </c>
      <c r="EV773" s="819">
        <f t="shared" ca="1" si="386"/>
        <v>773</v>
      </c>
      <c r="EW773" s="819"/>
    </row>
    <row r="774" spans="1:153" s="656" customFormat="1" ht="26">
      <c r="A774" s="654" t="str">
        <f t="shared" ca="1" si="384"/>
        <v>D.1.774</v>
      </c>
      <c r="B774" s="654" t="str">
        <f t="shared" ca="1" si="385"/>
        <v>1.774</v>
      </c>
      <c r="C774" s="654" t="str">
        <f t="shared" si="376"/>
        <v>[774]</v>
      </c>
      <c r="D774" s="654">
        <f>ROW()</f>
        <v>774</v>
      </c>
      <c r="E774" s="1130" t="str">
        <f ca="1">CU774</f>
        <v>91,1%  beträgt der Anteil Raumwärme am Heizenergieverbrauch der Wohnungen in Deutschland 2012, resultierend aus den Anwendungsbilanzen gemäß [9.28].</v>
      </c>
      <c r="F774" s="1130"/>
      <c r="G774" s="1130"/>
      <c r="H774" s="1130"/>
      <c r="I774" s="1130"/>
      <c r="J774" s="1130"/>
      <c r="K774" s="1130"/>
      <c r="L774" s="1130"/>
      <c r="M774" s="1130"/>
      <c r="N774" s="1131"/>
      <c r="O774" s="869">
        <v>768</v>
      </c>
      <c r="P774" s="691" t="str">
        <f t="shared" ref="P774" ca="1" si="405">HYPERLINK(EK774,EJ774)</f>
        <v>9.28</v>
      </c>
      <c r="Q774" s="646"/>
      <c r="R774" s="852"/>
      <c r="S774" s="784"/>
      <c r="T774" s="864"/>
      <c r="U774" s="1023" t="str">
        <f ca="1">AL774&amp;AM774&amp;" beträgt der Anteil Raumwärme am Heizenergieverbrauch der Wohnungen in Deutschland 2012, resultierend aus den Anwendungsbilanzen gemäß ["&amp;P774&amp;"]."</f>
        <v>91,1%  beträgt der Anteil Raumwärme am Heizenergieverbrauch der Wohnungen in Deutschland 2012, resultierend aus den Anwendungsbilanzen gemäß [9.28].</v>
      </c>
      <c r="V774" s="905" t="s">
        <v>126</v>
      </c>
      <c r="W774" s="1024">
        <f>AD774</f>
        <v>0</v>
      </c>
      <c r="X774" s="672">
        <f>'9.Quellen'!C28</f>
        <v>28</v>
      </c>
      <c r="Y774" s="672" t="s">
        <v>126</v>
      </c>
      <c r="Z774" s="672"/>
      <c r="AA774" s="905"/>
      <c r="AB774" s="801"/>
      <c r="AC774" s="801"/>
      <c r="AD774" s="801"/>
      <c r="AE774" s="801"/>
      <c r="AF774" s="801">
        <f>AF773</f>
        <v>137</v>
      </c>
      <c r="AG774" s="801" t="s">
        <v>694</v>
      </c>
      <c r="AH774" s="801">
        <v>279</v>
      </c>
      <c r="AI774" s="801" t="s">
        <v>695</v>
      </c>
      <c r="AJ774" s="801">
        <v>24.7</v>
      </c>
      <c r="AK774" s="801" t="s">
        <v>695</v>
      </c>
      <c r="AL774" s="801">
        <f>ROUND((AH774-AJ774)/AH774%,1)</f>
        <v>91.1</v>
      </c>
      <c r="AM774" s="801" t="s">
        <v>835</v>
      </c>
      <c r="AN774" s="801"/>
      <c r="AO774" s="801"/>
      <c r="AP774" s="801"/>
      <c r="AQ774" s="801"/>
      <c r="AR774" s="801"/>
      <c r="AS774" s="801"/>
      <c r="AT774" s="801"/>
      <c r="AU774" s="801"/>
      <c r="AV774" s="801"/>
      <c r="BF774" s="657"/>
      <c r="BI774" s="656" t="s">
        <v>126</v>
      </c>
      <c r="BJ774" s="666"/>
      <c r="BO774" s="656" t="s">
        <v>252</v>
      </c>
      <c r="CU774" s="663" t="str">
        <f ca="1">IF(U774="",BF774,U774)</f>
        <v>91,1%  beträgt der Anteil Raumwärme am Heizenergieverbrauch der Wohnungen in Deutschland 2012, resultierend aus den Anwendungsbilanzen gemäß [9.28].</v>
      </c>
      <c r="CW774" s="663"/>
      <c r="DT774" s="671"/>
      <c r="EJ774" s="656" t="str">
        <f ca="1">IF(X774=0,"",EJ$1&amp;X774)</f>
        <v>9.28</v>
      </c>
      <c r="EK774" s="656" t="str">
        <f ca="1">EK$1&amp;X774</f>
        <v>[D_Python.xlsx]9.Quellen!C28</v>
      </c>
      <c r="EN774" s="656" t="str">
        <f>IF(Z774=0,"",EN$1&amp;Z774)</f>
        <v/>
      </c>
      <c r="EO774" s="656" t="str">
        <f ca="1">EO$1&amp;Z774</f>
        <v>[D_Python.xlsx]7.VerbrauchStatus!D</v>
      </c>
      <c r="EV774" s="819">
        <f t="shared" ca="1" si="386"/>
        <v>774</v>
      </c>
      <c r="EW774" s="819"/>
    </row>
    <row r="775" spans="1:153" s="661" customFormat="1" ht="4">
      <c r="A775" s="677" t="str">
        <f t="shared" ca="1" si="384"/>
        <v>D.1.775</v>
      </c>
      <c r="B775" s="677" t="str">
        <f t="shared" ca="1" si="385"/>
        <v>1.775</v>
      </c>
      <c r="C775" s="677" t="str">
        <f t="shared" si="376"/>
        <v>[775]</v>
      </c>
      <c r="D775" s="677">
        <f>ROW()</f>
        <v>775</v>
      </c>
      <c r="E775" s="680"/>
      <c r="F775" s="680"/>
      <c r="G775" s="680"/>
      <c r="H775" s="680"/>
      <c r="I775" s="679"/>
      <c r="J775" s="679"/>
      <c r="K775" s="679"/>
      <c r="L775" s="679"/>
      <c r="M775" s="679"/>
      <c r="N775" s="680"/>
      <c r="O775" s="871">
        <v>769</v>
      </c>
      <c r="P775" s="688"/>
      <c r="Q775" s="689"/>
      <c r="R775" s="888"/>
      <c r="S775" s="802"/>
      <c r="T775" s="882"/>
      <c r="W775" s="606"/>
      <c r="AB775" s="675"/>
      <c r="AC775" s="675"/>
      <c r="AD775" s="675"/>
      <c r="AE775" s="675"/>
      <c r="AF775" s="675"/>
      <c r="AG775" s="675"/>
      <c r="AH775" s="675"/>
      <c r="AI775" s="675"/>
      <c r="AJ775" s="675"/>
      <c r="AK775" s="675"/>
      <c r="AL775" s="675"/>
      <c r="AM775" s="675"/>
      <c r="AN775" s="675"/>
      <c r="AO775" s="675"/>
      <c r="AP775" s="675"/>
      <c r="AQ775" s="675"/>
      <c r="AR775" s="675"/>
      <c r="AS775" s="675"/>
      <c r="AT775" s="675"/>
      <c r="AU775" s="675"/>
      <c r="AV775" s="675"/>
      <c r="BI775" s="661" t="s">
        <v>126</v>
      </c>
      <c r="BJ775" s="665"/>
      <c r="CU775" s="662"/>
      <c r="CW775" s="662"/>
      <c r="EV775" s="818" t="str">
        <f t="shared" si="386"/>
        <v/>
      </c>
      <c r="EW775" s="818"/>
    </row>
    <row r="776" spans="1:153" s="656" customFormat="1" ht="65">
      <c r="A776" s="654" t="str">
        <f t="shared" ca="1" si="384"/>
        <v>D.1.776</v>
      </c>
      <c r="B776" s="654" t="str">
        <f t="shared" ca="1" si="385"/>
        <v>1.776</v>
      </c>
      <c r="C776" s="654" t="str">
        <f t="shared" si="376"/>
        <v>[776]</v>
      </c>
      <c r="D776" s="654">
        <f>ROW()</f>
        <v>776</v>
      </c>
      <c r="E776" s="1125" t="str">
        <f t="shared" ref="E776" si="406">CU776</f>
        <v>- ZIEL-Ansatz: Unter der Annahme, dass 33%  des künftigen Gebäudebestandes auf Passivhausstandard gebracht werden können und die übrigen Gebäude zukunftsfähig saniert werden [777], resultiert am Ende ein durchschnittlicher Raumwärmeverbrauch von 45,2kWh/qm/a, der hier angenommen wird. Dieser Ansatz liegt somit zwischen dem sehr optimistisch erscheinenden Ansatz in UBA Treibhausgasneutrales Deutschland 2050 [778] und dem konservativen Ansatz in BMU Leitstudie 2011 [779].</v>
      </c>
      <c r="F776" s="1125"/>
      <c r="G776" s="1125"/>
      <c r="H776" s="1125"/>
      <c r="I776" s="1125"/>
      <c r="J776" s="1125"/>
      <c r="K776" s="1125"/>
      <c r="L776" s="1125"/>
      <c r="M776" s="1125"/>
      <c r="N776" s="1132"/>
      <c r="O776" s="869">
        <v>770</v>
      </c>
      <c r="P776" s="691" t="str">
        <f ca="1">HYPERLINK(EK776,EJ776)</f>
        <v/>
      </c>
      <c r="Q776" s="692" t="str">
        <f>Y776</f>
        <v xml:space="preserve"> </v>
      </c>
      <c r="R776" s="852"/>
      <c r="S776" s="784"/>
      <c r="T776" s="864"/>
      <c r="U776" s="1023" t="str">
        <f>"Unter der Annahme, dass "&amp;AD776&amp;AE776&amp;" des künftigen Gebäudebestandes auf Passivhausstandard gebracht werden können und die übrigen Gebäude zukunftsfähig saniert werden "&amp;C777&amp;", resultiert am Ende ein durchschnittlicher Raumwärmeverbrauch von "&amp;AF776&amp;AG776&amp;", der hier angenommen wird. Dieser Ansatz liegt somit zwischen dem sehr optimistisch erscheinenden Ansatz in UBA Treibhausgasneutrales Deutschland 2050 "&amp;C778&amp;" und dem konservativen Ansatz in BMU Leitstudie 2011 "&amp;C779&amp;"."</f>
        <v>Unter der Annahme, dass 33%  des künftigen Gebäudebestandes auf Passivhausstandard gebracht werden können und die übrigen Gebäude zukunftsfähig saniert werden [777], resultiert am Ende ein durchschnittlicher Raumwärmeverbrauch von 45,2kWh/qm/a, der hier angenommen wird. Dieser Ansatz liegt somit zwischen dem sehr optimistisch erscheinenden Ansatz in UBA Treibhausgasneutrales Deutschland 2050 [778] und dem konservativen Ansatz in BMU Leitstudie 2011 [779].</v>
      </c>
      <c r="V776" s="905" t="s">
        <v>126</v>
      </c>
      <c r="W776" s="1095">
        <f>AF776</f>
        <v>45.2</v>
      </c>
      <c r="X776" s="672"/>
      <c r="Y776" s="672" t="s">
        <v>126</v>
      </c>
      <c r="Z776" s="1025"/>
      <c r="AA776" s="905"/>
      <c r="AB776" s="801"/>
      <c r="AC776" s="1020"/>
      <c r="AD776" s="801">
        <v>33</v>
      </c>
      <c r="AE776" s="801" t="s">
        <v>835</v>
      </c>
      <c r="AF776" s="801">
        <f>ROUND(AD777*AD776%+(100-AD776)*AF777%,1)</f>
        <v>45.2</v>
      </c>
      <c r="AG776" s="801" t="s">
        <v>680</v>
      </c>
      <c r="AH776" s="801"/>
      <c r="AI776" s="801"/>
      <c r="AJ776" s="801"/>
      <c r="AK776" s="801"/>
      <c r="AL776" s="801"/>
      <c r="AM776" s="801"/>
      <c r="AN776" s="801"/>
      <c r="AO776" s="801"/>
      <c r="AP776" s="801"/>
      <c r="AQ776" s="801"/>
      <c r="AR776" s="801"/>
      <c r="AS776" s="801"/>
      <c r="AT776" s="801"/>
      <c r="AU776" s="801"/>
      <c r="AV776" s="801"/>
      <c r="BF776" s="657"/>
      <c r="BI776" s="656" t="s">
        <v>126</v>
      </c>
      <c r="BJ776" s="666"/>
      <c r="BO776" s="656" t="s">
        <v>259</v>
      </c>
      <c r="CU776" s="663" t="str">
        <f>CH$1&amp;IF(U776="",BF776,U776)</f>
        <v>- ZIEL-Ansatz: Unter der Annahme, dass 33%  des künftigen Gebäudebestandes auf Passivhausstandard gebracht werden können und die übrigen Gebäude zukunftsfähig saniert werden [777], resultiert am Ende ein durchschnittlicher Raumwärmeverbrauch von 45,2kWh/qm/a, der hier angenommen wird. Dieser Ansatz liegt somit zwischen dem sehr optimistisch erscheinenden Ansatz in UBA Treibhausgasneutrales Deutschland 2050 [778] und dem konservativen Ansatz in BMU Leitstudie 2011 [779].</v>
      </c>
      <c r="CW776" s="663"/>
      <c r="DT776" s="671">
        <v>53</v>
      </c>
      <c r="EJ776" s="656" t="str">
        <f>IF(X776=0,"",EJ$1&amp;X776)</f>
        <v/>
      </c>
      <c r="EK776" s="656" t="str">
        <f ca="1">EK$1&amp;X776</f>
        <v>[D_Python.xlsx]9.Quellen!C</v>
      </c>
      <c r="EV776" s="819">
        <f t="shared" si="386"/>
        <v>776</v>
      </c>
      <c r="EW776" s="819"/>
    </row>
    <row r="777" spans="1:153" s="656" customFormat="1" ht="26">
      <c r="A777" s="654" t="str">
        <f t="shared" ca="1" si="384"/>
        <v>D.1.777</v>
      </c>
      <c r="B777" s="654" t="str">
        <f t="shared" ca="1" si="385"/>
        <v>1.777</v>
      </c>
      <c r="C777" s="654" t="str">
        <f t="shared" si="376"/>
        <v>[777]</v>
      </c>
      <c r="D777" s="654">
        <f>ROW()</f>
        <v>777</v>
      </c>
      <c r="E777" s="1125" t="str">
        <f ca="1">CU777</f>
        <v xml:space="preserve">15 kWh/qm/a  können nach eigenen Recherchen [9.208] als Raumwärmebedarf von Bauten im Passivhausstandard angenommen werden, 60 kWh/qm/a für zukunftsfähig sanierte Gebäude. </v>
      </c>
      <c r="F777" s="1125"/>
      <c r="G777" s="1125"/>
      <c r="H777" s="1125"/>
      <c r="I777" s="1125"/>
      <c r="J777" s="1125"/>
      <c r="K777" s="1125"/>
      <c r="L777" s="1125"/>
      <c r="M777" s="1125"/>
      <c r="N777" s="1132"/>
      <c r="O777" s="869">
        <v>771</v>
      </c>
      <c r="P777" s="691" t="str">
        <f ca="1">HYPERLINK(EK777,EJ777)</f>
        <v>9.208</v>
      </c>
      <c r="Q777" s="692" t="str">
        <f>Y777</f>
        <v>Ba95</v>
      </c>
      <c r="R777" s="852"/>
      <c r="S777" s="784"/>
      <c r="T777" s="864"/>
      <c r="U777" s="1023" t="str">
        <f ca="1">AD777&amp;AE777&amp;" können nach eigenen Recherchen ["&amp;P777&amp;"] als Raumwärmebedarf von Bauten im Passivhausstandard angenommen werden, "&amp;AF777&amp;AG777&amp;" für zukunftsfähig sanierte Gebäude. "</f>
        <v xml:space="preserve">15 kWh/qm/a  können nach eigenen Recherchen [9.208] als Raumwärmebedarf von Bauten im Passivhausstandard angenommen werden, 60 kWh/qm/a für zukunftsfähig sanierte Gebäude. </v>
      </c>
      <c r="V777" s="905" t="s">
        <v>126</v>
      </c>
      <c r="W777" s="1024">
        <v>90</v>
      </c>
      <c r="X777" s="672">
        <f>'9.Quellen'!C208</f>
        <v>208</v>
      </c>
      <c r="Y777" s="672" t="s">
        <v>697</v>
      </c>
      <c r="Z777" s="1025"/>
      <c r="AA777" s="905"/>
      <c r="AB777" s="801"/>
      <c r="AC777" s="801"/>
      <c r="AD777" s="801">
        <v>15</v>
      </c>
      <c r="AE777" s="801" t="s">
        <v>692</v>
      </c>
      <c r="AF777" s="801">
        <v>60</v>
      </c>
      <c r="AG777" s="801" t="s">
        <v>694</v>
      </c>
      <c r="AH777" s="801"/>
      <c r="AI777" s="801"/>
      <c r="AJ777" s="801"/>
      <c r="AK777" s="687"/>
      <c r="AL777" s="801"/>
      <c r="AM777" s="801"/>
      <c r="AN777" s="801"/>
      <c r="AO777" s="801"/>
      <c r="AP777" s="801"/>
      <c r="AQ777" s="801"/>
      <c r="AR777" s="801"/>
      <c r="AS777" s="801"/>
      <c r="AT777" s="801"/>
      <c r="AU777" s="801"/>
      <c r="AV777" s="801"/>
      <c r="BF777" s="657"/>
      <c r="BI777" s="656" t="s">
        <v>126</v>
      </c>
      <c r="BJ777" s="666"/>
      <c r="BO777" s="656" t="s">
        <v>252</v>
      </c>
      <c r="CU777" s="663" t="str">
        <f ca="1">IF(U777="",BF777,U777)</f>
        <v xml:space="preserve">15 kWh/qm/a  können nach eigenen Recherchen [9.208] als Raumwärmebedarf von Bauten im Passivhausstandard angenommen werden, 60 kWh/qm/a für zukunftsfähig sanierte Gebäude. </v>
      </c>
      <c r="CW777" s="663"/>
      <c r="DT777" s="671"/>
      <c r="EJ777" s="656" t="str">
        <f ca="1">IF(X777=0,"",EJ$1&amp;X777)</f>
        <v>9.208</v>
      </c>
      <c r="EK777" s="656" t="str">
        <f ca="1">EK$1&amp;X777</f>
        <v>[D_Python.xlsx]9.Quellen!C208</v>
      </c>
      <c r="EV777" s="819">
        <f t="shared" ca="1" si="386"/>
        <v>777</v>
      </c>
      <c r="EW777" s="819"/>
    </row>
    <row r="778" spans="1:153" s="656" customFormat="1" ht="52">
      <c r="A778" s="654" t="str">
        <f t="shared" ca="1" si="384"/>
        <v>D.1.778</v>
      </c>
      <c r="B778" s="654" t="str">
        <f t="shared" ca="1" si="385"/>
        <v>1.778</v>
      </c>
      <c r="C778" s="654" t="str">
        <f>CE$1&amp;D778&amp;CF$1</f>
        <v>[778]</v>
      </c>
      <c r="D778" s="654">
        <f>ROW()</f>
        <v>778</v>
      </c>
      <c r="E778" s="1125" t="str">
        <f ca="1">CU778</f>
        <v>UBA Treibhausgasneutrales Deutschland 2050 [9.249], S. 76: Geht im zielkonformen Szeario V1 von einer energetischen Gebäudesanierungsrate von 2,7%/a aus, wobei 82% des Bestandes auf einen durchschnittlichen Nutzwärmebedarf von 30 kWh/qm/a gebracht werden und 18 % durch Neubauten mit einem Nutzwärmebedarf von 10 kWh/qm/a ersetzt werden. Daraus resultiert ein Nutzwärmedarf von 26 kWh/qm/a.</v>
      </c>
      <c r="F778" s="1125"/>
      <c r="G778" s="1125"/>
      <c r="H778" s="1125"/>
      <c r="I778" s="1125"/>
      <c r="J778" s="1125"/>
      <c r="K778" s="1125"/>
      <c r="L778" s="1125"/>
      <c r="M778" s="1125"/>
      <c r="N778" s="1132"/>
      <c r="O778" s="869">
        <v>772</v>
      </c>
      <c r="P778" s="691" t="str">
        <f t="shared" ref="P778" ca="1" si="407">HYPERLINK(EK778,EJ778)</f>
        <v>9.249</v>
      </c>
      <c r="Q778" s="692" t="str">
        <f t="shared" ref="Q778" si="408">Y778</f>
        <v>S. 76</v>
      </c>
      <c r="R778" s="852"/>
      <c r="S778" s="784"/>
      <c r="T778" s="864"/>
      <c r="U778" s="1023" t="str">
        <f ca="1">"UBA Treibhausgasneutrales Deutschland 2050 ["&amp;P778&amp;"], "&amp;Q778&amp;": Geht im zielkonformen Szeario V1 von einer energetischen Gebäudesanierungsrate von 2,7%/a aus, "&amp;"wobei 82% des Bestandes auf einen durchschnittlichen Nutzwärmebedarf von 30 kWh/qm/a gebracht werden und 18 % durch Neubauten mit einem Nutzwärmebedarf von 10 kWh/qm/a ersetzt werden. Daraus resultiert ein Nutzwärmedarf von 26 kWh/qm/a."</f>
        <v>UBA Treibhausgasneutrales Deutschland 2050 [9.249], S. 76: Geht im zielkonformen Szeario V1 von einer energetischen Gebäudesanierungsrate von 2,7%/a aus, wobei 82% des Bestandes auf einen durchschnittlichen Nutzwärmebedarf von 30 kWh/qm/a gebracht werden und 18 % durch Neubauten mit einem Nutzwärmebedarf von 10 kWh/qm/a ersetzt werden. Daraus resultiert ein Nutzwärmedarf von 26 kWh/qm/a.</v>
      </c>
      <c r="V778" s="905" t="s">
        <v>126</v>
      </c>
      <c r="W778" s="1025"/>
      <c r="X778" s="672">
        <f>'9.Quellen'!C$249</f>
        <v>249</v>
      </c>
      <c r="Y778" s="672" t="s">
        <v>352</v>
      </c>
      <c r="Z778" s="1025"/>
      <c r="AA778" s="905"/>
      <c r="AB778" s="801"/>
      <c r="AC778" s="801"/>
      <c r="AD778" s="801"/>
      <c r="AE778" s="801"/>
      <c r="AF778" s="801"/>
      <c r="AG778" s="801"/>
      <c r="AH778" s="801"/>
      <c r="AI778" s="801"/>
      <c r="AJ778" s="801"/>
      <c r="AK778" s="801"/>
      <c r="AL778" s="801"/>
      <c r="AM778" s="801"/>
      <c r="AN778" s="801"/>
      <c r="AO778" s="801"/>
      <c r="AP778" s="801"/>
      <c r="AQ778" s="801"/>
      <c r="AR778" s="801"/>
      <c r="AS778" s="801"/>
      <c r="AT778" s="801"/>
      <c r="AU778" s="801"/>
      <c r="AV778" s="801"/>
      <c r="BF778" s="657"/>
      <c r="BI778" s="656" t="s">
        <v>126</v>
      </c>
      <c r="BJ778" s="666"/>
      <c r="BO778" s="656" t="s">
        <v>252</v>
      </c>
      <c r="CU778" s="663" t="str">
        <f ca="1">IF(U778="",BF778,U778)</f>
        <v>UBA Treibhausgasneutrales Deutschland 2050 [9.249], S. 76: Geht im zielkonformen Szeario V1 von einer energetischen Gebäudesanierungsrate von 2,7%/a aus, wobei 82% des Bestandes auf einen durchschnittlichen Nutzwärmebedarf von 30 kWh/qm/a gebracht werden und 18 % durch Neubauten mit einem Nutzwärmebedarf von 10 kWh/qm/a ersetzt werden. Daraus resultiert ein Nutzwärmedarf von 26 kWh/qm/a.</v>
      </c>
      <c r="CW778" s="663"/>
      <c r="DT778" s="671"/>
      <c r="EJ778" s="656" t="str">
        <f ca="1">IF(X778=0,"",EJ$1&amp;X778)</f>
        <v>9.249</v>
      </c>
      <c r="EK778" s="656" t="str">
        <f ca="1">EK$1&amp;X778</f>
        <v>[D_Python.xlsx]9.Quellen!C249</v>
      </c>
      <c r="EV778" s="819">
        <f t="shared" ca="1" si="386"/>
        <v>778</v>
      </c>
      <c r="EW778" s="819"/>
    </row>
    <row r="779" spans="1:153" s="656" customFormat="1" ht="39">
      <c r="A779" s="654" t="str">
        <f t="shared" ca="1" si="384"/>
        <v>D.1.779</v>
      </c>
      <c r="B779" s="654" t="str">
        <f t="shared" ca="1" si="385"/>
        <v>1.779</v>
      </c>
      <c r="C779" s="654" t="str">
        <f>CE$1&amp;D779&amp;CF$1</f>
        <v>[779]</v>
      </c>
      <c r="D779" s="654">
        <f>ROW()</f>
        <v>779</v>
      </c>
      <c r="E779" s="1125" t="str">
        <f ca="1">CU779</f>
        <v>BMU Leitstudie 2011 [9.60], S. 63: "In den Szenarien 2011 wird davon ausgegangen, dass der spezifische Endenergieverbrauch für Raumwärme in Wohngebäuden bis 2050 um über 57% auf 63 kWh/(m2 · a) im Jahr 2050 sinken wird.</v>
      </c>
      <c r="F779" s="1125"/>
      <c r="G779" s="1125"/>
      <c r="H779" s="1125"/>
      <c r="I779" s="1125"/>
      <c r="J779" s="1125"/>
      <c r="K779" s="1125"/>
      <c r="L779" s="1125"/>
      <c r="M779" s="1125"/>
      <c r="N779" s="1132"/>
      <c r="O779" s="869">
        <v>773</v>
      </c>
      <c r="P779" s="691" t="str">
        <f ca="1">HYPERLINK(EK779,EJ779)</f>
        <v>9.60</v>
      </c>
      <c r="Q779" s="692" t="str">
        <f>Y779</f>
        <v>S. 63</v>
      </c>
      <c r="R779" s="852"/>
      <c r="S779" s="784"/>
      <c r="T779" s="864"/>
      <c r="U779" s="1023" t="str">
        <f ca="1">"BMU Leitstudie 2011 ["&amp;P779&amp;"], "&amp;Q779&amp;": ""In den Szenarien 2011 wird davon ausgegangen, dass der spezifische Endenergieverbrauch für Raumwärme in Wohngebäuden bis 2050 um über 57% auf 63 kWh/(m2 · a) im Jahr 2050 sinken wird."</f>
        <v>BMU Leitstudie 2011 [9.60], S. 63: "In den Szenarien 2011 wird davon ausgegangen, dass der spezifische Endenergieverbrauch für Raumwärme in Wohngebäuden bis 2050 um über 57% auf 63 kWh/(m2 · a) im Jahr 2050 sinken wird.</v>
      </c>
      <c r="V779" s="905" t="s">
        <v>126</v>
      </c>
      <c r="W779" s="1025"/>
      <c r="X779" s="672">
        <f>'9.Quellen'!C$60</f>
        <v>60</v>
      </c>
      <c r="Y779" s="672" t="s">
        <v>769</v>
      </c>
      <c r="Z779" s="1025"/>
      <c r="AA779" s="905"/>
      <c r="AB779" s="801"/>
      <c r="AC779" s="801"/>
      <c r="AD779" s="801"/>
      <c r="AE779" s="801"/>
      <c r="AF779" s="801"/>
      <c r="AG779" s="801"/>
      <c r="AH779" s="801"/>
      <c r="AI779" s="801"/>
      <c r="AJ779" s="801"/>
      <c r="AK779" s="801"/>
      <c r="AL779" s="801"/>
      <c r="AM779" s="801"/>
      <c r="AN779" s="801"/>
      <c r="AO779" s="801"/>
      <c r="AP779" s="801"/>
      <c r="AQ779" s="801"/>
      <c r="AR779" s="801"/>
      <c r="AS779" s="801"/>
      <c r="AT779" s="801"/>
      <c r="AU779" s="801"/>
      <c r="AV779" s="801"/>
      <c r="BF779" s="657" t="s">
        <v>126</v>
      </c>
      <c r="BI779" s="656" t="s">
        <v>126</v>
      </c>
      <c r="BJ779" s="666"/>
      <c r="BO779" s="656" t="s">
        <v>259</v>
      </c>
      <c r="BQ779" s="678" t="s">
        <v>271</v>
      </c>
      <c r="CU779" s="663" t="str">
        <f ca="1">IF(U779="",BF779,U779)</f>
        <v>BMU Leitstudie 2011 [9.60], S. 63: "In den Szenarien 2011 wird davon ausgegangen, dass der spezifische Endenergieverbrauch für Raumwärme in Wohngebäuden bis 2050 um über 57% auf 63 kWh/(m2 · a) im Jahr 2050 sinken wird.</v>
      </c>
      <c r="CW779" s="663"/>
      <c r="EJ779" s="656" t="str">
        <f ca="1">IF(X779=0,"",EJ$1&amp;X779)</f>
        <v>9.60</v>
      </c>
      <c r="EK779" s="656" t="str">
        <f ca="1">EK$1&amp;X779</f>
        <v>[D_Python.xlsx]9.Quellen!C60</v>
      </c>
      <c r="EV779" s="819">
        <f t="shared" ca="1" si="386"/>
        <v>779</v>
      </c>
      <c r="EW779" s="819"/>
    </row>
    <row r="780" spans="1:153" s="661" customFormat="1" ht="4">
      <c r="A780" s="677" t="str">
        <f t="shared" ca="1" si="384"/>
        <v>D.1.780</v>
      </c>
      <c r="B780" s="677" t="str">
        <f t="shared" ca="1" si="385"/>
        <v>1.780</v>
      </c>
      <c r="C780" s="677" t="str">
        <f t="shared" si="376"/>
        <v>[780]</v>
      </c>
      <c r="D780" s="677">
        <f>ROW()</f>
        <v>780</v>
      </c>
      <c r="E780" s="685"/>
      <c r="F780" s="685"/>
      <c r="G780" s="685"/>
      <c r="H780" s="685"/>
      <c r="I780" s="686"/>
      <c r="J780" s="686"/>
      <c r="K780" s="686"/>
      <c r="L780" s="686"/>
      <c r="M780" s="686"/>
      <c r="N780" s="685"/>
      <c r="O780" s="871">
        <v>774</v>
      </c>
      <c r="P780" s="693"/>
      <c r="Q780" s="694"/>
      <c r="R780" s="888"/>
      <c r="S780" s="802"/>
      <c r="T780" s="882"/>
      <c r="AB780" s="675"/>
      <c r="AC780" s="675"/>
      <c r="AD780" s="675"/>
      <c r="AE780" s="675"/>
      <c r="AF780" s="675"/>
      <c r="AG780" s="675"/>
      <c r="AH780" s="675"/>
      <c r="AI780" s="675"/>
      <c r="AJ780" s="675"/>
      <c r="AK780" s="675"/>
      <c r="AL780" s="675"/>
      <c r="AM780" s="675"/>
      <c r="AN780" s="675"/>
      <c r="AO780" s="675"/>
      <c r="AP780" s="675"/>
      <c r="AQ780" s="675"/>
      <c r="AR780" s="675"/>
      <c r="AS780" s="675"/>
      <c r="AT780" s="675"/>
      <c r="AU780" s="675"/>
      <c r="AV780" s="675"/>
      <c r="AZ780" s="669"/>
      <c r="BB780" s="669"/>
      <c r="BI780" s="661" t="s">
        <v>126</v>
      </c>
      <c r="BJ780" s="665"/>
      <c r="CU780" s="662"/>
      <c r="CW780" s="662"/>
      <c r="EV780" s="818" t="str">
        <f t="shared" si="386"/>
        <v/>
      </c>
      <c r="EW780" s="818"/>
    </row>
    <row r="781" spans="1:153" s="658" customFormat="1" ht="13.5" customHeight="1">
      <c r="A781" s="654" t="str">
        <f t="shared" ca="1" si="384"/>
        <v>D.1.781</v>
      </c>
      <c r="B781" s="654" t="str">
        <f t="shared" ca="1" si="385"/>
        <v>1.781</v>
      </c>
      <c r="C781" s="654" t="str">
        <f t="shared" si="376"/>
        <v>[781]</v>
      </c>
      <c r="D781" s="654">
        <f>ROW()</f>
        <v>781</v>
      </c>
      <c r="E781" s="1129" t="str">
        <f>BP781</f>
        <v>Gebäude-Sanierungs-/Ersatzrate</v>
      </c>
      <c r="F781" s="1129"/>
      <c r="G781" s="1129"/>
      <c r="H781" s="1129"/>
      <c r="I781" s="1129"/>
      <c r="J781" s="655" t="s">
        <v>38</v>
      </c>
      <c r="K781" s="1150">
        <f ca="1">INDIRECT($W$1&amp;U781)</f>
        <v>2.64</v>
      </c>
      <c r="L781" s="1151"/>
      <c r="M781" s="1152"/>
      <c r="N781" s="681" t="str">
        <f ca="1">HYPERLINK($CK$1&amp;W781,$CE$1&amp;W781&amp;$CF$1)</f>
        <v>[782]</v>
      </c>
      <c r="O781" s="869">
        <v>775</v>
      </c>
      <c r="P781" s="690"/>
      <c r="Q781" s="695"/>
      <c r="R781" s="852"/>
      <c r="S781" s="784"/>
      <c r="T781" s="864"/>
      <c r="U781" s="672">
        <f>D782</f>
        <v>782</v>
      </c>
      <c r="V781" s="905" t="s">
        <v>126</v>
      </c>
      <c r="W781" s="672">
        <f>D782</f>
        <v>782</v>
      </c>
      <c r="AB781" s="801"/>
      <c r="AC781" s="801"/>
      <c r="AD781" s="674"/>
      <c r="AE781" s="674"/>
      <c r="AF781" s="674"/>
      <c r="AG781" s="674"/>
      <c r="AH781" s="674"/>
      <c r="AI781" s="674"/>
      <c r="AJ781" s="674"/>
      <c r="AK781" s="674"/>
      <c r="AL781" s="674"/>
      <c r="AM781" s="674"/>
      <c r="AN781" s="674"/>
      <c r="AO781" s="674"/>
      <c r="AP781" s="674"/>
      <c r="AQ781" s="674"/>
      <c r="AR781" s="674"/>
      <c r="AS781" s="674"/>
      <c r="AT781" s="674"/>
      <c r="AU781" s="674"/>
      <c r="AV781" s="674"/>
      <c r="AX781" s="658" t="s">
        <v>244</v>
      </c>
      <c r="AY781" s="668">
        <f ca="1">DA781</f>
        <v>35.041575718754729</v>
      </c>
      <c r="AZ781" s="670" t="str">
        <f ca="1">HYPERLINK(DN781,DC781)</f>
        <v xml:space="preserve"> 225</v>
      </c>
      <c r="BA781" s="668">
        <f ca="1">DB781</f>
        <v>0</v>
      </c>
      <c r="BB781" s="670" t="str">
        <f ca="1">HYPERLINK(DO781,DD781)</f>
        <v xml:space="preserve"> 226</v>
      </c>
      <c r="BC781" s="658" t="str">
        <f ca="1">CY781&amp;" | "&amp;CZ781</f>
        <v>Brennstoffgew.
 für Heizung | 0</v>
      </c>
      <c r="BI781" s="658" t="s">
        <v>126</v>
      </c>
      <c r="BJ781" s="667" t="str">
        <f>E781</f>
        <v>Gebäude-Sanierungs-/Ersatzrate</v>
      </c>
      <c r="BK781" s="664">
        <f ca="1">K781</f>
        <v>2.64</v>
      </c>
      <c r="BL781" s="664">
        <f>M781</f>
        <v>0</v>
      </c>
      <c r="BM781" s="656">
        <f>D781</f>
        <v>781</v>
      </c>
      <c r="BO781" s="658" t="s">
        <v>251</v>
      </c>
      <c r="BP781" s="676" t="s">
        <v>681</v>
      </c>
      <c r="CU781" s="659"/>
      <c r="CW781" s="671">
        <v>54</v>
      </c>
      <c r="CY781" s="656" t="str">
        <f t="shared" ref="CY781:DO781" ca="1" si="409">INDIRECT($CX$1&amp;CY$1&amp;$CW781)</f>
        <v>Brennstoffgew.
 für Heizung</v>
      </c>
      <c r="CZ781" s="656">
        <f t="shared" ca="1" si="409"/>
        <v>0</v>
      </c>
      <c r="DA781" s="656">
        <f t="shared" ca="1" si="409"/>
        <v>35.041575718754729</v>
      </c>
      <c r="DB781" s="656">
        <f t="shared" ca="1" si="409"/>
        <v>0</v>
      </c>
      <c r="DC781" s="656" t="str">
        <f t="shared" ca="1" si="409"/>
        <v xml:space="preserve"> 225</v>
      </c>
      <c r="DD781" s="656" t="str">
        <f t="shared" ca="1" si="409"/>
        <v xml:space="preserve"> 226</v>
      </c>
      <c r="DE781" s="656" t="str">
        <f t="shared" ca="1" si="409"/>
        <v>Ho98</v>
      </c>
      <c r="DF781" s="656" t="str">
        <f t="shared" ca="1" si="409"/>
        <v>Ho36</v>
      </c>
      <c r="DG781" s="656" t="str">
        <f t="shared" ca="1" si="409"/>
        <v>Ho</v>
      </c>
      <c r="DH781" s="656" t="str">
        <f t="shared" ca="1" si="409"/>
        <v>98</v>
      </c>
      <c r="DI781" s="656" t="str">
        <f t="shared" ca="1" si="409"/>
        <v>[Ho.xls]TEXT!Z98S5</v>
      </c>
      <c r="DJ781" s="656" t="str">
        <f t="shared" ca="1" si="409"/>
        <v>Ho</v>
      </c>
      <c r="DK781" s="656" t="str">
        <f t="shared" ca="1" si="409"/>
        <v>36</v>
      </c>
      <c r="DL781" s="656" t="str">
        <f t="shared" ca="1" si="409"/>
        <v>[Ho.xls]TEXT!Z36S5</v>
      </c>
      <c r="DM781" s="656">
        <f t="shared" ca="1" si="409"/>
        <v>54</v>
      </c>
      <c r="DN781" s="656" t="str">
        <f t="shared" ca="1" si="409"/>
        <v>[Region.xls]PARAMETER!Z225S6</v>
      </c>
      <c r="DO781" s="656" t="str">
        <f t="shared" ca="1" si="409"/>
        <v>[Region.xls]PARAMETER!Z226S6</v>
      </c>
      <c r="DP781" s="656"/>
      <c r="DS781" s="656"/>
      <c r="DV781" s="656"/>
      <c r="DW781" s="656"/>
      <c r="DX781" s="656"/>
      <c r="DY781" s="656"/>
      <c r="DZ781" s="656"/>
      <c r="EA781" s="656"/>
      <c r="EB781" s="656"/>
      <c r="EC781" s="656"/>
      <c r="ED781" s="656"/>
      <c r="EE781" s="656"/>
      <c r="EF781" s="656"/>
      <c r="EG781" s="656"/>
      <c r="EH781" s="656"/>
      <c r="EI781" s="656"/>
      <c r="EJ781" s="656"/>
      <c r="EK781" s="656"/>
      <c r="EV781" s="819">
        <f t="shared" si="386"/>
        <v>781</v>
      </c>
      <c r="EW781" s="819"/>
    </row>
    <row r="782" spans="1:153" s="656" customFormat="1" ht="65">
      <c r="A782" s="654" t="str">
        <f t="shared" ca="1" si="384"/>
        <v>D.1.782</v>
      </c>
      <c r="B782" s="654" t="str">
        <f t="shared" ca="1" si="385"/>
        <v>1.782</v>
      </c>
      <c r="C782" s="654" t="str">
        <f t="shared" si="376"/>
        <v>[782]</v>
      </c>
      <c r="D782" s="654">
        <f>ROW()</f>
        <v>782</v>
      </c>
      <c r="E782" s="1125" t="str">
        <f>CU782</f>
        <v>In Anlehnung an UBA Treibhausgasneutrales Deutschland 2050 [778] wurde hier die Sanierungsrate aus dem zugrundeliegenden Stand 150826 übernommen, bei dem im Sanierungs-Zeitraum von 2012 bis 2050 [784] praktisch der gesamte Gebäudebestand auf einen zukunftsfähigen Wärmeschutz gebracht werden konnte.  Bei kürzerem Sanierungs-Zeitraum wird so nur ein Teil des Gebäudebestandes auf den gewählten Wärmeschutz-Standard [772] gebracht werden können.</v>
      </c>
      <c r="F782" s="1125"/>
      <c r="G782" s="1125"/>
      <c r="H782" s="1125"/>
      <c r="I782" s="1125"/>
      <c r="J782" s="1125"/>
      <c r="K782" s="1125"/>
      <c r="L782" s="1125"/>
      <c r="M782" s="1125"/>
      <c r="N782" s="1125"/>
      <c r="O782" s="869">
        <v>776</v>
      </c>
      <c r="P782" s="691" t="str">
        <f ca="1">HYPERLINK(EK782,EJ782)</f>
        <v/>
      </c>
      <c r="Q782" s="692" t="str">
        <f>Y782</f>
        <v xml:space="preserve"> </v>
      </c>
      <c r="R782" s="852"/>
      <c r="S782" s="784"/>
      <c r="T782" s="864"/>
      <c r="U782" s="1033" t="str">
        <f>"In Anlehnung an UBA Treibhausgasneutrales Deutschland 2050 "&amp;C778&amp;" wurde hier die Sanierungsrate aus dem zugrundeliegenden Stand 150826 übernommen, bei dem im Sanierungs-Zeitraum von 2012 bis 2050 "&amp;C784&amp;" praktisch der gesamte Gebäudebestand auf einen zukunftsfähigen Wärmeschutz gebracht werden konnte. "&amp;" Bei kürzerem Sanierungs-Zeitraum wird so nur ein Teil des Gebäudebestandes auf den gewählten Wärmeschutz-Standard "&amp;C772&amp;" gebracht werden können."</f>
        <v>In Anlehnung an UBA Treibhausgasneutrales Deutschland 2050 [778] wurde hier die Sanierungsrate aus dem zugrundeliegenden Stand 150826 übernommen, bei dem im Sanierungs-Zeitraum von 2012 bis 2050 [784] praktisch der gesamte Gebäudebestand auf einen zukunftsfähigen Wärmeschutz gebracht werden konnte.  Bei kürzerem Sanierungs-Zeitraum wird so nur ein Teil des Gebäudebestandes auf den gewählten Wärmeschutz-Standard [772] gebracht werden können.</v>
      </c>
      <c r="V782" s="905" t="s">
        <v>126</v>
      </c>
      <c r="W782" s="1079">
        <v>2.64</v>
      </c>
      <c r="X782" s="672">
        <f>'9.Quellen'!C361</f>
        <v>0</v>
      </c>
      <c r="Y782" s="672" t="s">
        <v>126</v>
      </c>
      <c r="Z782" s="1025"/>
      <c r="AA782" s="905"/>
      <c r="AB782" s="801"/>
      <c r="AC782" s="1020"/>
      <c r="AD782" s="801"/>
      <c r="AE782" s="801"/>
      <c r="AF782" s="801"/>
      <c r="AG782" s="801"/>
      <c r="AH782" s="801"/>
      <c r="AI782" s="801"/>
      <c r="AJ782" s="801"/>
      <c r="AK782" s="801"/>
      <c r="AL782" s="801"/>
      <c r="AM782" s="801"/>
      <c r="AN782" s="801"/>
      <c r="AO782" s="801"/>
      <c r="AP782" s="801"/>
      <c r="AQ782" s="801"/>
      <c r="AR782" s="801"/>
      <c r="AS782" s="801"/>
      <c r="AT782" s="801"/>
      <c r="AU782" s="801"/>
      <c r="AV782" s="801"/>
      <c r="BF782" s="657"/>
      <c r="BI782" s="656" t="s">
        <v>126</v>
      </c>
      <c r="BJ782" s="666"/>
      <c r="BO782" s="656" t="s">
        <v>252</v>
      </c>
      <c r="CU782" s="663" t="str">
        <f>IF(U782="",BF782,U782)</f>
        <v>In Anlehnung an UBA Treibhausgasneutrales Deutschland 2050 [778] wurde hier die Sanierungsrate aus dem zugrundeliegenden Stand 150826 übernommen, bei dem im Sanierungs-Zeitraum von 2012 bis 2050 [784] praktisch der gesamte Gebäudebestand auf einen zukunftsfähigen Wärmeschutz gebracht werden konnte.  Bei kürzerem Sanierungs-Zeitraum wird so nur ein Teil des Gebäudebestandes auf den gewählten Wärmeschutz-Standard [772] gebracht werden können.</v>
      </c>
      <c r="CW782" s="663"/>
      <c r="DT782" s="671"/>
      <c r="EJ782" s="656" t="str">
        <f>IF(X782=0,"",EJ$1&amp;X782)</f>
        <v/>
      </c>
      <c r="EK782" s="656" t="str">
        <f ca="1">EK$1&amp;X782</f>
        <v>[D_Python.xlsx]9.Quellen!C0</v>
      </c>
      <c r="EV782" s="819">
        <f t="shared" si="386"/>
        <v>782</v>
      </c>
      <c r="EW782" s="819"/>
    </row>
    <row r="783" spans="1:153" s="661" customFormat="1" ht="4">
      <c r="A783" s="677" t="str">
        <f t="shared" ca="1" si="384"/>
        <v>D.1.783</v>
      </c>
      <c r="B783" s="677" t="str">
        <f t="shared" ca="1" si="385"/>
        <v>1.783</v>
      </c>
      <c r="C783" s="677" t="str">
        <f t="shared" si="376"/>
        <v>[783]</v>
      </c>
      <c r="D783" s="677">
        <f>ROW()</f>
        <v>783</v>
      </c>
      <c r="E783" s="685"/>
      <c r="F783" s="685"/>
      <c r="G783" s="685"/>
      <c r="H783" s="685"/>
      <c r="I783" s="686"/>
      <c r="J783" s="686"/>
      <c r="K783" s="686"/>
      <c r="L783" s="686"/>
      <c r="M783" s="686"/>
      <c r="N783" s="685"/>
      <c r="O783" s="871">
        <v>777</v>
      </c>
      <c r="P783" s="693"/>
      <c r="Q783" s="694"/>
      <c r="R783" s="888"/>
      <c r="S783" s="802"/>
      <c r="T783" s="882"/>
      <c r="AB783" s="675"/>
      <c r="AC783" s="675"/>
      <c r="AD783" s="675"/>
      <c r="AE783" s="675"/>
      <c r="AF783" s="675"/>
      <c r="AG783" s="675"/>
      <c r="AH783" s="675"/>
      <c r="AI783" s="675"/>
      <c r="AJ783" s="675"/>
      <c r="AK783" s="675"/>
      <c r="AL783" s="675"/>
      <c r="AM783" s="675"/>
      <c r="AN783" s="675"/>
      <c r="AO783" s="675"/>
      <c r="AP783" s="675"/>
      <c r="AQ783" s="675"/>
      <c r="AR783" s="675"/>
      <c r="AS783" s="675"/>
      <c r="AT783" s="675"/>
      <c r="AU783" s="675"/>
      <c r="AV783" s="675"/>
      <c r="AZ783" s="669"/>
      <c r="BB783" s="669"/>
      <c r="BI783" s="661" t="s">
        <v>126</v>
      </c>
      <c r="BJ783" s="665"/>
      <c r="CU783" s="662"/>
      <c r="CW783" s="662"/>
      <c r="EV783" s="818" t="str">
        <f t="shared" si="386"/>
        <v/>
      </c>
      <c r="EW783" s="818"/>
    </row>
    <row r="784" spans="1:153" s="658" customFormat="1" ht="13.5" customHeight="1">
      <c r="A784" s="654" t="str">
        <f t="shared" ca="1" si="384"/>
        <v>D.1.784</v>
      </c>
      <c r="B784" s="654" t="str">
        <f t="shared" ca="1" si="385"/>
        <v>1.784</v>
      </c>
      <c r="C784" s="654" t="str">
        <f t="shared" si="376"/>
        <v>[784]</v>
      </c>
      <c r="D784" s="654">
        <f>ROW()</f>
        <v>784</v>
      </c>
      <c r="E784" s="1129" t="str">
        <f>BP784</f>
        <v>Gebäudesanierungs-Zeitraum</v>
      </c>
      <c r="F784" s="1129"/>
      <c r="G784" s="1129"/>
      <c r="H784" s="1129"/>
      <c r="I784" s="1129"/>
      <c r="J784" s="655" t="s">
        <v>263</v>
      </c>
      <c r="K784" s="682">
        <f ca="1">INDIRECT($W$1&amp;U784)</f>
        <v>2020</v>
      </c>
      <c r="L784" s="485" t="str">
        <f ca="1">HYPERLINK($CK$1&amp;U784,$CE$1&amp;U784&amp;$CF$1)</f>
        <v>[785]</v>
      </c>
      <c r="M784" s="698">
        <f ca="1">INDIRECT($W$1&amp;W784)</f>
        <v>2040</v>
      </c>
      <c r="N784" s="681" t="str">
        <f ca="1">HYPERLINK($CK$1&amp;W784,$CE$1&amp;W784&amp;$CF$1)</f>
        <v>[787]</v>
      </c>
      <c r="O784" s="869">
        <v>778</v>
      </c>
      <c r="P784" s="690"/>
      <c r="Q784" s="695"/>
      <c r="R784" s="852"/>
      <c r="S784" s="784"/>
      <c r="T784" s="864"/>
      <c r="U784" s="672">
        <f>D785</f>
        <v>785</v>
      </c>
      <c r="V784" s="905" t="s">
        <v>126</v>
      </c>
      <c r="W784" s="672">
        <f>D787</f>
        <v>787</v>
      </c>
      <c r="AB784" s="801"/>
      <c r="AC784" s="801"/>
      <c r="AD784" s="674"/>
      <c r="AE784" s="674"/>
      <c r="AF784" s="674"/>
      <c r="AG784" s="674"/>
      <c r="AH784" s="674"/>
      <c r="AI784" s="674"/>
      <c r="AJ784" s="674"/>
      <c r="AK784" s="674"/>
      <c r="AL784" s="674"/>
      <c r="AM784" s="674"/>
      <c r="AN784" s="674"/>
      <c r="AO784" s="674"/>
      <c r="AP784" s="674"/>
      <c r="AQ784" s="674"/>
      <c r="AR784" s="674"/>
      <c r="AS784" s="674"/>
      <c r="AT784" s="674"/>
      <c r="AU784" s="674"/>
      <c r="AV784" s="674"/>
      <c r="AX784" s="658" t="s">
        <v>244</v>
      </c>
      <c r="AY784" s="668" t="str">
        <f ca="1">DA784</f>
        <v>2012/ 2013</v>
      </c>
      <c r="AZ784" s="670" t="str">
        <f ca="1">HYPERLINK(DN784,DC784)</f>
        <v xml:space="preserve"> 15</v>
      </c>
      <c r="BA784" s="668" t="str">
        <f ca="1">DB784</f>
        <v>(k.A.)</v>
      </c>
      <c r="BB784" s="670" t="str">
        <f ca="1">HYPERLINK(DO784,DD784)</f>
        <v xml:space="preserve"> 17</v>
      </c>
      <c r="BC784" s="658" t="str">
        <f ca="1">CY784&amp;" | "&amp;CZ784</f>
        <v>0 | 1.1 Basisjahr</v>
      </c>
      <c r="BI784" s="658" t="s">
        <v>126</v>
      </c>
      <c r="BJ784" s="667" t="str">
        <f>E784</f>
        <v>Gebäudesanierungs-Zeitraum</v>
      </c>
      <c r="BK784" s="664">
        <f ca="1">K784</f>
        <v>2020</v>
      </c>
      <c r="BL784" s="664">
        <f ca="1">M784</f>
        <v>2040</v>
      </c>
      <c r="BM784" s="656">
        <f>D784</f>
        <v>784</v>
      </c>
      <c r="BO784" s="658" t="s">
        <v>251</v>
      </c>
      <c r="BP784" s="676" t="s">
        <v>682</v>
      </c>
      <c r="CU784" s="659"/>
      <c r="CW784" s="671">
        <v>37</v>
      </c>
      <c r="CY784" s="656">
        <f t="shared" ref="CY784:DO784" ca="1" si="410">INDIRECT($CX$1&amp;CY$1&amp;$CW784)</f>
        <v>0</v>
      </c>
      <c r="CZ784" s="656" t="str">
        <f t="shared" ca="1" si="410"/>
        <v>1.1 Basisjahr</v>
      </c>
      <c r="DA784" s="656" t="str">
        <f t="shared" ca="1" si="410"/>
        <v>2012/ 2013</v>
      </c>
      <c r="DB784" s="656" t="str">
        <f t="shared" ca="1" si="410"/>
        <v>(k.A.)</v>
      </c>
      <c r="DC784" s="656" t="str">
        <f t="shared" ca="1" si="410"/>
        <v xml:space="preserve"> 15</v>
      </c>
      <c r="DD784" s="656" t="str">
        <f t="shared" ca="1" si="410"/>
        <v xml:space="preserve"> 17</v>
      </c>
      <c r="DE784" s="656" t="str">
        <f t="shared" ca="1" si="410"/>
        <v>Ba15</v>
      </c>
      <c r="DF784" s="656" t="str">
        <f t="shared" ca="1" si="410"/>
        <v>Ba9</v>
      </c>
      <c r="DG784" s="656" t="str">
        <f t="shared" ca="1" si="410"/>
        <v>Ba</v>
      </c>
      <c r="DH784" s="656" t="str">
        <f t="shared" ca="1" si="410"/>
        <v>15</v>
      </c>
      <c r="DI784" s="656" t="str">
        <f t="shared" ca="1" si="410"/>
        <v>[Ba.xls]TEXT!Z15S5</v>
      </c>
      <c r="DJ784" s="656" t="str">
        <f t="shared" ca="1" si="410"/>
        <v>Ba</v>
      </c>
      <c r="DK784" s="656" t="str">
        <f t="shared" ca="1" si="410"/>
        <v>9</v>
      </c>
      <c r="DL784" s="656" t="str">
        <f t="shared" ca="1" si="410"/>
        <v>[Ba.xls]TEXT!Z9S5</v>
      </c>
      <c r="DM784" s="656">
        <f t="shared" ca="1" si="410"/>
        <v>37</v>
      </c>
      <c r="DN784" s="656" t="str">
        <f t="shared" ca="1" si="410"/>
        <v>[Region.xls]PARAMETER!Z15S6</v>
      </c>
      <c r="DO784" s="656" t="str">
        <f t="shared" ca="1" si="410"/>
        <v>[Region.xls]PARAMETER!Z17S6</v>
      </c>
      <c r="DP784" s="656"/>
      <c r="DS784" s="656"/>
      <c r="DV784" s="656"/>
      <c r="DW784" s="656"/>
      <c r="DX784" s="656"/>
      <c r="DY784" s="656"/>
      <c r="DZ784" s="656"/>
      <c r="EA784" s="656"/>
      <c r="EB784" s="656"/>
      <c r="EC784" s="656"/>
      <c r="ED784" s="656"/>
      <c r="EE784" s="656"/>
      <c r="EF784" s="656"/>
      <c r="EG784" s="656"/>
      <c r="EH784" s="656"/>
      <c r="EI784" s="656"/>
      <c r="EJ784" s="656"/>
      <c r="EK784" s="656"/>
      <c r="EV784" s="819">
        <f t="shared" si="386"/>
        <v>784</v>
      </c>
      <c r="EW784" s="819"/>
    </row>
    <row r="785" spans="1:153" s="656" customFormat="1" ht="39">
      <c r="A785" s="654" t="str">
        <f t="shared" ca="1" si="384"/>
        <v>D.1.785</v>
      </c>
      <c r="B785" s="654" t="str">
        <f t="shared" ca="1" si="385"/>
        <v>1.785</v>
      </c>
      <c r="C785" s="654" t="str">
        <f t="shared" si="376"/>
        <v>[785]</v>
      </c>
      <c r="D785" s="654">
        <f>ROW()</f>
        <v>785</v>
      </c>
      <c r="E785" s="1130" t="str">
        <f>CU785</f>
        <v>- STATUS-Ansatz: Als Beginn des Sanierungszeitraumes wird hier das Jahr 2020 angenommen. In den voraus gegangenen 8 Jahren ab Verbrauchs-Statusjahr 2012 [28] werden die energetischen Sanierungsfortschritte  hier als vernachlässigbar angenommen.</v>
      </c>
      <c r="F785" s="1130"/>
      <c r="G785" s="1130"/>
      <c r="H785" s="1130"/>
      <c r="I785" s="1130"/>
      <c r="J785" s="1130"/>
      <c r="K785" s="1130"/>
      <c r="L785" s="1130"/>
      <c r="M785" s="1130"/>
      <c r="N785" s="1131"/>
      <c r="O785" s="869">
        <v>779</v>
      </c>
      <c r="P785" s="691" t="str">
        <f ca="1">HYPERLINK(EK785,EJ785)</f>
        <v/>
      </c>
      <c r="Q785" s="692" t="str">
        <f>Y785</f>
        <v xml:space="preserve"> </v>
      </c>
      <c r="R785" s="852"/>
      <c r="S785" s="784"/>
      <c r="T785" s="864"/>
      <c r="U785" s="1023" t="str">
        <f>"Als Beginn des Sanierungszeitraumes wird hier das Jahr "&amp;W785&amp;" angenommen. In den voraus gegangenen "&amp;AF785&amp;" Jahren ab Verbrauchs-Statusjahr "&amp;AE785&amp;" "&amp;C28&amp;" werden die energetischen Sanierungsfortschritte  hier als vernachlässigbar angenommen."</f>
        <v>Als Beginn des Sanierungszeitraumes wird hier das Jahr 2020 angenommen. In den voraus gegangenen 8 Jahren ab Verbrauchs-Statusjahr 2012 [28] werden die energetischen Sanierungsfortschritte  hier als vernachlässigbar angenommen.</v>
      </c>
      <c r="V785" s="905" t="s">
        <v>126</v>
      </c>
      <c r="W785" s="1100">
        <v>2020</v>
      </c>
      <c r="X785" s="672"/>
      <c r="Y785" s="672" t="s">
        <v>126</v>
      </c>
      <c r="Z785" s="1025"/>
      <c r="AA785" s="658"/>
      <c r="AB785" s="801"/>
      <c r="AC785" s="1020">
        <v>44065</v>
      </c>
      <c r="AD785" s="801"/>
      <c r="AE785" s="801">
        <f>AD28</f>
        <v>2012</v>
      </c>
      <c r="AF785" s="801">
        <f>W785-AE785</f>
        <v>8</v>
      </c>
      <c r="AG785" s="801"/>
      <c r="AH785" s="801"/>
      <c r="AI785" s="801"/>
      <c r="AJ785" s="801"/>
      <c r="AK785" s="801"/>
      <c r="AL785" s="801"/>
      <c r="AM785" s="801"/>
      <c r="AN785" s="801"/>
      <c r="AO785" s="801"/>
      <c r="AP785" s="801"/>
      <c r="AQ785" s="801"/>
      <c r="AR785" s="801"/>
      <c r="AS785" s="801"/>
      <c r="AT785" s="801"/>
      <c r="AU785" s="801"/>
      <c r="AV785" s="801"/>
      <c r="BF785" s="657"/>
      <c r="BI785" s="656" t="s">
        <v>126</v>
      </c>
      <c r="BJ785" s="666"/>
      <c r="BO785" s="656" t="s">
        <v>259</v>
      </c>
      <c r="CU785" s="663" t="str">
        <f>CG$1&amp;IF(U785="",BF785,U785)</f>
        <v>- STATUS-Ansatz: Als Beginn des Sanierungszeitraumes wird hier das Jahr 2020 angenommen. In den voraus gegangenen 8 Jahren ab Verbrauchs-Statusjahr 2012 [28] werden die energetischen Sanierungsfortschritte  hier als vernachlässigbar angenommen.</v>
      </c>
      <c r="CW785" s="663"/>
      <c r="EJ785" s="656" t="str">
        <f>IF(X785=0,"",EJ$1&amp;X785)</f>
        <v/>
      </c>
      <c r="EK785" s="656" t="str">
        <f ca="1">EK$1&amp;X785</f>
        <v>[D_Python.xlsx]9.Quellen!C</v>
      </c>
      <c r="EV785" s="819">
        <f t="shared" si="386"/>
        <v>785</v>
      </c>
      <c r="EW785" s="819"/>
    </row>
    <row r="786" spans="1:153" s="680" customFormat="1" ht="4">
      <c r="A786" s="540" t="str">
        <f t="shared" ca="1" si="384"/>
        <v>D.1.786</v>
      </c>
      <c r="B786" s="540" t="str">
        <f t="shared" ca="1" si="385"/>
        <v>1.786</v>
      </c>
      <c r="C786" s="540" t="str">
        <f t="shared" si="376"/>
        <v>[786]</v>
      </c>
      <c r="D786" s="540">
        <f>ROW()</f>
        <v>786</v>
      </c>
      <c r="I786" s="679"/>
      <c r="J786" s="679"/>
      <c r="K786" s="679"/>
      <c r="L786" s="679"/>
      <c r="M786" s="679"/>
      <c r="O786" s="870">
        <v>780</v>
      </c>
      <c r="P786" s="688"/>
      <c r="Q786" s="689"/>
      <c r="R786" s="889"/>
      <c r="S786" s="802"/>
      <c r="T786" s="883"/>
      <c r="U786" s="661"/>
      <c r="V786" s="661"/>
      <c r="W786" s="661"/>
      <c r="X786" s="661"/>
      <c r="Y786" s="661"/>
      <c r="Z786" s="661"/>
      <c r="AA786" s="661"/>
      <c r="AB786" s="675"/>
      <c r="AC786" s="675"/>
      <c r="AD786" s="675"/>
      <c r="AE786" s="675"/>
      <c r="AF786" s="675"/>
      <c r="AG786" s="675"/>
      <c r="AH786" s="675"/>
      <c r="AI786" s="675"/>
      <c r="AJ786" s="675"/>
      <c r="AK786" s="675"/>
      <c r="AL786" s="675"/>
      <c r="AM786" s="675"/>
      <c r="AN786" s="675"/>
      <c r="AO786" s="675"/>
      <c r="AP786" s="675"/>
      <c r="AQ786" s="675"/>
      <c r="AR786" s="675"/>
      <c r="AS786" s="675"/>
      <c r="AT786" s="675"/>
      <c r="AU786" s="675"/>
      <c r="AV786" s="675"/>
      <c r="AZ786" s="541"/>
      <c r="BB786" s="541"/>
      <c r="BI786" s="680" t="s">
        <v>126</v>
      </c>
      <c r="BJ786" s="542"/>
      <c r="CU786" s="543"/>
      <c r="CW786" s="543"/>
      <c r="EV786" s="820" t="str">
        <f t="shared" si="386"/>
        <v/>
      </c>
      <c r="EW786" s="820"/>
    </row>
    <row r="787" spans="1:153" s="656" customFormat="1">
      <c r="A787" s="654" t="str">
        <f t="shared" ca="1" si="384"/>
        <v>D.1.787</v>
      </c>
      <c r="B787" s="654" t="str">
        <f t="shared" ca="1" si="385"/>
        <v>1.787</v>
      </c>
      <c r="C787" s="654" t="str">
        <f t="shared" si="376"/>
        <v>[787]</v>
      </c>
      <c r="D787" s="654">
        <f>ROW()</f>
        <v>787</v>
      </c>
      <c r="E787" s="1125" t="str">
        <f t="shared" ref="E787" ca="1" si="411">CU787</f>
        <v>- ZIEL-Ansatz: Wertung der bis zum 100%EE-Zieljahr 2040 [27] erreichten Wärmeschutz-Fortschritte.</v>
      </c>
      <c r="F787" s="1125"/>
      <c r="G787" s="1125"/>
      <c r="H787" s="1125"/>
      <c r="I787" s="1125"/>
      <c r="J787" s="1125"/>
      <c r="K787" s="1125"/>
      <c r="L787" s="1125"/>
      <c r="M787" s="1125"/>
      <c r="N787" s="1132"/>
      <c r="O787" s="869">
        <v>781</v>
      </c>
      <c r="P787" s="691" t="str">
        <f ca="1">HYPERLINK(EK787,EJ787)</f>
        <v/>
      </c>
      <c r="Q787" s="692" t="str">
        <f>Y787</f>
        <v xml:space="preserve"> </v>
      </c>
      <c r="R787" s="852"/>
      <c r="S787" s="784"/>
      <c r="T787" s="864"/>
      <c r="U787" s="1033" t="str">
        <f ca="1">"Wertung der bis zum 100%EE-Zieljahr "&amp;M27&amp;" "&amp;C27&amp;" erreichten Wärmeschutz-Fortschritte."</f>
        <v>Wertung der bis zum 100%EE-Zieljahr 2040 [27] erreichten Wärmeschutz-Fortschritte.</v>
      </c>
      <c r="V787" s="905" t="s">
        <v>126</v>
      </c>
      <c r="W787" s="1094">
        <f ca="1">M27</f>
        <v>2040</v>
      </c>
      <c r="X787" s="672"/>
      <c r="Y787" s="672" t="s">
        <v>126</v>
      </c>
      <c r="Z787" s="1025"/>
      <c r="AA787" s="905"/>
      <c r="AB787" s="801"/>
      <c r="AC787" s="1020">
        <v>44065</v>
      </c>
      <c r="AD787" s="801"/>
      <c r="AE787" s="801"/>
      <c r="AF787" s="801"/>
      <c r="AG787" s="801"/>
      <c r="AH787" s="801"/>
      <c r="AI787" s="801"/>
      <c r="AJ787" s="801"/>
      <c r="AK787" s="801"/>
      <c r="AL787" s="801"/>
      <c r="AM787" s="801"/>
      <c r="AN787" s="801"/>
      <c r="AO787" s="801"/>
      <c r="AP787" s="801"/>
      <c r="AQ787" s="801"/>
      <c r="AR787" s="801"/>
      <c r="AS787" s="801"/>
      <c r="AT787" s="801"/>
      <c r="AU787" s="801"/>
      <c r="AV787" s="801"/>
      <c r="BF787" s="657"/>
      <c r="BI787" s="656" t="s">
        <v>126</v>
      </c>
      <c r="BJ787" s="666"/>
      <c r="BO787" s="656" t="s">
        <v>259</v>
      </c>
      <c r="CU787" s="663" t="str">
        <f ca="1">CH$1&amp;IF(U787="",BF787,U787)</f>
        <v>- ZIEL-Ansatz: Wertung der bis zum 100%EE-Zieljahr 2040 [27] erreichten Wärmeschutz-Fortschritte.</v>
      </c>
      <c r="CW787" s="663"/>
      <c r="EJ787" s="656" t="str">
        <f>IF(X787=0,"",EJ$1&amp;X787)</f>
        <v/>
      </c>
      <c r="EK787" s="656" t="str">
        <f ca="1">EK$1&amp;X787</f>
        <v>[D_Python.xlsx]9.Quellen!C</v>
      </c>
      <c r="EV787" s="819">
        <f t="shared" ca="1" si="386"/>
        <v>787</v>
      </c>
      <c r="EW787" s="819"/>
    </row>
    <row r="788" spans="1:153" s="661" customFormat="1" ht="4">
      <c r="A788" s="677" t="str">
        <f t="shared" ca="1" si="384"/>
        <v>D.1.788</v>
      </c>
      <c r="B788" s="677" t="str">
        <f t="shared" ca="1" si="385"/>
        <v>1.788</v>
      </c>
      <c r="C788" s="677" t="str">
        <f t="shared" si="376"/>
        <v>[788]</v>
      </c>
      <c r="D788" s="677">
        <f>ROW()</f>
        <v>788</v>
      </c>
      <c r="E788" s="685"/>
      <c r="F788" s="685"/>
      <c r="G788" s="685"/>
      <c r="H788" s="685"/>
      <c r="I788" s="686"/>
      <c r="J788" s="686"/>
      <c r="K788" s="686"/>
      <c r="L788" s="686"/>
      <c r="M788" s="686"/>
      <c r="N788" s="685"/>
      <c r="O788" s="871">
        <v>782</v>
      </c>
      <c r="P788" s="693"/>
      <c r="Q788" s="694"/>
      <c r="R788" s="888"/>
      <c r="S788" s="802"/>
      <c r="T788" s="882"/>
      <c r="AB788" s="675"/>
      <c r="AC788" s="675"/>
      <c r="AD788" s="675"/>
      <c r="AE788" s="675"/>
      <c r="AF788" s="675"/>
      <c r="AG788" s="675"/>
      <c r="AH788" s="675"/>
      <c r="AI788" s="675"/>
      <c r="AJ788" s="675"/>
      <c r="AK788" s="675"/>
      <c r="AL788" s="675"/>
      <c r="AM788" s="675"/>
      <c r="AN788" s="675"/>
      <c r="AO788" s="675"/>
      <c r="AP788" s="675"/>
      <c r="AQ788" s="675"/>
      <c r="AR788" s="675"/>
      <c r="AS788" s="675"/>
      <c r="AT788" s="675"/>
      <c r="AU788" s="675"/>
      <c r="AV788" s="675"/>
      <c r="AZ788" s="669"/>
      <c r="BB788" s="669"/>
      <c r="BI788" s="661" t="s">
        <v>126</v>
      </c>
      <c r="BJ788" s="665"/>
      <c r="CU788" s="662"/>
      <c r="CW788" s="662"/>
      <c r="EV788" s="818" t="str">
        <f t="shared" si="386"/>
        <v/>
      </c>
      <c r="EW788" s="818"/>
    </row>
    <row r="789" spans="1:153" s="658" customFormat="1" ht="13.5" customHeight="1">
      <c r="A789" s="654" t="str">
        <f t="shared" ca="1" si="384"/>
        <v>D.1.789</v>
      </c>
      <c r="B789" s="654" t="str">
        <f t="shared" ca="1" si="385"/>
        <v>1.789</v>
      </c>
      <c r="C789" s="654" t="str">
        <f t="shared" si="376"/>
        <v>[789]</v>
      </c>
      <c r="D789" s="654">
        <f>ROW()</f>
        <v>789</v>
      </c>
      <c r="E789" s="1129" t="str">
        <f>BP789</f>
        <v>Anteil Warmwasser an GW</v>
      </c>
      <c r="F789" s="1129"/>
      <c r="G789" s="1129"/>
      <c r="H789" s="1129"/>
      <c r="I789" s="1129"/>
      <c r="J789" s="655" t="s">
        <v>38</v>
      </c>
      <c r="K789" s="605">
        <f ca="1">INDIRECT($W$1&amp;U789)</f>
        <v>14.735501399521358</v>
      </c>
      <c r="L789" s="697" t="str">
        <f ca="1">HYPERLINK($CK$1&amp;U789,$CE$1&amp;U789&amp;$CF$1)</f>
        <v>[790]</v>
      </c>
      <c r="M789" s="683">
        <f ca="1">INDIRECT($W$1&amp;W789)</f>
        <v>14.735501399521358</v>
      </c>
      <c r="N789" s="681" t="str">
        <f ca="1">HYPERLINK($CK$1&amp;W789,$CE$1&amp;W789&amp;$CF$1)</f>
        <v>[792]</v>
      </c>
      <c r="O789" s="869">
        <v>783</v>
      </c>
      <c r="P789" s="690"/>
      <c r="Q789" s="695"/>
      <c r="R789" s="852"/>
      <c r="S789" s="784"/>
      <c r="T789" s="864"/>
      <c r="U789" s="672">
        <f>D790</f>
        <v>790</v>
      </c>
      <c r="V789" s="905" t="s">
        <v>126</v>
      </c>
      <c r="W789" s="672">
        <f>D792</f>
        <v>792</v>
      </c>
      <c r="AB789" s="801"/>
      <c r="AC789" s="801"/>
      <c r="AD789" s="674"/>
      <c r="AE789" s="674"/>
      <c r="AF789" s="674"/>
      <c r="AG789" s="674"/>
      <c r="AH789" s="674"/>
      <c r="AI789" s="674"/>
      <c r="AJ789" s="674"/>
      <c r="AK789" s="674"/>
      <c r="AL789" s="674"/>
      <c r="AM789" s="674"/>
      <c r="AN789" s="674"/>
      <c r="AO789" s="674"/>
      <c r="AP789" s="674"/>
      <c r="AQ789" s="674"/>
      <c r="AR789" s="674"/>
      <c r="AS789" s="674"/>
      <c r="AT789" s="674"/>
      <c r="AU789" s="674"/>
      <c r="AV789" s="674"/>
      <c r="AX789" s="658" t="s">
        <v>244</v>
      </c>
      <c r="AY789" s="668">
        <f ca="1">DA789</f>
        <v>10.254559182513647</v>
      </c>
      <c r="AZ789" s="670" t="str">
        <f ca="1">HYPERLINK(DN789,DC789)</f>
        <v xml:space="preserve"> 235</v>
      </c>
      <c r="BA789" s="668">
        <f ca="1">DB789</f>
        <v>35</v>
      </c>
      <c r="BB789" s="670" t="str">
        <f ca="1">HYPERLINK(DO789,DD789)</f>
        <v xml:space="preserve"> 236</v>
      </c>
      <c r="BC789" s="658" t="str">
        <f ca="1">CY789&amp;" | "&amp;CZ789</f>
        <v>Brennstoffgew.
für Prozesse | 0</v>
      </c>
      <c r="BI789" s="658" t="s">
        <v>126</v>
      </c>
      <c r="BJ789" s="667" t="str">
        <f>E789</f>
        <v>Anteil Warmwasser an GW</v>
      </c>
      <c r="BK789" s="664">
        <f ca="1">K789</f>
        <v>14.735501399521358</v>
      </c>
      <c r="BL789" s="664">
        <f ca="1">M789</f>
        <v>14.735501399521358</v>
      </c>
      <c r="BM789" s="656">
        <f>D789</f>
        <v>789</v>
      </c>
      <c r="BO789" s="658" t="s">
        <v>251</v>
      </c>
      <c r="BP789" s="676" t="s">
        <v>679</v>
      </c>
      <c r="CU789" s="659"/>
      <c r="CW789" s="671">
        <v>61</v>
      </c>
      <c r="CY789" s="656" t="str">
        <f t="shared" ref="CY789:DO789" ca="1" si="412">INDIRECT($CX$1&amp;CY$1&amp;$CW789)</f>
        <v>Brennstoffgew.
für Prozesse</v>
      </c>
      <c r="CZ789" s="656">
        <f t="shared" ca="1" si="412"/>
        <v>0</v>
      </c>
      <c r="DA789" s="656">
        <f t="shared" ca="1" si="412"/>
        <v>10.254559182513647</v>
      </c>
      <c r="DB789" s="656">
        <f t="shared" ca="1" si="412"/>
        <v>35</v>
      </c>
      <c r="DC789" s="656" t="str">
        <f t="shared" ca="1" si="412"/>
        <v xml:space="preserve"> 235</v>
      </c>
      <c r="DD789" s="656" t="str">
        <f t="shared" ca="1" si="412"/>
        <v xml:space="preserve"> 236</v>
      </c>
      <c r="DE789" s="656" t="str">
        <f t="shared" ca="1" si="412"/>
        <v>Ho99</v>
      </c>
      <c r="DF789" s="656" t="str">
        <f t="shared" ca="1" si="412"/>
        <v>Ho36</v>
      </c>
      <c r="DG789" s="656" t="str">
        <f t="shared" ca="1" si="412"/>
        <v>Ho</v>
      </c>
      <c r="DH789" s="656" t="str">
        <f t="shared" ca="1" si="412"/>
        <v>99</v>
      </c>
      <c r="DI789" s="656" t="str">
        <f t="shared" ca="1" si="412"/>
        <v>[Ho.xls]TEXT!Z99S5</v>
      </c>
      <c r="DJ789" s="656" t="str">
        <f t="shared" ca="1" si="412"/>
        <v>Ho</v>
      </c>
      <c r="DK789" s="656" t="str">
        <f t="shared" ca="1" si="412"/>
        <v>36</v>
      </c>
      <c r="DL789" s="656" t="str">
        <f t="shared" ca="1" si="412"/>
        <v>[Ho.xls]TEXT!Z36S5</v>
      </c>
      <c r="DM789" s="656">
        <f t="shared" ca="1" si="412"/>
        <v>61</v>
      </c>
      <c r="DN789" s="656" t="str">
        <f t="shared" ca="1" si="412"/>
        <v>[Region.xls]PARAMETER!Z235S6</v>
      </c>
      <c r="DO789" s="656" t="str">
        <f t="shared" ca="1" si="412"/>
        <v>[Region.xls]PARAMETER!Z236S6</v>
      </c>
      <c r="DP789" s="656"/>
      <c r="DS789" s="656"/>
      <c r="DV789" s="656"/>
      <c r="DW789" s="656"/>
      <c r="DX789" s="656"/>
      <c r="DY789" s="656"/>
      <c r="DZ789" s="656"/>
      <c r="EA789" s="656"/>
      <c r="EB789" s="656"/>
      <c r="EC789" s="656"/>
      <c r="ED789" s="656"/>
      <c r="EE789" s="656"/>
      <c r="EF789" s="656"/>
      <c r="EG789" s="656"/>
      <c r="EH789" s="656"/>
      <c r="EI789" s="656"/>
      <c r="EJ789" s="656"/>
      <c r="EK789" s="656"/>
      <c r="EV789" s="819">
        <f t="shared" si="386"/>
        <v>789</v>
      </c>
      <c r="EW789" s="819"/>
    </row>
    <row r="790" spans="1:153" s="656" customFormat="1" ht="16">
      <c r="A790" s="654" t="str">
        <f t="shared" ca="1" si="384"/>
        <v>D.1.790</v>
      </c>
      <c r="B790" s="654" t="str">
        <f t="shared" ca="1" si="385"/>
        <v>1.790</v>
      </c>
      <c r="C790" s="654" t="str">
        <f t="shared" si="376"/>
        <v>[790]</v>
      </c>
      <c r="D790" s="654">
        <f>ROW()</f>
        <v>790</v>
      </c>
      <c r="E790" s="1130" t="str">
        <f ca="1">CU790</f>
        <v>- STATUS-Ansatz: Gemäß Arbeitsgemeinschaft Energiebilanzen [9.28] für das Jahr 2012, Aufbereitung siehe [7.44].</v>
      </c>
      <c r="F790" s="1130"/>
      <c r="G790" s="1130"/>
      <c r="H790" s="1130"/>
      <c r="I790" s="1130"/>
      <c r="J790" s="1130"/>
      <c r="K790" s="1130"/>
      <c r="L790" s="1130"/>
      <c r="M790" s="1130"/>
      <c r="N790" s="1131"/>
      <c r="O790" s="869">
        <v>784</v>
      </c>
      <c r="P790" s="691" t="str">
        <f ca="1">HYPERLINK(EK790,EJ790)</f>
        <v>9.28</v>
      </c>
      <c r="Q790" s="646" t="str">
        <f ca="1">IF(Y790="&gt;",HYPERLINK(EO790,EN790),Y790)</f>
        <v>7.44</v>
      </c>
      <c r="R790" s="852"/>
      <c r="S790" s="784"/>
      <c r="T790" s="864"/>
      <c r="U790" s="1023" t="str">
        <f ca="1">"Gemäß Arbeitsgemeinschaft Energiebilanzen ["&amp;P790&amp;"] für das Jahr 2012, Aufbereitung siehe ["&amp;Q790&amp;"]."</f>
        <v>Gemäß Arbeitsgemeinschaft Energiebilanzen [9.28] für das Jahr 2012, Aufbereitung siehe [7.44].</v>
      </c>
      <c r="V790" s="905" t="s">
        <v>126</v>
      </c>
      <c r="W790" s="1097">
        <f>'7.VerbrauchStatus'!M44</f>
        <v>14.735501399521358</v>
      </c>
      <c r="X790" s="672">
        <f>'9.Quellen'!C$28</f>
        <v>28</v>
      </c>
      <c r="Y790" s="672" t="s">
        <v>479</v>
      </c>
      <c r="Z790" s="672">
        <f>'7.VerbrauchStatus'!D44</f>
        <v>44</v>
      </c>
      <c r="AA790" s="658"/>
      <c r="AB790" s="801"/>
      <c r="AC790" s="801"/>
      <c r="AD790" s="801"/>
      <c r="AE790" s="801"/>
      <c r="AF790" s="801"/>
      <c r="AG790" s="801"/>
      <c r="AH790" s="801"/>
      <c r="AI790" s="801"/>
      <c r="AJ790" s="801"/>
      <c r="AK790" s="801"/>
      <c r="AL790" s="801"/>
      <c r="AM790" s="801"/>
      <c r="AN790" s="801"/>
      <c r="AO790" s="801"/>
      <c r="AP790" s="801"/>
      <c r="AQ790" s="801"/>
      <c r="AR790" s="801"/>
      <c r="AS790" s="801"/>
      <c r="AT790" s="801"/>
      <c r="AU790" s="801"/>
      <c r="AV790" s="801"/>
      <c r="AY790" s="656">
        <f ca="1">AY789/AY$246%</f>
        <v>14.091645358575692</v>
      </c>
      <c r="BA790" s="656">
        <f ca="1">BA789/BA$246%</f>
        <v>100</v>
      </c>
      <c r="BF790" s="657"/>
      <c r="BI790" s="656" t="s">
        <v>126</v>
      </c>
      <c r="BJ790" s="666"/>
      <c r="BO790" s="656" t="s">
        <v>259</v>
      </c>
      <c r="CU790" s="663" t="str">
        <f ca="1">CG$1&amp;IF(U790="",BF790,U790)</f>
        <v>- STATUS-Ansatz: Gemäß Arbeitsgemeinschaft Energiebilanzen [9.28] für das Jahr 2012, Aufbereitung siehe [7.44].</v>
      </c>
      <c r="CW790" s="663"/>
      <c r="DT790" s="671">
        <f>I_Basisdaten!A319</f>
        <v>0</v>
      </c>
      <c r="EJ790" s="656" t="str">
        <f ca="1">IF(X790=0,"",EJ$1&amp;X790)</f>
        <v>9.28</v>
      </c>
      <c r="EK790" s="656" t="str">
        <f ca="1">EK$1&amp;X790</f>
        <v>[D_Python.xlsx]9.Quellen!C28</v>
      </c>
      <c r="EN790" s="656" t="str">
        <f ca="1">IF(Z790=0,"",EN$1&amp;Z790)</f>
        <v>7.44</v>
      </c>
      <c r="EO790" s="656" t="str">
        <f ca="1">EO$1&amp;Z790</f>
        <v>[D_Python.xlsx]7.VerbrauchStatus!D44</v>
      </c>
      <c r="EV790" s="819">
        <f t="shared" ca="1" si="386"/>
        <v>790</v>
      </c>
      <c r="EW790" s="819"/>
    </row>
    <row r="791" spans="1:153" s="661" customFormat="1" ht="4">
      <c r="A791" s="677" t="str">
        <f t="shared" ref="A791:A855" ca="1" si="413">BT$1&amp;D791</f>
        <v>D.1.791</v>
      </c>
      <c r="B791" s="677" t="str">
        <f t="shared" ref="B791:B855" ca="1" si="414">BW$1&amp;D791</f>
        <v>1.791</v>
      </c>
      <c r="C791" s="677" t="str">
        <f t="shared" si="376"/>
        <v>[791]</v>
      </c>
      <c r="D791" s="677">
        <f>ROW()</f>
        <v>791</v>
      </c>
      <c r="E791" s="680"/>
      <c r="F791" s="680"/>
      <c r="G791" s="680"/>
      <c r="H791" s="680"/>
      <c r="I791" s="679"/>
      <c r="J791" s="679"/>
      <c r="K791" s="679"/>
      <c r="L791" s="679"/>
      <c r="M791" s="679"/>
      <c r="N791" s="680"/>
      <c r="O791" s="871">
        <v>785</v>
      </c>
      <c r="P791" s="688"/>
      <c r="Q791" s="689"/>
      <c r="R791" s="888"/>
      <c r="S791" s="802"/>
      <c r="T791" s="882"/>
      <c r="W791" s="606"/>
      <c r="AB791" s="675"/>
      <c r="AC791" s="675"/>
      <c r="AD791" s="675"/>
      <c r="AE791" s="675"/>
      <c r="AF791" s="675"/>
      <c r="AG791" s="675"/>
      <c r="AH791" s="675"/>
      <c r="AI791" s="675"/>
      <c r="AJ791" s="675"/>
      <c r="AK791" s="675"/>
      <c r="AL791" s="675"/>
      <c r="AM791" s="675"/>
      <c r="AN791" s="675"/>
      <c r="AO791" s="675"/>
      <c r="AP791" s="675"/>
      <c r="AQ791" s="675"/>
      <c r="AR791" s="675"/>
      <c r="AS791" s="675"/>
      <c r="AT791" s="675"/>
      <c r="AU791" s="675"/>
      <c r="AV791" s="675"/>
      <c r="BI791" s="661" t="s">
        <v>126</v>
      </c>
      <c r="BJ791" s="665"/>
      <c r="CU791" s="662"/>
      <c r="CW791" s="662"/>
      <c r="EV791" s="818" t="str">
        <f t="shared" ref="EV791:EV855" si="415">IF(U791&amp;BP791="","",D791)</f>
        <v/>
      </c>
      <c r="EW791" s="818"/>
    </row>
    <row r="792" spans="1:153" s="656" customFormat="1" ht="39">
      <c r="A792" s="654" t="str">
        <f t="shared" ca="1" si="413"/>
        <v>D.1.792</v>
      </c>
      <c r="B792" s="654" t="str">
        <f t="shared" ca="1" si="414"/>
        <v>1.792</v>
      </c>
      <c r="C792" s="654" t="str">
        <f t="shared" si="376"/>
        <v>[792]</v>
      </c>
      <c r="D792" s="654">
        <f>ROW()</f>
        <v>792</v>
      </c>
      <c r="E792" s="1125" t="str">
        <f t="shared" ref="E792" si="416">CU792</f>
        <v>- ZIEL-Ansatz: Dient als Berechnungsgrundlage für das (fiktive) künftige Bedarfsniveau im Anwendungsbereich Gebäudewärme im Sektor Haushalte, das sich ohne Volumen-, Effizienz-und Energiemix-Änderungen einstellen würde. Der Status-Ansatz wird methodisch bedingt unverändert übernommen.</v>
      </c>
      <c r="F792" s="1125"/>
      <c r="G792" s="1125"/>
      <c r="H792" s="1125"/>
      <c r="I792" s="1125"/>
      <c r="J792" s="1125"/>
      <c r="K792" s="1125"/>
      <c r="L792" s="1125"/>
      <c r="M792" s="1125"/>
      <c r="N792" s="1132"/>
      <c r="O792" s="869">
        <v>786</v>
      </c>
      <c r="P792" s="691" t="str">
        <f ca="1">HYPERLINK(EK792,EJ792)</f>
        <v/>
      </c>
      <c r="Q792" s="692" t="str">
        <f>Y792</f>
        <v xml:space="preserve"> </v>
      </c>
      <c r="R792" s="852"/>
      <c r="S792" s="784"/>
      <c r="T792" s="864"/>
      <c r="U792" s="1023" t="s">
        <v>777</v>
      </c>
      <c r="V792" s="905" t="s">
        <v>126</v>
      </c>
      <c r="W792" s="1097">
        <f>W790</f>
        <v>14.735501399521358</v>
      </c>
      <c r="X792" s="672"/>
      <c r="Y792" s="672" t="s">
        <v>126</v>
      </c>
      <c r="Z792" s="1025"/>
      <c r="AA792" s="905"/>
      <c r="AB792" s="801"/>
      <c r="AC792" s="801"/>
      <c r="AD792" s="801"/>
      <c r="AE792" s="801"/>
      <c r="AF792" s="801"/>
      <c r="AG792" s="801"/>
      <c r="AH792" s="801"/>
      <c r="AI792" s="801"/>
      <c r="AJ792" s="801"/>
      <c r="AK792" s="801"/>
      <c r="AL792" s="801"/>
      <c r="AM792" s="801"/>
      <c r="AN792" s="801"/>
      <c r="AO792" s="801"/>
      <c r="AP792" s="801"/>
      <c r="AQ792" s="801"/>
      <c r="AR792" s="801"/>
      <c r="AS792" s="801"/>
      <c r="AT792" s="801"/>
      <c r="AU792" s="801"/>
      <c r="AV792" s="801"/>
      <c r="BF792" s="657"/>
      <c r="BI792" s="656" t="s">
        <v>126</v>
      </c>
      <c r="BJ792" s="666"/>
      <c r="BO792" s="656" t="s">
        <v>259</v>
      </c>
      <c r="CU792" s="663" t="str">
        <f>CH$1&amp;IF(U792="",BF792,U792)</f>
        <v>- ZIEL-Ansatz: Dient als Berechnungsgrundlage für das (fiktive) künftige Bedarfsniveau im Anwendungsbereich Gebäudewärme im Sektor Haushalte, das sich ohne Volumen-, Effizienz-und Energiemix-Änderungen einstellen würde. Der Status-Ansatz wird methodisch bedingt unverändert übernommen.</v>
      </c>
      <c r="CW792" s="663"/>
      <c r="DT792" s="671">
        <v>53</v>
      </c>
      <c r="EJ792" s="656" t="str">
        <f>IF(X792=0,"",EJ$1&amp;X792)</f>
        <v/>
      </c>
      <c r="EK792" s="656" t="str">
        <f ca="1">EK$1&amp;X792</f>
        <v>[D_Python.xlsx]9.Quellen!C</v>
      </c>
      <c r="EV792" s="819">
        <f t="shared" si="415"/>
        <v>792</v>
      </c>
      <c r="EW792" s="819"/>
    </row>
    <row r="793" spans="1:153" s="661" customFormat="1" ht="4">
      <c r="A793" s="677" t="str">
        <f t="shared" ca="1" si="413"/>
        <v>D.1.793</v>
      </c>
      <c r="B793" s="677" t="str">
        <f t="shared" ca="1" si="414"/>
        <v>1.793</v>
      </c>
      <c r="C793" s="677" t="str">
        <f t="shared" ref="C793:C849" si="417">CE$1&amp;D793&amp;CF$1</f>
        <v>[793]</v>
      </c>
      <c r="D793" s="677">
        <f>ROW()</f>
        <v>793</v>
      </c>
      <c r="E793" s="685"/>
      <c r="F793" s="685"/>
      <c r="G793" s="685"/>
      <c r="H793" s="685"/>
      <c r="I793" s="686"/>
      <c r="J793" s="686"/>
      <c r="K793" s="686"/>
      <c r="L793" s="686"/>
      <c r="M793" s="686"/>
      <c r="N793" s="685"/>
      <c r="O793" s="871">
        <v>787</v>
      </c>
      <c r="P793" s="693"/>
      <c r="Q793" s="694"/>
      <c r="R793" s="888"/>
      <c r="S793" s="802"/>
      <c r="T793" s="882"/>
      <c r="AB793" s="675"/>
      <c r="AC793" s="675"/>
      <c r="AD793" s="675"/>
      <c r="AE793" s="675"/>
      <c r="AF793" s="675"/>
      <c r="AG793" s="675"/>
      <c r="AH793" s="675"/>
      <c r="AI793" s="675"/>
      <c r="AJ793" s="675"/>
      <c r="AK793" s="675"/>
      <c r="AL793" s="675"/>
      <c r="AM793" s="675"/>
      <c r="AN793" s="675"/>
      <c r="AO793" s="675"/>
      <c r="AP793" s="675"/>
      <c r="AQ793" s="675"/>
      <c r="AR793" s="675"/>
      <c r="AS793" s="675"/>
      <c r="AT793" s="675"/>
      <c r="AU793" s="675"/>
      <c r="AV793" s="675"/>
      <c r="AZ793" s="669"/>
      <c r="BB793" s="669"/>
      <c r="BI793" s="661" t="s">
        <v>126</v>
      </c>
      <c r="BJ793" s="665"/>
      <c r="CU793" s="662"/>
      <c r="CW793" s="662"/>
      <c r="EV793" s="818" t="str">
        <f t="shared" si="415"/>
        <v/>
      </c>
      <c r="EW793" s="818"/>
    </row>
    <row r="794" spans="1:153" s="658" customFormat="1" ht="13.5" customHeight="1">
      <c r="A794" s="654" t="str">
        <f t="shared" ca="1" si="413"/>
        <v>D.1.794</v>
      </c>
      <c r="B794" s="654" t="str">
        <f t="shared" ca="1" si="414"/>
        <v>1.794</v>
      </c>
      <c r="C794" s="654" t="str">
        <f t="shared" si="417"/>
        <v>[794]</v>
      </c>
      <c r="D794" s="654">
        <f>ROW()</f>
        <v>794</v>
      </c>
      <c r="E794" s="1129" t="str">
        <f>BP794</f>
        <v>Zieleinfluss Verwend.-/Proz.Effizienz Warmwasser</v>
      </c>
      <c r="F794" s="1129"/>
      <c r="G794" s="1129"/>
      <c r="H794" s="1129"/>
      <c r="I794" s="1129"/>
      <c r="J794" s="559" t="s">
        <v>680</v>
      </c>
      <c r="K794" s="605">
        <f ca="1">INDIRECT($W$1&amp;U794)</f>
        <v>100</v>
      </c>
      <c r="L794" s="697" t="str">
        <f ca="1">HYPERLINK($CK$1&amp;U794,$CE$1&amp;U794&amp;$CF$1)</f>
        <v>[795]</v>
      </c>
      <c r="M794" s="683">
        <f ca="1">INDIRECT($W$1&amp;W794)</f>
        <v>80</v>
      </c>
      <c r="N794" s="681" t="str">
        <f ca="1">HYPERLINK($CK$1&amp;W794,$CE$1&amp;W794&amp;$CF$1)</f>
        <v>[797]</v>
      </c>
      <c r="O794" s="869">
        <v>788</v>
      </c>
      <c r="P794" s="690"/>
      <c r="Q794" s="695"/>
      <c r="R794" s="852"/>
      <c r="S794" s="784"/>
      <c r="T794" s="864"/>
      <c r="U794" s="672">
        <f>D795</f>
        <v>795</v>
      </c>
      <c r="V794" s="905" t="s">
        <v>126</v>
      </c>
      <c r="W794" s="672">
        <f>D797</f>
        <v>797</v>
      </c>
      <c r="AB794" s="801"/>
      <c r="AC794" s="801"/>
      <c r="AD794" s="674"/>
      <c r="AE794" s="674"/>
      <c r="AF794" s="674"/>
      <c r="AG794" s="674"/>
      <c r="AH794" s="674"/>
      <c r="AI794" s="674"/>
      <c r="AJ794" s="674"/>
      <c r="AK794" s="674"/>
      <c r="AL794" s="674"/>
      <c r="AM794" s="674"/>
      <c r="AN794" s="674"/>
      <c r="AO794" s="674"/>
      <c r="AP794" s="674"/>
      <c r="AQ794" s="674"/>
      <c r="AR794" s="674"/>
      <c r="AS794" s="674"/>
      <c r="AT794" s="674"/>
      <c r="AU794" s="674"/>
      <c r="AV794" s="674"/>
      <c r="AX794" s="658" t="s">
        <v>244</v>
      </c>
      <c r="AY794" s="668">
        <f ca="1">DA794</f>
        <v>10.254559182513647</v>
      </c>
      <c r="AZ794" s="670" t="str">
        <f ca="1">HYPERLINK(DN794,DC794)</f>
        <v xml:space="preserve"> 235</v>
      </c>
      <c r="BA794" s="668">
        <f ca="1">DB794</f>
        <v>35</v>
      </c>
      <c r="BB794" s="670" t="str">
        <f ca="1">HYPERLINK(DO794,DD794)</f>
        <v xml:space="preserve"> 236</v>
      </c>
      <c r="BC794" s="658" t="str">
        <f ca="1">CY794&amp;" | "&amp;CZ794</f>
        <v>Brennstoffgew.
für Prozesse | 0</v>
      </c>
      <c r="BI794" s="658" t="s">
        <v>126</v>
      </c>
      <c r="BJ794" s="667" t="str">
        <f>E794</f>
        <v>Zieleinfluss Verwend.-/Proz.Effizienz Warmwasser</v>
      </c>
      <c r="BK794" s="664">
        <f ca="1">K794</f>
        <v>100</v>
      </c>
      <c r="BL794" s="664">
        <f ca="1">M794</f>
        <v>80</v>
      </c>
      <c r="BM794" s="656">
        <f>D794</f>
        <v>794</v>
      </c>
      <c r="BO794" s="658" t="s">
        <v>251</v>
      </c>
      <c r="BP794" s="676" t="s">
        <v>683</v>
      </c>
      <c r="CU794" s="659"/>
      <c r="CW794" s="671">
        <v>61</v>
      </c>
      <c r="CY794" s="656" t="str">
        <f t="shared" ref="CY794:DO794" ca="1" si="418">INDIRECT($CX$1&amp;CY$1&amp;$CW794)</f>
        <v>Brennstoffgew.
für Prozesse</v>
      </c>
      <c r="CZ794" s="656">
        <f t="shared" ca="1" si="418"/>
        <v>0</v>
      </c>
      <c r="DA794" s="656">
        <f t="shared" ca="1" si="418"/>
        <v>10.254559182513647</v>
      </c>
      <c r="DB794" s="656">
        <f t="shared" ca="1" si="418"/>
        <v>35</v>
      </c>
      <c r="DC794" s="656" t="str">
        <f t="shared" ca="1" si="418"/>
        <v xml:space="preserve"> 235</v>
      </c>
      <c r="DD794" s="656" t="str">
        <f t="shared" ca="1" si="418"/>
        <v xml:space="preserve"> 236</v>
      </c>
      <c r="DE794" s="656" t="str">
        <f t="shared" ca="1" si="418"/>
        <v>Ho99</v>
      </c>
      <c r="DF794" s="656" t="str">
        <f t="shared" ca="1" si="418"/>
        <v>Ho36</v>
      </c>
      <c r="DG794" s="656" t="str">
        <f t="shared" ca="1" si="418"/>
        <v>Ho</v>
      </c>
      <c r="DH794" s="656" t="str">
        <f t="shared" ca="1" si="418"/>
        <v>99</v>
      </c>
      <c r="DI794" s="656" t="str">
        <f t="shared" ca="1" si="418"/>
        <v>[Ho.xls]TEXT!Z99S5</v>
      </c>
      <c r="DJ794" s="656" t="str">
        <f t="shared" ca="1" si="418"/>
        <v>Ho</v>
      </c>
      <c r="DK794" s="656" t="str">
        <f t="shared" ca="1" si="418"/>
        <v>36</v>
      </c>
      <c r="DL794" s="656" t="str">
        <f t="shared" ca="1" si="418"/>
        <v>[Ho.xls]TEXT!Z36S5</v>
      </c>
      <c r="DM794" s="656">
        <f t="shared" ca="1" si="418"/>
        <v>61</v>
      </c>
      <c r="DN794" s="656" t="str">
        <f t="shared" ca="1" si="418"/>
        <v>[Region.xls]PARAMETER!Z235S6</v>
      </c>
      <c r="DO794" s="656" t="str">
        <f t="shared" ca="1" si="418"/>
        <v>[Region.xls]PARAMETER!Z236S6</v>
      </c>
      <c r="DP794" s="656"/>
      <c r="DS794" s="656"/>
      <c r="DV794" s="656"/>
      <c r="DW794" s="656"/>
      <c r="DX794" s="656"/>
      <c r="DY794" s="656"/>
      <c r="DZ794" s="656"/>
      <c r="EA794" s="656"/>
      <c r="EB794" s="656"/>
      <c r="EC794" s="656"/>
      <c r="ED794" s="656"/>
      <c r="EE794" s="656"/>
      <c r="EF794" s="656"/>
      <c r="EG794" s="656"/>
      <c r="EH794" s="656"/>
      <c r="EI794" s="656"/>
      <c r="EJ794" s="656"/>
      <c r="EK794" s="656"/>
      <c r="EV794" s="819">
        <f t="shared" si="415"/>
        <v>794</v>
      </c>
      <c r="EW794" s="819"/>
    </row>
    <row r="795" spans="1:153" s="656" customFormat="1" ht="39">
      <c r="A795" s="654" t="str">
        <f t="shared" ca="1" si="413"/>
        <v>D.1.795</v>
      </c>
      <c r="B795" s="654" t="str">
        <f t="shared" ca="1" si="414"/>
        <v>1.795</v>
      </c>
      <c r="C795" s="654" t="str">
        <f t="shared" si="417"/>
        <v>[795]</v>
      </c>
      <c r="D795" s="654">
        <f>ROW()</f>
        <v>795</v>
      </c>
      <c r="E795" s="1130" t="str">
        <f>CU795</f>
        <v>- STATUS-Ansatz: Repräsentiert den Status als Bezug für den künftig gesenkten Energiebedarf durch Effizienzsteigerung im Bereich der Warmwasser-Verwendung in Haushalten (z. B. Sparbrause) und verringerten Warmwasserbedarf durch optimierte Prozesse im gewerblichen und Dienstleistungsbereich.</v>
      </c>
      <c r="F795" s="1130"/>
      <c r="G795" s="1130"/>
      <c r="H795" s="1130"/>
      <c r="I795" s="1130"/>
      <c r="J795" s="1130"/>
      <c r="K795" s="1130"/>
      <c r="L795" s="1130"/>
      <c r="M795" s="1130"/>
      <c r="N795" s="1130"/>
      <c r="O795" s="869">
        <v>789</v>
      </c>
      <c r="P795" s="691" t="str">
        <f ca="1">HYPERLINK(EK795,EJ795)</f>
        <v/>
      </c>
      <c r="Q795" s="692" t="str">
        <f>Y795</f>
        <v xml:space="preserve"> </v>
      </c>
      <c r="R795" s="852"/>
      <c r="S795" s="784"/>
      <c r="T795" s="864"/>
      <c r="U795" s="1023" t="s">
        <v>698</v>
      </c>
      <c r="V795" s="905" t="s">
        <v>126</v>
      </c>
      <c r="W795" s="1097">
        <v>100</v>
      </c>
      <c r="X795" s="672"/>
      <c r="Y795" s="672" t="s">
        <v>126</v>
      </c>
      <c r="Z795" s="1025"/>
      <c r="AA795" s="658"/>
      <c r="AB795" s="801"/>
      <c r="AC795" s="801"/>
      <c r="AD795" s="801"/>
      <c r="AE795" s="801"/>
      <c r="AF795" s="801"/>
      <c r="AG795" s="801"/>
      <c r="AH795" s="801"/>
      <c r="AI795" s="801"/>
      <c r="AJ795" s="801"/>
      <c r="AK795" s="801"/>
      <c r="AL795" s="801"/>
      <c r="AM795" s="801"/>
      <c r="AN795" s="801"/>
      <c r="AO795" s="801"/>
      <c r="AP795" s="801"/>
      <c r="AQ795" s="801"/>
      <c r="AR795" s="801"/>
      <c r="AS795" s="801"/>
      <c r="AT795" s="801"/>
      <c r="AU795" s="801"/>
      <c r="AV795" s="801"/>
      <c r="AY795" s="656">
        <f ca="1">AY794/AY$246%</f>
        <v>14.091645358575692</v>
      </c>
      <c r="BA795" s="656">
        <f ca="1">BA794/BA$246%</f>
        <v>100</v>
      </c>
      <c r="BF795" s="657"/>
      <c r="BI795" s="656" t="s">
        <v>126</v>
      </c>
      <c r="BJ795" s="666"/>
      <c r="BO795" s="656" t="s">
        <v>259</v>
      </c>
      <c r="CU795" s="663" t="str">
        <f>CG$1&amp;IF(U795="",BF795,U795)</f>
        <v>- STATUS-Ansatz: Repräsentiert den Status als Bezug für den künftig gesenkten Energiebedarf durch Effizienzsteigerung im Bereich der Warmwasser-Verwendung in Haushalten (z. B. Sparbrause) und verringerten Warmwasserbedarf durch optimierte Prozesse im gewerblichen und Dienstleistungsbereich.</v>
      </c>
      <c r="CW795" s="663"/>
      <c r="DT795" s="671">
        <f>I_Basisdaten!A348</f>
        <v>0</v>
      </c>
      <c r="EJ795" s="656" t="str">
        <f>IF(X795=0,"",EJ$1&amp;X795)</f>
        <v/>
      </c>
      <c r="EK795" s="656" t="str">
        <f ca="1">EK$1&amp;X795</f>
        <v>[D_Python.xlsx]9.Quellen!C</v>
      </c>
      <c r="EV795" s="819">
        <f t="shared" si="415"/>
        <v>795</v>
      </c>
      <c r="EW795" s="819"/>
    </row>
    <row r="796" spans="1:153" s="661" customFormat="1" ht="4">
      <c r="A796" s="677" t="str">
        <f t="shared" ca="1" si="413"/>
        <v>D.1.796</v>
      </c>
      <c r="B796" s="677" t="str">
        <f t="shared" ca="1" si="414"/>
        <v>1.796</v>
      </c>
      <c r="C796" s="677" t="str">
        <f t="shared" si="417"/>
        <v>[796]</v>
      </c>
      <c r="D796" s="677">
        <f>ROW()</f>
        <v>796</v>
      </c>
      <c r="E796" s="680"/>
      <c r="F796" s="680"/>
      <c r="G796" s="680"/>
      <c r="H796" s="680"/>
      <c r="I796" s="679"/>
      <c r="J796" s="679"/>
      <c r="K796" s="679"/>
      <c r="L796" s="679"/>
      <c r="M796" s="679"/>
      <c r="N796" s="680"/>
      <c r="O796" s="871">
        <v>790</v>
      </c>
      <c r="P796" s="688"/>
      <c r="Q796" s="689"/>
      <c r="R796" s="888"/>
      <c r="S796" s="802"/>
      <c r="T796" s="882"/>
      <c r="W796" s="606"/>
      <c r="AB796" s="675"/>
      <c r="AC796" s="675"/>
      <c r="AD796" s="675"/>
      <c r="AE796" s="675"/>
      <c r="AF796" s="675"/>
      <c r="AG796" s="675"/>
      <c r="AH796" s="675"/>
      <c r="AI796" s="675"/>
      <c r="AJ796" s="675"/>
      <c r="AK796" s="675"/>
      <c r="AL796" s="675"/>
      <c r="AM796" s="675"/>
      <c r="AN796" s="675"/>
      <c r="AO796" s="675"/>
      <c r="AP796" s="675"/>
      <c r="AQ796" s="675"/>
      <c r="AR796" s="675"/>
      <c r="AS796" s="675"/>
      <c r="AT796" s="675"/>
      <c r="AU796" s="675"/>
      <c r="AV796" s="675"/>
      <c r="BI796" s="661" t="s">
        <v>126</v>
      </c>
      <c r="BJ796" s="665"/>
      <c r="CU796" s="662"/>
      <c r="CW796" s="662"/>
      <c r="EV796" s="818" t="str">
        <f t="shared" si="415"/>
        <v/>
      </c>
      <c r="EW796" s="818"/>
    </row>
    <row r="797" spans="1:153" s="656" customFormat="1" ht="39">
      <c r="A797" s="654" t="str">
        <f t="shared" ca="1" si="413"/>
        <v>D.1.797</v>
      </c>
      <c r="B797" s="654" t="str">
        <f t="shared" ca="1" si="414"/>
        <v>1.797</v>
      </c>
      <c r="C797" s="654" t="str">
        <f t="shared" si="417"/>
        <v>[797]</v>
      </c>
      <c r="D797" s="654">
        <f>ROW()</f>
        <v>797</v>
      </c>
      <c r="E797" s="1125" t="str">
        <f t="shared" ref="E797" si="419">CU797</f>
        <v xml:space="preserve">- ZIEL-Ansatz: Pauschale Annahme für die Senkung des Energiebedarfs für Warmwasser durch effiziente Anwendung in Haushalten (z. B. Sparbrause), Wärmerückgewinnung und Wassersparende Prozesse im gewerblichen Bereich. </v>
      </c>
      <c r="F797" s="1125"/>
      <c r="G797" s="1125"/>
      <c r="H797" s="1125"/>
      <c r="I797" s="1125"/>
      <c r="J797" s="1125"/>
      <c r="K797" s="1125"/>
      <c r="L797" s="1125"/>
      <c r="M797" s="1125"/>
      <c r="N797" s="1132"/>
      <c r="O797" s="869">
        <v>791</v>
      </c>
      <c r="P797" s="691" t="str">
        <f ca="1">HYPERLINK(EK797,EJ797)</f>
        <v/>
      </c>
      <c r="Q797" s="692" t="str">
        <f>Y797</f>
        <v xml:space="preserve"> </v>
      </c>
      <c r="R797" s="852"/>
      <c r="S797" s="784"/>
      <c r="T797" s="864"/>
      <c r="U797" s="1023" t="s">
        <v>783</v>
      </c>
      <c r="V797" s="905" t="s">
        <v>126</v>
      </c>
      <c r="W797" s="1095">
        <v>80</v>
      </c>
      <c r="X797" s="672"/>
      <c r="Y797" s="672" t="s">
        <v>126</v>
      </c>
      <c r="Z797" s="1025"/>
      <c r="AA797" s="905"/>
      <c r="AB797" s="801"/>
      <c r="AC797" s="801"/>
      <c r="AD797" s="801"/>
      <c r="AE797" s="801"/>
      <c r="AF797" s="801"/>
      <c r="AG797" s="801"/>
      <c r="AH797" s="801"/>
      <c r="AI797" s="801"/>
      <c r="AJ797" s="801"/>
      <c r="AK797" s="801"/>
      <c r="AL797" s="801"/>
      <c r="AM797" s="801"/>
      <c r="AN797" s="801"/>
      <c r="AO797" s="801"/>
      <c r="AP797" s="801"/>
      <c r="AQ797" s="801"/>
      <c r="AR797" s="801"/>
      <c r="AS797" s="801"/>
      <c r="AT797" s="801"/>
      <c r="AU797" s="801"/>
      <c r="AV797" s="801"/>
      <c r="BF797" s="657"/>
      <c r="BI797" s="656" t="s">
        <v>126</v>
      </c>
      <c r="BJ797" s="666"/>
      <c r="BO797" s="656" t="s">
        <v>259</v>
      </c>
      <c r="CU797" s="663" t="str">
        <f>CH$1&amp;IF(U797="",BF797,U797)</f>
        <v xml:space="preserve">- ZIEL-Ansatz: Pauschale Annahme für die Senkung des Energiebedarfs für Warmwasser durch effiziente Anwendung in Haushalten (z. B. Sparbrause), Wärmerückgewinnung und Wassersparende Prozesse im gewerblichen Bereich. </v>
      </c>
      <c r="CW797" s="663"/>
      <c r="DT797" s="671">
        <v>53</v>
      </c>
      <c r="EJ797" s="656" t="str">
        <f>IF(X797=0,"",EJ$1&amp;X797)</f>
        <v/>
      </c>
      <c r="EK797" s="656" t="str">
        <f ca="1">EK$1&amp;X797</f>
        <v>[D_Python.xlsx]9.Quellen!C</v>
      </c>
      <c r="EV797" s="819">
        <f t="shared" si="415"/>
        <v>797</v>
      </c>
      <c r="EW797" s="819"/>
    </row>
    <row r="798" spans="1:153" s="661" customFormat="1" ht="4">
      <c r="A798" s="677" t="str">
        <f t="shared" ca="1" si="413"/>
        <v>D.1.798</v>
      </c>
      <c r="B798" s="677" t="str">
        <f t="shared" ca="1" si="414"/>
        <v>1.798</v>
      </c>
      <c r="C798" s="677" t="str">
        <f t="shared" si="417"/>
        <v>[798]</v>
      </c>
      <c r="D798" s="677">
        <f>ROW()</f>
        <v>798</v>
      </c>
      <c r="E798" s="685"/>
      <c r="F798" s="685"/>
      <c r="G798" s="685"/>
      <c r="H798" s="685"/>
      <c r="I798" s="686"/>
      <c r="J798" s="686"/>
      <c r="K798" s="686"/>
      <c r="L798" s="686"/>
      <c r="M798" s="686"/>
      <c r="N798" s="685"/>
      <c r="O798" s="871">
        <v>792</v>
      </c>
      <c r="P798" s="693"/>
      <c r="Q798" s="694"/>
      <c r="R798" s="888"/>
      <c r="S798" s="802"/>
      <c r="T798" s="882"/>
      <c r="AB798" s="675"/>
      <c r="AC798" s="675"/>
      <c r="AD798" s="675"/>
      <c r="AE798" s="675"/>
      <c r="AF798" s="675"/>
      <c r="AG798" s="675"/>
      <c r="AH798" s="675"/>
      <c r="AI798" s="675"/>
      <c r="AJ798" s="675"/>
      <c r="AK798" s="675"/>
      <c r="AL798" s="675"/>
      <c r="AM798" s="675"/>
      <c r="AN798" s="675"/>
      <c r="AO798" s="675"/>
      <c r="AP798" s="675"/>
      <c r="AQ798" s="675"/>
      <c r="AR798" s="675"/>
      <c r="AS798" s="675"/>
      <c r="AT798" s="675"/>
      <c r="AU798" s="675"/>
      <c r="AV798" s="675"/>
      <c r="AZ798" s="669"/>
      <c r="BB798" s="669"/>
      <c r="BI798" s="661" t="s">
        <v>126</v>
      </c>
      <c r="BJ798" s="665"/>
      <c r="CU798" s="662"/>
      <c r="CW798" s="662"/>
      <c r="EV798" s="818" t="str">
        <f t="shared" si="415"/>
        <v/>
      </c>
      <c r="EW798" s="818"/>
    </row>
    <row r="799" spans="1:153" s="658" customFormat="1" ht="13.5" customHeight="1">
      <c r="A799" s="654" t="str">
        <f t="shared" ca="1" si="413"/>
        <v>D.1.799</v>
      </c>
      <c r="B799" s="654" t="str">
        <f t="shared" ca="1" si="414"/>
        <v>1.799</v>
      </c>
      <c r="C799" s="654" t="str">
        <f t="shared" si="417"/>
        <v>[799]</v>
      </c>
      <c r="D799" s="654">
        <f>ROW()</f>
        <v>799</v>
      </c>
      <c r="E799" s="1129" t="str">
        <f>BP799</f>
        <v>Anteil Strom an GW</v>
      </c>
      <c r="F799" s="1129"/>
      <c r="G799" s="1129"/>
      <c r="H799" s="1129"/>
      <c r="I799" s="1129"/>
      <c r="J799" s="655" t="s">
        <v>38</v>
      </c>
      <c r="K799" s="605">
        <f ca="1">INDIRECT($W$1&amp;U799)</f>
        <v>4.5237870435197927</v>
      </c>
      <c r="L799" s="697" t="str">
        <f ca="1">HYPERLINK($CK$1&amp;U799,$CE$1&amp;U799&amp;$CF$1)</f>
        <v>[800]</v>
      </c>
      <c r="M799" s="775" t="str">
        <f ca="1">INDIRECT($W$1&amp;W799)</f>
        <v>(resultierend)</v>
      </c>
      <c r="N799" s="681" t="str">
        <f ca="1">HYPERLINK($CK$1&amp;W799,$CE$1&amp;W799&amp;$CF$1)</f>
        <v>[802]</v>
      </c>
      <c r="O799" s="869">
        <v>793</v>
      </c>
      <c r="P799" s="690"/>
      <c r="Q799" s="695"/>
      <c r="R799" s="852"/>
      <c r="S799" s="784"/>
      <c r="T799" s="864"/>
      <c r="U799" s="672">
        <f>D800</f>
        <v>800</v>
      </c>
      <c r="V799" s="905" t="s">
        <v>126</v>
      </c>
      <c r="W799" s="672">
        <f>D802</f>
        <v>802</v>
      </c>
      <c r="AB799" s="801"/>
      <c r="AC799" s="801"/>
      <c r="AD799" s="674"/>
      <c r="AE799" s="674"/>
      <c r="AF799" s="674"/>
      <c r="AG799" s="674"/>
      <c r="AH799" s="674"/>
      <c r="AI799" s="674"/>
      <c r="AJ799" s="674"/>
      <c r="AK799" s="674"/>
      <c r="AL799" s="674"/>
      <c r="AM799" s="674"/>
      <c r="AN799" s="674"/>
      <c r="AO799" s="674"/>
      <c r="AP799" s="674"/>
      <c r="AQ799" s="674"/>
      <c r="AR799" s="674"/>
      <c r="AS799" s="674"/>
      <c r="AT799" s="674"/>
      <c r="AU799" s="674"/>
      <c r="AV799" s="674"/>
      <c r="AX799" s="658" t="s">
        <v>244</v>
      </c>
      <c r="AY799" s="668">
        <f ca="1">DA799</f>
        <v>10.254559182513647</v>
      </c>
      <c r="AZ799" s="670" t="str">
        <f ca="1">HYPERLINK(DN799,DC799)</f>
        <v xml:space="preserve"> 235</v>
      </c>
      <c r="BA799" s="668">
        <f ca="1">DB799</f>
        <v>35</v>
      </c>
      <c r="BB799" s="670" t="str">
        <f ca="1">HYPERLINK(DO799,DD799)</f>
        <v xml:space="preserve"> 236</v>
      </c>
      <c r="BC799" s="658" t="str">
        <f ca="1">CY799&amp;" | "&amp;CZ799</f>
        <v>Brennstoffgew.
für Prozesse | 0</v>
      </c>
      <c r="BI799" s="658" t="s">
        <v>126</v>
      </c>
      <c r="BJ799" s="667" t="str">
        <f>E799</f>
        <v>Anteil Strom an GW</v>
      </c>
      <c r="BK799" s="664">
        <f ca="1">K799</f>
        <v>4.5237870435197927</v>
      </c>
      <c r="BL799" s="664" t="str">
        <f ca="1">M799</f>
        <v>(resultierend)</v>
      </c>
      <c r="BM799" s="656">
        <f>D799</f>
        <v>799</v>
      </c>
      <c r="BO799" s="658" t="s">
        <v>251</v>
      </c>
      <c r="BP799" s="676" t="s">
        <v>684</v>
      </c>
      <c r="CU799" s="659"/>
      <c r="CW799" s="671">
        <v>61</v>
      </c>
      <c r="CY799" s="656" t="str">
        <f t="shared" ref="CY799:DO799" ca="1" si="420">INDIRECT($CX$1&amp;CY$1&amp;$CW799)</f>
        <v>Brennstoffgew.
für Prozesse</v>
      </c>
      <c r="CZ799" s="656">
        <f t="shared" ca="1" si="420"/>
        <v>0</v>
      </c>
      <c r="DA799" s="656">
        <f t="shared" ca="1" si="420"/>
        <v>10.254559182513647</v>
      </c>
      <c r="DB799" s="656">
        <f t="shared" ca="1" si="420"/>
        <v>35</v>
      </c>
      <c r="DC799" s="656" t="str">
        <f t="shared" ca="1" si="420"/>
        <v xml:space="preserve"> 235</v>
      </c>
      <c r="DD799" s="656" t="str">
        <f t="shared" ca="1" si="420"/>
        <v xml:space="preserve"> 236</v>
      </c>
      <c r="DE799" s="656" t="str">
        <f t="shared" ca="1" si="420"/>
        <v>Ho99</v>
      </c>
      <c r="DF799" s="656" t="str">
        <f t="shared" ca="1" si="420"/>
        <v>Ho36</v>
      </c>
      <c r="DG799" s="656" t="str">
        <f t="shared" ca="1" si="420"/>
        <v>Ho</v>
      </c>
      <c r="DH799" s="656" t="str">
        <f t="shared" ca="1" si="420"/>
        <v>99</v>
      </c>
      <c r="DI799" s="656" t="str">
        <f t="shared" ca="1" si="420"/>
        <v>[Ho.xls]TEXT!Z99S5</v>
      </c>
      <c r="DJ799" s="656" t="str">
        <f t="shared" ca="1" si="420"/>
        <v>Ho</v>
      </c>
      <c r="DK799" s="656" t="str">
        <f t="shared" ca="1" si="420"/>
        <v>36</v>
      </c>
      <c r="DL799" s="656" t="str">
        <f t="shared" ca="1" si="420"/>
        <v>[Ho.xls]TEXT!Z36S5</v>
      </c>
      <c r="DM799" s="656">
        <f t="shared" ca="1" si="420"/>
        <v>61</v>
      </c>
      <c r="DN799" s="656" t="str">
        <f t="shared" ca="1" si="420"/>
        <v>[Region.xls]PARAMETER!Z235S6</v>
      </c>
      <c r="DO799" s="656" t="str">
        <f t="shared" ca="1" si="420"/>
        <v>[Region.xls]PARAMETER!Z236S6</v>
      </c>
      <c r="DP799" s="656"/>
      <c r="DS799" s="656"/>
      <c r="DV799" s="656"/>
      <c r="DW799" s="656"/>
      <c r="DX799" s="656"/>
      <c r="DY799" s="656"/>
      <c r="DZ799" s="656"/>
      <c r="EA799" s="656"/>
      <c r="EB799" s="656"/>
      <c r="EC799" s="656"/>
      <c r="ED799" s="656"/>
      <c r="EE799" s="656"/>
      <c r="EF799" s="656"/>
      <c r="EG799" s="656"/>
      <c r="EH799" s="656"/>
      <c r="EI799" s="656"/>
      <c r="EJ799" s="656"/>
      <c r="EK799" s="656"/>
      <c r="EV799" s="819">
        <f t="shared" si="415"/>
        <v>799</v>
      </c>
      <c r="EW799" s="819"/>
    </row>
    <row r="800" spans="1:153" s="656" customFormat="1" ht="16">
      <c r="A800" s="654" t="str">
        <f t="shared" ca="1" si="413"/>
        <v>D.1.800</v>
      </c>
      <c r="B800" s="654" t="str">
        <f t="shared" ca="1" si="414"/>
        <v>1.800</v>
      </c>
      <c r="C800" s="654" t="str">
        <f t="shared" si="417"/>
        <v>[800]</v>
      </c>
      <c r="D800" s="654">
        <f>ROW()</f>
        <v>800</v>
      </c>
      <c r="E800" s="1130" t="str">
        <f ca="1">CU800</f>
        <v>- STATUS-Ansatz: Gemäß Arbeitsgemeinschaft Energiebilanzen [9.28], Aufbereitung siehe [7.37].</v>
      </c>
      <c r="F800" s="1130"/>
      <c r="G800" s="1130"/>
      <c r="H800" s="1130"/>
      <c r="I800" s="1130"/>
      <c r="J800" s="1130"/>
      <c r="K800" s="1130"/>
      <c r="L800" s="1130"/>
      <c r="M800" s="1130"/>
      <c r="N800" s="1131"/>
      <c r="O800" s="869">
        <v>794</v>
      </c>
      <c r="P800" s="691" t="str">
        <f ca="1">HYPERLINK(EK800,EJ800)</f>
        <v>9.28</v>
      </c>
      <c r="Q800" s="646" t="str">
        <f ca="1">IF(Y800="&gt;",HYPERLINK(EO800,EN800),Y800)</f>
        <v>7.37</v>
      </c>
      <c r="R800" s="852"/>
      <c r="S800" s="784"/>
      <c r="T800" s="864"/>
      <c r="U800" s="1023" t="str">
        <f ca="1">"Gemäß Arbeitsgemeinschaft Energiebilanzen ["&amp;P800&amp;"], Aufbereitung siehe ["&amp;Q800&amp;"]."</f>
        <v>Gemäß Arbeitsgemeinschaft Energiebilanzen [9.28], Aufbereitung siehe [7.37].</v>
      </c>
      <c r="V800" s="905" t="s">
        <v>126</v>
      </c>
      <c r="W800" s="1095">
        <f>AD800-AF800</f>
        <v>4.5237870435197927</v>
      </c>
      <c r="X800" s="672">
        <f>'9.Quellen'!C$28</f>
        <v>28</v>
      </c>
      <c r="Y800" s="672" t="s">
        <v>479</v>
      </c>
      <c r="Z800" s="672">
        <f>'7.VerbrauchStatus'!D37</f>
        <v>37</v>
      </c>
      <c r="AA800" s="658"/>
      <c r="AB800" s="801"/>
      <c r="AC800" s="801"/>
      <c r="AD800" s="801">
        <f>'7.VerbrauchStatus'!K37</f>
        <v>4.5237870435197927</v>
      </c>
      <c r="AE800" s="801" t="s">
        <v>835</v>
      </c>
      <c r="AF800" s="774"/>
      <c r="AG800" s="801" t="s">
        <v>835</v>
      </c>
      <c r="AH800" s="801"/>
      <c r="AI800" s="801"/>
      <c r="AJ800" s="801"/>
      <c r="AK800" s="801"/>
      <c r="AL800" s="801"/>
      <c r="AM800" s="801"/>
      <c r="AN800" s="801"/>
      <c r="AO800" s="801"/>
      <c r="AP800" s="801"/>
      <c r="AQ800" s="801"/>
      <c r="AR800" s="801"/>
      <c r="AS800" s="801"/>
      <c r="AT800" s="801"/>
      <c r="AU800" s="801"/>
      <c r="AV800" s="801"/>
      <c r="AY800" s="656">
        <f ca="1">AY799/AY$246%</f>
        <v>14.091645358575692</v>
      </c>
      <c r="BA800" s="656">
        <f ca="1">BA799/BA$246%</f>
        <v>100</v>
      </c>
      <c r="BF800" s="657"/>
      <c r="BI800" s="656" t="s">
        <v>126</v>
      </c>
      <c r="BJ800" s="666"/>
      <c r="BO800" s="656" t="s">
        <v>259</v>
      </c>
      <c r="CU800" s="663" t="str">
        <f ca="1">CG$1&amp;IF(U800="",BF800,U800)</f>
        <v>- STATUS-Ansatz: Gemäß Arbeitsgemeinschaft Energiebilanzen [9.28], Aufbereitung siehe [7.37].</v>
      </c>
      <c r="CW800" s="663"/>
      <c r="DT800" s="671">
        <f>I_Basisdaten!A291</f>
        <v>0</v>
      </c>
      <c r="EJ800" s="656" t="str">
        <f ca="1">IF(X800=0,"",EJ$1&amp;X800)</f>
        <v>9.28</v>
      </c>
      <c r="EK800" s="656" t="str">
        <f ca="1">EK$1&amp;X800</f>
        <v>[D_Python.xlsx]9.Quellen!C28</v>
      </c>
      <c r="EN800" s="656" t="str">
        <f ca="1">IF(Z800=0,"",EN$1&amp;Z800)</f>
        <v>7.37</v>
      </c>
      <c r="EO800" s="656" t="str">
        <f ca="1">EO$1&amp;Z800</f>
        <v>[D_Python.xlsx]7.VerbrauchStatus!D37</v>
      </c>
      <c r="EV800" s="819">
        <f t="shared" ca="1" si="415"/>
        <v>800</v>
      </c>
      <c r="EW800" s="819"/>
    </row>
    <row r="801" spans="1:153" s="661" customFormat="1" ht="4">
      <c r="A801" s="677" t="str">
        <f t="shared" ca="1" si="413"/>
        <v>D.1.801</v>
      </c>
      <c r="B801" s="677" t="str">
        <f t="shared" ca="1" si="414"/>
        <v>1.801</v>
      </c>
      <c r="C801" s="677" t="str">
        <f t="shared" si="417"/>
        <v>[801]</v>
      </c>
      <c r="D801" s="677">
        <f>ROW()</f>
        <v>801</v>
      </c>
      <c r="E801" s="680"/>
      <c r="F801" s="680"/>
      <c r="G801" s="680"/>
      <c r="H801" s="680"/>
      <c r="I801" s="679"/>
      <c r="J801" s="679"/>
      <c r="K801" s="679"/>
      <c r="L801" s="679"/>
      <c r="M801" s="679"/>
      <c r="N801" s="680"/>
      <c r="O801" s="871">
        <v>795</v>
      </c>
      <c r="P801" s="688"/>
      <c r="Q801" s="689"/>
      <c r="R801" s="888"/>
      <c r="S801" s="802"/>
      <c r="T801" s="882"/>
      <c r="W801" s="606"/>
      <c r="AB801" s="675"/>
      <c r="AC801" s="675"/>
      <c r="AD801" s="675"/>
      <c r="AE801" s="675"/>
      <c r="AF801" s="675"/>
      <c r="AG801" s="675"/>
      <c r="AH801" s="675"/>
      <c r="AI801" s="675"/>
      <c r="AJ801" s="675"/>
      <c r="AK801" s="675"/>
      <c r="AL801" s="675"/>
      <c r="AM801" s="675"/>
      <c r="AN801" s="675"/>
      <c r="AO801" s="675"/>
      <c r="AP801" s="675"/>
      <c r="AQ801" s="675"/>
      <c r="AR801" s="675"/>
      <c r="AS801" s="675"/>
      <c r="AT801" s="675"/>
      <c r="AU801" s="675"/>
      <c r="AV801" s="675"/>
      <c r="BI801" s="661" t="s">
        <v>126</v>
      </c>
      <c r="BJ801" s="665"/>
      <c r="CU801" s="662"/>
      <c r="CW801" s="662"/>
      <c r="EV801" s="818" t="str">
        <f t="shared" si="415"/>
        <v/>
      </c>
      <c r="EW801" s="818"/>
    </row>
    <row r="802" spans="1:153" s="656" customFormat="1" ht="78">
      <c r="A802" s="654" t="str">
        <f t="shared" ca="1" si="413"/>
        <v>D.1.802</v>
      </c>
      <c r="B802" s="654" t="str">
        <f t="shared" ca="1" si="414"/>
        <v>1.802</v>
      </c>
      <c r="C802" s="654" t="str">
        <f t="shared" si="417"/>
        <v>[802]</v>
      </c>
      <c r="D802" s="654">
        <f>ROW()</f>
        <v>802</v>
      </c>
      <c r="E802" s="1135" t="str">
        <f t="shared" ref="E802" si="421">CU802</f>
        <v>- ZIEL-Ansatz: Resultiert aus 100% abzüglich Anteil Brennstoffe [810] abzüglich Anteil Wärme [804] und abzüglich der Einsparungen, die aus geringeren Wandlungsverlusten wegen höherer Nutzungsgrade bzw. höherer Anteile von verlustfrei nutzbarer Wärme und Strom resultieren. Begründung für den großen Anteil: Für Gebäudewärme lässt sich der universell einsetzbare und daher besonders wertvolle Energieträger Strom durch den Einsatz von Wärmepumpen um den Faktor 3-4 effizienter nutzen [524] als durch Direktwärme in Widerstandsheizungen (z. B. Nachtspeicherheizungen, Heizlüfter, Heizstrahler usw.).</v>
      </c>
      <c r="F802" s="1135"/>
      <c r="G802" s="1135"/>
      <c r="H802" s="1135"/>
      <c r="I802" s="1135"/>
      <c r="J802" s="1135"/>
      <c r="K802" s="1135"/>
      <c r="L802" s="1135"/>
      <c r="M802" s="1135"/>
      <c r="N802" s="1136"/>
      <c r="O802" s="869">
        <v>796</v>
      </c>
      <c r="P802" s="691" t="str">
        <f ca="1">HYPERLINK(EK802,EJ802)</f>
        <v/>
      </c>
      <c r="Q802" s="692" t="str">
        <f>Y802</f>
        <v xml:space="preserve"> </v>
      </c>
      <c r="R802" s="852"/>
      <c r="S802" s="784" t="s">
        <v>908</v>
      </c>
      <c r="T802" s="864"/>
      <c r="U802" s="1023" t="str">
        <f>"Resultiert aus 100% abzüglich Anteil Brennstoffe "&amp;C810&amp;" abzüglich Anteil Wärme "&amp;C804&amp;" und abzüglich der Einsparungen, die aus geringeren Wandlungsverlusten wegen höherer Nutzungsgrade bzw. höherer Anteile von verlustfrei nutzbarer Wärme und Strom resultieren."&amp;" Begründung für den großen Anteil: Für Gebäudewärme lässt sich der universell einsetzbare und daher besonders wertvolle Energieträger Strom durch den Einsatz von Wärmepumpen um den Faktor 3-4 effizienter nutzen "&amp;C524&amp;" als durch Direktwärme in Widerstandsheizungen (z. B. Nachtspeicherheizungen, Heizlüfter, Heizstrahler usw.)."</f>
        <v>Resultiert aus 100% abzüglich Anteil Brennstoffe [810] abzüglich Anteil Wärme [804] und abzüglich der Einsparungen, die aus geringeren Wandlungsverlusten wegen höherer Nutzungsgrade bzw. höherer Anteile von verlustfrei nutzbarer Wärme und Strom resultieren. Begründung für den großen Anteil: Für Gebäudewärme lässt sich der universell einsetzbare und daher besonders wertvolle Energieträger Strom durch den Einsatz von Wärmepumpen um den Faktor 3-4 effizienter nutzen [524] als durch Direktwärme in Widerstandsheizungen (z. B. Nachtspeicherheizungen, Heizlüfter, Heizstrahler usw.).</v>
      </c>
      <c r="V802" s="905" t="s">
        <v>126</v>
      </c>
      <c r="W802" s="1099" t="s">
        <v>699</v>
      </c>
      <c r="X802" s="672"/>
      <c r="Y802" s="672" t="s">
        <v>126</v>
      </c>
      <c r="Z802" s="1025"/>
      <c r="AA802" s="905"/>
      <c r="AB802" s="801"/>
      <c r="AC802" s="801"/>
      <c r="AD802" s="801"/>
      <c r="AE802" s="801"/>
      <c r="AF802" s="801"/>
      <c r="AG802" s="801"/>
      <c r="AH802" s="801"/>
      <c r="AI802" s="801"/>
      <c r="AJ802" s="801"/>
      <c r="AK802" s="801"/>
      <c r="AL802" s="801"/>
      <c r="AM802" s="801"/>
      <c r="AN802" s="801"/>
      <c r="AO802" s="801"/>
      <c r="AP802" s="801"/>
      <c r="AQ802" s="801"/>
      <c r="AR802" s="801"/>
      <c r="AS802" s="801"/>
      <c r="AT802" s="801"/>
      <c r="AU802" s="801"/>
      <c r="AV802" s="801"/>
      <c r="BF802" s="657"/>
      <c r="BI802" s="656" t="s">
        <v>126</v>
      </c>
      <c r="BJ802" s="666"/>
      <c r="BO802" s="656" t="s">
        <v>259</v>
      </c>
      <c r="CU802" s="663" t="str">
        <f>CH$1&amp;IF(U802="",BF802,U802)</f>
        <v>- ZIEL-Ansatz: Resultiert aus 100% abzüglich Anteil Brennstoffe [810] abzüglich Anteil Wärme [804] und abzüglich der Einsparungen, die aus geringeren Wandlungsverlusten wegen höherer Nutzungsgrade bzw. höherer Anteile von verlustfrei nutzbarer Wärme und Strom resultieren. Begründung für den großen Anteil: Für Gebäudewärme lässt sich der universell einsetzbare und daher besonders wertvolle Energieträger Strom durch den Einsatz von Wärmepumpen um den Faktor 3-4 effizienter nutzen [524] als durch Direktwärme in Widerstandsheizungen (z. B. Nachtspeicherheizungen, Heizlüfter, Heizstrahler usw.).</v>
      </c>
      <c r="CW802" s="663"/>
      <c r="DT802" s="671">
        <v>53</v>
      </c>
      <c r="EJ802" s="656" t="str">
        <f>IF(X802=0,"",EJ$1&amp;X802)</f>
        <v/>
      </c>
      <c r="EK802" s="656" t="str">
        <f ca="1">EK$1&amp;X802</f>
        <v>[D_Python.xlsx]9.Quellen!C</v>
      </c>
      <c r="EV802" s="819">
        <f t="shared" si="415"/>
        <v>802</v>
      </c>
      <c r="EW802" s="819"/>
    </row>
    <row r="803" spans="1:153" s="661" customFormat="1" ht="4">
      <c r="A803" s="677" t="str">
        <f t="shared" ca="1" si="413"/>
        <v>D.1.803</v>
      </c>
      <c r="B803" s="677" t="str">
        <f t="shared" ca="1" si="414"/>
        <v>1.803</v>
      </c>
      <c r="C803" s="677" t="str">
        <f t="shared" si="417"/>
        <v>[803]</v>
      </c>
      <c r="D803" s="677">
        <f>ROW()</f>
        <v>803</v>
      </c>
      <c r="E803" s="685"/>
      <c r="F803" s="685"/>
      <c r="G803" s="685"/>
      <c r="H803" s="685"/>
      <c r="I803" s="686"/>
      <c r="J803" s="686"/>
      <c r="K803" s="686"/>
      <c r="L803" s="686"/>
      <c r="M803" s="686"/>
      <c r="N803" s="685"/>
      <c r="O803" s="871">
        <v>797</v>
      </c>
      <c r="P803" s="693"/>
      <c r="Q803" s="694"/>
      <c r="R803" s="888"/>
      <c r="S803" s="802"/>
      <c r="T803" s="882"/>
      <c r="AB803" s="675"/>
      <c r="AC803" s="675"/>
      <c r="AD803" s="675"/>
      <c r="AE803" s="675"/>
      <c r="AF803" s="675"/>
      <c r="AG803" s="675"/>
      <c r="AH803" s="675"/>
      <c r="AI803" s="675"/>
      <c r="AJ803" s="675"/>
      <c r="AK803" s="675"/>
      <c r="AL803" s="675"/>
      <c r="AM803" s="675"/>
      <c r="AN803" s="675"/>
      <c r="AO803" s="675"/>
      <c r="AP803" s="675"/>
      <c r="AQ803" s="675"/>
      <c r="AR803" s="675"/>
      <c r="AS803" s="675"/>
      <c r="AT803" s="675"/>
      <c r="AU803" s="675"/>
      <c r="AV803" s="675"/>
      <c r="AZ803" s="669"/>
      <c r="BB803" s="669"/>
      <c r="BI803" s="661" t="s">
        <v>126</v>
      </c>
      <c r="BJ803" s="665"/>
      <c r="CU803" s="662"/>
      <c r="CW803" s="662"/>
      <c r="EV803" s="818" t="str">
        <f t="shared" si="415"/>
        <v/>
      </c>
      <c r="EW803" s="818"/>
    </row>
    <row r="804" spans="1:153" s="658" customFormat="1" ht="13.5" customHeight="1">
      <c r="A804" s="654" t="str">
        <f t="shared" ca="1" si="413"/>
        <v>D.1.804</v>
      </c>
      <c r="B804" s="654" t="str">
        <f t="shared" ca="1" si="414"/>
        <v>1.804</v>
      </c>
      <c r="C804" s="654" t="str">
        <f t="shared" si="417"/>
        <v>[804]</v>
      </c>
      <c r="D804" s="654">
        <f>ROW()</f>
        <v>804</v>
      </c>
      <c r="E804" s="1129" t="str">
        <f>BP804</f>
        <v>Anteil Wärme an GW</v>
      </c>
      <c r="F804" s="1129"/>
      <c r="G804" s="1129"/>
      <c r="H804" s="1129"/>
      <c r="I804" s="1129"/>
      <c r="J804" s="655" t="s">
        <v>38</v>
      </c>
      <c r="K804" s="605">
        <f ca="1">INDIRECT($W$1&amp;U804)</f>
        <v>16.926416556696822</v>
      </c>
      <c r="L804" s="697" t="str">
        <f ca="1">HYPERLINK($CK$1&amp;U804,$CE$1&amp;U804&amp;$CF$1)</f>
        <v>[805]</v>
      </c>
      <c r="M804" s="683">
        <f ca="1">INDIRECT($W$1&amp;W804)</f>
        <v>65.022419898009645</v>
      </c>
      <c r="N804" s="681" t="str">
        <f ca="1">HYPERLINK($CK$1&amp;W804,$CE$1&amp;W804&amp;$CF$1)</f>
        <v>[807]</v>
      </c>
      <c r="O804" s="869">
        <v>798</v>
      </c>
      <c r="P804" s="690"/>
      <c r="Q804" s="695"/>
      <c r="R804" s="852"/>
      <c r="S804" s="784"/>
      <c r="T804" s="864"/>
      <c r="U804" s="672">
        <f>D805</f>
        <v>805</v>
      </c>
      <c r="V804" s="905" t="s">
        <v>126</v>
      </c>
      <c r="W804" s="672">
        <f>D807</f>
        <v>807</v>
      </c>
      <c r="AB804" s="801"/>
      <c r="AC804" s="801"/>
      <c r="AD804" s="674"/>
      <c r="AE804" s="674"/>
      <c r="AF804" s="674"/>
      <c r="AG804" s="674"/>
      <c r="AH804" s="674"/>
      <c r="AI804" s="674"/>
      <c r="AJ804" s="674"/>
      <c r="AK804" s="674"/>
      <c r="AL804" s="674"/>
      <c r="AM804" s="674"/>
      <c r="AN804" s="674"/>
      <c r="AO804" s="674"/>
      <c r="AP804" s="674"/>
      <c r="AQ804" s="674"/>
      <c r="AR804" s="674"/>
      <c r="AS804" s="674"/>
      <c r="AT804" s="674"/>
      <c r="AU804" s="674"/>
      <c r="AV804" s="674"/>
      <c r="AX804" s="658" t="s">
        <v>244</v>
      </c>
      <c r="AY804" s="668">
        <f ca="1">DA804</f>
        <v>10.254559182513647</v>
      </c>
      <c r="AZ804" s="670" t="str">
        <f ca="1">HYPERLINK(DN804,DC804)</f>
        <v xml:space="preserve"> 235</v>
      </c>
      <c r="BA804" s="668">
        <f ca="1">DB804</f>
        <v>35</v>
      </c>
      <c r="BB804" s="670" t="str">
        <f ca="1">HYPERLINK(DO804,DD804)</f>
        <v xml:space="preserve"> 236</v>
      </c>
      <c r="BC804" s="658" t="str">
        <f ca="1">CY804&amp;" | "&amp;CZ804</f>
        <v>Brennstoffgew.
für Prozesse | 0</v>
      </c>
      <c r="BI804" s="658" t="s">
        <v>126</v>
      </c>
      <c r="BJ804" s="667" t="str">
        <f>E804</f>
        <v>Anteil Wärme an GW</v>
      </c>
      <c r="BK804" s="664">
        <f ca="1">K804</f>
        <v>16.926416556696822</v>
      </c>
      <c r="BL804" s="664">
        <f ca="1">M804</f>
        <v>65.022419898009645</v>
      </c>
      <c r="BM804" s="656">
        <f>D804</f>
        <v>804</v>
      </c>
      <c r="BO804" s="658" t="s">
        <v>251</v>
      </c>
      <c r="BP804" s="676" t="s">
        <v>685</v>
      </c>
      <c r="CU804" s="659"/>
      <c r="CW804" s="671">
        <v>61</v>
      </c>
      <c r="CY804" s="656" t="str">
        <f t="shared" ref="CY804:DO804" ca="1" si="422">INDIRECT($CX$1&amp;CY$1&amp;$CW804)</f>
        <v>Brennstoffgew.
für Prozesse</v>
      </c>
      <c r="CZ804" s="656">
        <f t="shared" ca="1" si="422"/>
        <v>0</v>
      </c>
      <c r="DA804" s="656">
        <f t="shared" ca="1" si="422"/>
        <v>10.254559182513647</v>
      </c>
      <c r="DB804" s="656">
        <f t="shared" ca="1" si="422"/>
        <v>35</v>
      </c>
      <c r="DC804" s="656" t="str">
        <f t="shared" ca="1" si="422"/>
        <v xml:space="preserve"> 235</v>
      </c>
      <c r="DD804" s="656" t="str">
        <f t="shared" ca="1" si="422"/>
        <v xml:space="preserve"> 236</v>
      </c>
      <c r="DE804" s="656" t="str">
        <f t="shared" ca="1" si="422"/>
        <v>Ho99</v>
      </c>
      <c r="DF804" s="656" t="str">
        <f t="shared" ca="1" si="422"/>
        <v>Ho36</v>
      </c>
      <c r="DG804" s="656" t="str">
        <f t="shared" ca="1" si="422"/>
        <v>Ho</v>
      </c>
      <c r="DH804" s="656" t="str">
        <f t="shared" ca="1" si="422"/>
        <v>99</v>
      </c>
      <c r="DI804" s="656" t="str">
        <f t="shared" ca="1" si="422"/>
        <v>[Ho.xls]TEXT!Z99S5</v>
      </c>
      <c r="DJ804" s="656" t="str">
        <f t="shared" ca="1" si="422"/>
        <v>Ho</v>
      </c>
      <c r="DK804" s="656" t="str">
        <f t="shared" ca="1" si="422"/>
        <v>36</v>
      </c>
      <c r="DL804" s="656" t="str">
        <f t="shared" ca="1" si="422"/>
        <v>[Ho.xls]TEXT!Z36S5</v>
      </c>
      <c r="DM804" s="656">
        <f t="shared" ca="1" si="422"/>
        <v>61</v>
      </c>
      <c r="DN804" s="656" t="str">
        <f t="shared" ca="1" si="422"/>
        <v>[Region.xls]PARAMETER!Z235S6</v>
      </c>
      <c r="DO804" s="656" t="str">
        <f t="shared" ca="1" si="422"/>
        <v>[Region.xls]PARAMETER!Z236S6</v>
      </c>
      <c r="DP804" s="656"/>
      <c r="DS804" s="656"/>
      <c r="DV804" s="656"/>
      <c r="DW804" s="656"/>
      <c r="DX804" s="656"/>
      <c r="DY804" s="656"/>
      <c r="DZ804" s="656"/>
      <c r="EA804" s="656"/>
      <c r="EB804" s="656"/>
      <c r="EC804" s="656"/>
      <c r="ED804" s="656"/>
      <c r="EE804" s="656"/>
      <c r="EF804" s="656"/>
      <c r="EG804" s="656"/>
      <c r="EH804" s="656"/>
      <c r="EI804" s="656"/>
      <c r="EJ804" s="656"/>
      <c r="EK804" s="656"/>
      <c r="EV804" s="819">
        <f t="shared" si="415"/>
        <v>804</v>
      </c>
      <c r="EW804" s="819"/>
    </row>
    <row r="805" spans="1:153" s="656" customFormat="1" ht="16">
      <c r="A805" s="654" t="str">
        <f t="shared" ca="1" si="413"/>
        <v>D.1.805</v>
      </c>
      <c r="B805" s="654" t="str">
        <f t="shared" ca="1" si="414"/>
        <v>1.805</v>
      </c>
      <c r="C805" s="654" t="str">
        <f t="shared" si="417"/>
        <v>[805]</v>
      </c>
      <c r="D805" s="654">
        <f>ROW()</f>
        <v>805</v>
      </c>
      <c r="E805" s="1130" t="str">
        <f ca="1">CU805</f>
        <v>- STATUS-Ansatz: Gemäß Arbeitsgemeinschaft Energiebilanzen [9.28], Aufbereitung siehe [7.39].</v>
      </c>
      <c r="F805" s="1130"/>
      <c r="G805" s="1130"/>
      <c r="H805" s="1130"/>
      <c r="I805" s="1130"/>
      <c r="J805" s="1130"/>
      <c r="K805" s="1130"/>
      <c r="L805" s="1130"/>
      <c r="M805" s="1130"/>
      <c r="N805" s="1131"/>
      <c r="O805" s="869">
        <v>799</v>
      </c>
      <c r="P805" s="691" t="str">
        <f ca="1">HYPERLINK(EK805,EJ805)</f>
        <v>9.28</v>
      </c>
      <c r="Q805" s="646" t="str">
        <f ca="1">IF(Y805="&gt;",HYPERLINK(EO805,EN805),Y805)</f>
        <v>7.39</v>
      </c>
      <c r="R805" s="852"/>
      <c r="S805" s="784"/>
      <c r="T805" s="864"/>
      <c r="U805" s="1023" t="str">
        <f ca="1">"Gemäß Arbeitsgemeinschaft Energiebilanzen ["&amp;P805&amp;"], Aufbereitung siehe ["&amp;Q805&amp;"]."</f>
        <v>Gemäß Arbeitsgemeinschaft Energiebilanzen [9.28], Aufbereitung siehe [7.39].</v>
      </c>
      <c r="V805" s="905" t="s">
        <v>126</v>
      </c>
      <c r="W805" s="1095">
        <f>'7.VerbrauchStatus'!K39</f>
        <v>16.926416556696822</v>
      </c>
      <c r="X805" s="672">
        <f>'9.Quellen'!C$28</f>
        <v>28</v>
      </c>
      <c r="Y805" s="672" t="s">
        <v>479</v>
      </c>
      <c r="Z805" s="672">
        <f>'7.VerbrauchStatus'!D39</f>
        <v>39</v>
      </c>
      <c r="AA805" s="658"/>
      <c r="AB805" s="801"/>
      <c r="AC805" s="801"/>
      <c r="AD805" s="801"/>
      <c r="AE805" s="801"/>
      <c r="AF805" s="801"/>
      <c r="AG805" s="801"/>
      <c r="AH805" s="801"/>
      <c r="AI805" s="801"/>
      <c r="AJ805" s="801"/>
      <c r="AK805" s="801"/>
      <c r="AL805" s="801"/>
      <c r="AM805" s="801"/>
      <c r="AN805" s="801"/>
      <c r="AO805" s="801"/>
      <c r="AP805" s="801"/>
      <c r="AQ805" s="801"/>
      <c r="AR805" s="801"/>
      <c r="AS805" s="801"/>
      <c r="AT805" s="801"/>
      <c r="AU805" s="801"/>
      <c r="AV805" s="801"/>
      <c r="AY805" s="656">
        <f ca="1">AY804/AY$246%</f>
        <v>14.091645358575692</v>
      </c>
      <c r="BA805" s="656">
        <f ca="1">BA804/BA$246%</f>
        <v>100</v>
      </c>
      <c r="BF805" s="657"/>
      <c r="BI805" s="656" t="s">
        <v>126</v>
      </c>
      <c r="BJ805" s="666"/>
      <c r="BO805" s="656" t="s">
        <v>259</v>
      </c>
      <c r="CU805" s="663" t="str">
        <f ca="1">CG$1&amp;IF(U805="",BF805,U805)</f>
        <v>- STATUS-Ansatz: Gemäß Arbeitsgemeinschaft Energiebilanzen [9.28], Aufbereitung siehe [7.39].</v>
      </c>
      <c r="CW805" s="663"/>
      <c r="DT805" s="671">
        <f>I_Basisdaten!A296</f>
        <v>0</v>
      </c>
      <c r="EJ805" s="656" t="str">
        <f ca="1">IF(X805=0,"",EJ$1&amp;X805)</f>
        <v>9.28</v>
      </c>
      <c r="EK805" s="656" t="str">
        <f ca="1">EK$1&amp;X805</f>
        <v>[D_Python.xlsx]9.Quellen!C28</v>
      </c>
      <c r="EN805" s="656" t="str">
        <f ca="1">IF(Z805=0,"",EN$1&amp;Z805)</f>
        <v>7.39</v>
      </c>
      <c r="EO805" s="656" t="str">
        <f ca="1">EO$1&amp;Z805</f>
        <v>[D_Python.xlsx]7.VerbrauchStatus!D39</v>
      </c>
      <c r="EV805" s="819">
        <f t="shared" ca="1" si="415"/>
        <v>805</v>
      </c>
      <c r="EW805" s="819"/>
    </row>
    <row r="806" spans="1:153" s="661" customFormat="1" ht="4">
      <c r="A806" s="677" t="str">
        <f t="shared" ca="1" si="413"/>
        <v>D.1.806</v>
      </c>
      <c r="B806" s="677" t="str">
        <f t="shared" ca="1" si="414"/>
        <v>1.806</v>
      </c>
      <c r="C806" s="677" t="str">
        <f t="shared" si="417"/>
        <v>[806]</v>
      </c>
      <c r="D806" s="677">
        <f>ROW()</f>
        <v>806</v>
      </c>
      <c r="E806" s="680"/>
      <c r="F806" s="680"/>
      <c r="G806" s="680"/>
      <c r="H806" s="680"/>
      <c r="I806" s="679"/>
      <c r="J806" s="679"/>
      <c r="K806" s="679"/>
      <c r="L806" s="679"/>
      <c r="M806" s="679"/>
      <c r="N806" s="680"/>
      <c r="O806" s="871">
        <v>800</v>
      </c>
      <c r="P806" s="688"/>
      <c r="Q806" s="689"/>
      <c r="R806" s="888"/>
      <c r="S806" s="802"/>
      <c r="T806" s="882"/>
      <c r="W806" s="606"/>
      <c r="AB806" s="675"/>
      <c r="AC806" s="675"/>
      <c r="AD806" s="675"/>
      <c r="AE806" s="675"/>
      <c r="AF806" s="675"/>
      <c r="AG806" s="675"/>
      <c r="AH806" s="675"/>
      <c r="AI806" s="675"/>
      <c r="AJ806" s="675"/>
      <c r="AK806" s="675"/>
      <c r="AL806" s="675"/>
      <c r="AM806" s="675"/>
      <c r="AN806" s="675"/>
      <c r="AO806" s="675"/>
      <c r="AP806" s="675"/>
      <c r="AQ806" s="675"/>
      <c r="AR806" s="675"/>
      <c r="AS806" s="675"/>
      <c r="AT806" s="675"/>
      <c r="AU806" s="675"/>
      <c r="AV806" s="675"/>
      <c r="BI806" s="661" t="s">
        <v>126</v>
      </c>
      <c r="BJ806" s="665"/>
      <c r="CU806" s="662"/>
      <c r="CW806" s="662"/>
      <c r="EV806" s="818" t="str">
        <f t="shared" si="415"/>
        <v/>
      </c>
      <c r="EW806" s="818"/>
    </row>
    <row r="807" spans="1:153" s="656" customFormat="1" ht="52">
      <c r="A807" s="654" t="str">
        <f t="shared" ca="1" si="413"/>
        <v>D.1.807</v>
      </c>
      <c r="B807" s="654" t="str">
        <f t="shared" ca="1" si="414"/>
        <v>1.807</v>
      </c>
      <c r="C807" s="654" t="str">
        <f t="shared" si="417"/>
        <v>[807]</v>
      </c>
      <c r="D807" s="654">
        <f>ROW()</f>
        <v>807</v>
      </c>
      <c r="E807" s="1135" t="str">
        <f t="shared" ref="E807" si="423">CU807</f>
        <v>- ZIEL-Ansatz: (Bei Abweichungen gilt Abgleichergebnis in _S.xlsx) Ansatz in Anlehnung an IWES [808] und UBA [814] aufgrund folgender Überlegung: Neben der Nutzung von Abwärme kann ein hoher Anteil mit Wärmepumpen gewonnener Umgebungswärme im Gebäudebereich zur Schonung der begrenzten Brennstoffpotenziale für kritische Anwendungen (z. B. Kraftstoffe, Prozesswärme) und zum effizienten Umgang mit Strom beitragen (siehe [524]).</v>
      </c>
      <c r="F807" s="1135"/>
      <c r="G807" s="1135"/>
      <c r="H807" s="1135"/>
      <c r="I807" s="1135"/>
      <c r="J807" s="1135"/>
      <c r="K807" s="1135"/>
      <c r="L807" s="1135"/>
      <c r="M807" s="1135"/>
      <c r="N807" s="1136"/>
      <c r="O807" s="869">
        <v>801</v>
      </c>
      <c r="P807" s="691" t="str">
        <f ca="1">HYPERLINK(EK807,EJ807)</f>
        <v/>
      </c>
      <c r="Q807" s="692" t="str">
        <f>Y807</f>
        <v xml:space="preserve"> </v>
      </c>
      <c r="R807" s="852"/>
      <c r="S807" s="784" t="s">
        <v>907</v>
      </c>
      <c r="T807" s="864"/>
      <c r="U807" s="1023" t="str">
        <f>"(Bei Abweichungen gilt Abgleichergebnis in _S.xlsx) Ansatz in Anlehnung an IWES "&amp;C808&amp;" und UBA "&amp;C814&amp;" aufgrund folgender Überlegung: Neben der Nutzung von Abwärme kann ein hoher Anteil mit Wärmepumpen gewonnener Umgebungswärme im Gebäudebereich "&amp;"zur Schonung der begrenzten Brennstoffpotenziale für kritische Anwendungen (z. B. Kraftstoffe, Prozesswärme) und zum effizienten Umgang mit Strom beitragen (siehe "&amp;C524&amp;")."</f>
        <v>(Bei Abweichungen gilt Abgleichergebnis in _S.xlsx) Ansatz in Anlehnung an IWES [808] und UBA [814] aufgrund folgender Überlegung: Neben der Nutzung von Abwärme kann ein hoher Anteil mit Wärmepumpen gewonnener Umgebungswärme im Gebäudebereich zur Schonung der begrenzten Brennstoffpotenziale für kritische Anwendungen (z. B. Kraftstoffe, Prozesswärme) und zum effizienten Umgang mit Strom beitragen (siehe [524]).</v>
      </c>
      <c r="V807" s="905" t="s">
        <v>126</v>
      </c>
      <c r="W807" s="1100">
        <v>65.022419898009645</v>
      </c>
      <c r="X807" s="672"/>
      <c r="Y807" s="672" t="s">
        <v>126</v>
      </c>
      <c r="Z807" s="1025"/>
      <c r="AA807" s="905"/>
      <c r="AB807" s="801"/>
      <c r="AC807" s="1020"/>
      <c r="AD807" s="801">
        <v>79.25</v>
      </c>
      <c r="AE807" s="801"/>
      <c r="AF807" s="801"/>
      <c r="AG807" s="801"/>
      <c r="AH807" s="801"/>
      <c r="AI807" s="801"/>
      <c r="AJ807" s="801"/>
      <c r="AK807" s="801"/>
      <c r="AL807" s="801"/>
      <c r="AM807" s="801"/>
      <c r="AN807" s="801"/>
      <c r="AO807" s="801"/>
      <c r="AP807" s="801"/>
      <c r="AQ807" s="801"/>
      <c r="AR807" s="801"/>
      <c r="AS807" s="801"/>
      <c r="AT807" s="801"/>
      <c r="AU807" s="801"/>
      <c r="AV807" s="801"/>
      <c r="BF807" s="657"/>
      <c r="BI807" s="656" t="s">
        <v>126</v>
      </c>
      <c r="BJ807" s="666"/>
      <c r="BO807" s="656" t="s">
        <v>259</v>
      </c>
      <c r="CU807" s="663" t="str">
        <f>CH$1&amp;IF(U807="",BF807,U807)</f>
        <v>- ZIEL-Ansatz: (Bei Abweichungen gilt Abgleichergebnis in _S.xlsx) Ansatz in Anlehnung an IWES [808] und UBA [814] aufgrund folgender Überlegung: Neben der Nutzung von Abwärme kann ein hoher Anteil mit Wärmepumpen gewonnener Umgebungswärme im Gebäudebereich zur Schonung der begrenzten Brennstoffpotenziale für kritische Anwendungen (z. B. Kraftstoffe, Prozesswärme) und zum effizienten Umgang mit Strom beitragen (siehe [524]).</v>
      </c>
      <c r="CW807" s="663"/>
      <c r="DT807" s="671">
        <v>53</v>
      </c>
      <c r="EJ807" s="656" t="str">
        <f>IF(X807=0,"",EJ$1&amp;X807)</f>
        <v/>
      </c>
      <c r="EK807" s="656" t="str">
        <f ca="1">EK$1&amp;X807</f>
        <v>[D_Python.xlsx]9.Quellen!C</v>
      </c>
      <c r="EV807" s="819">
        <f t="shared" si="415"/>
        <v>807</v>
      </c>
      <c r="EW807" s="819"/>
    </row>
    <row r="808" spans="1:153" s="656" customFormat="1" ht="26">
      <c r="A808" s="654" t="str">
        <f t="shared" ca="1" si="413"/>
        <v>D.1.808</v>
      </c>
      <c r="B808" s="654" t="str">
        <f t="shared" ca="1" si="414"/>
        <v>1.808</v>
      </c>
      <c r="C808" s="654" t="str">
        <f>CE$1&amp;D808&amp;CF$1</f>
        <v>[808]</v>
      </c>
      <c r="D808" s="654">
        <f>ROW()</f>
        <v>808</v>
      </c>
      <c r="E808" s="1125" t="str">
        <f ca="1">CU808</f>
        <v>IWES Geschäftsmodell Energiewende [9.120], S. 14: "(…) hohe Durchdringung von 75% Wärmepumpen im Niedertemperaturbereich für Raumwärme und Warmwasser (…)".</v>
      </c>
      <c r="F808" s="1125"/>
      <c r="G808" s="1125"/>
      <c r="H808" s="1125"/>
      <c r="I808" s="1125"/>
      <c r="J808" s="1125"/>
      <c r="K808" s="1125"/>
      <c r="L808" s="1125"/>
      <c r="M808" s="1125"/>
      <c r="N808" s="1132"/>
      <c r="O808" s="869">
        <v>802</v>
      </c>
      <c r="P808" s="691" t="str">
        <f ca="1">HYPERLINK(EK808,EJ808)</f>
        <v>9.120</v>
      </c>
      <c r="Q808" s="692" t="str">
        <f>Y808</f>
        <v>S. 14</v>
      </c>
      <c r="R808" s="852"/>
      <c r="S808" s="784"/>
      <c r="T808" s="864"/>
      <c r="U808" s="1023" t="str">
        <f ca="1">"IWES Geschäftsmodell Energiewende ["&amp;P808&amp;"], "&amp;Q808&amp;": ""(…) hohe Durchdringung von 75% Wärmepumpen im Niedertemperaturbereich für Raumwärme und Warmwasser (…)""."</f>
        <v>IWES Geschäftsmodell Energiewende [9.120], S. 14: "(…) hohe Durchdringung von 75% Wärmepumpen im Niedertemperaturbereich für Raumwärme und Warmwasser (…)".</v>
      </c>
      <c r="V808" s="905" t="s">
        <v>126</v>
      </c>
      <c r="W808" s="1025"/>
      <c r="X808" s="672">
        <f>'9.Quellen'!C$120</f>
        <v>120</v>
      </c>
      <c r="Y808" s="672" t="s">
        <v>770</v>
      </c>
      <c r="Z808" s="1025"/>
      <c r="AA808" s="905"/>
      <c r="AB808" s="801"/>
      <c r="AC808" s="801"/>
      <c r="AD808" s="801"/>
      <c r="AE808" s="801"/>
      <c r="AF808" s="801"/>
      <c r="AG808" s="801"/>
      <c r="AH808" s="801"/>
      <c r="AI808" s="801"/>
      <c r="AJ808" s="801"/>
      <c r="AK808" s="801"/>
      <c r="AL808" s="801"/>
      <c r="AM808" s="801"/>
      <c r="AN808" s="801"/>
      <c r="AO808" s="801"/>
      <c r="AP808" s="801"/>
      <c r="AQ808" s="801"/>
      <c r="AR808" s="801"/>
      <c r="AS808" s="801"/>
      <c r="AT808" s="801"/>
      <c r="AU808" s="801"/>
      <c r="AV808" s="801"/>
      <c r="BF808" s="657" t="s">
        <v>126</v>
      </c>
      <c r="BI808" s="656" t="s">
        <v>126</v>
      </c>
      <c r="BJ808" s="666"/>
      <c r="BO808" s="656" t="s">
        <v>259</v>
      </c>
      <c r="BQ808" s="678" t="s">
        <v>271</v>
      </c>
      <c r="CU808" s="663" t="str">
        <f ca="1">IF(U808="",BF808,U808)</f>
        <v>IWES Geschäftsmodell Energiewende [9.120], S. 14: "(…) hohe Durchdringung von 75% Wärmepumpen im Niedertemperaturbereich für Raumwärme und Warmwasser (…)".</v>
      </c>
      <c r="CW808" s="663"/>
      <c r="EJ808" s="656" t="str">
        <f ca="1">IF(X808=0,"",EJ$1&amp;X808)</f>
        <v>9.120</v>
      </c>
      <c r="EK808" s="656" t="str">
        <f ca="1">EK$1&amp;X808</f>
        <v>[D_Python.xlsx]9.Quellen!C120</v>
      </c>
      <c r="EV808" s="819">
        <f t="shared" ca="1" si="415"/>
        <v>808</v>
      </c>
      <c r="EW808" s="819"/>
    </row>
    <row r="809" spans="1:153" s="661" customFormat="1" ht="4">
      <c r="A809" s="677" t="str">
        <f t="shared" ca="1" si="413"/>
        <v>D.1.809</v>
      </c>
      <c r="B809" s="677" t="str">
        <f t="shared" ca="1" si="414"/>
        <v>1.809</v>
      </c>
      <c r="C809" s="677" t="str">
        <f t="shared" si="417"/>
        <v>[809]</v>
      </c>
      <c r="D809" s="677">
        <f>ROW()</f>
        <v>809</v>
      </c>
      <c r="E809" s="685"/>
      <c r="F809" s="685"/>
      <c r="G809" s="685"/>
      <c r="H809" s="685"/>
      <c r="I809" s="686"/>
      <c r="J809" s="686"/>
      <c r="K809" s="686"/>
      <c r="L809" s="686"/>
      <c r="M809" s="686"/>
      <c r="N809" s="685"/>
      <c r="O809" s="871">
        <v>803</v>
      </c>
      <c r="P809" s="693"/>
      <c r="Q809" s="694"/>
      <c r="R809" s="888"/>
      <c r="S809" s="802"/>
      <c r="T809" s="882"/>
      <c r="AB809" s="675"/>
      <c r="AC809" s="675"/>
      <c r="AD809" s="675"/>
      <c r="AE809" s="675"/>
      <c r="AF809" s="675"/>
      <c r="AG809" s="675"/>
      <c r="AH809" s="675"/>
      <c r="AI809" s="675"/>
      <c r="AJ809" s="675"/>
      <c r="AK809" s="675"/>
      <c r="AL809" s="675"/>
      <c r="AM809" s="675"/>
      <c r="AN809" s="675"/>
      <c r="AO809" s="675"/>
      <c r="AP809" s="675"/>
      <c r="AQ809" s="675"/>
      <c r="AR809" s="675"/>
      <c r="AS809" s="675"/>
      <c r="AT809" s="675"/>
      <c r="AU809" s="675"/>
      <c r="AV809" s="675"/>
      <c r="AZ809" s="669"/>
      <c r="BB809" s="669"/>
      <c r="BI809" s="661" t="s">
        <v>126</v>
      </c>
      <c r="BJ809" s="665"/>
      <c r="CU809" s="662"/>
      <c r="CW809" s="662"/>
      <c r="EV809" s="818" t="str">
        <f t="shared" si="415"/>
        <v/>
      </c>
      <c r="EW809" s="818"/>
    </row>
    <row r="810" spans="1:153" s="658" customFormat="1" ht="13.5" customHeight="1">
      <c r="A810" s="654" t="str">
        <f t="shared" ca="1" si="413"/>
        <v>D.1.810</v>
      </c>
      <c r="B810" s="654" t="str">
        <f t="shared" ca="1" si="414"/>
        <v>1.810</v>
      </c>
      <c r="C810" s="654" t="str">
        <f t="shared" si="417"/>
        <v>[810]</v>
      </c>
      <c r="D810" s="654">
        <f>ROW()</f>
        <v>810</v>
      </c>
      <c r="E810" s="1129" t="str">
        <f>BP810</f>
        <v>Anteil Brenstoffe an GW</v>
      </c>
      <c r="F810" s="1129"/>
      <c r="G810" s="1129"/>
      <c r="H810" s="1129"/>
      <c r="I810" s="1129"/>
      <c r="J810" s="655" t="s">
        <v>38</v>
      </c>
      <c r="K810" s="605">
        <f ca="1">INDIRECT($W$1&amp;U810)</f>
        <v>78.549796399783375</v>
      </c>
      <c r="L810" s="697" t="str">
        <f ca="1">HYPERLINK($CK$1&amp;U810,$CE$1&amp;U810&amp;$CF$1)</f>
        <v>[811]</v>
      </c>
      <c r="M810" s="683">
        <f ca="1">INDIRECT($W$1&amp;W810)</f>
        <v>0</v>
      </c>
      <c r="N810" s="681" t="str">
        <f ca="1">HYPERLINK($CK$1&amp;W810,$CE$1&amp;W810&amp;$CF$1)</f>
        <v>[813]</v>
      </c>
      <c r="O810" s="869">
        <v>804</v>
      </c>
      <c r="P810" s="690"/>
      <c r="Q810" s="695"/>
      <c r="R810" s="852"/>
      <c r="S810" s="784"/>
      <c r="T810" s="864"/>
      <c r="U810" s="672">
        <f>D811</f>
        <v>811</v>
      </c>
      <c r="V810" s="905" t="s">
        <v>126</v>
      </c>
      <c r="W810" s="672">
        <f>D813</f>
        <v>813</v>
      </c>
      <c r="AB810" s="801"/>
      <c r="AC810" s="801"/>
      <c r="AD810" s="674"/>
      <c r="AE810" s="674"/>
      <c r="AF810" s="674"/>
      <c r="AG810" s="674"/>
      <c r="AH810" s="674"/>
      <c r="AI810" s="674"/>
      <c r="AJ810" s="674"/>
      <c r="AK810" s="674"/>
      <c r="AL810" s="674"/>
      <c r="AM810" s="674"/>
      <c r="AN810" s="674"/>
      <c r="AO810" s="674"/>
      <c r="AP810" s="674"/>
      <c r="AQ810" s="674"/>
      <c r="AR810" s="674"/>
      <c r="AS810" s="674"/>
      <c r="AT810" s="674"/>
      <c r="AU810" s="674"/>
      <c r="AV810" s="674"/>
      <c r="AX810" s="658" t="s">
        <v>244</v>
      </c>
      <c r="AY810" s="668">
        <f ca="1">DA810</f>
        <v>10.254559182513647</v>
      </c>
      <c r="AZ810" s="670" t="str">
        <f ca="1">HYPERLINK(DN810,DC810)</f>
        <v xml:space="preserve"> 235</v>
      </c>
      <c r="BA810" s="668">
        <f ca="1">DB810</f>
        <v>35</v>
      </c>
      <c r="BB810" s="670" t="str">
        <f ca="1">HYPERLINK(DO810,DD810)</f>
        <v xml:space="preserve"> 236</v>
      </c>
      <c r="BC810" s="658" t="str">
        <f ca="1">CY810&amp;" | "&amp;CZ810</f>
        <v>Brennstoffgew.
für Prozesse | 0</v>
      </c>
      <c r="BI810" s="658" t="s">
        <v>126</v>
      </c>
      <c r="BJ810" s="667" t="str">
        <f>E810</f>
        <v>Anteil Brenstoffe an GW</v>
      </c>
      <c r="BK810" s="664">
        <f ca="1">K810</f>
        <v>78.549796399783375</v>
      </c>
      <c r="BL810" s="664">
        <f ca="1">M810</f>
        <v>0</v>
      </c>
      <c r="BM810" s="656">
        <f>D810</f>
        <v>810</v>
      </c>
      <c r="BO810" s="658" t="s">
        <v>251</v>
      </c>
      <c r="BP810" s="676" t="s">
        <v>686</v>
      </c>
      <c r="CU810" s="659"/>
      <c r="CW810" s="671">
        <v>61</v>
      </c>
      <c r="CY810" s="656" t="str">
        <f t="shared" ref="CY810:DO810" ca="1" si="424">INDIRECT($CX$1&amp;CY$1&amp;$CW810)</f>
        <v>Brennstoffgew.
für Prozesse</v>
      </c>
      <c r="CZ810" s="656">
        <f t="shared" ca="1" si="424"/>
        <v>0</v>
      </c>
      <c r="DA810" s="656">
        <f t="shared" ca="1" si="424"/>
        <v>10.254559182513647</v>
      </c>
      <c r="DB810" s="656">
        <f t="shared" ca="1" si="424"/>
        <v>35</v>
      </c>
      <c r="DC810" s="656" t="str">
        <f t="shared" ca="1" si="424"/>
        <v xml:space="preserve"> 235</v>
      </c>
      <c r="DD810" s="656" t="str">
        <f t="shared" ca="1" si="424"/>
        <v xml:space="preserve"> 236</v>
      </c>
      <c r="DE810" s="656" t="str">
        <f t="shared" ca="1" si="424"/>
        <v>Ho99</v>
      </c>
      <c r="DF810" s="656" t="str">
        <f t="shared" ca="1" si="424"/>
        <v>Ho36</v>
      </c>
      <c r="DG810" s="656" t="str">
        <f t="shared" ca="1" si="424"/>
        <v>Ho</v>
      </c>
      <c r="DH810" s="656" t="str">
        <f t="shared" ca="1" si="424"/>
        <v>99</v>
      </c>
      <c r="DI810" s="656" t="str">
        <f t="shared" ca="1" si="424"/>
        <v>[Ho.xls]TEXT!Z99S5</v>
      </c>
      <c r="DJ810" s="656" t="str">
        <f t="shared" ca="1" si="424"/>
        <v>Ho</v>
      </c>
      <c r="DK810" s="656" t="str">
        <f t="shared" ca="1" si="424"/>
        <v>36</v>
      </c>
      <c r="DL810" s="656" t="str">
        <f t="shared" ca="1" si="424"/>
        <v>[Ho.xls]TEXT!Z36S5</v>
      </c>
      <c r="DM810" s="656">
        <f t="shared" ca="1" si="424"/>
        <v>61</v>
      </c>
      <c r="DN810" s="656" t="str">
        <f t="shared" ca="1" si="424"/>
        <v>[Region.xls]PARAMETER!Z235S6</v>
      </c>
      <c r="DO810" s="656" t="str">
        <f t="shared" ca="1" si="424"/>
        <v>[Region.xls]PARAMETER!Z236S6</v>
      </c>
      <c r="DP810" s="656"/>
      <c r="DS810" s="656"/>
      <c r="DV810" s="656"/>
      <c r="DW810" s="656"/>
      <c r="DX810" s="656"/>
      <c r="DY810" s="656"/>
      <c r="DZ810" s="656"/>
      <c r="EA810" s="656"/>
      <c r="EB810" s="656"/>
      <c r="EC810" s="656"/>
      <c r="ED810" s="656"/>
      <c r="EE810" s="656"/>
      <c r="EF810" s="656"/>
      <c r="EG810" s="656"/>
      <c r="EH810" s="656"/>
      <c r="EI810" s="656"/>
      <c r="EJ810" s="656"/>
      <c r="EK810" s="656"/>
      <c r="EV810" s="819">
        <f t="shared" si="415"/>
        <v>810</v>
      </c>
      <c r="EW810" s="819"/>
    </row>
    <row r="811" spans="1:153" s="656" customFormat="1" ht="16">
      <c r="A811" s="654" t="str">
        <f t="shared" ca="1" si="413"/>
        <v>D.1.811</v>
      </c>
      <c r="B811" s="654" t="str">
        <f t="shared" ca="1" si="414"/>
        <v>1.811</v>
      </c>
      <c r="C811" s="654" t="str">
        <f t="shared" si="417"/>
        <v>[811]</v>
      </c>
      <c r="D811" s="654">
        <f>ROW()</f>
        <v>811</v>
      </c>
      <c r="E811" s="1130" t="str">
        <f ca="1">CU811</f>
        <v>- STATUS-Ansatz: Gemäß Arbeitsgemeinschaft Energiebilanzen [9.28], Aufbereitung siehe [7.41].</v>
      </c>
      <c r="F811" s="1130"/>
      <c r="G811" s="1130"/>
      <c r="H811" s="1130"/>
      <c r="I811" s="1130"/>
      <c r="J811" s="1130"/>
      <c r="K811" s="1130"/>
      <c r="L811" s="1130"/>
      <c r="M811" s="1130"/>
      <c r="N811" s="1131"/>
      <c r="O811" s="869">
        <v>805</v>
      </c>
      <c r="P811" s="691" t="str">
        <f ca="1">HYPERLINK(EK811,EJ811)</f>
        <v>9.28</v>
      </c>
      <c r="Q811" s="646" t="str">
        <f ca="1">IF(Y811="&gt;",HYPERLINK(EO811,EN811),Y811)</f>
        <v>7.41</v>
      </c>
      <c r="R811" s="852"/>
      <c r="S811" s="784"/>
      <c r="T811" s="864"/>
      <c r="U811" s="1023" t="str">
        <f ca="1">"Gemäß Arbeitsgemeinschaft Energiebilanzen ["&amp;P811&amp;"], Aufbereitung siehe ["&amp;Q811&amp;"]."</f>
        <v>Gemäß Arbeitsgemeinschaft Energiebilanzen [9.28], Aufbereitung siehe [7.41].</v>
      </c>
      <c r="V811" s="905" t="s">
        <v>126</v>
      </c>
      <c r="W811" s="1095">
        <f>'7.VerbrauchStatus'!K41</f>
        <v>78.549796399783375</v>
      </c>
      <c r="X811" s="672">
        <f>'9.Quellen'!C$28</f>
        <v>28</v>
      </c>
      <c r="Y811" s="672" t="s">
        <v>479</v>
      </c>
      <c r="Z811" s="672">
        <f>'7.VerbrauchStatus'!D41</f>
        <v>41</v>
      </c>
      <c r="AA811" s="658"/>
      <c r="AB811" s="801"/>
      <c r="AC811" s="801"/>
      <c r="AD811" s="801"/>
      <c r="AE811" s="801"/>
      <c r="AF811" s="801"/>
      <c r="AG811" s="801"/>
      <c r="AH811" s="801"/>
      <c r="AI811" s="801"/>
      <c r="AJ811" s="801"/>
      <c r="AK811" s="801"/>
      <c r="AL811" s="801"/>
      <c r="AM811" s="801"/>
      <c r="AN811" s="801"/>
      <c r="AO811" s="801"/>
      <c r="AP811" s="801"/>
      <c r="AQ811" s="801"/>
      <c r="AR811" s="801"/>
      <c r="AS811" s="801"/>
      <c r="AT811" s="801"/>
      <c r="AU811" s="801"/>
      <c r="AV811" s="801"/>
      <c r="AY811" s="656">
        <f ca="1">AY810/AY$246%</f>
        <v>14.091645358575692</v>
      </c>
      <c r="BA811" s="656">
        <f ca="1">BA810/BA$246%</f>
        <v>100</v>
      </c>
      <c r="BF811" s="657"/>
      <c r="BI811" s="656" t="s">
        <v>126</v>
      </c>
      <c r="BJ811" s="666"/>
      <c r="BO811" s="656" t="s">
        <v>259</v>
      </c>
      <c r="CU811" s="663" t="str">
        <f ca="1">CG$1&amp;IF(U811="",BF811,U811)</f>
        <v>- STATUS-Ansatz: Gemäß Arbeitsgemeinschaft Energiebilanzen [9.28], Aufbereitung siehe [7.41].</v>
      </c>
      <c r="CW811" s="663"/>
      <c r="DT811" s="671">
        <f>I_Basisdaten!A301</f>
        <v>0</v>
      </c>
      <c r="EJ811" s="656" t="str">
        <f ca="1">IF(X811=0,"",EJ$1&amp;X811)</f>
        <v>9.28</v>
      </c>
      <c r="EK811" s="656" t="str">
        <f ca="1">EK$1&amp;X811</f>
        <v>[D_Python.xlsx]9.Quellen!C28</v>
      </c>
      <c r="EN811" s="656" t="str">
        <f ca="1">IF(Z811=0,"",EN$1&amp;Z811)</f>
        <v>7.41</v>
      </c>
      <c r="EO811" s="656" t="str">
        <f ca="1">EO$1&amp;Z811</f>
        <v>[D_Python.xlsx]7.VerbrauchStatus!D41</v>
      </c>
      <c r="EV811" s="819">
        <f t="shared" ca="1" si="415"/>
        <v>811</v>
      </c>
      <c r="EW811" s="819"/>
    </row>
    <row r="812" spans="1:153" s="661" customFormat="1" ht="4">
      <c r="A812" s="677" t="str">
        <f t="shared" ca="1" si="413"/>
        <v>D.1.812</v>
      </c>
      <c r="B812" s="677" t="str">
        <f t="shared" ca="1" si="414"/>
        <v>1.812</v>
      </c>
      <c r="C812" s="677" t="str">
        <f t="shared" si="417"/>
        <v>[812]</v>
      </c>
      <c r="D812" s="677">
        <f>ROW()</f>
        <v>812</v>
      </c>
      <c r="E812" s="680"/>
      <c r="F812" s="680"/>
      <c r="G812" s="680"/>
      <c r="H812" s="680"/>
      <c r="I812" s="679"/>
      <c r="J812" s="679"/>
      <c r="K812" s="679"/>
      <c r="L812" s="679"/>
      <c r="M812" s="679"/>
      <c r="N812" s="680"/>
      <c r="O812" s="871">
        <v>806</v>
      </c>
      <c r="P812" s="688"/>
      <c r="Q812" s="689"/>
      <c r="R812" s="888"/>
      <c r="S812" s="802"/>
      <c r="T812" s="882"/>
      <c r="W812" s="606"/>
      <c r="AB812" s="675"/>
      <c r="AC812" s="675"/>
      <c r="AD812" s="675"/>
      <c r="AE812" s="675"/>
      <c r="AF812" s="675"/>
      <c r="AG812" s="675"/>
      <c r="AH812" s="675"/>
      <c r="AI812" s="675"/>
      <c r="AJ812" s="675"/>
      <c r="AK812" s="675"/>
      <c r="AL812" s="675"/>
      <c r="AM812" s="675"/>
      <c r="AN812" s="675"/>
      <c r="AO812" s="675"/>
      <c r="AP812" s="675"/>
      <c r="AQ812" s="675"/>
      <c r="AR812" s="675"/>
      <c r="AS812" s="675"/>
      <c r="AT812" s="675"/>
      <c r="AU812" s="675"/>
      <c r="AV812" s="675"/>
      <c r="BI812" s="661" t="s">
        <v>126</v>
      </c>
      <c r="BJ812" s="665"/>
      <c r="CU812" s="662"/>
      <c r="CW812" s="662"/>
      <c r="EV812" s="818" t="str">
        <f t="shared" si="415"/>
        <v/>
      </c>
      <c r="EW812" s="818"/>
    </row>
    <row r="813" spans="1:153" s="656" customFormat="1" ht="65">
      <c r="A813" s="654" t="str">
        <f t="shared" ca="1" si="413"/>
        <v>D.1.813</v>
      </c>
      <c r="B813" s="654" t="str">
        <f t="shared" ca="1" si="414"/>
        <v>1.813</v>
      </c>
      <c r="C813" s="654" t="str">
        <f t="shared" si="417"/>
        <v>[813]</v>
      </c>
      <c r="D813" s="654">
        <f>ROW()</f>
        <v>813</v>
      </c>
      <c r="E813" s="1125" t="str">
        <f t="shared" ref="E813" si="425">CU813</f>
        <v>- ZIEL-Ansatz: Die Nutzung von Biomasse zur Substitution der fossilen Brennstoffe als heutige Hauptquelle für Gebäudewärme liegt zwar nahe. Allerdings sind die Potenziale eng begrenzt und sie stehen in Konkurrenz mit Anwendungen, bei denen eine Substitution aus anderen Quellen technisch noch ungünstiger wäre (z. B. Kraftstoffe oder Brennstoffe in Industrieprozessen). Hier wird daher in Anlehnung an Variante 1 in Treibhausgasneutrales Deutschland 2050 [814] auf den Einsatz von Brennstoffen für Gebäudewärme verzichtet.</v>
      </c>
      <c r="F813" s="1125"/>
      <c r="G813" s="1125"/>
      <c r="H813" s="1125"/>
      <c r="I813" s="1125"/>
      <c r="J813" s="1125"/>
      <c r="K813" s="1125"/>
      <c r="L813" s="1125"/>
      <c r="M813" s="1125"/>
      <c r="N813" s="1132"/>
      <c r="O813" s="869">
        <v>807</v>
      </c>
      <c r="P813" s="691" t="str">
        <f ca="1">HYPERLINK(EK813,EJ813)</f>
        <v/>
      </c>
      <c r="Q813" s="692" t="str">
        <f>Y813</f>
        <v xml:space="preserve"> </v>
      </c>
      <c r="R813" s="852"/>
      <c r="S813" s="784"/>
      <c r="T813" s="864"/>
      <c r="U813" s="1023" t="str">
        <f>"Die Nutzung von Biomasse zur Substitution der fossilen Brennstoffe als heutige Hauptquelle für Gebäudewärme liegt zwar nahe. "&amp;"Allerdings sind die Potenziale eng begrenzt und sie stehen in Konkurrenz mit Anwendungen, bei denen eine Substitution aus anderen Quellen technisch noch ungünstiger wäre (z. B. Kraftstoffe oder Brennstoffe in Industrieprozessen). "&amp;"Hier wird daher in Anlehnung an Variante 1 in Treibhausgasneutrales Deutschland 2050 "&amp;C814&amp;" auf den Einsatz von Brennstoffen für Gebäudewärme verzichtet."</f>
        <v>Die Nutzung von Biomasse zur Substitution der fossilen Brennstoffe als heutige Hauptquelle für Gebäudewärme liegt zwar nahe. Allerdings sind die Potenziale eng begrenzt und sie stehen in Konkurrenz mit Anwendungen, bei denen eine Substitution aus anderen Quellen technisch noch ungünstiger wäre (z. B. Kraftstoffe oder Brennstoffe in Industrieprozessen). Hier wird daher in Anlehnung an Variante 1 in Treibhausgasneutrales Deutschland 2050 [814] auf den Einsatz von Brennstoffen für Gebäudewärme verzichtet.</v>
      </c>
      <c r="V813" s="905" t="s">
        <v>126</v>
      </c>
      <c r="W813" s="1095">
        <v>0</v>
      </c>
      <c r="X813" s="672"/>
      <c r="Y813" s="672" t="s">
        <v>126</v>
      </c>
      <c r="Z813" s="1025"/>
      <c r="AA813" s="905"/>
      <c r="AB813" s="801"/>
      <c r="AC813" s="801"/>
      <c r="AD813" s="801"/>
      <c r="AE813" s="801"/>
      <c r="AF813" s="801"/>
      <c r="AG813" s="801"/>
      <c r="AH813" s="801"/>
      <c r="AI813" s="801"/>
      <c r="AJ813" s="801"/>
      <c r="AK813" s="801"/>
      <c r="AL813" s="801"/>
      <c r="AM813" s="801"/>
      <c r="AN813" s="801"/>
      <c r="AO813" s="801"/>
      <c r="AP813" s="801"/>
      <c r="AQ813" s="801"/>
      <c r="AR813" s="801"/>
      <c r="AS813" s="801"/>
      <c r="AT813" s="801"/>
      <c r="AU813" s="801"/>
      <c r="AV813" s="801"/>
      <c r="BF813" s="657"/>
      <c r="BI813" s="656" t="s">
        <v>126</v>
      </c>
      <c r="BJ813" s="666"/>
      <c r="BO813" s="656" t="s">
        <v>259</v>
      </c>
      <c r="CU813" s="663" t="str">
        <f>CH$1&amp;IF(U813="",BF813,U813)</f>
        <v>- ZIEL-Ansatz: Die Nutzung von Biomasse zur Substitution der fossilen Brennstoffe als heutige Hauptquelle für Gebäudewärme liegt zwar nahe. Allerdings sind die Potenziale eng begrenzt und sie stehen in Konkurrenz mit Anwendungen, bei denen eine Substitution aus anderen Quellen technisch noch ungünstiger wäre (z. B. Kraftstoffe oder Brennstoffe in Industrieprozessen). Hier wird daher in Anlehnung an Variante 1 in Treibhausgasneutrales Deutschland 2050 [814] auf den Einsatz von Brennstoffen für Gebäudewärme verzichtet.</v>
      </c>
      <c r="CW813" s="663"/>
      <c r="DT813" s="671">
        <v>53</v>
      </c>
      <c r="EJ813" s="656" t="str">
        <f>IF(X813=0,"",EJ$1&amp;X813)</f>
        <v/>
      </c>
      <c r="EK813" s="656" t="str">
        <f ca="1">EK$1&amp;X813</f>
        <v>[D_Python.xlsx]9.Quellen!C</v>
      </c>
      <c r="EV813" s="819">
        <f t="shared" si="415"/>
        <v>813</v>
      </c>
      <c r="EW813" s="819"/>
    </row>
    <row r="814" spans="1:153" s="656" customFormat="1" ht="52">
      <c r="A814" s="654" t="str">
        <f t="shared" ca="1" si="413"/>
        <v>D.1.814</v>
      </c>
      <c r="B814" s="654" t="str">
        <f t="shared" ca="1" si="414"/>
        <v>1.814</v>
      </c>
      <c r="C814" s="654" t="str">
        <f t="shared" si="417"/>
        <v>[814]</v>
      </c>
      <c r="D814" s="654">
        <f>ROW()</f>
        <v>814</v>
      </c>
      <c r="E814" s="1125" t="str">
        <f ca="1">CU814</f>
        <v>UBA Treibhausgasneutrales Deutschland 2050 [9.249], S. 77: EIn Variantenvergleich zur Beheizung der Wohngebäude ergibt für die ausschließliche Anwendung von Wärmepumpen (V1 Energieziel 2050) einen Energieverbrauch von 27,3 TWh, bei Gasheizkesseln in den sanierten Gebäuden (V3) mit 63,5 TWh mehr als das Doppelte.</v>
      </c>
      <c r="F814" s="1125"/>
      <c r="G814" s="1125"/>
      <c r="H814" s="1125"/>
      <c r="I814" s="1125"/>
      <c r="J814" s="1125"/>
      <c r="K814" s="1125"/>
      <c r="L814" s="1125"/>
      <c r="M814" s="1125"/>
      <c r="N814" s="1132"/>
      <c r="O814" s="869">
        <v>808</v>
      </c>
      <c r="P814" s="691" t="str">
        <f t="shared" ref="P814" ca="1" si="426">HYPERLINK(EK814,EJ814)</f>
        <v>9.249</v>
      </c>
      <c r="Q814" s="692" t="str">
        <f t="shared" ref="Q814" si="427">Y814</f>
        <v>S. 77</v>
      </c>
      <c r="R814" s="852"/>
      <c r="S814" s="784"/>
      <c r="T814" s="864"/>
      <c r="U814" s="1023" t="str">
        <f ca="1">"UBA Treibhausgasneutrales Deutschland 2050 ["&amp;P814&amp;"], "&amp;Q814&amp;": EIn Variantenvergleich zur Beheizung der Wohngebäude ergibt für die ausschließliche Anwendung von Wärmepumpen (V1 Energieziel 2050) einen Energieverbrauch von 27,3 TWh, "&amp;"bei Gasheizkesseln in den sanierten Gebäuden (V3) mit 63,5 TWh mehr als das Doppelte."</f>
        <v>UBA Treibhausgasneutrales Deutschland 2050 [9.249], S. 77: EIn Variantenvergleich zur Beheizung der Wohngebäude ergibt für die ausschließliche Anwendung von Wärmepumpen (V1 Energieziel 2050) einen Energieverbrauch von 27,3 TWh, bei Gasheizkesseln in den sanierten Gebäuden (V3) mit 63,5 TWh mehr als das Doppelte.</v>
      </c>
      <c r="V814" s="905" t="s">
        <v>126</v>
      </c>
      <c r="W814" s="1025"/>
      <c r="X814" s="672">
        <f>'9.Quellen'!C$249</f>
        <v>249</v>
      </c>
      <c r="Y814" s="672" t="s">
        <v>355</v>
      </c>
      <c r="Z814" s="1025"/>
      <c r="AA814" s="905"/>
      <c r="AB814" s="801"/>
      <c r="AC814" s="801"/>
      <c r="AD814" s="801"/>
      <c r="AE814" s="801"/>
      <c r="AF814" s="801"/>
      <c r="AG814" s="801"/>
      <c r="AH814" s="801"/>
      <c r="AI814" s="801"/>
      <c r="AJ814" s="801"/>
      <c r="AK814" s="801"/>
      <c r="AL814" s="801"/>
      <c r="AM814" s="801"/>
      <c r="AN814" s="801"/>
      <c r="AO814" s="801"/>
      <c r="AP814" s="801"/>
      <c r="AQ814" s="801"/>
      <c r="AR814" s="801"/>
      <c r="AS814" s="801"/>
      <c r="AT814" s="801"/>
      <c r="AU814" s="801"/>
      <c r="AV814" s="801"/>
      <c r="BF814" s="657"/>
      <c r="BI814" s="656" t="s">
        <v>126</v>
      </c>
      <c r="BJ814" s="666"/>
      <c r="BO814" s="656" t="s">
        <v>252</v>
      </c>
      <c r="CU814" s="663" t="str">
        <f ca="1">IF(U814="",BF814,U814)</f>
        <v>UBA Treibhausgasneutrales Deutschland 2050 [9.249], S. 77: EIn Variantenvergleich zur Beheizung der Wohngebäude ergibt für die ausschließliche Anwendung von Wärmepumpen (V1 Energieziel 2050) einen Energieverbrauch von 27,3 TWh, bei Gasheizkesseln in den sanierten Gebäuden (V3) mit 63,5 TWh mehr als das Doppelte.</v>
      </c>
      <c r="CW814" s="663"/>
      <c r="DT814" s="671"/>
      <c r="EJ814" s="656" t="str">
        <f ca="1">IF(X814=0,"",EJ$1&amp;X814)</f>
        <v>9.249</v>
      </c>
      <c r="EK814" s="656" t="str">
        <f ca="1">EK$1&amp;X814</f>
        <v>[D_Python.xlsx]9.Quellen!C249</v>
      </c>
      <c r="EV814" s="819">
        <f t="shared" ca="1" si="415"/>
        <v>814</v>
      </c>
      <c r="EW814" s="819"/>
    </row>
    <row r="815" spans="1:153" s="661" customFormat="1" ht="4">
      <c r="A815" s="677" t="str">
        <f t="shared" ca="1" si="413"/>
        <v>D.1.815</v>
      </c>
      <c r="B815" s="677" t="str">
        <f t="shared" ca="1" si="414"/>
        <v>1.815</v>
      </c>
      <c r="C815" s="677" t="str">
        <f t="shared" si="417"/>
        <v>[815]</v>
      </c>
      <c r="D815" s="677">
        <f>ROW()</f>
        <v>815</v>
      </c>
      <c r="E815" s="685"/>
      <c r="F815" s="685"/>
      <c r="G815" s="685"/>
      <c r="H815" s="685"/>
      <c r="I815" s="686"/>
      <c r="J815" s="686"/>
      <c r="K815" s="686"/>
      <c r="L815" s="686"/>
      <c r="M815" s="686"/>
      <c r="N815" s="685"/>
      <c r="O815" s="871">
        <v>809</v>
      </c>
      <c r="P815" s="693"/>
      <c r="Q815" s="694"/>
      <c r="R815" s="888"/>
      <c r="S815" s="802"/>
      <c r="T815" s="882"/>
      <c r="AB815" s="675"/>
      <c r="AC815" s="675"/>
      <c r="AD815" s="675"/>
      <c r="AE815" s="675"/>
      <c r="AF815" s="675"/>
      <c r="AG815" s="675"/>
      <c r="AH815" s="675"/>
      <c r="AI815" s="675"/>
      <c r="AJ815" s="675"/>
      <c r="AK815" s="675"/>
      <c r="AL815" s="675"/>
      <c r="AM815" s="675"/>
      <c r="AN815" s="675"/>
      <c r="AO815" s="675"/>
      <c r="AP815" s="675"/>
      <c r="AQ815" s="675"/>
      <c r="AR815" s="675"/>
      <c r="AS815" s="675"/>
      <c r="AT815" s="675"/>
      <c r="AU815" s="675"/>
      <c r="AV815" s="675"/>
      <c r="AZ815" s="669"/>
      <c r="BB815" s="669"/>
      <c r="BI815" s="661" t="s">
        <v>126</v>
      </c>
      <c r="BJ815" s="665"/>
      <c r="CU815" s="662"/>
      <c r="CW815" s="662"/>
      <c r="EV815" s="818" t="str">
        <f t="shared" si="415"/>
        <v/>
      </c>
      <c r="EW815" s="818"/>
    </row>
    <row r="816" spans="1:153" s="658" customFormat="1" ht="13.5" customHeight="1">
      <c r="A816" s="654" t="str">
        <f t="shared" ca="1" si="413"/>
        <v>D.1.816</v>
      </c>
      <c r="B816" s="654" t="str">
        <f t="shared" ca="1" si="414"/>
        <v>1.816</v>
      </c>
      <c r="C816" s="654" t="str">
        <f t="shared" si="417"/>
        <v>[816]</v>
      </c>
      <c r="D816" s="654">
        <f>ROW()</f>
        <v>816</v>
      </c>
      <c r="E816" s="1129" t="str">
        <f>BP816</f>
        <v>Nutzungsgrad Endanwend. Brennstoffe für GW</v>
      </c>
      <c r="F816" s="1129"/>
      <c r="G816" s="1129"/>
      <c r="H816" s="1129"/>
      <c r="I816" s="1129"/>
      <c r="J816" s="655" t="s">
        <v>38</v>
      </c>
      <c r="K816" s="605">
        <f ca="1">INDIRECT($W$1&amp;U816)</f>
        <v>80</v>
      </c>
      <c r="L816" s="697" t="str">
        <f ca="1">HYPERLINK($CK$1&amp;U816,$CE$1&amp;U816&amp;$CF$1)</f>
        <v>[817]</v>
      </c>
      <c r="M816" s="683">
        <f ca="1">INDIRECT($W$1&amp;W816)</f>
        <v>85</v>
      </c>
      <c r="N816" s="681" t="str">
        <f ca="1">HYPERLINK($CK$1&amp;W816,$CE$1&amp;W816&amp;$CF$1)</f>
        <v>[819]</v>
      </c>
      <c r="O816" s="869">
        <v>810</v>
      </c>
      <c r="P816" s="690"/>
      <c r="Q816" s="695"/>
      <c r="R816" s="852"/>
      <c r="S816" s="784"/>
      <c r="T816" s="864"/>
      <c r="U816" s="672">
        <f>D817</f>
        <v>817</v>
      </c>
      <c r="V816" s="905" t="s">
        <v>126</v>
      </c>
      <c r="W816" s="672">
        <f>D819</f>
        <v>819</v>
      </c>
      <c r="AB816" s="801"/>
      <c r="AC816" s="801"/>
      <c r="AD816" s="674"/>
      <c r="AE816" s="674"/>
      <c r="AF816" s="674"/>
      <c r="AG816" s="674"/>
      <c r="AH816" s="674"/>
      <c r="AI816" s="674"/>
      <c r="AJ816" s="674"/>
      <c r="AK816" s="674"/>
      <c r="AL816" s="674"/>
      <c r="AM816" s="674"/>
      <c r="AN816" s="674"/>
      <c r="AO816" s="674"/>
      <c r="AP816" s="674"/>
      <c r="AQ816" s="674"/>
      <c r="AR816" s="674"/>
      <c r="AS816" s="674"/>
      <c r="AT816" s="674"/>
      <c r="AU816" s="674"/>
      <c r="AV816" s="674"/>
      <c r="AX816" s="658" t="s">
        <v>244</v>
      </c>
      <c r="AY816" s="668">
        <f ca="1">DA816</f>
        <v>10.254559182513647</v>
      </c>
      <c r="AZ816" s="670" t="str">
        <f ca="1">HYPERLINK(DN816,DC816)</f>
        <v xml:space="preserve"> 235</v>
      </c>
      <c r="BA816" s="668">
        <f ca="1">DB816</f>
        <v>35</v>
      </c>
      <c r="BB816" s="670" t="str">
        <f ca="1">HYPERLINK(DO816,DD816)</f>
        <v xml:space="preserve"> 236</v>
      </c>
      <c r="BC816" s="658" t="str">
        <f ca="1">CY816&amp;" | "&amp;CZ816</f>
        <v>Brennstoffgew.
für Prozesse | 0</v>
      </c>
      <c r="BI816" s="658" t="s">
        <v>126</v>
      </c>
      <c r="BJ816" s="667" t="str">
        <f>E816</f>
        <v>Nutzungsgrad Endanwend. Brennstoffe für GW</v>
      </c>
      <c r="BK816" s="664">
        <f ca="1">K816</f>
        <v>80</v>
      </c>
      <c r="BL816" s="664">
        <f ca="1">M816</f>
        <v>85</v>
      </c>
      <c r="BM816" s="656">
        <f>D816</f>
        <v>816</v>
      </c>
      <c r="BO816" s="658" t="s">
        <v>251</v>
      </c>
      <c r="BP816" s="676" t="s">
        <v>687</v>
      </c>
      <c r="CU816" s="659"/>
      <c r="CW816" s="671">
        <v>61</v>
      </c>
      <c r="CY816" s="656" t="str">
        <f t="shared" ref="CY816:DO816" ca="1" si="428">INDIRECT($CX$1&amp;CY$1&amp;$CW816)</f>
        <v>Brennstoffgew.
für Prozesse</v>
      </c>
      <c r="CZ816" s="656">
        <f t="shared" ca="1" si="428"/>
        <v>0</v>
      </c>
      <c r="DA816" s="656">
        <f t="shared" ca="1" si="428"/>
        <v>10.254559182513647</v>
      </c>
      <c r="DB816" s="656">
        <f t="shared" ca="1" si="428"/>
        <v>35</v>
      </c>
      <c r="DC816" s="656" t="str">
        <f t="shared" ca="1" si="428"/>
        <v xml:space="preserve"> 235</v>
      </c>
      <c r="DD816" s="656" t="str">
        <f t="shared" ca="1" si="428"/>
        <v xml:space="preserve"> 236</v>
      </c>
      <c r="DE816" s="656" t="str">
        <f t="shared" ca="1" si="428"/>
        <v>Ho99</v>
      </c>
      <c r="DF816" s="656" t="str">
        <f t="shared" ca="1" si="428"/>
        <v>Ho36</v>
      </c>
      <c r="DG816" s="656" t="str">
        <f t="shared" ca="1" si="428"/>
        <v>Ho</v>
      </c>
      <c r="DH816" s="656" t="str">
        <f t="shared" ca="1" si="428"/>
        <v>99</v>
      </c>
      <c r="DI816" s="656" t="str">
        <f t="shared" ca="1" si="428"/>
        <v>[Ho.xls]TEXT!Z99S5</v>
      </c>
      <c r="DJ816" s="656" t="str">
        <f t="shared" ca="1" si="428"/>
        <v>Ho</v>
      </c>
      <c r="DK816" s="656" t="str">
        <f t="shared" ca="1" si="428"/>
        <v>36</v>
      </c>
      <c r="DL816" s="656" t="str">
        <f t="shared" ca="1" si="428"/>
        <v>[Ho.xls]TEXT!Z36S5</v>
      </c>
      <c r="DM816" s="656">
        <f t="shared" ca="1" si="428"/>
        <v>61</v>
      </c>
      <c r="DN816" s="656" t="str">
        <f t="shared" ca="1" si="428"/>
        <v>[Region.xls]PARAMETER!Z235S6</v>
      </c>
      <c r="DO816" s="656" t="str">
        <f t="shared" ca="1" si="428"/>
        <v>[Region.xls]PARAMETER!Z236S6</v>
      </c>
      <c r="DP816" s="656"/>
      <c r="DS816" s="656"/>
      <c r="DV816" s="656"/>
      <c r="DW816" s="656"/>
      <c r="DX816" s="656"/>
      <c r="DY816" s="656"/>
      <c r="DZ816" s="656"/>
      <c r="EA816" s="656"/>
      <c r="EB816" s="656"/>
      <c r="EC816" s="656"/>
      <c r="ED816" s="656"/>
      <c r="EE816" s="656"/>
      <c r="EF816" s="656"/>
      <c r="EG816" s="656"/>
      <c r="EH816" s="656"/>
      <c r="EI816" s="656"/>
      <c r="EJ816" s="656"/>
      <c r="EK816" s="656"/>
      <c r="EV816" s="819">
        <f t="shared" si="415"/>
        <v>816</v>
      </c>
      <c r="EW816" s="819"/>
    </row>
    <row r="817" spans="1:153" s="656" customFormat="1" ht="65">
      <c r="A817" s="654" t="str">
        <f t="shared" ca="1" si="413"/>
        <v>D.1.817</v>
      </c>
      <c r="B817" s="654" t="str">
        <f t="shared" ca="1" si="414"/>
        <v>1.817</v>
      </c>
      <c r="C817" s="654" t="str">
        <f t="shared" si="417"/>
        <v>[817]</v>
      </c>
      <c r="D817" s="654">
        <f>ROW()</f>
        <v>817</v>
      </c>
      <c r="E817" s="1133" t="str">
        <f>CU817</f>
        <v>- STATUS-Ansatz: Schätzwert für den durchschnittlichen Nutzungsgrad aller mit Brennstoff befeuerten Industrieöfen und gewerblichen Verbrennungsprozesse (Nutzenergie / Heizwert). Dient dazu, reduzierte Wandlungsverluste und damit die Bedarfsminderung bei der Endenergie für Prozesswärme zu ermitteln, die durch Effizienzgewinne und durch Verschiebung des Energiemix auf die verlustarm zu nutzenden Energieträger Strom und Wärme zu erreichen ist.</v>
      </c>
      <c r="F817" s="1133"/>
      <c r="G817" s="1133"/>
      <c r="H817" s="1133"/>
      <c r="I817" s="1133"/>
      <c r="J817" s="1133"/>
      <c r="K817" s="1133"/>
      <c r="L817" s="1133"/>
      <c r="M817" s="1133"/>
      <c r="N817" s="1134"/>
      <c r="O817" s="869">
        <v>811</v>
      </c>
      <c r="P817" s="691" t="str">
        <f ca="1">HYPERLINK(EK817,EJ817)</f>
        <v/>
      </c>
      <c r="Q817" s="833" t="str">
        <f>Y817</f>
        <v xml:space="preserve"> </v>
      </c>
      <c r="R817" s="852"/>
      <c r="S817" s="784" t="s">
        <v>909</v>
      </c>
      <c r="T817" s="864"/>
      <c r="U817" s="1023" t="s">
        <v>481</v>
      </c>
      <c r="V817" s="905" t="s">
        <v>126</v>
      </c>
      <c r="W817" s="1095">
        <v>80</v>
      </c>
      <c r="X817" s="672"/>
      <c r="Y817" s="672" t="s">
        <v>126</v>
      </c>
      <c r="Z817" s="1025"/>
      <c r="AA817" s="658"/>
      <c r="AB817" s="801"/>
      <c r="AC817" s="801"/>
      <c r="AD817" s="801"/>
      <c r="AE817" s="801"/>
      <c r="AF817" s="801"/>
      <c r="AG817" s="801"/>
      <c r="AH817" s="801"/>
      <c r="AI817" s="801"/>
      <c r="AJ817" s="801"/>
      <c r="AK817" s="801"/>
      <c r="AL817" s="801"/>
      <c r="AM817" s="801"/>
      <c r="AN817" s="801"/>
      <c r="AO817" s="801"/>
      <c r="AP817" s="801"/>
      <c r="AQ817" s="801"/>
      <c r="AR817" s="801"/>
      <c r="AS817" s="801"/>
      <c r="AT817" s="801"/>
      <c r="AU817" s="801"/>
      <c r="AV817" s="801"/>
      <c r="AY817" s="656">
        <f ca="1">AY816/AY$246%</f>
        <v>14.091645358575692</v>
      </c>
      <c r="BA817" s="656">
        <f ca="1">BA816/BA$246%</f>
        <v>100</v>
      </c>
      <c r="BF817" s="657"/>
      <c r="BI817" s="656" t="s">
        <v>126</v>
      </c>
      <c r="BJ817" s="666"/>
      <c r="BO817" s="656" t="s">
        <v>259</v>
      </c>
      <c r="CU817" s="663" t="str">
        <f>CG$1&amp;IF(U817="",BF817,U817)</f>
        <v>- STATUS-Ansatz: Schätzwert für den durchschnittlichen Nutzungsgrad aller mit Brennstoff befeuerten Industrieöfen und gewerblichen Verbrennungsprozesse (Nutzenergie / Heizwert). Dient dazu, reduzierte Wandlungsverluste und damit die Bedarfsminderung bei der Endenergie für Prozesswärme zu ermitteln, die durch Effizienzgewinne und durch Verschiebung des Energiemix auf die verlustarm zu nutzenden Energieträger Strom und Wärme zu erreichen ist.</v>
      </c>
      <c r="CW817" s="663"/>
      <c r="DT817" s="671">
        <f>I_Basisdaten!A305</f>
        <v>0</v>
      </c>
      <c r="EJ817" s="656" t="str">
        <f>IF(X817=0,"",EJ$1&amp;X817)</f>
        <v/>
      </c>
      <c r="EK817" s="656" t="str">
        <f ca="1">EK$1&amp;X817</f>
        <v>[D_Python.xlsx]9.Quellen!C</v>
      </c>
      <c r="EV817" s="819">
        <f t="shared" si="415"/>
        <v>817</v>
      </c>
      <c r="EW817" s="819"/>
    </row>
    <row r="818" spans="1:153" s="661" customFormat="1" ht="4">
      <c r="A818" s="677" t="str">
        <f t="shared" ca="1" si="413"/>
        <v>D.1.818</v>
      </c>
      <c r="B818" s="677" t="str">
        <f t="shared" ca="1" si="414"/>
        <v>1.818</v>
      </c>
      <c r="C818" s="677" t="str">
        <f t="shared" si="417"/>
        <v>[818]</v>
      </c>
      <c r="D818" s="677">
        <f>ROW()</f>
        <v>818</v>
      </c>
      <c r="E818" s="680"/>
      <c r="F818" s="680"/>
      <c r="G818" s="680"/>
      <c r="H818" s="680"/>
      <c r="I818" s="679"/>
      <c r="J818" s="679"/>
      <c r="K818" s="679"/>
      <c r="L818" s="679"/>
      <c r="M818" s="679"/>
      <c r="N818" s="680"/>
      <c r="O818" s="871">
        <v>812</v>
      </c>
      <c r="P818" s="688"/>
      <c r="Q818" s="689"/>
      <c r="R818" s="888"/>
      <c r="S818" s="802"/>
      <c r="T818" s="882"/>
      <c r="W818" s="606"/>
      <c r="AB818" s="675"/>
      <c r="AC818" s="675"/>
      <c r="AD818" s="675"/>
      <c r="AE818" s="675"/>
      <c r="AF818" s="675"/>
      <c r="AG818" s="675"/>
      <c r="AH818" s="675"/>
      <c r="AI818" s="675"/>
      <c r="AJ818" s="675"/>
      <c r="AK818" s="675"/>
      <c r="AL818" s="675"/>
      <c r="AM818" s="675"/>
      <c r="AN818" s="675"/>
      <c r="AO818" s="675"/>
      <c r="AP818" s="675"/>
      <c r="AQ818" s="675"/>
      <c r="AR818" s="675"/>
      <c r="AS818" s="675"/>
      <c r="AT818" s="675"/>
      <c r="AU818" s="675"/>
      <c r="AV818" s="675"/>
      <c r="BI818" s="661" t="s">
        <v>126</v>
      </c>
      <c r="BJ818" s="665"/>
      <c r="CU818" s="662"/>
      <c r="CW818" s="662"/>
      <c r="EV818" s="818" t="str">
        <f t="shared" si="415"/>
        <v/>
      </c>
      <c r="EW818" s="818"/>
    </row>
    <row r="819" spans="1:153" s="656" customFormat="1" ht="26">
      <c r="A819" s="654" t="str">
        <f t="shared" ca="1" si="413"/>
        <v>D.1.819</v>
      </c>
      <c r="B819" s="654" t="str">
        <f t="shared" ca="1" si="414"/>
        <v>1.819</v>
      </c>
      <c r="C819" s="654" t="str">
        <f t="shared" si="417"/>
        <v>[819]</v>
      </c>
      <c r="D819" s="654">
        <f>ROW()</f>
        <v>819</v>
      </c>
      <c r="E819" s="1125" t="str">
        <f t="shared" ref="E819" si="429">CU819</f>
        <v xml:space="preserve">- ZIEL-Ansatz: Annahme einer leichten Verbesserung durch Effizienzsteigerung bei Heizungskesseln und Öfen, der durch hohe Temperaturen und unvermeidliche Rauchgas-Verluste allerdings enge technische Grenzen gesetzt sind. </v>
      </c>
      <c r="F819" s="1125"/>
      <c r="G819" s="1125"/>
      <c r="H819" s="1125"/>
      <c r="I819" s="1125"/>
      <c r="J819" s="1125"/>
      <c r="K819" s="1125"/>
      <c r="L819" s="1125"/>
      <c r="M819" s="1125"/>
      <c r="N819" s="1132"/>
      <c r="O819" s="869">
        <v>813</v>
      </c>
      <c r="P819" s="691" t="str">
        <f ca="1">HYPERLINK(EK819,EJ819)</f>
        <v/>
      </c>
      <c r="Q819" s="833" t="str">
        <f>Y819</f>
        <v xml:space="preserve"> </v>
      </c>
      <c r="R819" s="852"/>
      <c r="S819" s="784"/>
      <c r="T819" s="864"/>
      <c r="U819" s="1023" t="s">
        <v>784</v>
      </c>
      <c r="V819" s="905" t="s">
        <v>126</v>
      </c>
      <c r="W819" s="1095">
        <v>85</v>
      </c>
      <c r="X819" s="672"/>
      <c r="Y819" s="672" t="s">
        <v>126</v>
      </c>
      <c r="Z819" s="1025"/>
      <c r="AA819" s="905"/>
      <c r="AB819" s="801"/>
      <c r="AC819" s="801"/>
      <c r="AD819" s="801"/>
      <c r="AE819" s="801"/>
      <c r="AF819" s="801"/>
      <c r="AG819" s="801"/>
      <c r="AH819" s="801"/>
      <c r="AI819" s="801"/>
      <c r="AJ819" s="801"/>
      <c r="AK819" s="801"/>
      <c r="AL819" s="801"/>
      <c r="AM819" s="801"/>
      <c r="AN819" s="801"/>
      <c r="AO819" s="801"/>
      <c r="AP819" s="801"/>
      <c r="AQ819" s="801"/>
      <c r="AR819" s="801"/>
      <c r="AS819" s="801"/>
      <c r="AT819" s="801"/>
      <c r="AU819" s="801"/>
      <c r="AV819" s="801"/>
      <c r="BF819" s="657"/>
      <c r="BI819" s="656" t="s">
        <v>126</v>
      </c>
      <c r="BJ819" s="666"/>
      <c r="BO819" s="656" t="s">
        <v>259</v>
      </c>
      <c r="CU819" s="663" t="str">
        <f>CH$1&amp;IF(U819="",BF819,U819)</f>
        <v xml:space="preserve">- ZIEL-Ansatz: Annahme einer leichten Verbesserung durch Effizienzsteigerung bei Heizungskesseln und Öfen, der durch hohe Temperaturen und unvermeidliche Rauchgas-Verluste allerdings enge technische Grenzen gesetzt sind. </v>
      </c>
      <c r="CW819" s="663"/>
      <c r="DT819" s="671">
        <v>53</v>
      </c>
      <c r="EJ819" s="656" t="str">
        <f>IF(X819=0,"",EJ$1&amp;X819)</f>
        <v/>
      </c>
      <c r="EK819" s="656" t="str">
        <f ca="1">EK$1&amp;X819</f>
        <v>[D_Python.xlsx]9.Quellen!C</v>
      </c>
      <c r="EV819" s="819">
        <f t="shared" si="415"/>
        <v>819</v>
      </c>
      <c r="EW819" s="819"/>
    </row>
    <row r="820" spans="1:153" s="478" customFormat="1" ht="4">
      <c r="A820" s="677" t="str">
        <f t="shared" ca="1" si="413"/>
        <v>D.1.820</v>
      </c>
      <c r="B820" s="677" t="str">
        <f t="shared" ca="1" si="414"/>
        <v>1.820</v>
      </c>
      <c r="C820" s="677" t="str">
        <f t="shared" si="417"/>
        <v>[820]</v>
      </c>
      <c r="D820" s="677">
        <f>ROW()</f>
        <v>820</v>
      </c>
      <c r="E820" s="528"/>
      <c r="F820" s="528"/>
      <c r="G820" s="528"/>
      <c r="H820" s="528"/>
      <c r="I820" s="527"/>
      <c r="J820" s="527"/>
      <c r="K820" s="527"/>
      <c r="L820" s="527"/>
      <c r="M820" s="527"/>
      <c r="N820" s="528"/>
      <c r="O820" s="871">
        <v>814</v>
      </c>
      <c r="P820" s="566"/>
      <c r="Q820" s="567"/>
      <c r="R820" s="888"/>
      <c r="S820" s="802"/>
      <c r="T820" s="882"/>
      <c r="U820" s="661"/>
      <c r="V820" s="661"/>
      <c r="W820" s="661"/>
      <c r="X820" s="661"/>
      <c r="Y820" s="661"/>
      <c r="Z820" s="661"/>
      <c r="AA820" s="661"/>
      <c r="AB820" s="675"/>
      <c r="AC820" s="675"/>
      <c r="AD820" s="675"/>
      <c r="AE820" s="675"/>
      <c r="AF820" s="675"/>
      <c r="AG820" s="675"/>
      <c r="AH820" s="675"/>
      <c r="AI820" s="675"/>
      <c r="AJ820" s="675"/>
      <c r="AK820" s="675"/>
      <c r="AL820" s="675"/>
      <c r="AM820" s="675"/>
      <c r="AN820" s="675"/>
      <c r="AO820" s="675"/>
      <c r="AP820" s="675"/>
      <c r="AQ820" s="675"/>
      <c r="AR820" s="675"/>
      <c r="AS820" s="675"/>
      <c r="AT820" s="675"/>
      <c r="AU820" s="675"/>
      <c r="AV820" s="675"/>
      <c r="BI820" s="478" t="s">
        <v>126</v>
      </c>
      <c r="BJ820" s="489"/>
      <c r="BN820" s="661"/>
      <c r="CU820" s="479"/>
      <c r="CV820" s="661"/>
      <c r="CW820" s="479"/>
      <c r="DS820" s="661"/>
      <c r="EV820" s="818" t="str">
        <f t="shared" si="415"/>
        <v/>
      </c>
      <c r="EW820" s="818"/>
    </row>
    <row r="821" spans="1:153" s="472" customFormat="1" ht="13">
      <c r="A821" s="654" t="str">
        <f t="shared" ca="1" si="413"/>
        <v>D.1.821</v>
      </c>
      <c r="B821" s="654" t="str">
        <f t="shared" ca="1" si="414"/>
        <v>1.821</v>
      </c>
      <c r="C821" s="654" t="str">
        <f t="shared" si="417"/>
        <v>[821]</v>
      </c>
      <c r="D821" s="654">
        <f>ROW()</f>
        <v>821</v>
      </c>
      <c r="E821" s="481" t="str">
        <f>BP821</f>
        <v>Prozesswärme-Endenergieverbrauch (PW)</v>
      </c>
      <c r="F821" s="482"/>
      <c r="G821" s="482"/>
      <c r="H821" s="482"/>
      <c r="I821" s="483"/>
      <c r="J821" s="484"/>
      <c r="K821" s="484"/>
      <c r="L821" s="484"/>
      <c r="M821" s="484"/>
      <c r="N821" s="532"/>
      <c r="O821" s="869">
        <v>815</v>
      </c>
      <c r="P821" s="568"/>
      <c r="Q821" s="569"/>
      <c r="R821" s="852"/>
      <c r="S821" s="804"/>
      <c r="T821" s="864"/>
      <c r="U821" s="905"/>
      <c r="V821" s="905"/>
      <c r="W821" s="905"/>
      <c r="X821" s="905"/>
      <c r="Y821" s="905"/>
      <c r="Z821" s="905"/>
      <c r="AA821" s="905"/>
      <c r="AB821" s="801"/>
      <c r="AC821" s="801"/>
      <c r="AD821" s="801"/>
      <c r="AE821" s="801"/>
      <c r="AF821" s="801"/>
      <c r="AG821" s="801"/>
      <c r="AH821" s="801"/>
      <c r="AI821" s="801"/>
      <c r="AJ821" s="801"/>
      <c r="AK821" s="801"/>
      <c r="AL821" s="801"/>
      <c r="AM821" s="801"/>
      <c r="AN821" s="801"/>
      <c r="AO821" s="801"/>
      <c r="AP821" s="801"/>
      <c r="AQ821" s="801"/>
      <c r="AR821" s="801"/>
      <c r="AS821" s="801"/>
      <c r="AT821" s="801"/>
      <c r="AU821" s="801"/>
      <c r="AV821" s="801"/>
      <c r="AZ821" s="504"/>
      <c r="BB821" s="506"/>
      <c r="BI821" s="472" t="s">
        <v>126</v>
      </c>
      <c r="BJ821" s="490"/>
      <c r="BN821" s="656"/>
      <c r="BO821" s="472" t="s">
        <v>250</v>
      </c>
      <c r="BP821" s="518" t="s">
        <v>488</v>
      </c>
      <c r="CU821" s="480"/>
      <c r="CV821" s="656"/>
      <c r="CW821" s="480"/>
      <c r="DS821" s="656"/>
      <c r="EV821" s="819">
        <f t="shared" si="415"/>
        <v>821</v>
      </c>
      <c r="EW821" s="819"/>
    </row>
    <row r="822" spans="1:153" s="478" customFormat="1" ht="4">
      <c r="A822" s="677" t="str">
        <f t="shared" ca="1" si="413"/>
        <v>D.1.822</v>
      </c>
      <c r="B822" s="677" t="str">
        <f t="shared" ca="1" si="414"/>
        <v>1.822</v>
      </c>
      <c r="C822" s="677" t="str">
        <f t="shared" si="417"/>
        <v>[822]</v>
      </c>
      <c r="D822" s="677">
        <f>ROW()</f>
        <v>822</v>
      </c>
      <c r="E822" s="528"/>
      <c r="F822" s="528"/>
      <c r="G822" s="528"/>
      <c r="H822" s="528"/>
      <c r="I822" s="527"/>
      <c r="J822" s="527"/>
      <c r="K822" s="527"/>
      <c r="L822" s="527"/>
      <c r="M822" s="527"/>
      <c r="N822" s="528"/>
      <c r="O822" s="871">
        <v>816</v>
      </c>
      <c r="P822" s="566"/>
      <c r="Q822" s="567"/>
      <c r="R822" s="888"/>
      <c r="S822" s="802"/>
      <c r="T822" s="882"/>
      <c r="U822" s="661"/>
      <c r="V822" s="661"/>
      <c r="W822" s="661"/>
      <c r="X822" s="661"/>
      <c r="Y822" s="661"/>
      <c r="Z822" s="661"/>
      <c r="AA822" s="661"/>
      <c r="AB822" s="675"/>
      <c r="AC822" s="675"/>
      <c r="AD822" s="675"/>
      <c r="AE822" s="675"/>
      <c r="AF822" s="675"/>
      <c r="AG822" s="675"/>
      <c r="AH822" s="675"/>
      <c r="AI822" s="675"/>
      <c r="AJ822" s="675"/>
      <c r="AK822" s="675"/>
      <c r="AL822" s="675"/>
      <c r="AM822" s="675"/>
      <c r="AN822" s="675"/>
      <c r="AO822" s="675"/>
      <c r="AP822" s="675"/>
      <c r="AQ822" s="675"/>
      <c r="AR822" s="675"/>
      <c r="AS822" s="675"/>
      <c r="AT822" s="675"/>
      <c r="AU822" s="675"/>
      <c r="AV822" s="675"/>
      <c r="BI822" s="478" t="s">
        <v>126</v>
      </c>
      <c r="BJ822" s="489"/>
      <c r="BN822" s="661"/>
      <c r="CU822" s="479"/>
      <c r="CV822" s="661"/>
      <c r="CW822" s="479"/>
      <c r="DS822" s="661"/>
      <c r="EV822" s="818" t="str">
        <f t="shared" si="415"/>
        <v/>
      </c>
      <c r="EW822" s="818"/>
    </row>
    <row r="823" spans="1:153" s="475" customFormat="1" ht="13.5" customHeight="1">
      <c r="A823" s="654" t="str">
        <f t="shared" ca="1" si="413"/>
        <v>D.1.823</v>
      </c>
      <c r="B823" s="654" t="str">
        <f t="shared" ca="1" si="414"/>
        <v>1.823</v>
      </c>
      <c r="C823" s="654" t="str">
        <f t="shared" si="417"/>
        <v>[823]</v>
      </c>
      <c r="D823" s="654">
        <f>ROW()</f>
        <v>823</v>
      </c>
      <c r="E823" s="1129" t="str">
        <f>BP823</f>
        <v>Anteil Haushalte an PW</v>
      </c>
      <c r="F823" s="1129"/>
      <c r="G823" s="1129"/>
      <c r="H823" s="1129"/>
      <c r="I823" s="1129"/>
      <c r="J823" s="471" t="s">
        <v>38</v>
      </c>
      <c r="K823" s="605">
        <f ca="1">INDIRECT($W$1&amp;U823)</f>
        <v>7.5243097082835009</v>
      </c>
      <c r="L823" s="597" t="str">
        <f ca="1">HYPERLINK($CK$1&amp;U823,$CE$1&amp;U823&amp;$CF$1)</f>
        <v>[824]</v>
      </c>
      <c r="M823" s="545">
        <f ca="1">INDIRECT($W$1&amp;W823)</f>
        <v>7.5243097082835009</v>
      </c>
      <c r="N823" s="533" t="str">
        <f ca="1">HYPERLINK($CK$1&amp;W823,$CE$1&amp;W823&amp;$CF$1)</f>
        <v>[826]</v>
      </c>
      <c r="O823" s="869">
        <v>817</v>
      </c>
      <c r="P823" s="570"/>
      <c r="Q823" s="583"/>
      <c r="R823" s="852"/>
      <c r="S823" s="784"/>
      <c r="T823" s="864"/>
      <c r="U823" s="672">
        <f>D824</f>
        <v>824</v>
      </c>
      <c r="V823" s="905" t="s">
        <v>126</v>
      </c>
      <c r="W823" s="672">
        <f>D826</f>
        <v>826</v>
      </c>
      <c r="X823" s="658"/>
      <c r="Y823" s="658"/>
      <c r="Z823" s="658"/>
      <c r="AA823" s="658"/>
      <c r="AB823" s="801"/>
      <c r="AC823" s="801"/>
      <c r="AD823" s="674"/>
      <c r="AE823" s="674"/>
      <c r="AF823" s="674"/>
      <c r="AG823" s="674"/>
      <c r="AH823" s="674"/>
      <c r="AI823" s="674"/>
      <c r="AJ823" s="674"/>
      <c r="AK823" s="674"/>
      <c r="AL823" s="674"/>
      <c r="AM823" s="674"/>
      <c r="AN823" s="674"/>
      <c r="AO823" s="674"/>
      <c r="AP823" s="674"/>
      <c r="AQ823" s="674"/>
      <c r="AR823" s="674"/>
      <c r="AS823" s="674"/>
      <c r="AT823" s="674"/>
      <c r="AU823" s="674"/>
      <c r="AV823" s="674"/>
      <c r="AX823" s="475" t="s">
        <v>244</v>
      </c>
      <c r="AY823" s="500">
        <f ca="1">DA823</f>
        <v>10.254559182513647</v>
      </c>
      <c r="AZ823" s="508" t="str">
        <f ca="1">HYPERLINK(DN823,DC823)</f>
        <v xml:space="preserve"> 235</v>
      </c>
      <c r="BA823" s="500">
        <f ca="1">DB823</f>
        <v>35</v>
      </c>
      <c r="BB823" s="508" t="str">
        <f ca="1">HYPERLINK(DO823,DD823)</f>
        <v xml:space="preserve"> 236</v>
      </c>
      <c r="BC823" s="475" t="str">
        <f ca="1">CY823&amp;" | "&amp;CZ823</f>
        <v>Brennstoffgew.
für Prozesse | 0</v>
      </c>
      <c r="BI823" s="475" t="s">
        <v>126</v>
      </c>
      <c r="BJ823" s="492" t="str">
        <f>E823</f>
        <v>Anteil Haushalte an PW</v>
      </c>
      <c r="BK823" s="486">
        <f ca="1">K823</f>
        <v>7.5243097082835009</v>
      </c>
      <c r="BL823" s="486">
        <f ca="1">M823</f>
        <v>7.5243097082835009</v>
      </c>
      <c r="BM823" s="472">
        <f>D823</f>
        <v>823</v>
      </c>
      <c r="BN823" s="658"/>
      <c r="BO823" s="475" t="s">
        <v>251</v>
      </c>
      <c r="BP823" s="521" t="s">
        <v>487</v>
      </c>
      <c r="CU823" s="476"/>
      <c r="CV823" s="658"/>
      <c r="CW823" s="518">
        <v>61</v>
      </c>
      <c r="CY823" s="472" t="str">
        <f t="shared" ref="CY823:DO823" ca="1" si="430">INDIRECT($CX$1&amp;CY$1&amp;$CW823)</f>
        <v>Brennstoffgew.
für Prozesse</v>
      </c>
      <c r="CZ823" s="472">
        <f t="shared" ca="1" si="430"/>
        <v>0</v>
      </c>
      <c r="DA823" s="472">
        <f t="shared" ca="1" si="430"/>
        <v>10.254559182513647</v>
      </c>
      <c r="DB823" s="472">
        <f t="shared" ca="1" si="430"/>
        <v>35</v>
      </c>
      <c r="DC823" s="472" t="str">
        <f t="shared" ca="1" si="430"/>
        <v xml:space="preserve"> 235</v>
      </c>
      <c r="DD823" s="472" t="str">
        <f t="shared" ca="1" si="430"/>
        <v xml:space="preserve"> 236</v>
      </c>
      <c r="DE823" s="472" t="str">
        <f t="shared" ca="1" si="430"/>
        <v>Ho99</v>
      </c>
      <c r="DF823" s="472" t="str">
        <f t="shared" ca="1" si="430"/>
        <v>Ho36</v>
      </c>
      <c r="DG823" s="472" t="str">
        <f t="shared" ca="1" si="430"/>
        <v>Ho</v>
      </c>
      <c r="DH823" s="472" t="str">
        <f t="shared" ca="1" si="430"/>
        <v>99</v>
      </c>
      <c r="DI823" s="472" t="str">
        <f t="shared" ca="1" si="430"/>
        <v>[Ho.xls]TEXT!Z99S5</v>
      </c>
      <c r="DJ823" s="472" t="str">
        <f t="shared" ca="1" si="430"/>
        <v>Ho</v>
      </c>
      <c r="DK823" s="472" t="str">
        <f t="shared" ca="1" si="430"/>
        <v>36</v>
      </c>
      <c r="DL823" s="472" t="str">
        <f t="shared" ca="1" si="430"/>
        <v>[Ho.xls]TEXT!Z36S5</v>
      </c>
      <c r="DM823" s="472">
        <f t="shared" ca="1" si="430"/>
        <v>61</v>
      </c>
      <c r="DN823" s="472" t="str">
        <f t="shared" ca="1" si="430"/>
        <v>[Region.xls]PARAMETER!Z235S6</v>
      </c>
      <c r="DO823" s="472" t="str">
        <f t="shared" ca="1" si="430"/>
        <v>[Region.xls]PARAMETER!Z236S6</v>
      </c>
      <c r="DP823" s="472"/>
      <c r="DS823" s="656"/>
      <c r="DV823" s="472"/>
      <c r="DW823" s="472"/>
      <c r="DX823" s="472"/>
      <c r="DY823" s="472"/>
      <c r="DZ823" s="472"/>
      <c r="EA823" s="472"/>
      <c r="EB823" s="472"/>
      <c r="EC823" s="472"/>
      <c r="ED823" s="472"/>
      <c r="EE823" s="472"/>
      <c r="EF823" s="472"/>
      <c r="EG823" s="472"/>
      <c r="EH823" s="472"/>
      <c r="EI823" s="472"/>
      <c r="EJ823" s="472"/>
      <c r="EK823" s="472"/>
      <c r="EV823" s="819">
        <f t="shared" si="415"/>
        <v>823</v>
      </c>
      <c r="EW823" s="819"/>
    </row>
    <row r="824" spans="1:153" s="472" customFormat="1" ht="16">
      <c r="A824" s="654" t="str">
        <f t="shared" ca="1" si="413"/>
        <v>D.1.824</v>
      </c>
      <c r="B824" s="654" t="str">
        <f t="shared" ca="1" si="414"/>
        <v>1.824</v>
      </c>
      <c r="C824" s="654" t="str">
        <f t="shared" si="417"/>
        <v>[824]</v>
      </c>
      <c r="D824" s="654">
        <f>ROW()</f>
        <v>824</v>
      </c>
      <c r="E824" s="1130" t="str">
        <f ca="1">CU824</f>
        <v>- STATUS-Ansatz: Gemäß Arbeitsgemeinschaft Energiebilanzen [9.28] für das Jahr 2012, Aufbereitung siehe [7.90].</v>
      </c>
      <c r="F824" s="1130"/>
      <c r="G824" s="1130"/>
      <c r="H824" s="1130"/>
      <c r="I824" s="1130"/>
      <c r="J824" s="1130"/>
      <c r="K824" s="1130"/>
      <c r="L824" s="1130"/>
      <c r="M824" s="1130"/>
      <c r="N824" s="1131"/>
      <c r="O824" s="869">
        <v>818</v>
      </c>
      <c r="P824" s="573" t="str">
        <f ca="1">HYPERLINK(EK824,EJ824)</f>
        <v>9.28</v>
      </c>
      <c r="Q824" s="646" t="str">
        <f ca="1">IF(Y824="&gt;",HYPERLINK(EO824,EN824),Y824)</f>
        <v>7.90</v>
      </c>
      <c r="R824" s="852"/>
      <c r="S824" s="784"/>
      <c r="T824" s="864"/>
      <c r="U824" s="1023" t="str">
        <f ca="1">"Gemäß Arbeitsgemeinschaft Energiebilanzen ["&amp;P824&amp;"] für das Jahr 2012, Aufbereitung siehe ["&amp;Q824&amp;"]."</f>
        <v>Gemäß Arbeitsgemeinschaft Energiebilanzen [9.28] für das Jahr 2012, Aufbereitung siehe [7.90].</v>
      </c>
      <c r="V824" s="905" t="s">
        <v>126</v>
      </c>
      <c r="W824" s="1097">
        <f>'7.VerbrauchStatus'!N90</f>
        <v>7.5243097082835009</v>
      </c>
      <c r="X824" s="672">
        <f>'9.Quellen'!C$28</f>
        <v>28</v>
      </c>
      <c r="Y824" s="672" t="s">
        <v>479</v>
      </c>
      <c r="Z824" s="672">
        <f>'7.VerbrauchStatus'!D90</f>
        <v>90</v>
      </c>
      <c r="AA824" s="658"/>
      <c r="AB824" s="801"/>
      <c r="AC824" s="801"/>
      <c r="AD824" s="801">
        <f>'7.VerbrauchStatus'!N81</f>
        <v>85</v>
      </c>
      <c r="AE824" s="801">
        <f>'7.VerbrauchStatus'!N80</f>
        <v>90</v>
      </c>
      <c r="AF824" s="801">
        <f>AD824+AE824</f>
        <v>175</v>
      </c>
      <c r="AG824" s="801" t="str">
        <f>'7.VerbrauchStatus'!E81</f>
        <v>BS.2.38</v>
      </c>
      <c r="AH824" s="801" t="str">
        <f ca="1">'7.VerbrauchStatus'!B81</f>
        <v>7.81</v>
      </c>
      <c r="AI824" s="801"/>
      <c r="AJ824" s="801"/>
      <c r="AK824" s="801"/>
      <c r="AL824" s="801"/>
      <c r="AM824" s="801"/>
      <c r="AN824" s="801"/>
      <c r="AO824" s="801"/>
      <c r="AP824" s="801"/>
      <c r="AQ824" s="801"/>
      <c r="AR824" s="801"/>
      <c r="AS824" s="801"/>
      <c r="AT824" s="801"/>
      <c r="AU824" s="801"/>
      <c r="AV824" s="801"/>
      <c r="AY824" s="472">
        <f ca="1">AY823/AY$246%</f>
        <v>14.091645358575692</v>
      </c>
      <c r="BA824" s="472">
        <f ca="1">BA823/BA$246%</f>
        <v>100</v>
      </c>
      <c r="BF824" s="473"/>
      <c r="BI824" s="472" t="s">
        <v>126</v>
      </c>
      <c r="BJ824" s="490"/>
      <c r="BN824" s="656"/>
      <c r="BO824" s="472" t="s">
        <v>259</v>
      </c>
      <c r="CU824" s="480" t="str">
        <f ca="1">CG$1&amp;IF(U824="",BF824,U824)</f>
        <v>- STATUS-Ansatz: Gemäß Arbeitsgemeinschaft Energiebilanzen [9.28] für das Jahr 2012, Aufbereitung siehe [7.90].</v>
      </c>
      <c r="CV824" s="656"/>
      <c r="CW824" s="480"/>
      <c r="DS824" s="656"/>
      <c r="DT824" s="518">
        <f>I_Basisdaten!A307</f>
        <v>0</v>
      </c>
      <c r="EJ824" s="472" t="str">
        <f ca="1">IF(X824=0,"",EJ$1&amp;X824)</f>
        <v>9.28</v>
      </c>
      <c r="EK824" s="472" t="str">
        <f ca="1">EK$1&amp;X824</f>
        <v>[D_Python.xlsx]9.Quellen!C28</v>
      </c>
      <c r="EN824" s="472" t="str">
        <f ca="1">IF(Z824=0,"",EN$1&amp;Z824)</f>
        <v>7.90</v>
      </c>
      <c r="EO824" s="472" t="str">
        <f ca="1">EO$1&amp;Z824</f>
        <v>[D_Python.xlsx]7.VerbrauchStatus!D90</v>
      </c>
      <c r="EV824" s="819">
        <f t="shared" ca="1" si="415"/>
        <v>824</v>
      </c>
      <c r="EW824" s="819"/>
    </row>
    <row r="825" spans="1:153" s="478" customFormat="1" ht="4">
      <c r="A825" s="677" t="str">
        <f t="shared" ca="1" si="413"/>
        <v>D.1.825</v>
      </c>
      <c r="B825" s="677" t="str">
        <f t="shared" ca="1" si="414"/>
        <v>1.825</v>
      </c>
      <c r="C825" s="677" t="str">
        <f t="shared" si="417"/>
        <v>[825]</v>
      </c>
      <c r="D825" s="677">
        <f>ROW()</f>
        <v>825</v>
      </c>
      <c r="E825" s="528"/>
      <c r="F825" s="528"/>
      <c r="G825" s="528"/>
      <c r="H825" s="528"/>
      <c r="I825" s="527"/>
      <c r="J825" s="527"/>
      <c r="K825" s="527"/>
      <c r="L825" s="527"/>
      <c r="M825" s="527"/>
      <c r="N825" s="528"/>
      <c r="O825" s="871">
        <v>819</v>
      </c>
      <c r="P825" s="566"/>
      <c r="Q825" s="567"/>
      <c r="R825" s="888"/>
      <c r="S825" s="802"/>
      <c r="T825" s="882"/>
      <c r="U825" s="661"/>
      <c r="V825" s="661"/>
      <c r="W825" s="606"/>
      <c r="X825" s="661"/>
      <c r="Y825" s="661"/>
      <c r="Z825" s="661"/>
      <c r="AA825" s="661"/>
      <c r="AB825" s="675"/>
      <c r="AC825" s="675"/>
      <c r="AD825" s="675"/>
      <c r="AE825" s="675"/>
      <c r="AF825" s="675"/>
      <c r="AG825" s="675"/>
      <c r="AH825" s="675"/>
      <c r="AI825" s="675"/>
      <c r="AJ825" s="675"/>
      <c r="AK825" s="675"/>
      <c r="AL825" s="675"/>
      <c r="AM825" s="675"/>
      <c r="AN825" s="675"/>
      <c r="AO825" s="675"/>
      <c r="AP825" s="675"/>
      <c r="AQ825" s="675"/>
      <c r="AR825" s="675"/>
      <c r="AS825" s="675"/>
      <c r="AT825" s="675"/>
      <c r="AU825" s="675"/>
      <c r="AV825" s="675"/>
      <c r="BI825" s="478" t="s">
        <v>126</v>
      </c>
      <c r="BJ825" s="489"/>
      <c r="BN825" s="661"/>
      <c r="CU825" s="479"/>
      <c r="CV825" s="661"/>
      <c r="CW825" s="479"/>
      <c r="DS825" s="661"/>
      <c r="EV825" s="818" t="str">
        <f t="shared" si="415"/>
        <v/>
      </c>
      <c r="EW825" s="818"/>
    </row>
    <row r="826" spans="1:153" s="472" customFormat="1" ht="39">
      <c r="A826" s="654" t="str">
        <f t="shared" ca="1" si="413"/>
        <v>D.1.826</v>
      </c>
      <c r="B826" s="654" t="str">
        <f t="shared" ca="1" si="414"/>
        <v>1.826</v>
      </c>
      <c r="C826" s="654" t="str">
        <f t="shared" si="417"/>
        <v>[826]</v>
      </c>
      <c r="D826" s="654">
        <f>ROW()</f>
        <v>826</v>
      </c>
      <c r="E826" s="1125" t="str">
        <f t="shared" ref="E826" si="431">CU826</f>
        <v>- ZIEL-Ansatz: Dient als Berechnungsgrundlage für das (fiktive) künftige Bedarfsniveau im Anwendungsbereich Prozesswärme im Sektor Haushalte, das sich ohne Volumen-, Effizienz-und Energiemix-Änderungen einstellen würde. Der Status-Ansatz wird methodisch bedingt unverändert übernommen.</v>
      </c>
      <c r="F826" s="1125"/>
      <c r="G826" s="1125"/>
      <c r="H826" s="1125"/>
      <c r="I826" s="1125"/>
      <c r="J826" s="1125"/>
      <c r="K826" s="1125"/>
      <c r="L826" s="1125"/>
      <c r="M826" s="1125"/>
      <c r="N826" s="1132"/>
      <c r="O826" s="869">
        <v>820</v>
      </c>
      <c r="P826" s="573" t="str">
        <f ca="1">HYPERLINK(EK826,EJ826)</f>
        <v/>
      </c>
      <c r="Q826" s="574" t="str">
        <f>Y826</f>
        <v xml:space="preserve"> </v>
      </c>
      <c r="R826" s="852"/>
      <c r="S826" s="784"/>
      <c r="T826" s="864"/>
      <c r="U826" s="1023" t="s">
        <v>781</v>
      </c>
      <c r="V826" s="905" t="s">
        <v>126</v>
      </c>
      <c r="W826" s="1097">
        <f>W824</f>
        <v>7.5243097082835009</v>
      </c>
      <c r="X826" s="672"/>
      <c r="Y826" s="672" t="s">
        <v>126</v>
      </c>
      <c r="Z826" s="1025"/>
      <c r="AA826" s="905"/>
      <c r="AB826" s="801"/>
      <c r="AC826" s="801"/>
      <c r="AD826" s="801"/>
      <c r="AE826" s="801"/>
      <c r="AF826" s="801"/>
      <c r="AG826" s="801"/>
      <c r="AH826" s="801"/>
      <c r="AI826" s="801"/>
      <c r="AJ826" s="801"/>
      <c r="AK826" s="801"/>
      <c r="AL826" s="801"/>
      <c r="AM826" s="801"/>
      <c r="AN826" s="801"/>
      <c r="AO826" s="801"/>
      <c r="AP826" s="801"/>
      <c r="AQ826" s="801"/>
      <c r="AR826" s="801"/>
      <c r="AS826" s="801"/>
      <c r="AT826" s="801"/>
      <c r="AU826" s="801"/>
      <c r="AV826" s="801"/>
      <c r="BF826" s="473"/>
      <c r="BI826" s="472" t="s">
        <v>126</v>
      </c>
      <c r="BJ826" s="490"/>
      <c r="BN826" s="656"/>
      <c r="BO826" s="472" t="s">
        <v>259</v>
      </c>
      <c r="CU826" s="480" t="str">
        <f>CH$1&amp;IF(U826="",BF826,U826)</f>
        <v>- ZIEL-Ansatz: Dient als Berechnungsgrundlage für das (fiktive) künftige Bedarfsniveau im Anwendungsbereich Prozesswärme im Sektor Haushalte, das sich ohne Volumen-, Effizienz-und Energiemix-Änderungen einstellen würde. Der Status-Ansatz wird methodisch bedingt unverändert übernommen.</v>
      </c>
      <c r="CV826" s="656"/>
      <c r="CW826" s="480"/>
      <c r="DS826" s="656"/>
      <c r="DT826" s="518">
        <v>53</v>
      </c>
      <c r="EJ826" s="472" t="str">
        <f>IF(X826=0,"",EJ$1&amp;X826)</f>
        <v/>
      </c>
      <c r="EK826" s="472" t="str">
        <f ca="1">EK$1&amp;X826</f>
        <v>[D_Python.xlsx]9.Quellen!C</v>
      </c>
      <c r="EV826" s="819">
        <f t="shared" si="415"/>
        <v>826</v>
      </c>
      <c r="EW826" s="819"/>
    </row>
    <row r="827" spans="1:153" s="478" customFormat="1" ht="4">
      <c r="A827" s="677" t="str">
        <f t="shared" ca="1" si="413"/>
        <v>D.1.827</v>
      </c>
      <c r="B827" s="677" t="str">
        <f t="shared" ca="1" si="414"/>
        <v>1.827</v>
      </c>
      <c r="C827" s="677" t="str">
        <f t="shared" si="417"/>
        <v>[827]</v>
      </c>
      <c r="D827" s="677">
        <f>ROW()</f>
        <v>827</v>
      </c>
      <c r="E827" s="548"/>
      <c r="F827" s="548"/>
      <c r="G827" s="548"/>
      <c r="H827" s="548"/>
      <c r="I827" s="549"/>
      <c r="J827" s="549"/>
      <c r="K827" s="549"/>
      <c r="L827" s="549"/>
      <c r="M827" s="549"/>
      <c r="N827" s="548"/>
      <c r="O827" s="871">
        <v>821</v>
      </c>
      <c r="P827" s="575"/>
      <c r="Q827" s="576"/>
      <c r="R827" s="888"/>
      <c r="S827" s="802"/>
      <c r="T827" s="882"/>
      <c r="U827" s="661"/>
      <c r="V827" s="661"/>
      <c r="W827" s="661"/>
      <c r="X827" s="661"/>
      <c r="Y827" s="661"/>
      <c r="Z827" s="661"/>
      <c r="AA827" s="661"/>
      <c r="AB827" s="675"/>
      <c r="AC827" s="675"/>
      <c r="AD827" s="675"/>
      <c r="AE827" s="675"/>
      <c r="AF827" s="675"/>
      <c r="AG827" s="675"/>
      <c r="AH827" s="675"/>
      <c r="AI827" s="675"/>
      <c r="AJ827" s="675"/>
      <c r="AK827" s="675"/>
      <c r="AL827" s="675"/>
      <c r="AM827" s="675"/>
      <c r="AN827" s="675"/>
      <c r="AO827" s="675"/>
      <c r="AP827" s="675"/>
      <c r="AQ827" s="675"/>
      <c r="AR827" s="675"/>
      <c r="AS827" s="675"/>
      <c r="AT827" s="675"/>
      <c r="AU827" s="675"/>
      <c r="AV827" s="675"/>
      <c r="AZ827" s="505"/>
      <c r="BB827" s="505"/>
      <c r="BI827" s="478" t="s">
        <v>126</v>
      </c>
      <c r="BJ827" s="489"/>
      <c r="BN827" s="661"/>
      <c r="CU827" s="479"/>
      <c r="CV827" s="661"/>
      <c r="CW827" s="479"/>
      <c r="DS827" s="661"/>
      <c r="EV827" s="818" t="str">
        <f t="shared" si="415"/>
        <v/>
      </c>
      <c r="EW827" s="818"/>
    </row>
    <row r="828" spans="1:153" s="475" customFormat="1" ht="13.5" customHeight="1">
      <c r="A828" s="654" t="str">
        <f t="shared" ca="1" si="413"/>
        <v>D.1.828</v>
      </c>
      <c r="B828" s="654" t="str">
        <f t="shared" ca="1" si="414"/>
        <v>1.828</v>
      </c>
      <c r="C828" s="654" t="str">
        <f t="shared" si="417"/>
        <v>[828]</v>
      </c>
      <c r="D828" s="654">
        <f>ROW()</f>
        <v>828</v>
      </c>
      <c r="E828" s="1129" t="str">
        <f>BP828</f>
        <v>Zieleinfluss Anwendungs-Effiz. Haushalte auf PW</v>
      </c>
      <c r="F828" s="1129"/>
      <c r="G828" s="1129"/>
      <c r="H828" s="1129"/>
      <c r="I828" s="1129"/>
      <c r="J828" s="471" t="s">
        <v>38</v>
      </c>
      <c r="K828" s="605">
        <f ca="1">INDIRECT($W$1&amp;U828)</f>
        <v>100</v>
      </c>
      <c r="L828" s="597" t="str">
        <f ca="1">HYPERLINK($CK$1&amp;U828,$CE$1&amp;U828&amp;$CF$1)</f>
        <v>[829]</v>
      </c>
      <c r="M828" s="545">
        <f ca="1">INDIRECT($W$1&amp;W828)</f>
        <v>90</v>
      </c>
      <c r="N828" s="533" t="str">
        <f ca="1">HYPERLINK($CK$1&amp;W828,$CE$1&amp;W828&amp;$CF$1)</f>
        <v>[831]</v>
      </c>
      <c r="O828" s="869">
        <v>822</v>
      </c>
      <c r="P828" s="570"/>
      <c r="Q828" s="583"/>
      <c r="R828" s="852"/>
      <c r="S828" s="784"/>
      <c r="T828" s="864"/>
      <c r="U828" s="672">
        <f>D829</f>
        <v>829</v>
      </c>
      <c r="V828" s="905" t="s">
        <v>126</v>
      </c>
      <c r="W828" s="672">
        <f>D831</f>
        <v>831</v>
      </c>
      <c r="X828" s="658"/>
      <c r="Y828" s="658"/>
      <c r="Z828" s="658"/>
      <c r="AA828" s="658"/>
      <c r="AB828" s="801"/>
      <c r="AC828" s="801"/>
      <c r="AD828" s="674"/>
      <c r="AE828" s="674"/>
      <c r="AF828" s="674"/>
      <c r="AG828" s="674"/>
      <c r="AH828" s="674"/>
      <c r="AI828" s="674"/>
      <c r="AJ828" s="674"/>
      <c r="AK828" s="674"/>
      <c r="AL828" s="674"/>
      <c r="AM828" s="674"/>
      <c r="AN828" s="674"/>
      <c r="AO828" s="674"/>
      <c r="AP828" s="674"/>
      <c r="AQ828" s="674"/>
      <c r="AR828" s="674"/>
      <c r="AS828" s="674"/>
      <c r="AT828" s="674"/>
      <c r="AU828" s="674"/>
      <c r="AV828" s="674"/>
      <c r="AX828" s="475" t="s">
        <v>244</v>
      </c>
      <c r="AY828" s="500">
        <f ca="1">DA828</f>
        <v>10.254559182513647</v>
      </c>
      <c r="AZ828" s="508" t="str">
        <f ca="1">HYPERLINK(DN828,DC828)</f>
        <v xml:space="preserve"> 235</v>
      </c>
      <c r="BA828" s="500">
        <f ca="1">DB828</f>
        <v>35</v>
      </c>
      <c r="BB828" s="508" t="str">
        <f ca="1">HYPERLINK(DO828,DD828)</f>
        <v xml:space="preserve"> 236</v>
      </c>
      <c r="BC828" s="475" t="str">
        <f ca="1">CY828&amp;" | "&amp;CZ828</f>
        <v>Brennstoffgew.
für Prozesse | 0</v>
      </c>
      <c r="BI828" s="475" t="s">
        <v>126</v>
      </c>
      <c r="BJ828" s="492" t="str">
        <f>E828</f>
        <v>Zieleinfluss Anwendungs-Effiz. Haushalte auf PW</v>
      </c>
      <c r="BK828" s="486">
        <f ca="1">K828</f>
        <v>100</v>
      </c>
      <c r="BL828" s="486">
        <f ca="1">M828</f>
        <v>90</v>
      </c>
      <c r="BM828" s="472">
        <f>D828</f>
        <v>828</v>
      </c>
      <c r="BN828" s="658"/>
      <c r="BO828" s="475" t="s">
        <v>251</v>
      </c>
      <c r="BP828" s="521" t="s">
        <v>490</v>
      </c>
      <c r="CU828" s="476"/>
      <c r="CV828" s="658"/>
      <c r="CW828" s="518">
        <v>61</v>
      </c>
      <c r="CY828" s="472" t="str">
        <f t="shared" ref="CY828:DO828" ca="1" si="432">INDIRECT($CX$1&amp;CY$1&amp;$CW828)</f>
        <v>Brennstoffgew.
für Prozesse</v>
      </c>
      <c r="CZ828" s="472">
        <f t="shared" ca="1" si="432"/>
        <v>0</v>
      </c>
      <c r="DA828" s="472">
        <f t="shared" ca="1" si="432"/>
        <v>10.254559182513647</v>
      </c>
      <c r="DB828" s="472">
        <f t="shared" ca="1" si="432"/>
        <v>35</v>
      </c>
      <c r="DC828" s="472" t="str">
        <f t="shared" ca="1" si="432"/>
        <v xml:space="preserve"> 235</v>
      </c>
      <c r="DD828" s="472" t="str">
        <f t="shared" ca="1" si="432"/>
        <v xml:space="preserve"> 236</v>
      </c>
      <c r="DE828" s="472" t="str">
        <f t="shared" ca="1" si="432"/>
        <v>Ho99</v>
      </c>
      <c r="DF828" s="472" t="str">
        <f t="shared" ca="1" si="432"/>
        <v>Ho36</v>
      </c>
      <c r="DG828" s="472" t="str">
        <f t="shared" ca="1" si="432"/>
        <v>Ho</v>
      </c>
      <c r="DH828" s="472" t="str">
        <f t="shared" ca="1" si="432"/>
        <v>99</v>
      </c>
      <c r="DI828" s="472" t="str">
        <f t="shared" ca="1" si="432"/>
        <v>[Ho.xls]TEXT!Z99S5</v>
      </c>
      <c r="DJ828" s="472" t="str">
        <f t="shared" ca="1" si="432"/>
        <v>Ho</v>
      </c>
      <c r="DK828" s="472" t="str">
        <f t="shared" ca="1" si="432"/>
        <v>36</v>
      </c>
      <c r="DL828" s="472" t="str">
        <f t="shared" ca="1" si="432"/>
        <v>[Ho.xls]TEXT!Z36S5</v>
      </c>
      <c r="DM828" s="472">
        <f t="shared" ca="1" si="432"/>
        <v>61</v>
      </c>
      <c r="DN828" s="472" t="str">
        <f t="shared" ca="1" si="432"/>
        <v>[Region.xls]PARAMETER!Z235S6</v>
      </c>
      <c r="DO828" s="472" t="str">
        <f t="shared" ca="1" si="432"/>
        <v>[Region.xls]PARAMETER!Z236S6</v>
      </c>
      <c r="DP828" s="472"/>
      <c r="DS828" s="656"/>
      <c r="DV828" s="472"/>
      <c r="DW828" s="472"/>
      <c r="DX828" s="472"/>
      <c r="DY828" s="472"/>
      <c r="DZ828" s="472"/>
      <c r="EA828" s="472"/>
      <c r="EB828" s="472"/>
      <c r="EC828" s="472"/>
      <c r="ED828" s="472"/>
      <c r="EE828" s="472"/>
      <c r="EF828" s="472"/>
      <c r="EG828" s="472"/>
      <c r="EH828" s="472"/>
      <c r="EI828" s="472"/>
      <c r="EJ828" s="472"/>
      <c r="EK828" s="472"/>
      <c r="EV828" s="819">
        <f t="shared" si="415"/>
        <v>828</v>
      </c>
      <c r="EW828" s="819"/>
    </row>
    <row r="829" spans="1:153" s="472" customFormat="1" ht="39" customHeight="1">
      <c r="A829" s="654" t="str">
        <f t="shared" ca="1" si="413"/>
        <v>D.1.829</v>
      </c>
      <c r="B829" s="654" t="str">
        <f t="shared" ca="1" si="414"/>
        <v>1.829</v>
      </c>
      <c r="C829" s="654" t="str">
        <f t="shared" si="417"/>
        <v>[829]</v>
      </c>
      <c r="D829" s="654">
        <f>ROW()</f>
        <v>829</v>
      </c>
      <c r="E829" s="1130" t="str">
        <f>CU829</f>
        <v>- STATUS-Ansatz: Repräsentiert den Status der Energieintensität (Prozesswärmebedarf pro erbrachte Prozessleistung) der thermischen Prozesse in Haushalten (Wäsche trocknen, Wäsche waschen, Kochen, Backen usw). Dient als Referenz für den im Ziel durch Effizienzsteigerung gesenkten Energiebedarf.</v>
      </c>
      <c r="F829" s="1130"/>
      <c r="G829" s="1130"/>
      <c r="H829" s="1130"/>
      <c r="I829" s="1130"/>
      <c r="J829" s="1130"/>
      <c r="K829" s="1130"/>
      <c r="L829" s="1130"/>
      <c r="M829" s="1130"/>
      <c r="N829" s="1131"/>
      <c r="O829" s="869">
        <v>823</v>
      </c>
      <c r="P829" s="573" t="str">
        <f ca="1">HYPERLINK(EK829,EJ829)</f>
        <v/>
      </c>
      <c r="Q829" s="574" t="str">
        <f>Y829</f>
        <v xml:space="preserve"> </v>
      </c>
      <c r="R829" s="852"/>
      <c r="S829" s="784"/>
      <c r="T829" s="864"/>
      <c r="U829" s="1023" t="s">
        <v>1041</v>
      </c>
      <c r="V829" s="905" t="s">
        <v>126</v>
      </c>
      <c r="W829" s="1097">
        <v>100</v>
      </c>
      <c r="X829" s="672"/>
      <c r="Y829" s="672" t="s">
        <v>126</v>
      </c>
      <c r="Z829" s="1025"/>
      <c r="AA829" s="658"/>
      <c r="AB829" s="801"/>
      <c r="AC829" s="801"/>
      <c r="AD829" s="801"/>
      <c r="AE829" s="801"/>
      <c r="AF829" s="801"/>
      <c r="AG829" s="801"/>
      <c r="AH829" s="801"/>
      <c r="AI829" s="801"/>
      <c r="AJ829" s="801"/>
      <c r="AK829" s="801"/>
      <c r="AL829" s="801"/>
      <c r="AM829" s="801"/>
      <c r="AN829" s="801"/>
      <c r="AO829" s="801"/>
      <c r="AP829" s="801"/>
      <c r="AQ829" s="801"/>
      <c r="AR829" s="801"/>
      <c r="AS829" s="801"/>
      <c r="AT829" s="801"/>
      <c r="AU829" s="801"/>
      <c r="AV829" s="801"/>
      <c r="AY829" s="472">
        <f ca="1">AY828/AY$246%</f>
        <v>14.091645358575692</v>
      </c>
      <c r="BA829" s="472">
        <f ca="1">BA828/BA$246%</f>
        <v>100</v>
      </c>
      <c r="BF829" s="473"/>
      <c r="BI829" s="472" t="s">
        <v>126</v>
      </c>
      <c r="BJ829" s="490"/>
      <c r="BN829" s="656"/>
      <c r="BO829" s="472" t="s">
        <v>259</v>
      </c>
      <c r="CU829" s="480" t="str">
        <f>CG$1&amp;IF(U829="",BF829,U829)</f>
        <v>- STATUS-Ansatz: Repräsentiert den Status der Energieintensität (Prozesswärmebedarf pro erbrachte Prozessleistung) der thermischen Prozesse in Haushalten (Wäsche trocknen, Wäsche waschen, Kochen, Backen usw). Dient als Referenz für den im Ziel durch Effizienzsteigerung gesenkten Energiebedarf.</v>
      </c>
      <c r="CV829" s="656"/>
      <c r="CW829" s="480"/>
      <c r="DS829" s="656"/>
      <c r="DT829" s="518">
        <f>I_Basisdaten!A328</f>
        <v>0</v>
      </c>
      <c r="EJ829" s="472" t="str">
        <f>IF(X829=0,"",EJ$1&amp;X829)</f>
        <v/>
      </c>
      <c r="EK829" s="472" t="str">
        <f ca="1">EK$1&amp;X829</f>
        <v>[D_Python.xlsx]9.Quellen!C</v>
      </c>
      <c r="EV829" s="819">
        <f t="shared" si="415"/>
        <v>829</v>
      </c>
      <c r="EW829" s="819"/>
    </row>
    <row r="830" spans="1:153" s="478" customFormat="1" ht="4">
      <c r="A830" s="677" t="str">
        <f t="shared" ca="1" si="413"/>
        <v>D.1.830</v>
      </c>
      <c r="B830" s="677" t="str">
        <f t="shared" ca="1" si="414"/>
        <v>1.830</v>
      </c>
      <c r="C830" s="677" t="str">
        <f t="shared" si="417"/>
        <v>[830]</v>
      </c>
      <c r="D830" s="677">
        <f>ROW()</f>
        <v>830</v>
      </c>
      <c r="E830" s="528"/>
      <c r="F830" s="528"/>
      <c r="G830" s="528"/>
      <c r="H830" s="528"/>
      <c r="I830" s="527"/>
      <c r="J830" s="527"/>
      <c r="K830" s="527"/>
      <c r="L830" s="527"/>
      <c r="M830" s="527"/>
      <c r="N830" s="528"/>
      <c r="O830" s="871">
        <v>824</v>
      </c>
      <c r="P830" s="566"/>
      <c r="Q830" s="567"/>
      <c r="R830" s="888"/>
      <c r="S830" s="802"/>
      <c r="T830" s="882"/>
      <c r="U830" s="661"/>
      <c r="V830" s="661"/>
      <c r="W830" s="606"/>
      <c r="X830" s="661"/>
      <c r="Y830" s="661"/>
      <c r="Z830" s="661"/>
      <c r="AA830" s="661"/>
      <c r="AB830" s="675"/>
      <c r="AC830" s="675"/>
      <c r="AD830" s="675"/>
      <c r="AE830" s="675"/>
      <c r="AF830" s="675"/>
      <c r="AG830" s="675"/>
      <c r="AH830" s="675"/>
      <c r="AI830" s="675"/>
      <c r="AJ830" s="675"/>
      <c r="AK830" s="675"/>
      <c r="AL830" s="675"/>
      <c r="AM830" s="675"/>
      <c r="AN830" s="675"/>
      <c r="AO830" s="675"/>
      <c r="AP830" s="675"/>
      <c r="AQ830" s="675"/>
      <c r="AR830" s="675"/>
      <c r="AS830" s="675"/>
      <c r="AT830" s="675"/>
      <c r="AU830" s="675"/>
      <c r="AV830" s="675"/>
      <c r="BI830" s="478" t="s">
        <v>126</v>
      </c>
      <c r="BJ830" s="489"/>
      <c r="BN830" s="661"/>
      <c r="CU830" s="479"/>
      <c r="CV830" s="661"/>
      <c r="CW830" s="479"/>
      <c r="DS830" s="661"/>
      <c r="EV830" s="818" t="str">
        <f t="shared" si="415"/>
        <v/>
      </c>
      <c r="EW830" s="818"/>
    </row>
    <row r="831" spans="1:153" s="472" customFormat="1" ht="52">
      <c r="A831" s="654" t="str">
        <f t="shared" ca="1" si="413"/>
        <v>D.1.831</v>
      </c>
      <c r="B831" s="654" t="str">
        <f t="shared" ca="1" si="414"/>
        <v>1.831</v>
      </c>
      <c r="C831" s="654" t="str">
        <f t="shared" si="417"/>
        <v>[831]</v>
      </c>
      <c r="D831" s="654">
        <f>ROW()</f>
        <v>831</v>
      </c>
      <c r="E831" s="1125" t="str">
        <f t="shared" ref="E831" ca="1" si="433">CU831</f>
        <v xml:space="preserve">- ZIEL-Ansatz: Orientiert an den Aussagen eines Forschungsberichtes an das Bundesministerium für Wirtschaft und Technologie [9.193], S. 54. Danach kann das Effizienz-Potenzial als marginal eingeschätzt werden: Wäschetrockner und Waschmaschinen werden auf 10% Bedarfsminderung  (Wirtschaftliches Potenzial 2007-2016) geschätzt, Kochen und Backen bleiben, vermutlich wegen sehr geringer Potenziale, unbetrachtet. </v>
      </c>
      <c r="F831" s="1125"/>
      <c r="G831" s="1125"/>
      <c r="H831" s="1125"/>
      <c r="I831" s="1125"/>
      <c r="J831" s="1125"/>
      <c r="K831" s="1125"/>
      <c r="L831" s="1125"/>
      <c r="M831" s="1125"/>
      <c r="N831" s="1132"/>
      <c r="O831" s="869">
        <v>825</v>
      </c>
      <c r="P831" s="573" t="str">
        <f ca="1">HYPERLINK(EK831,EJ831)</f>
        <v>9.193</v>
      </c>
      <c r="Q831" s="574" t="str">
        <f>Y831</f>
        <v>S. 54</v>
      </c>
      <c r="R831" s="852"/>
      <c r="S831" s="784"/>
      <c r="T831" s="864"/>
      <c r="U831" s="1023" t="str">
        <f ca="1">"Orientiert an den Aussagen eines Forschungsberichtes an das Bundesministerium für Wirtschaft und Technologie ["&amp;P831&amp;"], "&amp;Q831&amp;". Danach kann das Effizienz-Potenzial als marginal eingeschätzt werden: Wäschetrockner und Waschmaschinen werden auf 10% Bedarfsminderung  (Wirtschaftliches Potenzial 2007-2016) geschätzt, "&amp;"Kochen und Backen bleiben, vermutlich wegen sehr geringer Potenziale, unbetrachtet. "</f>
        <v xml:space="preserve">Orientiert an den Aussagen eines Forschungsberichtes an das Bundesministerium für Wirtschaft und Technologie [9.193], S. 54. Danach kann das Effizienz-Potenzial als marginal eingeschätzt werden: Wäschetrockner und Waschmaschinen werden auf 10% Bedarfsminderung  (Wirtschaftliches Potenzial 2007-2016) geschätzt, Kochen und Backen bleiben, vermutlich wegen sehr geringer Potenziale, unbetrachtet. </v>
      </c>
      <c r="V831" s="905" t="s">
        <v>126</v>
      </c>
      <c r="W831" s="1095">
        <v>90</v>
      </c>
      <c r="X831" s="672">
        <f>'9.Quellen'!C$193</f>
        <v>193</v>
      </c>
      <c r="Y831" s="672" t="s">
        <v>472</v>
      </c>
      <c r="Z831" s="1025"/>
      <c r="AA831" s="905"/>
      <c r="AB831" s="801"/>
      <c r="AC831" s="801"/>
      <c r="AD831" s="801"/>
      <c r="AE831" s="801"/>
      <c r="AF831" s="801"/>
      <c r="AG831" s="801"/>
      <c r="AH831" s="801"/>
      <c r="AI831" s="801"/>
      <c r="AJ831" s="801"/>
      <c r="AK831" s="801"/>
      <c r="AL831" s="801"/>
      <c r="AM831" s="801"/>
      <c r="AN831" s="801"/>
      <c r="AO831" s="801"/>
      <c r="AP831" s="801"/>
      <c r="AQ831" s="801"/>
      <c r="AR831" s="801"/>
      <c r="AS831" s="801"/>
      <c r="AT831" s="801"/>
      <c r="AU831" s="801"/>
      <c r="AV831" s="801"/>
      <c r="BF831" s="473"/>
      <c r="BI831" s="472" t="s">
        <v>126</v>
      </c>
      <c r="BJ831" s="490"/>
      <c r="BN831" s="656"/>
      <c r="BO831" s="472" t="s">
        <v>259</v>
      </c>
      <c r="CU831" s="480" t="str">
        <f ca="1">CH$1&amp;IF(U831="",BF831,U831)</f>
        <v xml:space="preserve">- ZIEL-Ansatz: Orientiert an den Aussagen eines Forschungsberichtes an das Bundesministerium für Wirtschaft und Technologie [9.193], S. 54. Danach kann das Effizienz-Potenzial als marginal eingeschätzt werden: Wäschetrockner und Waschmaschinen werden auf 10% Bedarfsminderung  (Wirtschaftliches Potenzial 2007-2016) geschätzt, Kochen und Backen bleiben, vermutlich wegen sehr geringer Potenziale, unbetrachtet. </v>
      </c>
      <c r="CV831" s="656"/>
      <c r="CW831" s="480"/>
      <c r="DS831" s="656"/>
      <c r="DT831" s="518">
        <v>53</v>
      </c>
      <c r="EJ831" s="472" t="str">
        <f ca="1">IF(X831=0,"",EJ$1&amp;X831)</f>
        <v>9.193</v>
      </c>
      <c r="EK831" s="472" t="str">
        <f ca="1">EK$1&amp;X831</f>
        <v>[D_Python.xlsx]9.Quellen!C193</v>
      </c>
      <c r="EV831" s="819">
        <f t="shared" ca="1" si="415"/>
        <v>831</v>
      </c>
      <c r="EW831" s="819"/>
    </row>
    <row r="832" spans="1:153" s="478" customFormat="1" ht="4">
      <c r="A832" s="677" t="str">
        <f t="shared" ca="1" si="413"/>
        <v>D.1.832</v>
      </c>
      <c r="B832" s="677" t="str">
        <f t="shared" ca="1" si="414"/>
        <v>1.832</v>
      </c>
      <c r="C832" s="677" t="str">
        <f t="shared" si="417"/>
        <v>[832]</v>
      </c>
      <c r="D832" s="677">
        <f>ROW()</f>
        <v>832</v>
      </c>
      <c r="E832" s="548"/>
      <c r="F832" s="548"/>
      <c r="G832" s="548"/>
      <c r="H832" s="548"/>
      <c r="I832" s="549"/>
      <c r="J832" s="549"/>
      <c r="K832" s="549"/>
      <c r="L832" s="549"/>
      <c r="M832" s="549"/>
      <c r="N832" s="548"/>
      <c r="O832" s="871">
        <v>826</v>
      </c>
      <c r="P832" s="575"/>
      <c r="Q832" s="576"/>
      <c r="R832" s="888"/>
      <c r="S832" s="802"/>
      <c r="T832" s="882"/>
      <c r="U832" s="661"/>
      <c r="V832" s="661"/>
      <c r="W832" s="661"/>
      <c r="X832" s="661"/>
      <c r="Y832" s="661"/>
      <c r="Z832" s="661"/>
      <c r="AA832" s="661"/>
      <c r="AB832" s="675"/>
      <c r="AC832" s="675"/>
      <c r="AD832" s="675"/>
      <c r="AE832" s="675"/>
      <c r="AF832" s="675"/>
      <c r="AG832" s="675"/>
      <c r="AH832" s="675"/>
      <c r="AI832" s="675"/>
      <c r="AJ832" s="675"/>
      <c r="AK832" s="675"/>
      <c r="AL832" s="675"/>
      <c r="AM832" s="675"/>
      <c r="AN832" s="675"/>
      <c r="AO832" s="675"/>
      <c r="AP832" s="675"/>
      <c r="AQ832" s="675"/>
      <c r="AR832" s="675"/>
      <c r="AS832" s="675"/>
      <c r="AT832" s="675"/>
      <c r="AU832" s="675"/>
      <c r="AV832" s="675"/>
      <c r="AZ832" s="505"/>
      <c r="BB832" s="505"/>
      <c r="BI832" s="478" t="s">
        <v>126</v>
      </c>
      <c r="BJ832" s="489"/>
      <c r="BN832" s="661"/>
      <c r="CU832" s="479"/>
      <c r="CV832" s="661"/>
      <c r="CW832" s="479"/>
      <c r="DS832" s="661"/>
      <c r="EV832" s="818" t="str">
        <f t="shared" si="415"/>
        <v/>
      </c>
      <c r="EW832" s="818"/>
    </row>
    <row r="833" spans="1:153" s="475" customFormat="1" ht="13.5" customHeight="1">
      <c r="A833" s="654" t="str">
        <f t="shared" ca="1" si="413"/>
        <v>D.1.833</v>
      </c>
      <c r="B833" s="654" t="str">
        <f t="shared" ca="1" si="414"/>
        <v>1.833</v>
      </c>
      <c r="C833" s="654" t="str">
        <f t="shared" si="417"/>
        <v>[833]</v>
      </c>
      <c r="D833" s="654">
        <f>ROW()</f>
        <v>833</v>
      </c>
      <c r="E833" s="1129" t="str">
        <f>BP833</f>
        <v>Anteil Industrie und Gewerbe an PW</v>
      </c>
      <c r="F833" s="1129"/>
      <c r="G833" s="1129"/>
      <c r="H833" s="1129"/>
      <c r="I833" s="1129"/>
      <c r="J833" s="471" t="s">
        <v>38</v>
      </c>
      <c r="K833" s="605">
        <f ca="1">INDIRECT($W$1&amp;U833)</f>
        <v>92.475690291716504</v>
      </c>
      <c r="L833" s="597" t="str">
        <f ca="1">HYPERLINK($CK$1&amp;U833,$CE$1&amp;U833&amp;$CF$1)</f>
        <v>[834]</v>
      </c>
      <c r="M833" s="545">
        <f ca="1">INDIRECT($W$1&amp;W833)</f>
        <v>92.475690291716504</v>
      </c>
      <c r="N833" s="533" t="str">
        <f ca="1">HYPERLINK($CK$1&amp;W833,$CE$1&amp;W833&amp;$CF$1)</f>
        <v>[836]</v>
      </c>
      <c r="O833" s="869">
        <v>827</v>
      </c>
      <c r="P833" s="570"/>
      <c r="Q833" s="583"/>
      <c r="R833" s="852"/>
      <c r="S833" s="784"/>
      <c r="T833" s="864"/>
      <c r="U833" s="672">
        <f>D834</f>
        <v>834</v>
      </c>
      <c r="V833" s="905" t="s">
        <v>126</v>
      </c>
      <c r="W833" s="672">
        <f>D836</f>
        <v>836</v>
      </c>
      <c r="X833" s="658"/>
      <c r="Y833" s="658"/>
      <c r="Z833" s="658"/>
      <c r="AA833" s="658"/>
      <c r="AB833" s="801"/>
      <c r="AC833" s="801"/>
      <c r="AD833" s="674"/>
      <c r="AE833" s="674"/>
      <c r="AF833" s="674"/>
      <c r="AG833" s="674"/>
      <c r="AH833" s="674"/>
      <c r="AI833" s="674"/>
      <c r="AJ833" s="674"/>
      <c r="AK833" s="674"/>
      <c r="AL833" s="674"/>
      <c r="AM833" s="674"/>
      <c r="AN833" s="674"/>
      <c r="AO833" s="674"/>
      <c r="AP833" s="674"/>
      <c r="AQ833" s="674"/>
      <c r="AR833" s="674"/>
      <c r="AS833" s="674"/>
      <c r="AT833" s="674"/>
      <c r="AU833" s="674"/>
      <c r="AV833" s="674"/>
      <c r="AX833" s="475" t="s">
        <v>244</v>
      </c>
      <c r="AY833" s="500">
        <f ca="1">DA833</f>
        <v>10.254559182513647</v>
      </c>
      <c r="AZ833" s="508" t="str">
        <f ca="1">HYPERLINK(DN833,DC833)</f>
        <v xml:space="preserve"> 235</v>
      </c>
      <c r="BA833" s="500">
        <f ca="1">DB833</f>
        <v>35</v>
      </c>
      <c r="BB833" s="508" t="str">
        <f ca="1">HYPERLINK(DO833,DD833)</f>
        <v xml:space="preserve"> 236</v>
      </c>
      <c r="BC833" s="475" t="str">
        <f ca="1">CY833&amp;" | "&amp;CZ833</f>
        <v>Brennstoffgew.
für Prozesse | 0</v>
      </c>
      <c r="BI833" s="475" t="s">
        <v>126</v>
      </c>
      <c r="BJ833" s="492" t="str">
        <f>E833</f>
        <v>Anteil Industrie und Gewerbe an PW</v>
      </c>
      <c r="BK833" s="486">
        <f ca="1">K833</f>
        <v>92.475690291716504</v>
      </c>
      <c r="BL833" s="486">
        <f ca="1">M833</f>
        <v>92.475690291716504</v>
      </c>
      <c r="BM833" s="472">
        <f>D833</f>
        <v>833</v>
      </c>
      <c r="BN833" s="658"/>
      <c r="BO833" s="475" t="s">
        <v>251</v>
      </c>
      <c r="BP833" s="521" t="s">
        <v>447</v>
      </c>
      <c r="CU833" s="476"/>
      <c r="CV833" s="658"/>
      <c r="CW833" s="518">
        <v>61</v>
      </c>
      <c r="CY833" s="472" t="str">
        <f t="shared" ref="CY833:DO833" ca="1" si="434">INDIRECT($CX$1&amp;CY$1&amp;$CW833)</f>
        <v>Brennstoffgew.
für Prozesse</v>
      </c>
      <c r="CZ833" s="472">
        <f t="shared" ca="1" si="434"/>
        <v>0</v>
      </c>
      <c r="DA833" s="472">
        <f t="shared" ca="1" si="434"/>
        <v>10.254559182513647</v>
      </c>
      <c r="DB833" s="472">
        <f t="shared" ca="1" si="434"/>
        <v>35</v>
      </c>
      <c r="DC833" s="472" t="str">
        <f t="shared" ca="1" si="434"/>
        <v xml:space="preserve"> 235</v>
      </c>
      <c r="DD833" s="472" t="str">
        <f t="shared" ca="1" si="434"/>
        <v xml:space="preserve"> 236</v>
      </c>
      <c r="DE833" s="472" t="str">
        <f t="shared" ca="1" si="434"/>
        <v>Ho99</v>
      </c>
      <c r="DF833" s="472" t="str">
        <f t="shared" ca="1" si="434"/>
        <v>Ho36</v>
      </c>
      <c r="DG833" s="472" t="str">
        <f t="shared" ca="1" si="434"/>
        <v>Ho</v>
      </c>
      <c r="DH833" s="472" t="str">
        <f t="shared" ca="1" si="434"/>
        <v>99</v>
      </c>
      <c r="DI833" s="472" t="str">
        <f t="shared" ca="1" si="434"/>
        <v>[Ho.xls]TEXT!Z99S5</v>
      </c>
      <c r="DJ833" s="472" t="str">
        <f t="shared" ca="1" si="434"/>
        <v>Ho</v>
      </c>
      <c r="DK833" s="472" t="str">
        <f t="shared" ca="1" si="434"/>
        <v>36</v>
      </c>
      <c r="DL833" s="472" t="str">
        <f t="shared" ca="1" si="434"/>
        <v>[Ho.xls]TEXT!Z36S5</v>
      </c>
      <c r="DM833" s="472">
        <f t="shared" ca="1" si="434"/>
        <v>61</v>
      </c>
      <c r="DN833" s="472" t="str">
        <f t="shared" ca="1" si="434"/>
        <v>[Region.xls]PARAMETER!Z235S6</v>
      </c>
      <c r="DO833" s="472" t="str">
        <f t="shared" ca="1" si="434"/>
        <v>[Region.xls]PARAMETER!Z236S6</v>
      </c>
      <c r="DP833" s="472"/>
      <c r="DS833" s="656"/>
      <c r="DV833" s="472"/>
      <c r="DW833" s="472"/>
      <c r="DX833" s="472"/>
      <c r="DY833" s="472"/>
      <c r="DZ833" s="472"/>
      <c r="EA833" s="472"/>
      <c r="EB833" s="472"/>
      <c r="EC833" s="472"/>
      <c r="ED833" s="472"/>
      <c r="EE833" s="472"/>
      <c r="EF833" s="472"/>
      <c r="EG833" s="472"/>
      <c r="EH833" s="472"/>
      <c r="EI833" s="472"/>
      <c r="EJ833" s="472"/>
      <c r="EK833" s="472"/>
      <c r="EV833" s="819">
        <f t="shared" si="415"/>
        <v>833</v>
      </c>
      <c r="EW833" s="819"/>
    </row>
    <row r="834" spans="1:153" s="472" customFormat="1" ht="39">
      <c r="A834" s="654" t="str">
        <f t="shared" ca="1" si="413"/>
        <v>D.1.834</v>
      </c>
      <c r="B834" s="654" t="str">
        <f t="shared" ca="1" si="414"/>
        <v>1.834</v>
      </c>
      <c r="C834" s="654" t="str">
        <f t="shared" si="417"/>
        <v>[834]</v>
      </c>
      <c r="D834" s="654">
        <f>ROW()</f>
        <v>834</v>
      </c>
      <c r="E834" s="1130" t="str">
        <f ca="1">CU834</f>
        <v>- STATUS-Ansatz: 92,5 % Industrie plus 0,0 % Handel-/Dienstleistungs-Gewerbe vom Endenergieverbrauch für Prozesswärme im Jahr 2012 gemäß Arbeitsgemeinschaft Energiebilanzen [9.28], Aufbereitung siehe [7.92]. (Der verbleibende Restanteil ist den Haushalten zuzuordnen).</v>
      </c>
      <c r="F834" s="1130"/>
      <c r="G834" s="1130"/>
      <c r="H834" s="1130"/>
      <c r="I834" s="1130"/>
      <c r="J834" s="1130"/>
      <c r="K834" s="1130"/>
      <c r="L834" s="1130"/>
      <c r="M834" s="1130"/>
      <c r="N834" s="1131"/>
      <c r="O834" s="869">
        <v>828</v>
      </c>
      <c r="P834" s="573" t="str">
        <f ca="1">HYPERLINK(EK834,EJ834)</f>
        <v>9.28</v>
      </c>
      <c r="Q834" s="646" t="str">
        <f ca="1">IF(Y834="&gt;",HYPERLINK(EO834,EN834),Y834)</f>
        <v>7.92</v>
      </c>
      <c r="R834" s="852"/>
      <c r="S834" s="784"/>
      <c r="T834" s="864"/>
      <c r="U834" s="1023" t="str">
        <f ca="1">TEXT(AD834,"0,0")&amp;" % Industrie plus "&amp;TEXT(AE834,"0,0")&amp;" % Handel-/Dienstleistungs-Gewerbe vom Endenergieverbrauch für Prozesswärme im Jahr 2012 gemäß Arbeitsgemeinschaft Energiebilanzen ["&amp;P834&amp;"], Aufbereitung siehe ["&amp;Q834&amp;"]. (Der verbleibende Restanteil ist den Haushalten zuzuordnen)."</f>
        <v>92,5 % Industrie plus 0,0 % Handel-/Dienstleistungs-Gewerbe vom Endenergieverbrauch für Prozesswärme im Jahr 2012 gemäß Arbeitsgemeinschaft Energiebilanzen [9.28], Aufbereitung siehe [7.92]. (Der verbleibende Restanteil ist den Haushalten zuzuordnen).</v>
      </c>
      <c r="V834" s="905" t="s">
        <v>126</v>
      </c>
      <c r="W834" s="1097">
        <f>AF834</f>
        <v>92.475690291716504</v>
      </c>
      <c r="X834" s="672">
        <f>'9.Quellen'!C$28</f>
        <v>28</v>
      </c>
      <c r="Y834" s="672" t="s">
        <v>479</v>
      </c>
      <c r="Z834" s="672">
        <f>'7.VerbrauchStatus'!D92</f>
        <v>92</v>
      </c>
      <c r="AA834" s="658"/>
      <c r="AB834" s="801"/>
      <c r="AC834" s="801"/>
      <c r="AD834" s="801">
        <f>'7.VerbrauchStatus'!N92</f>
        <v>92.475690291716504</v>
      </c>
      <c r="AE834" s="801">
        <f>'7.VerbrauchStatus'!N91</f>
        <v>0</v>
      </c>
      <c r="AF834" s="801">
        <f>AD834+AE834</f>
        <v>92.475690291716504</v>
      </c>
      <c r="AG834" s="801" t="str">
        <f>'7.VerbrauchStatus'!E92</f>
        <v>BS.2.49</v>
      </c>
      <c r="AH834" s="801" t="str">
        <f ca="1">'7.VerbrauchStatus'!B92</f>
        <v>7.92</v>
      </c>
      <c r="AI834" s="801"/>
      <c r="AJ834" s="801"/>
      <c r="AK834" s="801"/>
      <c r="AL834" s="801"/>
      <c r="AM834" s="801"/>
      <c r="AN834" s="801"/>
      <c r="AO834" s="801"/>
      <c r="AP834" s="801"/>
      <c r="AQ834" s="801"/>
      <c r="AR834" s="801"/>
      <c r="AS834" s="801"/>
      <c r="AT834" s="801"/>
      <c r="AU834" s="801"/>
      <c r="AV834" s="801"/>
      <c r="AY834" s="472">
        <f ca="1">AY833/AY$246%</f>
        <v>14.091645358575692</v>
      </c>
      <c r="BA834" s="472">
        <f ca="1">BA833/BA$246%</f>
        <v>100</v>
      </c>
      <c r="BF834" s="473"/>
      <c r="BI834" s="472" t="s">
        <v>126</v>
      </c>
      <c r="BJ834" s="490"/>
      <c r="BN834" s="656"/>
      <c r="BO834" s="472" t="s">
        <v>259</v>
      </c>
      <c r="CU834" s="480" t="str">
        <f ca="1">CG$1&amp;IF(U834="",BF834,U834)</f>
        <v>- STATUS-Ansatz: 92,5 % Industrie plus 0,0 % Handel-/Dienstleistungs-Gewerbe vom Endenergieverbrauch für Prozesswärme im Jahr 2012 gemäß Arbeitsgemeinschaft Energiebilanzen [9.28], Aufbereitung siehe [7.92]. (Der verbleibende Restanteil ist den Haushalten zuzuordnen).</v>
      </c>
      <c r="CV834" s="656"/>
      <c r="CW834" s="480"/>
      <c r="DS834" s="656"/>
      <c r="DT834" s="518">
        <f>I_Basisdaten!A318</f>
        <v>0</v>
      </c>
      <c r="EJ834" s="472" t="str">
        <f ca="1">IF(X834=0,"",EJ$1&amp;X834)</f>
        <v>9.28</v>
      </c>
      <c r="EK834" s="472" t="str">
        <f ca="1">EK$1&amp;X834</f>
        <v>[D_Python.xlsx]9.Quellen!C28</v>
      </c>
      <c r="EN834" s="472" t="str">
        <f ca="1">IF(Z834=0,"",EN$1&amp;Z834)</f>
        <v>7.92</v>
      </c>
      <c r="EO834" s="472" t="str">
        <f ca="1">EO$1&amp;Z834</f>
        <v>[D_Python.xlsx]7.VerbrauchStatus!D92</v>
      </c>
      <c r="EV834" s="819">
        <f t="shared" ca="1" si="415"/>
        <v>834</v>
      </c>
      <c r="EW834" s="819"/>
    </row>
    <row r="835" spans="1:153" s="478" customFormat="1" ht="4">
      <c r="A835" s="677" t="str">
        <f t="shared" ca="1" si="413"/>
        <v>D.1.835</v>
      </c>
      <c r="B835" s="677" t="str">
        <f t="shared" ca="1" si="414"/>
        <v>1.835</v>
      </c>
      <c r="C835" s="677" t="str">
        <f t="shared" si="417"/>
        <v>[835]</v>
      </c>
      <c r="D835" s="677">
        <f>ROW()</f>
        <v>835</v>
      </c>
      <c r="E835" s="528"/>
      <c r="F835" s="528"/>
      <c r="G835" s="528"/>
      <c r="H835" s="528"/>
      <c r="I835" s="527"/>
      <c r="J835" s="527"/>
      <c r="K835" s="527"/>
      <c r="L835" s="527"/>
      <c r="M835" s="527"/>
      <c r="N835" s="528"/>
      <c r="O835" s="871">
        <v>829</v>
      </c>
      <c r="P835" s="566"/>
      <c r="Q835" s="567"/>
      <c r="R835" s="888"/>
      <c r="S835" s="802"/>
      <c r="T835" s="882"/>
      <c r="U835" s="661"/>
      <c r="V835" s="661"/>
      <c r="W835" s="606"/>
      <c r="X835" s="661"/>
      <c r="Y835" s="661"/>
      <c r="Z835" s="661"/>
      <c r="AA835" s="661"/>
      <c r="AB835" s="675"/>
      <c r="AC835" s="675"/>
      <c r="AD835" s="675"/>
      <c r="AE835" s="675"/>
      <c r="AF835" s="675"/>
      <c r="AG835" s="675"/>
      <c r="AH835" s="675"/>
      <c r="AI835" s="675"/>
      <c r="AJ835" s="675"/>
      <c r="AK835" s="675"/>
      <c r="AL835" s="675"/>
      <c r="AM835" s="675"/>
      <c r="AN835" s="675"/>
      <c r="AO835" s="675"/>
      <c r="AP835" s="675"/>
      <c r="AQ835" s="675"/>
      <c r="AR835" s="675"/>
      <c r="AS835" s="675"/>
      <c r="AT835" s="675"/>
      <c r="AU835" s="675"/>
      <c r="AV835" s="675"/>
      <c r="BI835" s="478" t="s">
        <v>126</v>
      </c>
      <c r="BJ835" s="489"/>
      <c r="BN835" s="661"/>
      <c r="CU835" s="479"/>
      <c r="CV835" s="661"/>
      <c r="CW835" s="479"/>
      <c r="DS835" s="661"/>
      <c r="EV835" s="818" t="str">
        <f t="shared" si="415"/>
        <v/>
      </c>
      <c r="EW835" s="818"/>
    </row>
    <row r="836" spans="1:153" s="472" customFormat="1" ht="48" customHeight="1">
      <c r="A836" s="654" t="str">
        <f t="shared" ca="1" si="413"/>
        <v>D.1.836</v>
      </c>
      <c r="B836" s="654" t="str">
        <f t="shared" ca="1" si="414"/>
        <v>1.836</v>
      </c>
      <c r="C836" s="654" t="str">
        <f t="shared" si="417"/>
        <v>[836]</v>
      </c>
      <c r="D836" s="654">
        <f>ROW()</f>
        <v>836</v>
      </c>
      <c r="E836" s="1149" t="str">
        <f t="shared" ref="E836" si="435">CU836</f>
        <v>- ZIEL-Ansatz: Dient als Berechnungsgrundlage für das (fiktive) künftige Bedarfsniveau im Anwendungsbereich Prozesswärme in den Sektoren Industrie und Gewerbe, das sich ohne Volumen-, Effizienz-und Energiemix-Änderungen einstellen würde. Der Status-Ansatz wird methodisch bedingt unverändert übernommen.</v>
      </c>
      <c r="F836" s="1149"/>
      <c r="G836" s="1149"/>
      <c r="H836" s="1149"/>
      <c r="I836" s="1149"/>
      <c r="J836" s="1149"/>
      <c r="K836" s="1149"/>
      <c r="L836" s="1149"/>
      <c r="M836" s="1149"/>
      <c r="N836" s="1149"/>
      <c r="O836" s="869">
        <v>830</v>
      </c>
      <c r="P836" s="573" t="str">
        <f ca="1">HYPERLINK(EK836,EJ836)</f>
        <v/>
      </c>
      <c r="Q836" s="574" t="str">
        <f>Y836</f>
        <v xml:space="preserve"> </v>
      </c>
      <c r="R836" s="852"/>
      <c r="S836" s="784"/>
      <c r="T836" s="864"/>
      <c r="U836" s="1023" t="s">
        <v>782</v>
      </c>
      <c r="V836" s="905" t="s">
        <v>126</v>
      </c>
      <c r="W836" s="1097">
        <f>W834</f>
        <v>92.475690291716504</v>
      </c>
      <c r="X836" s="672"/>
      <c r="Y836" s="672" t="s">
        <v>126</v>
      </c>
      <c r="Z836" s="1025"/>
      <c r="AA836" s="905"/>
      <c r="AB836" s="801"/>
      <c r="AC836" s="801"/>
      <c r="AD836" s="801"/>
      <c r="AE836" s="801"/>
      <c r="AF836" s="801"/>
      <c r="AG836" s="801"/>
      <c r="AH836" s="801"/>
      <c r="AI836" s="801"/>
      <c r="AJ836" s="801"/>
      <c r="AK836" s="801"/>
      <c r="AL836" s="801"/>
      <c r="AM836" s="801"/>
      <c r="AN836" s="801"/>
      <c r="AO836" s="801"/>
      <c r="AP836" s="801"/>
      <c r="AQ836" s="801"/>
      <c r="AR836" s="801"/>
      <c r="AS836" s="801"/>
      <c r="AT836" s="801"/>
      <c r="AU836" s="801"/>
      <c r="AV836" s="801"/>
      <c r="BF836" s="473"/>
      <c r="BI836" s="472" t="s">
        <v>126</v>
      </c>
      <c r="BJ836" s="490"/>
      <c r="BN836" s="656"/>
      <c r="BO836" s="472" t="s">
        <v>259</v>
      </c>
      <c r="CU836" s="480" t="str">
        <f>CH$1&amp;IF(U836="",BF836,U836)</f>
        <v>- ZIEL-Ansatz: Dient als Berechnungsgrundlage für das (fiktive) künftige Bedarfsniveau im Anwendungsbereich Prozesswärme in den Sektoren Industrie und Gewerbe, das sich ohne Volumen-, Effizienz-und Energiemix-Änderungen einstellen würde. Der Status-Ansatz wird methodisch bedingt unverändert übernommen.</v>
      </c>
      <c r="CV836" s="656"/>
      <c r="CW836" s="480"/>
      <c r="DS836" s="656"/>
      <c r="DT836" s="518">
        <v>53</v>
      </c>
      <c r="EJ836" s="472" t="str">
        <f>IF(X836=0,"",EJ$1&amp;X836)</f>
        <v/>
      </c>
      <c r="EK836" s="472" t="str">
        <f ca="1">EK$1&amp;X836</f>
        <v>[D_Python.xlsx]9.Quellen!C</v>
      </c>
      <c r="EV836" s="819">
        <f t="shared" si="415"/>
        <v>836</v>
      </c>
      <c r="EW836" s="819"/>
    </row>
    <row r="837" spans="1:153" s="661" customFormat="1" ht="4">
      <c r="A837" s="677" t="str">
        <f t="shared" ca="1" si="413"/>
        <v>D.1.837</v>
      </c>
      <c r="B837" s="677" t="str">
        <f t="shared" ca="1" si="414"/>
        <v>1.837</v>
      </c>
      <c r="C837" s="677" t="str">
        <f t="shared" si="417"/>
        <v>[837]</v>
      </c>
      <c r="D837" s="677">
        <f>ROW()</f>
        <v>837</v>
      </c>
      <c r="E837" s="685"/>
      <c r="F837" s="685"/>
      <c r="G837" s="685"/>
      <c r="H837" s="685"/>
      <c r="I837" s="686"/>
      <c r="J837" s="686"/>
      <c r="K837" s="686"/>
      <c r="L837" s="686"/>
      <c r="M837" s="686"/>
      <c r="N837" s="685"/>
      <c r="O837" s="871">
        <v>831</v>
      </c>
      <c r="P837" s="693"/>
      <c r="Q837" s="694"/>
      <c r="R837" s="888"/>
      <c r="S837" s="802"/>
      <c r="T837" s="882"/>
      <c r="AB837" s="675"/>
      <c r="AC837" s="675"/>
      <c r="AD837" s="675"/>
      <c r="AE837" s="675"/>
      <c r="AF837" s="675"/>
      <c r="AG837" s="675"/>
      <c r="AH837" s="675"/>
      <c r="AI837" s="675"/>
      <c r="AJ837" s="675"/>
      <c r="AK837" s="675"/>
      <c r="AL837" s="675"/>
      <c r="AM837" s="675"/>
      <c r="AN837" s="675"/>
      <c r="AO837" s="675"/>
      <c r="AP837" s="675"/>
      <c r="AQ837" s="675"/>
      <c r="AR837" s="675"/>
      <c r="AS837" s="675"/>
      <c r="AT837" s="675"/>
      <c r="AU837" s="675"/>
      <c r="AV837" s="675"/>
      <c r="AZ837" s="669"/>
      <c r="BB837" s="669"/>
      <c r="BI837" s="661" t="s">
        <v>126</v>
      </c>
      <c r="BJ837" s="665"/>
      <c r="CU837" s="662"/>
      <c r="CW837" s="662"/>
      <c r="EV837" s="818" t="str">
        <f t="shared" si="415"/>
        <v/>
      </c>
      <c r="EW837" s="818"/>
    </row>
    <row r="838" spans="1:153" s="658" customFormat="1" ht="13.5" customHeight="1">
      <c r="A838" s="654" t="str">
        <f t="shared" ca="1" si="413"/>
        <v>D.1.838</v>
      </c>
      <c r="B838" s="654" t="str">
        <f t="shared" ca="1" si="414"/>
        <v>1.838</v>
      </c>
      <c r="C838" s="654" t="str">
        <f t="shared" si="417"/>
        <v>[838]</v>
      </c>
      <c r="D838" s="654">
        <f>ROW()</f>
        <v>838</v>
      </c>
      <c r="E838" s="1129" t="str">
        <f>BP838</f>
        <v>Zieleinfl.Materialdurchsatz/Pers.auf PW</v>
      </c>
      <c r="F838" s="1129"/>
      <c r="G838" s="1129"/>
      <c r="H838" s="1129"/>
      <c r="I838" s="1129"/>
      <c r="J838" s="655" t="s">
        <v>38</v>
      </c>
      <c r="K838" s="605">
        <f ca="1">INDIRECT($W$1&amp;U838)</f>
        <v>100</v>
      </c>
      <c r="L838" s="697" t="str">
        <f ca="1">HYPERLINK($CK$1&amp;U838,$CE$1&amp;U838&amp;$CF$1)</f>
        <v>[839]</v>
      </c>
      <c r="M838" s="683">
        <f ca="1">INDIRECT($W$1&amp;W838)</f>
        <v>100</v>
      </c>
      <c r="N838" s="681" t="str">
        <f ca="1">HYPERLINK($CK$1&amp;W838,$CE$1&amp;W838&amp;$CF$1)</f>
        <v>[841]</v>
      </c>
      <c r="O838" s="869">
        <v>832</v>
      </c>
      <c r="P838" s="690"/>
      <c r="Q838" s="695"/>
      <c r="R838" s="852"/>
      <c r="S838" s="784"/>
      <c r="T838" s="864" t="s">
        <v>725</v>
      </c>
      <c r="U838" s="672">
        <f>D839</f>
        <v>839</v>
      </c>
      <c r="V838" s="905" t="s">
        <v>126</v>
      </c>
      <c r="W838" s="672">
        <f>D841</f>
        <v>841</v>
      </c>
      <c r="AB838" s="801"/>
      <c r="AC838" s="801"/>
      <c r="AD838" s="674"/>
      <c r="AE838" s="674"/>
      <c r="AF838" s="674"/>
      <c r="AG838" s="674"/>
      <c r="AH838" s="674"/>
      <c r="AI838" s="674"/>
      <c r="AJ838" s="674"/>
      <c r="AK838" s="674"/>
      <c r="AL838" s="674"/>
      <c r="AM838" s="674"/>
      <c r="AN838" s="674"/>
      <c r="AO838" s="674"/>
      <c r="AP838" s="674"/>
      <c r="AQ838" s="674"/>
      <c r="AR838" s="674"/>
      <c r="AS838" s="674"/>
      <c r="AT838" s="674"/>
      <c r="AU838" s="674"/>
      <c r="AV838" s="674"/>
      <c r="AX838" s="658" t="s">
        <v>244</v>
      </c>
      <c r="AY838" s="668">
        <f ca="1">DA838</f>
        <v>10.254559182513647</v>
      </c>
      <c r="AZ838" s="670" t="str">
        <f ca="1">HYPERLINK(DN838,DC838)</f>
        <v xml:space="preserve"> 235</v>
      </c>
      <c r="BA838" s="668">
        <f ca="1">DB838</f>
        <v>35</v>
      </c>
      <c r="BB838" s="670" t="str">
        <f ca="1">HYPERLINK(DO838,DD838)</f>
        <v xml:space="preserve"> 236</v>
      </c>
      <c r="BC838" s="658" t="str">
        <f ca="1">CY838&amp;" | "&amp;CZ838</f>
        <v>Brennstoffgew.
für Prozesse | 0</v>
      </c>
      <c r="BI838" s="658" t="s">
        <v>126</v>
      </c>
      <c r="BJ838" s="667" t="str">
        <f>E838</f>
        <v>Zieleinfl.Materialdurchsatz/Pers.auf PW</v>
      </c>
      <c r="BK838" s="664">
        <f ca="1">K838</f>
        <v>100</v>
      </c>
      <c r="BL838" s="664">
        <f ca="1">M838</f>
        <v>100</v>
      </c>
      <c r="BM838" s="656">
        <f>D838</f>
        <v>838</v>
      </c>
      <c r="BO838" s="658" t="s">
        <v>251</v>
      </c>
      <c r="BP838" s="676" t="s">
        <v>726</v>
      </c>
      <c r="CU838" s="659"/>
      <c r="CW838" s="671">
        <v>61</v>
      </c>
      <c r="CY838" s="656" t="str">
        <f t="shared" ref="CY838:DO838" ca="1" si="436">INDIRECT($CX$1&amp;CY$1&amp;$CW838)</f>
        <v>Brennstoffgew.
für Prozesse</v>
      </c>
      <c r="CZ838" s="656">
        <f t="shared" ca="1" si="436"/>
        <v>0</v>
      </c>
      <c r="DA838" s="656">
        <f t="shared" ca="1" si="436"/>
        <v>10.254559182513647</v>
      </c>
      <c r="DB838" s="656">
        <f t="shared" ca="1" si="436"/>
        <v>35</v>
      </c>
      <c r="DC838" s="656" t="str">
        <f t="shared" ca="1" si="436"/>
        <v xml:space="preserve"> 235</v>
      </c>
      <c r="DD838" s="656" t="str">
        <f t="shared" ca="1" si="436"/>
        <v xml:space="preserve"> 236</v>
      </c>
      <c r="DE838" s="656" t="str">
        <f t="shared" ca="1" si="436"/>
        <v>Ho99</v>
      </c>
      <c r="DF838" s="656" t="str">
        <f t="shared" ca="1" si="436"/>
        <v>Ho36</v>
      </c>
      <c r="DG838" s="656" t="str">
        <f t="shared" ca="1" si="436"/>
        <v>Ho</v>
      </c>
      <c r="DH838" s="656" t="str">
        <f t="shared" ca="1" si="436"/>
        <v>99</v>
      </c>
      <c r="DI838" s="656" t="str">
        <f t="shared" ca="1" si="436"/>
        <v>[Ho.xls]TEXT!Z99S5</v>
      </c>
      <c r="DJ838" s="656" t="str">
        <f t="shared" ca="1" si="436"/>
        <v>Ho</v>
      </c>
      <c r="DK838" s="656" t="str">
        <f t="shared" ca="1" si="436"/>
        <v>36</v>
      </c>
      <c r="DL838" s="656" t="str">
        <f t="shared" ca="1" si="436"/>
        <v>[Ho.xls]TEXT!Z36S5</v>
      </c>
      <c r="DM838" s="656">
        <f t="shared" ca="1" si="436"/>
        <v>61</v>
      </c>
      <c r="DN838" s="656" t="str">
        <f t="shared" ca="1" si="436"/>
        <v>[Region.xls]PARAMETER!Z235S6</v>
      </c>
      <c r="DO838" s="656" t="str">
        <f t="shared" ca="1" si="436"/>
        <v>[Region.xls]PARAMETER!Z236S6</v>
      </c>
      <c r="DP838" s="656"/>
      <c r="DS838" s="656"/>
      <c r="DV838" s="656"/>
      <c r="DW838" s="656"/>
      <c r="DX838" s="656"/>
      <c r="DY838" s="656"/>
      <c r="DZ838" s="656"/>
      <c r="EA838" s="656"/>
      <c r="EB838" s="656"/>
      <c r="EC838" s="656"/>
      <c r="ED838" s="656"/>
      <c r="EE838" s="656"/>
      <c r="EF838" s="656"/>
      <c r="EG838" s="656"/>
      <c r="EH838" s="656"/>
      <c r="EI838" s="656"/>
      <c r="EJ838" s="656"/>
      <c r="EK838" s="656"/>
      <c r="EV838" s="819">
        <f t="shared" si="415"/>
        <v>838</v>
      </c>
      <c r="EW838" s="819"/>
    </row>
    <row r="839" spans="1:153" s="656" customFormat="1" ht="52">
      <c r="A839" s="654" t="str">
        <f t="shared" ca="1" si="413"/>
        <v>D.1.839</v>
      </c>
      <c r="B839" s="654" t="str">
        <f t="shared" ca="1" si="414"/>
        <v>1.839</v>
      </c>
      <c r="C839" s="654" t="str">
        <f t="shared" si="417"/>
        <v>[839]</v>
      </c>
      <c r="D839" s="654">
        <f>ROW()</f>
        <v>839</v>
      </c>
      <c r="E839" s="1130" t="str">
        <f>CU839</f>
        <v>- STATUS-Ansatz: Repräsentiert den Status des spezifischen Prozesswärmeverbrauchs pro Person im Durchschnitt über alle Prozesse im produzierenden Gewerbe (Sektoren Industrie einschließlich Baugewerbe als Teil des Sektors 'Gewerbe/Handel/Dienstleistungen'). Dient als Referenz für den im Ziel durch wirtschaftliche Entwicklung veränderten Energiebedarf.</v>
      </c>
      <c r="F839" s="1130"/>
      <c r="G839" s="1130"/>
      <c r="H839" s="1130"/>
      <c r="I839" s="1130"/>
      <c r="J839" s="1130"/>
      <c r="K839" s="1130"/>
      <c r="L839" s="1130"/>
      <c r="M839" s="1130"/>
      <c r="N839" s="1131"/>
      <c r="O839" s="869">
        <v>833</v>
      </c>
      <c r="P839" s="691" t="str">
        <f ca="1">HYPERLINK(EK839,EJ839)</f>
        <v/>
      </c>
      <c r="Q839" s="692" t="str">
        <f>Y839</f>
        <v xml:space="preserve"> </v>
      </c>
      <c r="R839" s="852"/>
      <c r="S839" s="784"/>
      <c r="T839" s="864"/>
      <c r="U839" s="1023" t="s">
        <v>1042</v>
      </c>
      <c r="V839" s="905" t="s">
        <v>126</v>
      </c>
      <c r="W839" s="1097">
        <v>100</v>
      </c>
      <c r="X839" s="672"/>
      <c r="Y839" s="672" t="s">
        <v>126</v>
      </c>
      <c r="Z839" s="1025"/>
      <c r="AA839" s="658"/>
      <c r="AB839" s="801"/>
      <c r="AC839" s="801"/>
      <c r="AD839" s="801"/>
      <c r="AE839" s="801"/>
      <c r="AF839" s="801"/>
      <c r="AG839" s="801"/>
      <c r="AH839" s="801"/>
      <c r="AI839" s="801"/>
      <c r="AJ839" s="801"/>
      <c r="AK839" s="801"/>
      <c r="AL839" s="801"/>
      <c r="AM839" s="801"/>
      <c r="AN839" s="801"/>
      <c r="AO839" s="801"/>
      <c r="AP839" s="801"/>
      <c r="AQ839" s="801"/>
      <c r="AR839" s="801"/>
      <c r="AS839" s="801"/>
      <c r="AT839" s="801"/>
      <c r="AU839" s="801"/>
      <c r="AV839" s="801"/>
      <c r="AY839" s="656">
        <f ca="1">AY838/AY$246%</f>
        <v>14.091645358575692</v>
      </c>
      <c r="BA839" s="656">
        <f ca="1">BA838/BA$246%</f>
        <v>100</v>
      </c>
      <c r="BF839" s="657"/>
      <c r="BI839" s="656" t="s">
        <v>126</v>
      </c>
      <c r="BJ839" s="666"/>
      <c r="BO839" s="656" t="s">
        <v>259</v>
      </c>
      <c r="CU839" s="663" t="str">
        <f>CG$1&amp;IF(U839="",BF839,U839)</f>
        <v>- STATUS-Ansatz: Repräsentiert den Status des spezifischen Prozesswärmeverbrauchs pro Person im Durchschnitt über alle Prozesse im produzierenden Gewerbe (Sektoren Industrie einschließlich Baugewerbe als Teil des Sektors 'Gewerbe/Handel/Dienstleistungen'). Dient als Referenz für den im Ziel durch wirtschaftliche Entwicklung veränderten Energiebedarf.</v>
      </c>
      <c r="CW839" s="663"/>
      <c r="DT839" s="671">
        <f>I_Basisdaten!A400</f>
        <v>0</v>
      </c>
      <c r="EJ839" s="656" t="str">
        <f>IF(X839=0,"",EJ$1&amp;X839)</f>
        <v/>
      </c>
      <c r="EK839" s="656" t="str">
        <f ca="1">EK$1&amp;X839</f>
        <v>[D_Python.xlsx]9.Quellen!C</v>
      </c>
      <c r="EV839" s="819">
        <f t="shared" si="415"/>
        <v>839</v>
      </c>
      <c r="EW839" s="819"/>
    </row>
    <row r="840" spans="1:153" s="661" customFormat="1" ht="4">
      <c r="A840" s="677" t="str">
        <f t="shared" ca="1" si="413"/>
        <v>D.1.840</v>
      </c>
      <c r="B840" s="677" t="str">
        <f t="shared" ca="1" si="414"/>
        <v>1.840</v>
      </c>
      <c r="C840" s="677" t="str">
        <f t="shared" si="417"/>
        <v>[840]</v>
      </c>
      <c r="D840" s="677">
        <f>ROW()</f>
        <v>840</v>
      </c>
      <c r="E840" s="680"/>
      <c r="F840" s="680"/>
      <c r="G840" s="680"/>
      <c r="H840" s="680"/>
      <c r="I840" s="679"/>
      <c r="J840" s="679"/>
      <c r="K840" s="679"/>
      <c r="L840" s="679"/>
      <c r="M840" s="679"/>
      <c r="N840" s="680"/>
      <c r="O840" s="871">
        <v>834</v>
      </c>
      <c r="P840" s="688"/>
      <c r="Q840" s="689"/>
      <c r="R840" s="888"/>
      <c r="S840" s="802"/>
      <c r="T840" s="882"/>
      <c r="W840" s="606"/>
      <c r="AB840" s="675"/>
      <c r="AC840" s="675"/>
      <c r="AD840" s="675"/>
      <c r="AE840" s="675"/>
      <c r="AF840" s="675"/>
      <c r="AG840" s="675"/>
      <c r="AH840" s="675"/>
      <c r="AI840" s="675"/>
      <c r="AJ840" s="675"/>
      <c r="AK840" s="675"/>
      <c r="AL840" s="675"/>
      <c r="AM840" s="675"/>
      <c r="AN840" s="675"/>
      <c r="AO840" s="675"/>
      <c r="AP840" s="675"/>
      <c r="AQ840" s="675"/>
      <c r="AR840" s="675"/>
      <c r="AS840" s="675"/>
      <c r="AT840" s="675"/>
      <c r="AU840" s="675"/>
      <c r="AV840" s="675"/>
      <c r="BI840" s="661" t="s">
        <v>126</v>
      </c>
      <c r="BJ840" s="665"/>
      <c r="CU840" s="662"/>
      <c r="CW840" s="662"/>
      <c r="EV840" s="818" t="str">
        <f t="shared" si="415"/>
        <v/>
      </c>
      <c r="EW840" s="818"/>
    </row>
    <row r="841" spans="1:153" s="656" customFormat="1" ht="78">
      <c r="A841" s="654" t="str">
        <f t="shared" ca="1" si="413"/>
        <v>D.1.841</v>
      </c>
      <c r="B841" s="654" t="str">
        <f t="shared" ca="1" si="414"/>
        <v>1.841</v>
      </c>
      <c r="C841" s="654" t="str">
        <f t="shared" si="417"/>
        <v>[841]</v>
      </c>
      <c r="D841" s="654">
        <f>ROW()</f>
        <v>841</v>
      </c>
      <c r="E841" s="1125" t="str">
        <f t="shared" ref="E841" si="437">CU841</f>
        <v>- ZIEL-Ansatz: Es wird angenommen, dass die wirtschaftliche Entwicklung im produzierenden Gewerbe (Sektor Industrie einschließlich Baugewerbe als Teil des Sektors Gewerbe/Handel/Dienstleistungen) sich mit halber Intensität auf den Prozesswärmebedarf in diesem Bereich auswirkt. Hintergrund für diese Annahme ist eine weiter zurückgehende Materialintensität der künftigen Produktpalette, wie dies beispielsweise in der Datenverarbeitung mit dem Trend zu immer kleineren Geräten zu beobachten ist. Diese Annahme ist allerdings mit großen Unsicherheiten behaftet.</v>
      </c>
      <c r="F841" s="1125"/>
      <c r="G841" s="1125"/>
      <c r="H841" s="1125"/>
      <c r="I841" s="1125"/>
      <c r="J841" s="1125"/>
      <c r="K841" s="1125"/>
      <c r="L841" s="1125"/>
      <c r="M841" s="1125"/>
      <c r="N841" s="1125"/>
      <c r="O841" s="869">
        <v>835</v>
      </c>
      <c r="P841" s="691" t="str">
        <f ca="1">HYPERLINK(EK841,EJ841)</f>
        <v/>
      </c>
      <c r="Q841" s="692" t="str">
        <f>Y841</f>
        <v xml:space="preserve"> </v>
      </c>
      <c r="R841" s="852"/>
      <c r="S841" s="784"/>
      <c r="T841" s="864"/>
      <c r="U841" s="1023" t="str">
        <f>"Es wird angenommen, dass die wirtschaftliche Entwicklung im produzierenden Gewerbe (Sektor Industrie einschließlich Baugewerbe als Teil des Sektors Gewerbe/Handel/Dienstleistungen) "&amp;"sich mit halber Intensität auf den Prozesswärmebedarf in diesem Bereich auswirkt."&amp;" Hintergrund für diese Annahme ist eine weiter zurückgehende Materialintensität der künftigen Produktpalette, wie dies beispielsweise in der Datenverarbeitung mit dem Trend zu immer kleineren Geräten zu beobachten ist. "&amp;"Diese Annahme ist allerdings mit großen Unsicherheiten behaftet."</f>
        <v>Es wird angenommen, dass die wirtschaftliche Entwicklung im produzierenden Gewerbe (Sektor Industrie einschließlich Baugewerbe als Teil des Sektors Gewerbe/Handel/Dienstleistungen) sich mit halber Intensität auf den Prozesswärmebedarf in diesem Bereich auswirkt. Hintergrund für diese Annahme ist eine weiter zurückgehende Materialintensität der künftigen Produktpalette, wie dies beispielsweise in der Datenverarbeitung mit dem Trend zu immer kleineren Geräten zu beobachten ist. Diese Annahme ist allerdings mit großen Unsicherheiten behaftet.</v>
      </c>
      <c r="V841" s="905" t="s">
        <v>126</v>
      </c>
      <c r="W841" s="778">
        <v>100</v>
      </c>
      <c r="X841" s="672"/>
      <c r="Y841" s="672" t="s">
        <v>126</v>
      </c>
      <c r="Z841" s="1025"/>
      <c r="AA841" s="905"/>
      <c r="AB841" s="801"/>
      <c r="AC841" s="1020"/>
      <c r="AD841" s="801"/>
      <c r="AE841" s="801"/>
      <c r="AF841" s="801"/>
      <c r="AG841" s="801"/>
      <c r="AH841" s="801"/>
      <c r="AI841" s="801"/>
      <c r="AJ841" s="801"/>
      <c r="AK841" s="801"/>
      <c r="AL841" s="801"/>
      <c r="AM841" s="801"/>
      <c r="AN841" s="801"/>
      <c r="AO841" s="801"/>
      <c r="AP841" s="801"/>
      <c r="AQ841" s="801"/>
      <c r="AR841" s="801"/>
      <c r="AS841" s="801"/>
      <c r="AT841" s="801"/>
      <c r="AU841" s="801"/>
      <c r="AV841" s="801"/>
      <c r="BF841" s="657"/>
      <c r="BI841" s="656" t="s">
        <v>126</v>
      </c>
      <c r="BJ841" s="666"/>
      <c r="BO841" s="656" t="s">
        <v>259</v>
      </c>
      <c r="CU841" s="663" t="str">
        <f>CH$1&amp;IF(U841="",BF841,U841)</f>
        <v>- ZIEL-Ansatz: Es wird angenommen, dass die wirtschaftliche Entwicklung im produzierenden Gewerbe (Sektor Industrie einschließlich Baugewerbe als Teil des Sektors Gewerbe/Handel/Dienstleistungen) sich mit halber Intensität auf den Prozesswärmebedarf in diesem Bereich auswirkt. Hintergrund für diese Annahme ist eine weiter zurückgehende Materialintensität der künftigen Produktpalette, wie dies beispielsweise in der Datenverarbeitung mit dem Trend zu immer kleineren Geräten zu beobachten ist. Diese Annahme ist allerdings mit großen Unsicherheiten behaftet.</v>
      </c>
      <c r="CW841" s="663"/>
      <c r="DT841" s="671">
        <v>53</v>
      </c>
      <c r="EJ841" s="656" t="str">
        <f>IF(X841=0,"",EJ$1&amp;X841)</f>
        <v/>
      </c>
      <c r="EK841" s="656" t="str">
        <f ca="1">EK$1&amp;X841</f>
        <v>[D_Python.xlsx]9.Quellen!C</v>
      </c>
      <c r="EV841" s="819">
        <f t="shared" si="415"/>
        <v>841</v>
      </c>
      <c r="EW841" s="819"/>
    </row>
    <row r="842" spans="1:153" s="478" customFormat="1" ht="4">
      <c r="A842" s="677" t="str">
        <f t="shared" ca="1" si="413"/>
        <v>D.1.842</v>
      </c>
      <c r="B842" s="677" t="str">
        <f t="shared" ca="1" si="414"/>
        <v>1.842</v>
      </c>
      <c r="C842" s="677" t="str">
        <f t="shared" si="417"/>
        <v>[842]</v>
      </c>
      <c r="D842" s="677">
        <f>ROW()</f>
        <v>842</v>
      </c>
      <c r="E842" s="548"/>
      <c r="F842" s="548"/>
      <c r="G842" s="548"/>
      <c r="H842" s="548"/>
      <c r="I842" s="549"/>
      <c r="J842" s="549"/>
      <c r="K842" s="549"/>
      <c r="L842" s="549"/>
      <c r="M842" s="549"/>
      <c r="N842" s="548"/>
      <c r="O842" s="871">
        <v>836</v>
      </c>
      <c r="P842" s="575"/>
      <c r="Q842" s="576"/>
      <c r="R842" s="888"/>
      <c r="S842" s="802"/>
      <c r="T842" s="882"/>
      <c r="U842" s="661"/>
      <c r="V842" s="661"/>
      <c r="W842" s="661"/>
      <c r="X842" s="661"/>
      <c r="Y842" s="661"/>
      <c r="Z842" s="661"/>
      <c r="AA842" s="661"/>
      <c r="AB842" s="675"/>
      <c r="AC842" s="675"/>
      <c r="AD842" s="675"/>
      <c r="AE842" s="675"/>
      <c r="AF842" s="675"/>
      <c r="AG842" s="675"/>
      <c r="AH842" s="675"/>
      <c r="AI842" s="675"/>
      <c r="AJ842" s="675"/>
      <c r="AK842" s="675"/>
      <c r="AL842" s="675"/>
      <c r="AM842" s="675"/>
      <c r="AN842" s="675"/>
      <c r="AO842" s="675"/>
      <c r="AP842" s="675"/>
      <c r="AQ842" s="675"/>
      <c r="AR842" s="675"/>
      <c r="AS842" s="675"/>
      <c r="AT842" s="675"/>
      <c r="AU842" s="675"/>
      <c r="AV842" s="675"/>
      <c r="AZ842" s="505"/>
      <c r="BB842" s="505"/>
      <c r="BI842" s="478" t="s">
        <v>126</v>
      </c>
      <c r="BJ842" s="489"/>
      <c r="BN842" s="661"/>
      <c r="CU842" s="479"/>
      <c r="CV842" s="661"/>
      <c r="CW842" s="479"/>
      <c r="DS842" s="661"/>
      <c r="EV842" s="818" t="str">
        <f t="shared" si="415"/>
        <v/>
      </c>
      <c r="EW842" s="818"/>
    </row>
    <row r="843" spans="1:153" s="475" customFormat="1" ht="13.5" customHeight="1">
      <c r="A843" s="654" t="str">
        <f t="shared" ca="1" si="413"/>
        <v>D.1.843</v>
      </c>
      <c r="B843" s="654" t="str">
        <f t="shared" ca="1" si="414"/>
        <v>1.843</v>
      </c>
      <c r="C843" s="654" t="str">
        <f t="shared" si="417"/>
        <v>[843]</v>
      </c>
      <c r="D843" s="654">
        <f>ROW()</f>
        <v>843</v>
      </c>
      <c r="E843" s="1129" t="str">
        <f>BP843</f>
        <v>Zieleinfluss Prozess-Effizienz Ind./Gew. auf PW</v>
      </c>
      <c r="F843" s="1129"/>
      <c r="G843" s="1129"/>
      <c r="H843" s="1129"/>
      <c r="I843" s="1129"/>
      <c r="J843" s="471" t="s">
        <v>38</v>
      </c>
      <c r="K843" s="605">
        <f ca="1">INDIRECT($W$1&amp;U843)</f>
        <v>100</v>
      </c>
      <c r="L843" s="597" t="str">
        <f ca="1">HYPERLINK($CK$1&amp;U843,$CE$1&amp;U843&amp;$CF$1)</f>
        <v>[844]</v>
      </c>
      <c r="M843" s="545">
        <f ca="1">INDIRECT($W$1&amp;W843)</f>
        <v>80</v>
      </c>
      <c r="N843" s="533" t="str">
        <f ca="1">HYPERLINK($CK$1&amp;W843,$CE$1&amp;W843&amp;$CF$1)</f>
        <v>[846]</v>
      </c>
      <c r="O843" s="869">
        <v>837</v>
      </c>
      <c r="P843" s="570"/>
      <c r="Q843" s="583"/>
      <c r="R843" s="852"/>
      <c r="S843" s="784"/>
      <c r="T843" s="864"/>
      <c r="U843" s="672">
        <f>D844</f>
        <v>844</v>
      </c>
      <c r="V843" s="905" t="s">
        <v>126</v>
      </c>
      <c r="W843" s="672">
        <f>D846</f>
        <v>846</v>
      </c>
      <c r="X843" s="658"/>
      <c r="Y843" s="658"/>
      <c r="Z843" s="658"/>
      <c r="AA843" s="658"/>
      <c r="AB843" s="801"/>
      <c r="AC843" s="801"/>
      <c r="AD843" s="674"/>
      <c r="AE843" s="674"/>
      <c r="AF843" s="674"/>
      <c r="AG843" s="674"/>
      <c r="AH843" s="674"/>
      <c r="AI843" s="674"/>
      <c r="AJ843" s="674"/>
      <c r="AK843" s="674"/>
      <c r="AL843" s="674"/>
      <c r="AM843" s="674"/>
      <c r="AN843" s="674"/>
      <c r="AO843" s="674"/>
      <c r="AP843" s="674"/>
      <c r="AQ843" s="674"/>
      <c r="AR843" s="674"/>
      <c r="AS843" s="674"/>
      <c r="AT843" s="674"/>
      <c r="AU843" s="674"/>
      <c r="AV843" s="674"/>
      <c r="AX843" s="475" t="s">
        <v>244</v>
      </c>
      <c r="AY843" s="500">
        <f ca="1">DA843</f>
        <v>10.254559182513647</v>
      </c>
      <c r="AZ843" s="508" t="str">
        <f ca="1">HYPERLINK(DN843,DC843)</f>
        <v xml:space="preserve"> 235</v>
      </c>
      <c r="BA843" s="500">
        <f ca="1">DB843</f>
        <v>35</v>
      </c>
      <c r="BB843" s="508" t="str">
        <f ca="1">HYPERLINK(DO843,DD843)</f>
        <v xml:space="preserve"> 236</v>
      </c>
      <c r="BC843" s="475" t="str">
        <f ca="1">CY843&amp;" | "&amp;CZ843</f>
        <v>Brennstoffgew.
für Prozesse | 0</v>
      </c>
      <c r="BI843" s="475" t="s">
        <v>126</v>
      </c>
      <c r="BJ843" s="492" t="str">
        <f>E843</f>
        <v>Zieleinfluss Prozess-Effizienz Ind./Gew. auf PW</v>
      </c>
      <c r="BK843" s="486">
        <f ca="1">K843</f>
        <v>100</v>
      </c>
      <c r="BL843" s="486">
        <f ca="1">M843</f>
        <v>80</v>
      </c>
      <c r="BM843" s="472">
        <f>D843</f>
        <v>843</v>
      </c>
      <c r="BN843" s="658"/>
      <c r="BO843" s="475" t="s">
        <v>251</v>
      </c>
      <c r="BP843" s="521" t="s">
        <v>489</v>
      </c>
      <c r="CU843" s="476"/>
      <c r="CV843" s="658"/>
      <c r="CW843" s="518">
        <v>61</v>
      </c>
      <c r="CY843" s="472" t="str">
        <f t="shared" ref="CY843:DO843" ca="1" si="438">INDIRECT($CX$1&amp;CY$1&amp;$CW843)</f>
        <v>Brennstoffgew.
für Prozesse</v>
      </c>
      <c r="CZ843" s="472">
        <f t="shared" ca="1" si="438"/>
        <v>0</v>
      </c>
      <c r="DA843" s="472">
        <f t="shared" ca="1" si="438"/>
        <v>10.254559182513647</v>
      </c>
      <c r="DB843" s="472">
        <f t="shared" ca="1" si="438"/>
        <v>35</v>
      </c>
      <c r="DC843" s="472" t="str">
        <f t="shared" ca="1" si="438"/>
        <v xml:space="preserve"> 235</v>
      </c>
      <c r="DD843" s="472" t="str">
        <f t="shared" ca="1" si="438"/>
        <v xml:space="preserve"> 236</v>
      </c>
      <c r="DE843" s="472" t="str">
        <f t="shared" ca="1" si="438"/>
        <v>Ho99</v>
      </c>
      <c r="DF843" s="472" t="str">
        <f t="shared" ca="1" si="438"/>
        <v>Ho36</v>
      </c>
      <c r="DG843" s="472" t="str">
        <f t="shared" ca="1" si="438"/>
        <v>Ho</v>
      </c>
      <c r="DH843" s="472" t="str">
        <f t="shared" ca="1" si="438"/>
        <v>99</v>
      </c>
      <c r="DI843" s="472" t="str">
        <f t="shared" ca="1" si="438"/>
        <v>[Ho.xls]TEXT!Z99S5</v>
      </c>
      <c r="DJ843" s="472" t="str">
        <f t="shared" ca="1" si="438"/>
        <v>Ho</v>
      </c>
      <c r="DK843" s="472" t="str">
        <f t="shared" ca="1" si="438"/>
        <v>36</v>
      </c>
      <c r="DL843" s="472" t="str">
        <f t="shared" ca="1" si="438"/>
        <v>[Ho.xls]TEXT!Z36S5</v>
      </c>
      <c r="DM843" s="472">
        <f t="shared" ca="1" si="438"/>
        <v>61</v>
      </c>
      <c r="DN843" s="472" t="str">
        <f t="shared" ca="1" si="438"/>
        <v>[Region.xls]PARAMETER!Z235S6</v>
      </c>
      <c r="DO843" s="472" t="str">
        <f t="shared" ca="1" si="438"/>
        <v>[Region.xls]PARAMETER!Z236S6</v>
      </c>
      <c r="DP843" s="472"/>
      <c r="DS843" s="656"/>
      <c r="DV843" s="472"/>
      <c r="DW843" s="472"/>
      <c r="DX843" s="472"/>
      <c r="DY843" s="472"/>
      <c r="DZ843" s="472"/>
      <c r="EA843" s="472"/>
      <c r="EB843" s="472"/>
      <c r="EC843" s="472"/>
      <c r="ED843" s="472"/>
      <c r="EE843" s="472"/>
      <c r="EF843" s="472"/>
      <c r="EG843" s="472"/>
      <c r="EH843" s="472"/>
      <c r="EI843" s="472"/>
      <c r="EJ843" s="472"/>
      <c r="EK843" s="472"/>
      <c r="EV843" s="819">
        <f t="shared" si="415"/>
        <v>843</v>
      </c>
      <c r="EW843" s="819"/>
    </row>
    <row r="844" spans="1:153" s="472" customFormat="1" ht="39">
      <c r="A844" s="654" t="str">
        <f t="shared" ca="1" si="413"/>
        <v>D.1.844</v>
      </c>
      <c r="B844" s="654" t="str">
        <f t="shared" ca="1" si="414"/>
        <v>1.844</v>
      </c>
      <c r="C844" s="654" t="str">
        <f t="shared" si="417"/>
        <v>[844]</v>
      </c>
      <c r="D844" s="654">
        <f>ROW()</f>
        <v>844</v>
      </c>
      <c r="E844" s="1130" t="str">
        <f>CU844</f>
        <v>- STATUS-Ansatz: Repräsentiert den Status der Energieintensität (Prozesswärmebedarf pro Güterproduktion) im Durchschnitt über alle industriellen und gewerblichen Prozesse. Dient als Referenz für den im Ziel durch Effizienzsteigerung gesenkten Energiebedarf.</v>
      </c>
      <c r="F844" s="1130"/>
      <c r="G844" s="1130"/>
      <c r="H844" s="1130"/>
      <c r="I844" s="1130"/>
      <c r="J844" s="1130"/>
      <c r="K844" s="1130"/>
      <c r="L844" s="1130"/>
      <c r="M844" s="1130"/>
      <c r="N844" s="1131"/>
      <c r="O844" s="869">
        <v>838</v>
      </c>
      <c r="P844" s="573" t="str">
        <f ca="1">HYPERLINK(EK844,EJ844)</f>
        <v/>
      </c>
      <c r="Q844" s="574" t="str">
        <f>Y844</f>
        <v xml:space="preserve"> </v>
      </c>
      <c r="R844" s="852"/>
      <c r="S844" s="784"/>
      <c r="T844" s="864"/>
      <c r="U844" s="1023" t="s">
        <v>468</v>
      </c>
      <c r="V844" s="905" t="s">
        <v>126</v>
      </c>
      <c r="W844" s="1097">
        <v>100</v>
      </c>
      <c r="X844" s="672"/>
      <c r="Y844" s="672" t="s">
        <v>126</v>
      </c>
      <c r="Z844" s="1025"/>
      <c r="AA844" s="658"/>
      <c r="AB844" s="801"/>
      <c r="AC844" s="801"/>
      <c r="AD844" s="801"/>
      <c r="AE844" s="801"/>
      <c r="AF844" s="801"/>
      <c r="AG844" s="801"/>
      <c r="AH844" s="801"/>
      <c r="AI844" s="801"/>
      <c r="AJ844" s="801"/>
      <c r="AK844" s="801"/>
      <c r="AL844" s="801"/>
      <c r="AM844" s="801"/>
      <c r="AN844" s="801"/>
      <c r="AO844" s="801"/>
      <c r="AP844" s="801"/>
      <c r="AQ844" s="801"/>
      <c r="AR844" s="801"/>
      <c r="AS844" s="801"/>
      <c r="AT844" s="801"/>
      <c r="AU844" s="801"/>
      <c r="AV844" s="801"/>
      <c r="AY844" s="472">
        <f ca="1">AY843/AY$246%</f>
        <v>14.091645358575692</v>
      </c>
      <c r="BA844" s="472">
        <f ca="1">BA843/BA$246%</f>
        <v>100</v>
      </c>
      <c r="BF844" s="473"/>
      <c r="BI844" s="472" t="s">
        <v>126</v>
      </c>
      <c r="BJ844" s="490"/>
      <c r="BN844" s="656"/>
      <c r="BO844" s="472" t="s">
        <v>259</v>
      </c>
      <c r="CU844" s="480" t="str">
        <f>CG$1&amp;IF(U844="",BF844,U844)</f>
        <v>- STATUS-Ansatz: Repräsentiert den Status der Energieintensität (Prozesswärmebedarf pro Güterproduktion) im Durchschnitt über alle industriellen und gewerblichen Prozesse. Dient als Referenz für den im Ziel durch Effizienzsteigerung gesenkten Energiebedarf.</v>
      </c>
      <c r="CV844" s="656"/>
      <c r="CW844" s="480"/>
      <c r="DS844" s="656"/>
      <c r="DT844" s="518">
        <f>I_Basisdaten!A323</f>
        <v>0</v>
      </c>
      <c r="EJ844" s="472" t="str">
        <f>IF(X844=0,"",EJ$1&amp;X844)</f>
        <v/>
      </c>
      <c r="EK844" s="472" t="str">
        <f ca="1">EK$1&amp;X844</f>
        <v>[D_Python.xlsx]9.Quellen!C</v>
      </c>
      <c r="EV844" s="819">
        <f t="shared" si="415"/>
        <v>844</v>
      </c>
      <c r="EW844" s="819"/>
    </row>
    <row r="845" spans="1:153" s="478" customFormat="1" ht="4">
      <c r="A845" s="677" t="str">
        <f t="shared" ca="1" si="413"/>
        <v>D.1.845</v>
      </c>
      <c r="B845" s="677" t="str">
        <f t="shared" ca="1" si="414"/>
        <v>1.845</v>
      </c>
      <c r="C845" s="677" t="str">
        <f t="shared" si="417"/>
        <v>[845]</v>
      </c>
      <c r="D845" s="677">
        <f>ROW()</f>
        <v>845</v>
      </c>
      <c r="E845" s="528"/>
      <c r="F845" s="528"/>
      <c r="G845" s="528"/>
      <c r="H845" s="528"/>
      <c r="I845" s="527"/>
      <c r="J845" s="527"/>
      <c r="K845" s="527"/>
      <c r="L845" s="527"/>
      <c r="M845" s="527"/>
      <c r="N845" s="528"/>
      <c r="O845" s="871">
        <v>839</v>
      </c>
      <c r="P845" s="566"/>
      <c r="Q845" s="567"/>
      <c r="R845" s="888"/>
      <c r="S845" s="802"/>
      <c r="T845" s="882"/>
      <c r="U845" s="661"/>
      <c r="V845" s="661"/>
      <c r="W845" s="606"/>
      <c r="X845" s="661"/>
      <c r="Y845" s="661"/>
      <c r="Z845" s="661"/>
      <c r="AA845" s="661"/>
      <c r="AB845" s="675"/>
      <c r="AC845" s="675"/>
      <c r="AD845" s="675"/>
      <c r="AE845" s="675"/>
      <c r="AF845" s="675"/>
      <c r="AG845" s="675"/>
      <c r="AH845" s="675"/>
      <c r="AI845" s="675"/>
      <c r="AJ845" s="675"/>
      <c r="AK845" s="675"/>
      <c r="AL845" s="675"/>
      <c r="AM845" s="675"/>
      <c r="AN845" s="675"/>
      <c r="AO845" s="675"/>
      <c r="AP845" s="675"/>
      <c r="AQ845" s="675"/>
      <c r="AR845" s="675"/>
      <c r="AS845" s="675"/>
      <c r="AT845" s="675"/>
      <c r="AU845" s="675"/>
      <c r="AV845" s="675"/>
      <c r="BI845" s="478" t="s">
        <v>126</v>
      </c>
      <c r="BJ845" s="489"/>
      <c r="BN845" s="661"/>
      <c r="CU845" s="479"/>
      <c r="CV845" s="661"/>
      <c r="CW845" s="479"/>
      <c r="DS845" s="661"/>
      <c r="EV845" s="818" t="str">
        <f t="shared" si="415"/>
        <v/>
      </c>
      <c r="EW845" s="818"/>
    </row>
    <row r="846" spans="1:153" s="472" customFormat="1" ht="91">
      <c r="A846" s="654" t="str">
        <f t="shared" ca="1" si="413"/>
        <v>D.1.846</v>
      </c>
      <c r="B846" s="654" t="str">
        <f t="shared" ca="1" si="414"/>
        <v>1.846</v>
      </c>
      <c r="C846" s="654" t="str">
        <f t="shared" si="417"/>
        <v>[846]</v>
      </c>
      <c r="D846" s="654">
        <f>ROW()</f>
        <v>846</v>
      </c>
      <c r="E846" s="1132" t="str">
        <f>CU846</f>
        <v>- ZIEL-Ansatz: Die Übernahme der Ergebnisse eines älteren Forschungsberichtes mit einem ermittelten technischen Gesamt-Minderungspotenzial bei Prozesswärme von 35,6% [848] wird wegen des abgelaufenen Betrachtungshorizonts verworfen. Es ist davon auszugehen, dass die wesentlichen Teile des Potenzials im Statusjahr 2012 bereits erschlossen waren. Die im Bereich Prozesswärme weniger detailliert gestaltete Folgestudie [847] lässt vermuten, dass die über den Betrachtungshorizont 2016 hinausgehenden weiteren Potenziale deutlich geringer sind. Da zurzeit konkret verwertbare Erkenntnisse nicht vorliegen, wird hier eine moderate Bedarfsminderung um 20% auf 80% im Zieljahr geschätzt.</v>
      </c>
      <c r="F846" s="1132"/>
      <c r="G846" s="1132"/>
      <c r="H846" s="1132"/>
      <c r="I846" s="1132"/>
      <c r="J846" s="1132"/>
      <c r="K846" s="1132"/>
      <c r="L846" s="1132"/>
      <c r="M846" s="1132"/>
      <c r="N846" s="1132"/>
      <c r="O846" s="869">
        <v>840</v>
      </c>
      <c r="P846" s="573" t="str">
        <f ca="1">HYPERLINK(EK846,EJ846)</f>
        <v/>
      </c>
      <c r="Q846" s="574" t="str">
        <f>Y846</f>
        <v xml:space="preserve"> </v>
      </c>
      <c r="R846" s="891"/>
      <c r="S846" s="784" t="s">
        <v>896</v>
      </c>
      <c r="T846" s="864"/>
      <c r="U846" s="1023" t="str">
        <f>"Die Übernahme der Ergebnisse eines älteren Forschungsberichtes mit einem ermittelten technischen Gesamt-Minderungspotenzial bei Prozesswärme von "&amp;AD848&amp;"% "&amp;C848&amp;" wird wegen des abgelaufenen Betrachtungshorizonts verworfen. "&amp;"Es ist davon auszugehen, dass die wesentlichen Teile des Potenzials im Statusjahr 2012 bereits erschlossen waren. "&amp;"Die im Bereich Prozesswärme weniger detailliert gestaltete Folgestudie "&amp;C847&amp;" lässt vermuten, dass die über den Betrachtungshorizont 2016 hinausgehenden weiteren Potenziale deutlich geringer sind. "&amp;"Da zurzeit konkret verwertbare Erkenntnisse nicht vorliegen, wird hier eine moderate Bedarfsminderung um 20% auf "&amp;W846&amp;"% im Zieljahr geschätzt."</f>
        <v>Die Übernahme der Ergebnisse eines älteren Forschungsberichtes mit einem ermittelten technischen Gesamt-Minderungspotenzial bei Prozesswärme von 35,6% [848] wird wegen des abgelaufenen Betrachtungshorizonts verworfen. Es ist davon auszugehen, dass die wesentlichen Teile des Potenzials im Statusjahr 2012 bereits erschlossen waren. Die im Bereich Prozesswärme weniger detailliert gestaltete Folgestudie [847] lässt vermuten, dass die über den Betrachtungshorizont 2016 hinausgehenden weiteren Potenziale deutlich geringer sind. Da zurzeit konkret verwertbare Erkenntnisse nicht vorliegen, wird hier eine moderate Bedarfsminderung um 20% auf 80% im Zieljahr geschätzt.</v>
      </c>
      <c r="V846" s="905" t="s">
        <v>126</v>
      </c>
      <c r="W846" s="1095">
        <v>80</v>
      </c>
      <c r="X846" s="672"/>
      <c r="Y846" s="672" t="s">
        <v>126</v>
      </c>
      <c r="Z846" s="1025"/>
      <c r="AA846" s="905"/>
      <c r="AB846" s="801"/>
      <c r="AC846" s="801"/>
      <c r="AD846" s="801">
        <v>64.400000000000006</v>
      </c>
      <c r="AE846" s="801"/>
      <c r="AF846" s="801"/>
      <c r="AG846" s="801"/>
      <c r="AH846" s="801"/>
      <c r="AI846" s="801"/>
      <c r="AJ846" s="801"/>
      <c r="AK846" s="801"/>
      <c r="AL846" s="801"/>
      <c r="AM846" s="801"/>
      <c r="AN846" s="801"/>
      <c r="AO846" s="801"/>
      <c r="AP846" s="801"/>
      <c r="AQ846" s="801"/>
      <c r="AR846" s="801"/>
      <c r="AS846" s="801"/>
      <c r="AT846" s="801"/>
      <c r="AU846" s="801"/>
      <c r="AV846" s="801"/>
      <c r="BF846" s="473"/>
      <c r="BI846" s="472" t="s">
        <v>126</v>
      </c>
      <c r="BJ846" s="490"/>
      <c r="BN846" s="656"/>
      <c r="BO846" s="472" t="s">
        <v>259</v>
      </c>
      <c r="CU846" s="480" t="str">
        <f>CH$1&amp;IF(U846="",BF846,U846)</f>
        <v>- ZIEL-Ansatz: Die Übernahme der Ergebnisse eines älteren Forschungsberichtes mit einem ermittelten technischen Gesamt-Minderungspotenzial bei Prozesswärme von 35,6% [848] wird wegen des abgelaufenen Betrachtungshorizonts verworfen. Es ist davon auszugehen, dass die wesentlichen Teile des Potenzials im Statusjahr 2012 bereits erschlossen waren. Die im Bereich Prozesswärme weniger detailliert gestaltete Folgestudie [847] lässt vermuten, dass die über den Betrachtungshorizont 2016 hinausgehenden weiteren Potenziale deutlich geringer sind. Da zurzeit konkret verwertbare Erkenntnisse nicht vorliegen, wird hier eine moderate Bedarfsminderung um 20% auf 80% im Zieljahr geschätzt.</v>
      </c>
      <c r="CV846" s="656"/>
      <c r="CW846" s="480"/>
      <c r="DS846" s="656"/>
      <c r="DT846" s="518">
        <v>53</v>
      </c>
      <c r="EJ846" s="472" t="str">
        <f>IF(X846=0,"",EJ$1&amp;X846)</f>
        <v/>
      </c>
      <c r="EK846" s="472" t="str">
        <f ca="1">EK$1&amp;X846</f>
        <v>[D_Python.xlsx]9.Quellen!C</v>
      </c>
      <c r="EV846" s="819">
        <f t="shared" si="415"/>
        <v>846</v>
      </c>
      <c r="EW846" s="819"/>
    </row>
    <row r="847" spans="1:153" s="798" customFormat="1" ht="78">
      <c r="A847" s="654" t="str">
        <f t="shared" ref="A847" ca="1" si="439">BT$1&amp;D847</f>
        <v>D.1.847</v>
      </c>
      <c r="B847" s="654" t="str">
        <f t="shared" ref="B847" ca="1" si="440">BW$1&amp;D847</f>
        <v>1.847</v>
      </c>
      <c r="C847" s="654" t="str">
        <f>CE$1&amp;D847&amp;CF$1</f>
        <v>[847]</v>
      </c>
      <c r="D847" s="654">
        <f>ROW()</f>
        <v>847</v>
      </c>
      <c r="E847" s="1125" t="str">
        <f ca="1">CU847</f>
        <v xml:space="preserve">Ein Forschungsvorhaben für die nationale Klimainitiative der Bundesregierung [9.138] ergab für die Zeitspanne von 2010 bis 2030 erhebliche, bereits unter heutigen Bedingungen wirtschaftliche Effizienzpotenziale. Eine direkte Nutzung der Studienergebnisse war wegen methodischer Unterschiede und mangelnder Detailinformationen nicht möglich. Die auf S. 76 gezeigte "Landkarte der bis 2030 realisierbaren Effizienzpotenziale" deutet aber darauf hin, dass die Hauptpotenziale im Bereich Gebäudesanierung und effizienter PKW liegt. Die Potenziale für Prozesswärme nehmen sich dagegen eher bescheiden aus. </v>
      </c>
      <c r="F847" s="1125"/>
      <c r="G847" s="1125"/>
      <c r="H847" s="1125"/>
      <c r="I847" s="1125"/>
      <c r="J847" s="1125"/>
      <c r="K847" s="1125"/>
      <c r="L847" s="1125"/>
      <c r="M847" s="1125"/>
      <c r="N847" s="1132"/>
      <c r="O847" s="873">
        <v>841</v>
      </c>
      <c r="P847" s="691" t="str">
        <f ca="1">HYPERLINK(EK847,EJ847)</f>
        <v>9.138</v>
      </c>
      <c r="Q847" s="692" t="str">
        <f>Y847</f>
        <v>S. 76</v>
      </c>
      <c r="R847" s="891"/>
      <c r="S847" s="784" t="s">
        <v>897</v>
      </c>
      <c r="T847" s="864"/>
      <c r="U847" s="1023" t="str">
        <f ca="1">"Ein Forschungsvorhaben für die nationale Klimainitiative der Bundesregierung ["&amp;P847&amp;"] ergab für die Zeitspanne von 2010 bis 2030 erhebliche, bereits unter heutigen Bedingungen wirtschaftliche Effizienzpotenziale. "&amp;"Eine direkte Nutzung der Studienergebnisse war wegen methodischer Unterschiede und mangelnder Detailinformationen nicht möglich. Die auf "&amp;Y847&amp;" gezeigte ""Landkarte der bis 2030 realisierbaren Effizienzpotenziale"" deutet aber darauf hin, dass die Hauptpotenziale im Bereich Gebäudesanierung und effizienter PKW liegt. "&amp;"Die Potenziale für Prozesswärme nehmen sich dagegen eher bescheiden aus. "</f>
        <v xml:space="preserve">Ein Forschungsvorhaben für die nationale Klimainitiative der Bundesregierung [9.138] ergab für die Zeitspanne von 2010 bis 2030 erhebliche, bereits unter heutigen Bedingungen wirtschaftliche Effizienzpotenziale. Eine direkte Nutzung der Studienergebnisse war wegen methodischer Unterschiede und mangelnder Detailinformationen nicht möglich. Die auf S. 76 gezeigte "Landkarte der bis 2030 realisierbaren Effizienzpotenziale" deutet aber darauf hin, dass die Hauptpotenziale im Bereich Gebäudesanierung und effizienter PKW liegt. Die Potenziale für Prozesswärme nehmen sich dagegen eher bescheiden aus. </v>
      </c>
      <c r="V847" s="905" t="s">
        <v>126</v>
      </c>
      <c r="W847" s="1024"/>
      <c r="X847" s="672">
        <f>'9.Quellen'!C138</f>
        <v>138</v>
      </c>
      <c r="Y847" s="672" t="s">
        <v>352</v>
      </c>
      <c r="Z847" s="1025"/>
      <c r="AA847" s="905"/>
      <c r="AB847" s="801"/>
      <c r="AC847" s="801"/>
      <c r="AD847" s="801"/>
      <c r="AE847" s="801"/>
      <c r="AF847" s="801"/>
      <c r="AG847" s="801"/>
      <c r="AH847" s="801"/>
      <c r="AI847" s="801"/>
      <c r="AJ847" s="801"/>
      <c r="AK847" s="687"/>
      <c r="AL847" s="801"/>
      <c r="AM847" s="801"/>
      <c r="AN847" s="801"/>
      <c r="AO847" s="801"/>
      <c r="AP847" s="801"/>
      <c r="AQ847" s="801"/>
      <c r="AR847" s="801"/>
      <c r="AS847" s="801"/>
      <c r="AT847" s="801"/>
      <c r="AU847" s="801"/>
      <c r="AV847" s="801"/>
      <c r="BF847" s="657"/>
      <c r="BI847" s="798" t="s">
        <v>126</v>
      </c>
      <c r="BJ847" s="666"/>
      <c r="BO847" s="798" t="s">
        <v>252</v>
      </c>
      <c r="CU847" s="663" t="str">
        <f ca="1">IF(U847="",BF847,U847)</f>
        <v xml:space="preserve">Ein Forschungsvorhaben für die nationale Klimainitiative der Bundesregierung [9.138] ergab für die Zeitspanne von 2010 bis 2030 erhebliche, bereits unter heutigen Bedingungen wirtschaftliche Effizienzpotenziale. Eine direkte Nutzung der Studienergebnisse war wegen methodischer Unterschiede und mangelnder Detailinformationen nicht möglich. Die auf S. 76 gezeigte "Landkarte der bis 2030 realisierbaren Effizienzpotenziale" deutet aber darauf hin, dass die Hauptpotenziale im Bereich Gebäudesanierung und effizienter PKW liegt. Die Potenziale für Prozesswärme nehmen sich dagegen eher bescheiden aus. </v>
      </c>
      <c r="CW847" s="663"/>
      <c r="DT847" s="671"/>
      <c r="EJ847" s="798" t="str">
        <f ca="1">IF(X847=0,"",EJ$1&amp;X847)</f>
        <v>9.138</v>
      </c>
      <c r="EK847" s="798" t="str">
        <f ca="1">EK$1&amp;X847</f>
        <v>[D_Python.xlsx]9.Quellen!C138</v>
      </c>
      <c r="EV847" s="819">
        <f t="shared" ref="EV847" ca="1" si="441">IF(U847&amp;BP847="","",D847)</f>
        <v>847</v>
      </c>
      <c r="EW847" s="819"/>
    </row>
    <row r="848" spans="1:153" s="656" customFormat="1" ht="65">
      <c r="A848" s="654" t="str">
        <f t="shared" ca="1" si="413"/>
        <v>D.1.848</v>
      </c>
      <c r="B848" s="654" t="str">
        <f t="shared" ca="1" si="414"/>
        <v>1.848</v>
      </c>
      <c r="C848" s="654" t="str">
        <f>CE$1&amp;D848&amp;CF$1</f>
        <v>[848]</v>
      </c>
      <c r="D848" s="654">
        <f>ROW()</f>
        <v>848</v>
      </c>
      <c r="E848" s="1125" t="str">
        <f ca="1">CU848</f>
        <v xml:space="preserve">Ein Forschungsbericht an das Bundesministerium für Wirtschaft und Technologie [9.193] kommt zu dem Ergebnis, dass durch Effizienzsteigerung der verschiedenen thermischen Prozesse in der Industrie  bis zum Jahr 2016 insgesamt ein technisches Minderungspotenzial von 35,6 Prozent besteht, wobei 20,2 Prozent aus Sicht der Autoren (2006) bereits unter derzeitigen Bedingungen als wirtschaftlich bewertet wurden.  Dieses Gesamtpotenzial setzt sich aus Einzelmaßnahmen [849] und Systemoptimierung [850] zusammen. </v>
      </c>
      <c r="F848" s="1125"/>
      <c r="G848" s="1125"/>
      <c r="H848" s="1125"/>
      <c r="I848" s="1125"/>
      <c r="J848" s="1125"/>
      <c r="K848" s="1125"/>
      <c r="L848" s="1125"/>
      <c r="M848" s="1125"/>
      <c r="N848" s="1132"/>
      <c r="O848" s="869">
        <v>842</v>
      </c>
      <c r="P848" s="691" t="str">
        <f ca="1">HYPERLINK(EK848,EJ848)</f>
        <v>9.193</v>
      </c>
      <c r="Q848" s="692" t="str">
        <f>Y848</f>
        <v xml:space="preserve"> </v>
      </c>
      <c r="R848" s="891"/>
      <c r="S848" s="784"/>
      <c r="T848" s="864"/>
      <c r="U848" s="1023" t="str">
        <f ca="1">"Ein Forschungsbericht an das Bundesministerium für Wirtschaft und Technologie ["&amp;P848&amp;"] kommt zu dem Ergebnis, dass durch Effizienzsteigerung der verschiedenen thermischen Prozesse in der Industrie "&amp;" bis zum Jahr 2016 insgesamt ein technisches Minderungspotenzial von "&amp;AD848&amp;" Prozent besteht, wobei 20,2 Prozent aus Sicht der Autoren (2006) bereits unter derzeitigen Bedingungen als wirtschaftlich bewertet wurden.  "&amp;"Dieses Gesamtpotenzial setzt sich aus Einzelmaßnahmen "&amp;C849&amp;" und Systemoptimierung "&amp;C850&amp;" zusammen. "</f>
        <v xml:space="preserve">Ein Forschungsbericht an das Bundesministerium für Wirtschaft und Technologie [9.193] kommt zu dem Ergebnis, dass durch Effizienzsteigerung der verschiedenen thermischen Prozesse in der Industrie  bis zum Jahr 2016 insgesamt ein technisches Minderungspotenzial von 35,6 Prozent besteht, wobei 20,2 Prozent aus Sicht der Autoren (2006) bereits unter derzeitigen Bedingungen als wirtschaftlich bewertet wurden.  Dieses Gesamtpotenzial setzt sich aus Einzelmaßnahmen [849] und Systemoptimierung [850] zusammen. </v>
      </c>
      <c r="V848" s="905" t="s">
        <v>126</v>
      </c>
      <c r="W848" s="1024"/>
      <c r="X848" s="672">
        <f>'9.Quellen'!C193</f>
        <v>193</v>
      </c>
      <c r="Y848" s="672" t="s">
        <v>126</v>
      </c>
      <c r="Z848" s="1025"/>
      <c r="AA848" s="905"/>
      <c r="AB848" s="801"/>
      <c r="AC848" s="801"/>
      <c r="AD848" s="801">
        <f>AD849+AD850</f>
        <v>35.6</v>
      </c>
      <c r="AE848" s="801"/>
      <c r="AF848" s="801"/>
      <c r="AG848" s="801"/>
      <c r="AH848" s="801"/>
      <c r="AI848" s="801"/>
      <c r="AJ848" s="801"/>
      <c r="AK848" s="687"/>
      <c r="AL848" s="801"/>
      <c r="AM848" s="801"/>
      <c r="AN848" s="801"/>
      <c r="AO848" s="801"/>
      <c r="AP848" s="801"/>
      <c r="AQ848" s="801"/>
      <c r="AR848" s="801"/>
      <c r="AS848" s="801"/>
      <c r="AT848" s="801"/>
      <c r="AU848" s="801"/>
      <c r="AV848" s="801"/>
      <c r="BF848" s="657"/>
      <c r="BI848" s="656" t="s">
        <v>126</v>
      </c>
      <c r="BJ848" s="666"/>
      <c r="BO848" s="656" t="s">
        <v>252</v>
      </c>
      <c r="CU848" s="663" t="str">
        <f ca="1">IF(U848="",BF848,U848)</f>
        <v xml:space="preserve">Ein Forschungsbericht an das Bundesministerium für Wirtschaft und Technologie [9.193] kommt zu dem Ergebnis, dass durch Effizienzsteigerung der verschiedenen thermischen Prozesse in der Industrie  bis zum Jahr 2016 insgesamt ein technisches Minderungspotenzial von 35,6 Prozent besteht, wobei 20,2 Prozent aus Sicht der Autoren (2006) bereits unter derzeitigen Bedingungen als wirtschaftlich bewertet wurden.  Dieses Gesamtpotenzial setzt sich aus Einzelmaßnahmen [849] und Systemoptimierung [850] zusammen. </v>
      </c>
      <c r="CW848" s="663"/>
      <c r="DT848" s="671"/>
      <c r="EJ848" s="656" t="str">
        <f ca="1">IF(X848=0,"",EJ$1&amp;X848)</f>
        <v>9.193</v>
      </c>
      <c r="EK848" s="656" t="str">
        <f ca="1">EK$1&amp;X848</f>
        <v>[D_Python.xlsx]9.Quellen!C193</v>
      </c>
      <c r="EV848" s="819">
        <f t="shared" ca="1" si="415"/>
        <v>848</v>
      </c>
      <c r="EW848" s="819"/>
    </row>
    <row r="849" spans="1:153" s="656" customFormat="1" ht="39">
      <c r="A849" s="654" t="str">
        <f t="shared" ca="1" si="413"/>
        <v>D.1.849</v>
      </c>
      <c r="B849" s="654" t="str">
        <f t="shared" ca="1" si="414"/>
        <v>1.849</v>
      </c>
      <c r="C849" s="654" t="str">
        <f t="shared" si="417"/>
        <v>[849]</v>
      </c>
      <c r="D849" s="654">
        <f>ROW()</f>
        <v>849</v>
      </c>
      <c r="E849" s="1125" t="str">
        <f ca="1">CU849</f>
        <v>Durch Einzelmaßnahmen zur Effizienzsteigerung der thermischen Prozesse in der Industrie (Maßnahmen 10, 11, 12, 13) gemäß [9.193] besteht ein technisches Minderungspotenzial von 13,6 Prozent, wobei 6,2 Prozent als wirtschaftlich bewertet wurden (Stand 2006).</v>
      </c>
      <c r="F849" s="1125"/>
      <c r="G849" s="1125"/>
      <c r="H849" s="1125"/>
      <c r="I849" s="1125"/>
      <c r="J849" s="1125"/>
      <c r="K849" s="1125"/>
      <c r="L849" s="1125"/>
      <c r="M849" s="1125"/>
      <c r="N849" s="1132"/>
      <c r="O849" s="869">
        <v>843</v>
      </c>
      <c r="P849" s="691" t="str">
        <f ca="1">HYPERLINK(EK849,EJ849)</f>
        <v>9.193</v>
      </c>
      <c r="Q849" s="692" t="str">
        <f>Y849</f>
        <v>S. 120</v>
      </c>
      <c r="R849" s="891"/>
      <c r="S849" s="784"/>
      <c r="T849" s="864"/>
      <c r="U849" s="1023" t="str">
        <f ca="1">"Durch Einzelmaßnahmen zur Effizienzsteigerung der thermischen Prozesse in der Industrie (Maßnahmen 10, 11, 12, 13) gemäß ["&amp;P849&amp;"] besteht ein technisches Minderungspotenzial von 13,6 Prozent, wobei 6,2 Prozent als wirtschaftlich bewertet wurden (Stand 2006)."</f>
        <v>Durch Einzelmaßnahmen zur Effizienzsteigerung der thermischen Prozesse in der Industrie (Maßnahmen 10, 11, 12, 13) gemäß [9.193] besteht ein technisches Minderungspotenzial von 13,6 Prozent, wobei 6,2 Prozent als wirtschaftlich bewertet wurden (Stand 2006).</v>
      </c>
      <c r="V849" s="905" t="s">
        <v>126</v>
      </c>
      <c r="W849" s="1024"/>
      <c r="X849" s="672">
        <f>'9.Quellen'!C193</f>
        <v>193</v>
      </c>
      <c r="Y849" s="672" t="s">
        <v>480</v>
      </c>
      <c r="Z849" s="1025"/>
      <c r="AA849" s="905"/>
      <c r="AB849" s="801"/>
      <c r="AC849" s="801"/>
      <c r="AD849" s="801">
        <v>13.6</v>
      </c>
      <c r="AE849" s="801"/>
      <c r="AF849" s="801"/>
      <c r="AG849" s="801"/>
      <c r="AH849" s="801"/>
      <c r="AI849" s="801"/>
      <c r="AJ849" s="801"/>
      <c r="AK849" s="687"/>
      <c r="AL849" s="801"/>
      <c r="AM849" s="801"/>
      <c r="AN849" s="801"/>
      <c r="AO849" s="801"/>
      <c r="AP849" s="801"/>
      <c r="AQ849" s="801"/>
      <c r="AR849" s="801"/>
      <c r="AS849" s="801"/>
      <c r="AT849" s="801"/>
      <c r="AU849" s="801"/>
      <c r="AV849" s="801"/>
      <c r="BF849" s="657"/>
      <c r="BI849" s="656" t="s">
        <v>126</v>
      </c>
      <c r="BJ849" s="666"/>
      <c r="BO849" s="656" t="s">
        <v>252</v>
      </c>
      <c r="CU849" s="663" t="str">
        <f ca="1">IF(U849="",BF849,U849)</f>
        <v>Durch Einzelmaßnahmen zur Effizienzsteigerung der thermischen Prozesse in der Industrie (Maßnahmen 10, 11, 12, 13) gemäß [9.193] besteht ein technisches Minderungspotenzial von 13,6 Prozent, wobei 6,2 Prozent als wirtschaftlich bewertet wurden (Stand 2006).</v>
      </c>
      <c r="CW849" s="663"/>
      <c r="DT849" s="671"/>
      <c r="EJ849" s="656" t="str">
        <f ca="1">IF(X849=0,"",EJ$1&amp;X849)</f>
        <v>9.193</v>
      </c>
      <c r="EK849" s="656" t="str">
        <f ca="1">EK$1&amp;X849</f>
        <v>[D_Python.xlsx]9.Quellen!C193</v>
      </c>
      <c r="EV849" s="819">
        <f t="shared" ca="1" si="415"/>
        <v>849</v>
      </c>
      <c r="EW849" s="819"/>
    </row>
    <row r="850" spans="1:153" s="656" customFormat="1" ht="26">
      <c r="A850" s="654" t="str">
        <f t="shared" ca="1" si="413"/>
        <v>D.1.850</v>
      </c>
      <c r="B850" s="654" t="str">
        <f t="shared" ca="1" si="414"/>
        <v>1.850</v>
      </c>
      <c r="C850" s="654" t="str">
        <f t="shared" ref="C850" si="442">CE$1&amp;D850&amp;CF$1</f>
        <v>[850]</v>
      </c>
      <c r="D850" s="654">
        <f>ROW()</f>
        <v>850</v>
      </c>
      <c r="E850" s="1125" t="str">
        <f ca="1">CU850</f>
        <v>Durch Prozess- und Systemoptimierung, die über Einzelmaßnahmen hinausgeht, ist gemäß [9.193] ein weiteres Potenzial von 22 Prozent erschließbar, davon wurden 14 Prozent als wirtschaftlich erachtet (2006).</v>
      </c>
      <c r="F850" s="1125"/>
      <c r="G850" s="1125"/>
      <c r="H850" s="1125"/>
      <c r="I850" s="1125"/>
      <c r="J850" s="1125"/>
      <c r="K850" s="1125"/>
      <c r="L850" s="1125"/>
      <c r="M850" s="1125"/>
      <c r="N850" s="1132"/>
      <c r="O850" s="869">
        <v>844</v>
      </c>
      <c r="P850" s="691" t="str">
        <f ca="1">HYPERLINK(EK850,EJ850)</f>
        <v>9.193</v>
      </c>
      <c r="Q850" s="692" t="str">
        <f>Y850</f>
        <v xml:space="preserve"> </v>
      </c>
      <c r="R850" s="852"/>
      <c r="S850" s="784"/>
      <c r="T850" s="864"/>
      <c r="U850" s="1023" t="str">
        <f ca="1">"Durch Prozess- und Systemoptimierung, die über Einzelmaßnahmen hinausgeht, ist gemäß ["&amp;P850&amp;"] ein weiteres Potenzial von 22 Prozent erschließbar, davon wurden 14 Prozent als wirtschaftlich erachtet (2006)."</f>
        <v>Durch Prozess- und Systemoptimierung, die über Einzelmaßnahmen hinausgeht, ist gemäß [9.193] ein weiteres Potenzial von 22 Prozent erschließbar, davon wurden 14 Prozent als wirtschaftlich erachtet (2006).</v>
      </c>
      <c r="V850" s="905" t="s">
        <v>126</v>
      </c>
      <c r="W850" s="1024"/>
      <c r="X850" s="672">
        <f>'9.Quellen'!C193</f>
        <v>193</v>
      </c>
      <c r="Y850" s="672" t="s">
        <v>126</v>
      </c>
      <c r="Z850" s="1025"/>
      <c r="AA850" s="905"/>
      <c r="AB850" s="801"/>
      <c r="AC850" s="801"/>
      <c r="AD850" s="801">
        <v>22</v>
      </c>
      <c r="AE850" s="801"/>
      <c r="AF850" s="801"/>
      <c r="AG850" s="801"/>
      <c r="AH850" s="801"/>
      <c r="AI850" s="801"/>
      <c r="AJ850" s="801"/>
      <c r="AK850" s="687"/>
      <c r="AL850" s="801"/>
      <c r="AM850" s="801"/>
      <c r="AN850" s="801"/>
      <c r="AO850" s="801"/>
      <c r="AP850" s="801"/>
      <c r="AQ850" s="801"/>
      <c r="AR850" s="801"/>
      <c r="AS850" s="801"/>
      <c r="AT850" s="801"/>
      <c r="AU850" s="801"/>
      <c r="AV850" s="801"/>
      <c r="BF850" s="657"/>
      <c r="BI850" s="656" t="s">
        <v>126</v>
      </c>
      <c r="BJ850" s="666"/>
      <c r="BO850" s="656" t="s">
        <v>252</v>
      </c>
      <c r="CU850" s="663" t="str">
        <f ca="1">IF(U850="",BF850,U850)</f>
        <v>Durch Prozess- und Systemoptimierung, die über Einzelmaßnahmen hinausgeht, ist gemäß [9.193] ein weiteres Potenzial von 22 Prozent erschließbar, davon wurden 14 Prozent als wirtschaftlich erachtet (2006).</v>
      </c>
      <c r="CW850" s="663"/>
      <c r="DT850" s="671"/>
      <c r="EJ850" s="656" t="str">
        <f ca="1">IF(X850=0,"",EJ$1&amp;X850)</f>
        <v>9.193</v>
      </c>
      <c r="EK850" s="656" t="str">
        <f ca="1">EK$1&amp;X850</f>
        <v>[D_Python.xlsx]9.Quellen!C193</v>
      </c>
      <c r="EV850" s="819">
        <f t="shared" ca="1" si="415"/>
        <v>850</v>
      </c>
      <c r="EW850" s="819"/>
    </row>
    <row r="851" spans="1:153" s="478" customFormat="1" ht="4">
      <c r="A851" s="677" t="str">
        <f t="shared" ca="1" si="413"/>
        <v>D.1.851</v>
      </c>
      <c r="B851" s="677" t="str">
        <f t="shared" ca="1" si="414"/>
        <v>1.851</v>
      </c>
      <c r="C851" s="677" t="str">
        <f t="shared" ref="C851:C967" si="443">CE$1&amp;D851&amp;CF$1</f>
        <v>[851]</v>
      </c>
      <c r="D851" s="677">
        <f>ROW()</f>
        <v>851</v>
      </c>
      <c r="E851" s="548"/>
      <c r="F851" s="548"/>
      <c r="G851" s="548"/>
      <c r="H851" s="548"/>
      <c r="I851" s="549"/>
      <c r="J851" s="549"/>
      <c r="K851" s="549"/>
      <c r="L851" s="549"/>
      <c r="M851" s="549"/>
      <c r="N851" s="548"/>
      <c r="O851" s="871">
        <v>845</v>
      </c>
      <c r="P851" s="575"/>
      <c r="Q851" s="576"/>
      <c r="R851" s="888"/>
      <c r="S851" s="802"/>
      <c r="T851" s="882"/>
      <c r="U851" s="661"/>
      <c r="V851" s="661"/>
      <c r="W851" s="661"/>
      <c r="X851" s="661"/>
      <c r="Y851" s="661"/>
      <c r="Z851" s="661"/>
      <c r="AA851" s="661"/>
      <c r="AB851" s="675"/>
      <c r="AC851" s="675"/>
      <c r="AD851" s="675"/>
      <c r="AE851" s="675"/>
      <c r="AF851" s="675"/>
      <c r="AG851" s="675"/>
      <c r="AH851" s="675"/>
      <c r="AI851" s="675"/>
      <c r="AJ851" s="675"/>
      <c r="AK851" s="675"/>
      <c r="AL851" s="675"/>
      <c r="AM851" s="675"/>
      <c r="AN851" s="675"/>
      <c r="AO851" s="675"/>
      <c r="AP851" s="675"/>
      <c r="AQ851" s="675"/>
      <c r="AR851" s="675"/>
      <c r="AS851" s="675"/>
      <c r="AT851" s="675"/>
      <c r="AU851" s="675"/>
      <c r="AV851" s="675"/>
      <c r="AZ851" s="505"/>
      <c r="BB851" s="505"/>
      <c r="BI851" s="478" t="s">
        <v>126</v>
      </c>
      <c r="BJ851" s="489"/>
      <c r="BN851" s="661"/>
      <c r="CU851" s="479"/>
      <c r="CV851" s="661"/>
      <c r="CW851" s="479"/>
      <c r="DS851" s="661"/>
      <c r="EV851" s="818" t="str">
        <f t="shared" si="415"/>
        <v/>
      </c>
      <c r="EW851" s="818"/>
    </row>
    <row r="852" spans="1:153" s="475" customFormat="1" ht="13.5" customHeight="1">
      <c r="A852" s="654" t="str">
        <f t="shared" ca="1" si="413"/>
        <v>D.1.852</v>
      </c>
      <c r="B852" s="654" t="str">
        <f t="shared" ca="1" si="414"/>
        <v>1.852</v>
      </c>
      <c r="C852" s="654" t="str">
        <f t="shared" si="443"/>
        <v>[852]</v>
      </c>
      <c r="D852" s="654">
        <f>ROW()</f>
        <v>852</v>
      </c>
      <c r="E852" s="1129" t="str">
        <f>BP852</f>
        <v>Anteil Brenstoffe an PW</v>
      </c>
      <c r="F852" s="1129"/>
      <c r="G852" s="1129"/>
      <c r="H852" s="1129"/>
      <c r="I852" s="1129"/>
      <c r="J852" s="471" t="s">
        <v>38</v>
      </c>
      <c r="K852" s="605">
        <f ca="1">INDIRECT($W$1&amp;U852)</f>
        <v>72.68474511102329</v>
      </c>
      <c r="L852" s="597" t="str">
        <f ca="1">HYPERLINK($CK$1&amp;U852,$CE$1&amp;U852&amp;$CF$1)</f>
        <v>[853]</v>
      </c>
      <c r="M852" s="545">
        <f ca="1">INDIRECT($W$1&amp;W852)</f>
        <v>44.329703449206342</v>
      </c>
      <c r="N852" s="533" t="str">
        <f ca="1">HYPERLINK($CK$1&amp;W852,$CE$1&amp;W852&amp;$CF$1)</f>
        <v>[855]</v>
      </c>
      <c r="O852" s="869">
        <v>846</v>
      </c>
      <c r="P852" s="570"/>
      <c r="Q852" s="583"/>
      <c r="R852" s="852"/>
      <c r="S852" s="784"/>
      <c r="T852" s="864"/>
      <c r="U852" s="672">
        <f>D853</f>
        <v>853</v>
      </c>
      <c r="V852" s="905" t="s">
        <v>126</v>
      </c>
      <c r="W852" s="672">
        <f>D855</f>
        <v>855</v>
      </c>
      <c r="X852" s="658"/>
      <c r="Y852" s="658"/>
      <c r="Z852" s="658"/>
      <c r="AA852" s="658"/>
      <c r="AB852" s="801"/>
      <c r="AC852" s="801"/>
      <c r="AD852" s="674"/>
      <c r="AE852" s="674"/>
      <c r="AF852" s="674"/>
      <c r="AG852" s="674"/>
      <c r="AH852" s="674"/>
      <c r="AI852" s="674"/>
      <c r="AJ852" s="674"/>
      <c r="AK852" s="674"/>
      <c r="AL852" s="674"/>
      <c r="AM852" s="674"/>
      <c r="AN852" s="674"/>
      <c r="AO852" s="674"/>
      <c r="AP852" s="674"/>
      <c r="AQ852" s="674"/>
      <c r="AR852" s="674"/>
      <c r="AS852" s="674"/>
      <c r="AT852" s="674"/>
      <c r="AU852" s="674"/>
      <c r="AV852" s="674"/>
      <c r="AX852" s="475" t="s">
        <v>244</v>
      </c>
      <c r="AY852" s="500">
        <f ca="1">DA852</f>
        <v>10.254559182513647</v>
      </c>
      <c r="AZ852" s="508" t="str">
        <f ca="1">HYPERLINK(DN852,DC852)</f>
        <v xml:space="preserve"> 235</v>
      </c>
      <c r="BA852" s="500">
        <f ca="1">DB852</f>
        <v>35</v>
      </c>
      <c r="BB852" s="508" t="str">
        <f ca="1">HYPERLINK(DO852,DD852)</f>
        <v xml:space="preserve"> 236</v>
      </c>
      <c r="BC852" s="475" t="str">
        <f ca="1">CY852&amp;" | "&amp;CZ852</f>
        <v>Brennstoffgew.
für Prozesse | 0</v>
      </c>
      <c r="BI852" s="475" t="s">
        <v>126</v>
      </c>
      <c r="BJ852" s="492" t="str">
        <f>E852</f>
        <v>Anteil Brenstoffe an PW</v>
      </c>
      <c r="BK852" s="486">
        <f ca="1">K852</f>
        <v>72.68474511102329</v>
      </c>
      <c r="BL852" s="486">
        <f ca="1">M852</f>
        <v>44.329703449206342</v>
      </c>
      <c r="BM852" s="472">
        <f>D852</f>
        <v>852</v>
      </c>
      <c r="BN852" s="658"/>
      <c r="BO852" s="475" t="s">
        <v>251</v>
      </c>
      <c r="BP852" s="521" t="s">
        <v>450</v>
      </c>
      <c r="CU852" s="476"/>
      <c r="CV852" s="658"/>
      <c r="CW852" s="518">
        <v>61</v>
      </c>
      <c r="CY852" s="472" t="str">
        <f t="shared" ref="CY852:DO852" ca="1" si="444">INDIRECT($CX$1&amp;CY$1&amp;$CW852)</f>
        <v>Brennstoffgew.
für Prozesse</v>
      </c>
      <c r="CZ852" s="472">
        <f t="shared" ca="1" si="444"/>
        <v>0</v>
      </c>
      <c r="DA852" s="472">
        <f t="shared" ca="1" si="444"/>
        <v>10.254559182513647</v>
      </c>
      <c r="DB852" s="472">
        <f t="shared" ca="1" si="444"/>
        <v>35</v>
      </c>
      <c r="DC852" s="472" t="str">
        <f t="shared" ca="1" si="444"/>
        <v xml:space="preserve"> 235</v>
      </c>
      <c r="DD852" s="472" t="str">
        <f t="shared" ca="1" si="444"/>
        <v xml:space="preserve"> 236</v>
      </c>
      <c r="DE852" s="472" t="str">
        <f t="shared" ca="1" si="444"/>
        <v>Ho99</v>
      </c>
      <c r="DF852" s="472" t="str">
        <f t="shared" ca="1" si="444"/>
        <v>Ho36</v>
      </c>
      <c r="DG852" s="472" t="str">
        <f t="shared" ca="1" si="444"/>
        <v>Ho</v>
      </c>
      <c r="DH852" s="472" t="str">
        <f t="shared" ca="1" si="444"/>
        <v>99</v>
      </c>
      <c r="DI852" s="472" t="str">
        <f t="shared" ca="1" si="444"/>
        <v>[Ho.xls]TEXT!Z99S5</v>
      </c>
      <c r="DJ852" s="472" t="str">
        <f t="shared" ca="1" si="444"/>
        <v>Ho</v>
      </c>
      <c r="DK852" s="472" t="str">
        <f t="shared" ca="1" si="444"/>
        <v>36</v>
      </c>
      <c r="DL852" s="472" t="str">
        <f t="shared" ca="1" si="444"/>
        <v>[Ho.xls]TEXT!Z36S5</v>
      </c>
      <c r="DM852" s="472">
        <f t="shared" ca="1" si="444"/>
        <v>61</v>
      </c>
      <c r="DN852" s="472" t="str">
        <f t="shared" ca="1" si="444"/>
        <v>[Region.xls]PARAMETER!Z235S6</v>
      </c>
      <c r="DO852" s="472" t="str">
        <f t="shared" ca="1" si="444"/>
        <v>[Region.xls]PARAMETER!Z236S6</v>
      </c>
      <c r="DP852" s="472"/>
      <c r="DS852" s="656"/>
      <c r="DV852" s="472"/>
      <c r="DW852" s="472"/>
      <c r="DX852" s="472"/>
      <c r="DY852" s="472"/>
      <c r="DZ852" s="472"/>
      <c r="EA852" s="472"/>
      <c r="EB852" s="472"/>
      <c r="EC852" s="472"/>
      <c r="ED852" s="472"/>
      <c r="EE852" s="472"/>
      <c r="EF852" s="472"/>
      <c r="EG852" s="472"/>
      <c r="EH852" s="472"/>
      <c r="EI852" s="472"/>
      <c r="EJ852" s="472"/>
      <c r="EK852" s="472"/>
      <c r="EV852" s="819">
        <f t="shared" si="415"/>
        <v>852</v>
      </c>
      <c r="EW852" s="819"/>
    </row>
    <row r="853" spans="1:153" s="472" customFormat="1" ht="16">
      <c r="A853" s="654" t="str">
        <f t="shared" ca="1" si="413"/>
        <v>D.1.853</v>
      </c>
      <c r="B853" s="654" t="str">
        <f t="shared" ca="1" si="414"/>
        <v>1.853</v>
      </c>
      <c r="C853" s="654" t="str">
        <f t="shared" si="443"/>
        <v>[853]</v>
      </c>
      <c r="D853" s="654">
        <f>ROW()</f>
        <v>853</v>
      </c>
      <c r="E853" s="1130" t="str">
        <f ca="1">CU853</f>
        <v>- STATUS-Ansatz: Gemäß Arbeitsgemeinschaft Energiebilanzen [9.28], Aufbereitung siehe [7.41].</v>
      </c>
      <c r="F853" s="1130"/>
      <c r="G853" s="1130"/>
      <c r="H853" s="1130"/>
      <c r="I853" s="1130"/>
      <c r="J853" s="1130"/>
      <c r="K853" s="1130"/>
      <c r="L853" s="1130"/>
      <c r="M853" s="1130"/>
      <c r="N853" s="1131"/>
      <c r="O853" s="869">
        <v>847</v>
      </c>
      <c r="P853" s="573" t="str">
        <f ca="1">HYPERLINK(EK853,EJ853)</f>
        <v>9.28</v>
      </c>
      <c r="Q853" s="646" t="str">
        <f ca="1">IF(Y853="&gt;",HYPERLINK(EO853,EN853),Y853)</f>
        <v>7.41</v>
      </c>
      <c r="R853" s="852"/>
      <c r="S853" s="784"/>
      <c r="T853" s="864"/>
      <c r="U853" s="1023" t="str">
        <f ca="1">"Gemäß Arbeitsgemeinschaft Energiebilanzen ["&amp;P853&amp;"], Aufbereitung siehe ["&amp;Q853&amp;"]."</f>
        <v>Gemäß Arbeitsgemeinschaft Energiebilanzen [9.28], Aufbereitung siehe [7.41].</v>
      </c>
      <c r="V853" s="905" t="s">
        <v>126</v>
      </c>
      <c r="W853" s="1095">
        <f>'7.VerbrauchStatus'!N41</f>
        <v>72.68474511102329</v>
      </c>
      <c r="X853" s="672">
        <f>'9.Quellen'!C$28</f>
        <v>28</v>
      </c>
      <c r="Y853" s="672" t="s">
        <v>479</v>
      </c>
      <c r="Z853" s="672">
        <f>'7.VerbrauchStatus'!D41</f>
        <v>41</v>
      </c>
      <c r="AA853" s="658"/>
      <c r="AB853" s="801"/>
      <c r="AC853" s="801"/>
      <c r="AD853" s="801"/>
      <c r="AE853" s="801"/>
      <c r="AF853" s="801"/>
      <c r="AG853" s="801"/>
      <c r="AH853" s="801"/>
      <c r="AI853" s="801"/>
      <c r="AJ853" s="801"/>
      <c r="AK853" s="801"/>
      <c r="AL853" s="801"/>
      <c r="AM853" s="801"/>
      <c r="AN853" s="801"/>
      <c r="AO853" s="801"/>
      <c r="AP853" s="801"/>
      <c r="AQ853" s="801"/>
      <c r="AR853" s="801"/>
      <c r="AS853" s="801"/>
      <c r="AT853" s="801"/>
      <c r="AU853" s="801"/>
      <c r="AV853" s="801"/>
      <c r="AY853" s="472">
        <f ca="1">AY852/AY$246%</f>
        <v>14.091645358575692</v>
      </c>
      <c r="BA853" s="472">
        <f ca="1">BA852/BA$246%</f>
        <v>100</v>
      </c>
      <c r="BF853" s="473"/>
      <c r="BI853" s="472" t="s">
        <v>126</v>
      </c>
      <c r="BJ853" s="490"/>
      <c r="BN853" s="656"/>
      <c r="BO853" s="472" t="s">
        <v>259</v>
      </c>
      <c r="CU853" s="480" t="str">
        <f ca="1">CG$1&amp;IF(U853="",BF853,U853)</f>
        <v>- STATUS-Ansatz: Gemäß Arbeitsgemeinschaft Energiebilanzen [9.28], Aufbereitung siehe [7.41].</v>
      </c>
      <c r="CV853" s="656"/>
      <c r="CW853" s="480"/>
      <c r="DS853" s="656"/>
      <c r="DT853" s="518">
        <f>I_Basisdaten!A344</f>
        <v>0</v>
      </c>
      <c r="EJ853" s="472" t="str">
        <f ca="1">IF(X853=0,"",EJ$1&amp;X853)</f>
        <v>9.28</v>
      </c>
      <c r="EK853" s="472" t="str">
        <f ca="1">EK$1&amp;X853</f>
        <v>[D_Python.xlsx]9.Quellen!C28</v>
      </c>
      <c r="EN853" s="472" t="str">
        <f ca="1">IF(Z853=0,"",EN$1&amp;Z853)</f>
        <v>7.41</v>
      </c>
      <c r="EO853" s="472" t="str">
        <f ca="1">EO$1&amp;Z853</f>
        <v>[D_Python.xlsx]7.VerbrauchStatus!D41</v>
      </c>
      <c r="EV853" s="819">
        <f t="shared" ca="1" si="415"/>
        <v>853</v>
      </c>
      <c r="EW853" s="819"/>
    </row>
    <row r="854" spans="1:153" s="478" customFormat="1" ht="4">
      <c r="A854" s="677" t="str">
        <f t="shared" ca="1" si="413"/>
        <v>D.1.854</v>
      </c>
      <c r="B854" s="677" t="str">
        <f t="shared" ca="1" si="414"/>
        <v>1.854</v>
      </c>
      <c r="C854" s="677" t="str">
        <f t="shared" si="443"/>
        <v>[854]</v>
      </c>
      <c r="D854" s="677">
        <f>ROW()</f>
        <v>854</v>
      </c>
      <c r="E854" s="528"/>
      <c r="F854" s="528"/>
      <c r="G854" s="528"/>
      <c r="H854" s="528"/>
      <c r="I854" s="527"/>
      <c r="J854" s="527"/>
      <c r="K854" s="527"/>
      <c r="L854" s="527"/>
      <c r="M854" s="527"/>
      <c r="N854" s="528"/>
      <c r="O854" s="871">
        <v>848</v>
      </c>
      <c r="P854" s="566"/>
      <c r="Q854" s="567"/>
      <c r="R854" s="888"/>
      <c r="S854" s="802"/>
      <c r="T854" s="882"/>
      <c r="U854" s="661"/>
      <c r="V854" s="661"/>
      <c r="W854" s="606"/>
      <c r="X854" s="661"/>
      <c r="Y854" s="661"/>
      <c r="Z854" s="661"/>
      <c r="AA854" s="661"/>
      <c r="AB854" s="675"/>
      <c r="AC854" s="675"/>
      <c r="AD854" s="675"/>
      <c r="AE854" s="675"/>
      <c r="AF854" s="675"/>
      <c r="AG854" s="675"/>
      <c r="AH854" s="675"/>
      <c r="AI854" s="675"/>
      <c r="AJ854" s="675"/>
      <c r="AK854" s="675"/>
      <c r="AL854" s="675"/>
      <c r="AM854" s="675"/>
      <c r="AN854" s="675"/>
      <c r="AO854" s="675"/>
      <c r="AP854" s="675"/>
      <c r="AQ854" s="675"/>
      <c r="AR854" s="675"/>
      <c r="AS854" s="675"/>
      <c r="AT854" s="675"/>
      <c r="AU854" s="675"/>
      <c r="AV854" s="675"/>
      <c r="BI854" s="478" t="s">
        <v>126</v>
      </c>
      <c r="BJ854" s="489"/>
      <c r="BN854" s="661"/>
      <c r="CU854" s="479"/>
      <c r="CV854" s="661"/>
      <c r="CW854" s="479"/>
      <c r="DS854" s="661"/>
      <c r="EV854" s="818" t="str">
        <f t="shared" si="415"/>
        <v/>
      </c>
      <c r="EW854" s="818"/>
    </row>
    <row r="855" spans="1:153" s="472" customFormat="1" ht="78">
      <c r="A855" s="654" t="str">
        <f t="shared" ca="1" si="413"/>
        <v>D.1.855</v>
      </c>
      <c r="B855" s="654" t="str">
        <f t="shared" ca="1" si="414"/>
        <v>1.855</v>
      </c>
      <c r="C855" s="654" t="str">
        <f t="shared" si="443"/>
        <v>[855]</v>
      </c>
      <c r="D855" s="654">
        <f>ROW()</f>
        <v>855</v>
      </c>
      <c r="E855" s="1135" t="str">
        <f t="shared" ref="E855" si="445">CU855</f>
        <v>- ZIEL-Ansatz: (Bei Abweichungen gilt Abgleichergebnis in _S.xlsx) Aufgrund folgender Überlegung: Die Nutzung von Biomasse zur Substitution der fossilen Brennstoffe als heutige Hauptquelle für Porzesswärme liegt zwar nahe. Allerdings sind die Potenziale eng begrenzt und sie stehen in Konkurrenz mit Anwendungen, bei denen eine Substitution aus anderen Quellen technisch noch ungünstiger wäre (z. B. Kraftstoffe für mobile Anwendungen im Verkehrsbereich). Hier bleibt die Brennstoff-Substitituion daher auf die festen Biobrennstoffe beschränkt, der übrige Bedarf wird durch Wärme [865] und Strom abgedeckt [870].</v>
      </c>
      <c r="F855" s="1135"/>
      <c r="G855" s="1135"/>
      <c r="H855" s="1135"/>
      <c r="I855" s="1135"/>
      <c r="J855" s="1135"/>
      <c r="K855" s="1135"/>
      <c r="L855" s="1135"/>
      <c r="M855" s="1135"/>
      <c r="N855" s="1136"/>
      <c r="O855" s="869">
        <v>849</v>
      </c>
      <c r="P855" s="573" t="str">
        <f ca="1">HYPERLINK(EK855,EJ855)</f>
        <v/>
      </c>
      <c r="Q855" s="574" t="str">
        <f>Y855</f>
        <v xml:space="preserve"> </v>
      </c>
      <c r="R855" s="852"/>
      <c r="S855" s="829" t="s">
        <v>906</v>
      </c>
      <c r="T855" s="864"/>
      <c r="U855" s="1023" t="str">
        <f>"(Bei Abweichungen gilt Abgleichergebnis in _S.xlsx) Aufgrund folgender Überlegung: Die Nutzung von Biomasse zur Substitution der fossilen Brennstoffe als heutige Hauptquelle für Porzesswärme liegt zwar nahe. "&amp;"Allerdings sind die Potenziale eng begrenzt und sie stehen in Konkurrenz mit Anwendungen, bei denen eine Substitution aus anderen Quellen technisch noch ungünstiger wäre (z. B. Kraftstoffe für mobile Anwendungen im Verkehrsbereich). "&amp;"Hier bleibt die Brennstoff-Substitituion daher auf die festen Biobrennstoffe beschränkt, der übrige Bedarf wird durch Wärme "&amp;C865&amp;" und Strom abgedeckt "&amp;C870&amp;"."</f>
        <v>(Bei Abweichungen gilt Abgleichergebnis in _S.xlsx) Aufgrund folgender Überlegung: Die Nutzung von Biomasse zur Substitution der fossilen Brennstoffe als heutige Hauptquelle für Porzesswärme liegt zwar nahe. Allerdings sind die Potenziale eng begrenzt und sie stehen in Konkurrenz mit Anwendungen, bei denen eine Substitution aus anderen Quellen technisch noch ungünstiger wäre (z. B. Kraftstoffe für mobile Anwendungen im Verkehrsbereich). Hier bleibt die Brennstoff-Substitituion daher auf die festen Biobrennstoffe beschränkt, der übrige Bedarf wird durch Wärme [865] und Strom abgedeckt [870].</v>
      </c>
      <c r="V855" s="905" t="s">
        <v>126</v>
      </c>
      <c r="W855" s="824">
        <v>44.329703449206342</v>
      </c>
      <c r="X855" s="672"/>
      <c r="Y855" s="672" t="s">
        <v>126</v>
      </c>
      <c r="Z855" s="1025"/>
      <c r="AA855" s="905"/>
      <c r="AB855" s="801"/>
      <c r="AC855" s="1020"/>
      <c r="AD855" s="801">
        <v>43.3</v>
      </c>
      <c r="AE855" s="801"/>
      <c r="AF855" s="801"/>
      <c r="AG855" s="801"/>
      <c r="AH855" s="801"/>
      <c r="AI855" s="801"/>
      <c r="AJ855" s="801"/>
      <c r="AK855" s="801"/>
      <c r="AL855" s="801"/>
      <c r="AM855" s="801"/>
      <c r="AN855" s="801"/>
      <c r="AO855" s="801"/>
      <c r="AP855" s="801"/>
      <c r="AQ855" s="801"/>
      <c r="AR855" s="801"/>
      <c r="AS855" s="801"/>
      <c r="AT855" s="801"/>
      <c r="AU855" s="801"/>
      <c r="AV855" s="801"/>
      <c r="BF855" s="473"/>
      <c r="BI855" s="472" t="s">
        <v>126</v>
      </c>
      <c r="BJ855" s="490"/>
      <c r="BN855" s="656"/>
      <c r="BO855" s="472" t="s">
        <v>259</v>
      </c>
      <c r="CU855" s="480" t="str">
        <f>CH$1&amp;IF(U855="",BF855,U855)</f>
        <v>- ZIEL-Ansatz: (Bei Abweichungen gilt Abgleichergebnis in _S.xlsx) Aufgrund folgender Überlegung: Die Nutzung von Biomasse zur Substitution der fossilen Brennstoffe als heutige Hauptquelle für Porzesswärme liegt zwar nahe. Allerdings sind die Potenziale eng begrenzt und sie stehen in Konkurrenz mit Anwendungen, bei denen eine Substitution aus anderen Quellen technisch noch ungünstiger wäre (z. B. Kraftstoffe für mobile Anwendungen im Verkehrsbereich). Hier bleibt die Brennstoff-Substitituion daher auf die festen Biobrennstoffe beschränkt, der übrige Bedarf wird durch Wärme [865] und Strom abgedeckt [870].</v>
      </c>
      <c r="CV855" s="656"/>
      <c r="CW855" s="480"/>
      <c r="DS855" s="656"/>
      <c r="DT855" s="518">
        <v>53</v>
      </c>
      <c r="EJ855" s="472" t="str">
        <f>IF(X855=0,"",EJ$1&amp;X855)</f>
        <v/>
      </c>
      <c r="EK855" s="472" t="str">
        <f ca="1">EK$1&amp;X855</f>
        <v>[D_Python.xlsx]9.Quellen!C</v>
      </c>
      <c r="EV855" s="819">
        <f t="shared" si="415"/>
        <v>855</v>
      </c>
      <c r="EW855" s="819"/>
    </row>
    <row r="856" spans="1:153" s="478" customFormat="1" ht="4">
      <c r="A856" s="677" t="str">
        <f t="shared" ref="A856:A948" ca="1" si="446">BT$1&amp;D856</f>
        <v>D.1.856</v>
      </c>
      <c r="B856" s="677" t="str">
        <f t="shared" ref="B856:B948" ca="1" si="447">BW$1&amp;D856</f>
        <v>1.856</v>
      </c>
      <c r="C856" s="677" t="str">
        <f t="shared" si="443"/>
        <v>[856]</v>
      </c>
      <c r="D856" s="677">
        <f>ROW()</f>
        <v>856</v>
      </c>
      <c r="E856" s="548"/>
      <c r="F856" s="548"/>
      <c r="G856" s="548"/>
      <c r="H856" s="548"/>
      <c r="I856" s="549"/>
      <c r="J856" s="549"/>
      <c r="K856" s="549"/>
      <c r="L856" s="549"/>
      <c r="M856" s="549"/>
      <c r="N856" s="548"/>
      <c r="O856" s="871">
        <v>850</v>
      </c>
      <c r="P856" s="575"/>
      <c r="Q856" s="576"/>
      <c r="R856" s="888"/>
      <c r="S856" s="802"/>
      <c r="T856" s="882"/>
      <c r="U856" s="661"/>
      <c r="V856" s="661"/>
      <c r="W856" s="661"/>
      <c r="X856" s="661"/>
      <c r="Y856" s="661"/>
      <c r="Z856" s="661"/>
      <c r="AA856" s="661"/>
      <c r="AB856" s="675"/>
      <c r="AC856" s="675"/>
      <c r="AD856" s="675"/>
      <c r="AE856" s="675"/>
      <c r="AF856" s="675"/>
      <c r="AG856" s="675"/>
      <c r="AH856" s="675"/>
      <c r="AI856" s="675"/>
      <c r="AJ856" s="675"/>
      <c r="AK856" s="675"/>
      <c r="AL856" s="675"/>
      <c r="AM856" s="675"/>
      <c r="AN856" s="675"/>
      <c r="AO856" s="675"/>
      <c r="AP856" s="675"/>
      <c r="AQ856" s="675"/>
      <c r="AR856" s="675"/>
      <c r="AS856" s="675"/>
      <c r="AT856" s="675"/>
      <c r="AU856" s="675"/>
      <c r="AV856" s="675"/>
      <c r="AZ856" s="505"/>
      <c r="BB856" s="505"/>
      <c r="BI856" s="478" t="s">
        <v>126</v>
      </c>
      <c r="BJ856" s="489"/>
      <c r="BN856" s="661"/>
      <c r="CU856" s="479"/>
      <c r="CV856" s="661"/>
      <c r="CW856" s="479"/>
      <c r="DS856" s="661"/>
      <c r="EV856" s="818" t="str">
        <f t="shared" ref="EV856:EV948" si="448">IF(U856&amp;BP856="","",D856)</f>
        <v/>
      </c>
      <c r="EW856" s="818"/>
    </row>
    <row r="857" spans="1:153" s="475" customFormat="1" ht="13.5" customHeight="1">
      <c r="A857" s="654" t="str">
        <f t="shared" ca="1" si="446"/>
        <v>D.1.857</v>
      </c>
      <c r="B857" s="654" t="str">
        <f t="shared" ca="1" si="447"/>
        <v>1.857</v>
      </c>
      <c r="C857" s="654" t="str">
        <f t="shared" si="443"/>
        <v>[857]</v>
      </c>
      <c r="D857" s="654">
        <f>ROW()</f>
        <v>857</v>
      </c>
      <c r="E857" s="1129" t="str">
        <f>BP857</f>
        <v>Nutzungsgrad Endanwend. Brennstoffe für PW</v>
      </c>
      <c r="F857" s="1129"/>
      <c r="G857" s="1129"/>
      <c r="H857" s="1129"/>
      <c r="I857" s="1129"/>
      <c r="J857" s="471" t="s">
        <v>38</v>
      </c>
      <c r="K857" s="605">
        <f ca="1">INDIRECT($W$1&amp;U857)</f>
        <v>70</v>
      </c>
      <c r="L857" s="597" t="str">
        <f ca="1">HYPERLINK($CK$1&amp;U857,$CE$1&amp;U857&amp;$CF$1)</f>
        <v>[858]</v>
      </c>
      <c r="M857" s="545">
        <f ca="1">INDIRECT($W$1&amp;W857)</f>
        <v>80</v>
      </c>
      <c r="N857" s="533" t="str">
        <f ca="1">HYPERLINK($CK$1&amp;W857,$CE$1&amp;W857&amp;$CF$1)</f>
        <v>[860]</v>
      </c>
      <c r="O857" s="869">
        <v>851</v>
      </c>
      <c r="P857" s="570"/>
      <c r="Q857" s="583"/>
      <c r="R857" s="852"/>
      <c r="S857" s="784"/>
      <c r="T857" s="864"/>
      <c r="U857" s="672">
        <f>D858</f>
        <v>858</v>
      </c>
      <c r="V857" s="905" t="s">
        <v>126</v>
      </c>
      <c r="W857" s="672">
        <f>D860</f>
        <v>860</v>
      </c>
      <c r="X857" s="658"/>
      <c r="Y857" s="658"/>
      <c r="Z857" s="658"/>
      <c r="AA857" s="658"/>
      <c r="AB857" s="801"/>
      <c r="AC857" s="801"/>
      <c r="AD857" s="674"/>
      <c r="AE857" s="674"/>
      <c r="AF857" s="674"/>
      <c r="AG857" s="674"/>
      <c r="AH857" s="674"/>
      <c r="AI857" s="674"/>
      <c r="AJ857" s="674"/>
      <c r="AK857" s="674"/>
      <c r="AL857" s="674"/>
      <c r="AM857" s="674"/>
      <c r="AN857" s="674"/>
      <c r="AO857" s="674"/>
      <c r="AP857" s="674"/>
      <c r="AQ857" s="674"/>
      <c r="AR857" s="674"/>
      <c r="AS857" s="674"/>
      <c r="AT857" s="674"/>
      <c r="AU857" s="674"/>
      <c r="AV857" s="674"/>
      <c r="AX857" s="475" t="s">
        <v>244</v>
      </c>
      <c r="AY857" s="500">
        <f ca="1">DA857</f>
        <v>10.254559182513647</v>
      </c>
      <c r="AZ857" s="508" t="str">
        <f ca="1">HYPERLINK(DN857,DC857)</f>
        <v xml:space="preserve"> 235</v>
      </c>
      <c r="BA857" s="500">
        <f ca="1">DB857</f>
        <v>35</v>
      </c>
      <c r="BB857" s="508" t="str">
        <f ca="1">HYPERLINK(DO857,DD857)</f>
        <v xml:space="preserve"> 236</v>
      </c>
      <c r="BC857" s="475" t="str">
        <f ca="1">CY857&amp;" | "&amp;CZ857</f>
        <v>Brennstoffgew.
für Prozesse | 0</v>
      </c>
      <c r="BI857" s="475" t="s">
        <v>126</v>
      </c>
      <c r="BJ857" s="492" t="str">
        <f>E857</f>
        <v>Nutzungsgrad Endanwend. Brennstoffe für PW</v>
      </c>
      <c r="BK857" s="486">
        <f ca="1">K857</f>
        <v>70</v>
      </c>
      <c r="BL857" s="486">
        <f ca="1">M857</f>
        <v>80</v>
      </c>
      <c r="BM857" s="472">
        <f>D857</f>
        <v>857</v>
      </c>
      <c r="BN857" s="658"/>
      <c r="BO857" s="475" t="s">
        <v>251</v>
      </c>
      <c r="BP857" s="521" t="s">
        <v>451</v>
      </c>
      <c r="CU857" s="476"/>
      <c r="CV857" s="658"/>
      <c r="CW857" s="518">
        <v>61</v>
      </c>
      <c r="CY857" s="472" t="str">
        <f t="shared" ref="CY857:DO857" ca="1" si="449">INDIRECT($CX$1&amp;CY$1&amp;$CW857)</f>
        <v>Brennstoffgew.
für Prozesse</v>
      </c>
      <c r="CZ857" s="472">
        <f t="shared" ca="1" si="449"/>
        <v>0</v>
      </c>
      <c r="DA857" s="472">
        <f t="shared" ca="1" si="449"/>
        <v>10.254559182513647</v>
      </c>
      <c r="DB857" s="472">
        <f t="shared" ca="1" si="449"/>
        <v>35</v>
      </c>
      <c r="DC857" s="472" t="str">
        <f t="shared" ca="1" si="449"/>
        <v xml:space="preserve"> 235</v>
      </c>
      <c r="DD857" s="472" t="str">
        <f t="shared" ca="1" si="449"/>
        <v xml:space="preserve"> 236</v>
      </c>
      <c r="DE857" s="472" t="str">
        <f t="shared" ca="1" si="449"/>
        <v>Ho99</v>
      </c>
      <c r="DF857" s="472" t="str">
        <f t="shared" ca="1" si="449"/>
        <v>Ho36</v>
      </c>
      <c r="DG857" s="472" t="str">
        <f t="shared" ca="1" si="449"/>
        <v>Ho</v>
      </c>
      <c r="DH857" s="472" t="str">
        <f t="shared" ca="1" si="449"/>
        <v>99</v>
      </c>
      <c r="DI857" s="472" t="str">
        <f t="shared" ca="1" si="449"/>
        <v>[Ho.xls]TEXT!Z99S5</v>
      </c>
      <c r="DJ857" s="472" t="str">
        <f t="shared" ca="1" si="449"/>
        <v>Ho</v>
      </c>
      <c r="DK857" s="472" t="str">
        <f t="shared" ca="1" si="449"/>
        <v>36</v>
      </c>
      <c r="DL857" s="472" t="str">
        <f t="shared" ca="1" si="449"/>
        <v>[Ho.xls]TEXT!Z36S5</v>
      </c>
      <c r="DM857" s="472">
        <f t="shared" ca="1" si="449"/>
        <v>61</v>
      </c>
      <c r="DN857" s="472" t="str">
        <f t="shared" ca="1" si="449"/>
        <v>[Region.xls]PARAMETER!Z235S6</v>
      </c>
      <c r="DO857" s="472" t="str">
        <f t="shared" ca="1" si="449"/>
        <v>[Region.xls]PARAMETER!Z236S6</v>
      </c>
      <c r="DP857" s="472"/>
      <c r="DS857" s="656"/>
      <c r="DV857" s="472"/>
      <c r="DW857" s="472"/>
      <c r="DX857" s="472"/>
      <c r="DY857" s="472"/>
      <c r="DZ857" s="472"/>
      <c r="EA857" s="472"/>
      <c r="EB857" s="472"/>
      <c r="EC857" s="472"/>
      <c r="ED857" s="472"/>
      <c r="EE857" s="472"/>
      <c r="EF857" s="472"/>
      <c r="EG857" s="472"/>
      <c r="EH857" s="472"/>
      <c r="EI857" s="472"/>
      <c r="EJ857" s="472"/>
      <c r="EK857" s="472"/>
      <c r="EV857" s="819">
        <f t="shared" si="448"/>
        <v>857</v>
      </c>
      <c r="EW857" s="819"/>
    </row>
    <row r="858" spans="1:153" s="472" customFormat="1" ht="65">
      <c r="A858" s="654" t="str">
        <f t="shared" ca="1" si="446"/>
        <v>D.1.858</v>
      </c>
      <c r="B858" s="654" t="str">
        <f t="shared" ca="1" si="447"/>
        <v>1.858</v>
      </c>
      <c r="C858" s="654" t="str">
        <f t="shared" si="443"/>
        <v>[858]</v>
      </c>
      <c r="D858" s="654">
        <f>ROW()</f>
        <v>858</v>
      </c>
      <c r="E858" s="1130" t="str">
        <f>CU858</f>
        <v>- STATUS-Ansatz: Schätzwert für den durchschnittlichen Nutzungsgrad aller mit Brennstoff befeuerten Industrieöfen und gewerblichen Verbrennungsprozesse (Nutzenergie / Heizwert). Dient dazu, reduzierte Wandlungsverluste und damit die Bedarfsminderung bei der Endenergie für Prozesswärme zu ermitteln, die durch Effizienzgewinne und durch Verschiebung des Energiemix auf die verlustarm zu nutzenden Energieträger Strom und Wärme zu erreichen ist.</v>
      </c>
      <c r="F858" s="1130"/>
      <c r="G858" s="1130"/>
      <c r="H858" s="1130"/>
      <c r="I858" s="1130"/>
      <c r="J858" s="1130"/>
      <c r="K858" s="1130"/>
      <c r="L858" s="1130"/>
      <c r="M858" s="1130"/>
      <c r="N858" s="1131"/>
      <c r="O858" s="869">
        <v>852</v>
      </c>
      <c r="P858" s="573" t="str">
        <f ca="1">HYPERLINK(EK858,EJ858)</f>
        <v/>
      </c>
      <c r="Q858" s="574" t="str">
        <f>Y858</f>
        <v>???</v>
      </c>
      <c r="R858" s="852"/>
      <c r="S858" s="784"/>
      <c r="T858" s="864"/>
      <c r="U858" s="1023" t="s">
        <v>481</v>
      </c>
      <c r="V858" s="905" t="s">
        <v>126</v>
      </c>
      <c r="W858" s="1095">
        <v>70</v>
      </c>
      <c r="X858" s="672"/>
      <c r="Y858" s="672" t="s">
        <v>314</v>
      </c>
      <c r="Z858" s="1025"/>
      <c r="AA858" s="658"/>
      <c r="AB858" s="801"/>
      <c r="AC858" s="801"/>
      <c r="AD858" s="801"/>
      <c r="AE858" s="801"/>
      <c r="AF858" s="801"/>
      <c r="AG858" s="801"/>
      <c r="AH858" s="801"/>
      <c r="AI858" s="801"/>
      <c r="AJ858" s="801"/>
      <c r="AK858" s="801"/>
      <c r="AL858" s="801"/>
      <c r="AM858" s="801"/>
      <c r="AN858" s="801"/>
      <c r="AO858" s="801"/>
      <c r="AP858" s="801"/>
      <c r="AQ858" s="801"/>
      <c r="AR858" s="801"/>
      <c r="AS858" s="801"/>
      <c r="AT858" s="801"/>
      <c r="AU858" s="801"/>
      <c r="AV858" s="801"/>
      <c r="AY858" s="472">
        <f ca="1">AY857/AY$246%</f>
        <v>14.091645358575692</v>
      </c>
      <c r="BA858" s="472">
        <f ca="1">BA857/BA$246%</f>
        <v>100</v>
      </c>
      <c r="BF858" s="473"/>
      <c r="BI858" s="472" t="s">
        <v>126</v>
      </c>
      <c r="BJ858" s="490"/>
      <c r="BN858" s="656"/>
      <c r="BO858" s="472" t="s">
        <v>259</v>
      </c>
      <c r="CU858" s="480" t="str">
        <f>CG$1&amp;IF(U858="",BF858,U858)</f>
        <v>- STATUS-Ansatz: Schätzwert für den durchschnittlichen Nutzungsgrad aller mit Brennstoff befeuerten Industrieöfen und gewerblichen Verbrennungsprozesse (Nutzenergie / Heizwert). Dient dazu, reduzierte Wandlungsverluste und damit die Bedarfsminderung bei der Endenergie für Prozesswärme zu ermitteln, die durch Effizienzgewinne und durch Verschiebung des Energiemix auf die verlustarm zu nutzenden Energieträger Strom und Wärme zu erreichen ist.</v>
      </c>
      <c r="CV858" s="656"/>
      <c r="CW858" s="480"/>
      <c r="DS858" s="656"/>
      <c r="DT858" s="518">
        <f>I_Basisdaten!A348</f>
        <v>0</v>
      </c>
      <c r="EJ858" s="472" t="str">
        <f>IF(X858=0,"",EJ$1&amp;X858)</f>
        <v/>
      </c>
      <c r="EK858" s="472" t="str">
        <f ca="1">EK$1&amp;X858</f>
        <v>[D_Python.xlsx]9.Quellen!C</v>
      </c>
      <c r="EV858" s="819">
        <f t="shared" si="448"/>
        <v>858</v>
      </c>
      <c r="EW858" s="819"/>
    </row>
    <row r="859" spans="1:153" s="478" customFormat="1" ht="4">
      <c r="A859" s="677" t="str">
        <f t="shared" ca="1" si="446"/>
        <v>D.1.859</v>
      </c>
      <c r="B859" s="677" t="str">
        <f t="shared" ca="1" si="447"/>
        <v>1.859</v>
      </c>
      <c r="C859" s="677" t="str">
        <f t="shared" si="443"/>
        <v>[859]</v>
      </c>
      <c r="D859" s="677">
        <f>ROW()</f>
        <v>859</v>
      </c>
      <c r="E859" s="528"/>
      <c r="F859" s="528"/>
      <c r="G859" s="528"/>
      <c r="H859" s="528"/>
      <c r="I859" s="527"/>
      <c r="J859" s="527"/>
      <c r="K859" s="527"/>
      <c r="L859" s="527"/>
      <c r="M859" s="527"/>
      <c r="N859" s="528"/>
      <c r="O859" s="871">
        <v>853</v>
      </c>
      <c r="P859" s="566"/>
      <c r="Q859" s="567"/>
      <c r="R859" s="888"/>
      <c r="S859" s="802"/>
      <c r="T859" s="882"/>
      <c r="U859" s="661"/>
      <c r="V859" s="661"/>
      <c r="W859" s="606"/>
      <c r="X859" s="661"/>
      <c r="Y859" s="661"/>
      <c r="Z859" s="661"/>
      <c r="AA859" s="661"/>
      <c r="AB859" s="675"/>
      <c r="AC859" s="675"/>
      <c r="AD859" s="675"/>
      <c r="AE859" s="675"/>
      <c r="AF859" s="675"/>
      <c r="AG859" s="675"/>
      <c r="AH859" s="675"/>
      <c r="AI859" s="675"/>
      <c r="AJ859" s="675"/>
      <c r="AK859" s="675"/>
      <c r="AL859" s="675"/>
      <c r="AM859" s="675"/>
      <c r="AN859" s="675"/>
      <c r="AO859" s="675"/>
      <c r="AP859" s="675"/>
      <c r="AQ859" s="675"/>
      <c r="AR859" s="675"/>
      <c r="AS859" s="675"/>
      <c r="AT859" s="675"/>
      <c r="AU859" s="675"/>
      <c r="AV859" s="675"/>
      <c r="BI859" s="478" t="s">
        <v>126</v>
      </c>
      <c r="BJ859" s="489"/>
      <c r="BN859" s="661"/>
      <c r="CU859" s="479"/>
      <c r="CV859" s="661"/>
      <c r="CW859" s="479"/>
      <c r="DS859" s="661"/>
      <c r="EV859" s="818" t="str">
        <f t="shared" si="448"/>
        <v/>
      </c>
      <c r="EW859" s="818"/>
    </row>
    <row r="860" spans="1:153" s="472" customFormat="1" ht="52">
      <c r="A860" s="654" t="str">
        <f t="shared" ca="1" si="446"/>
        <v>D.1.860</v>
      </c>
      <c r="B860" s="654" t="str">
        <f t="shared" ca="1" si="447"/>
        <v>1.860</v>
      </c>
      <c r="C860" s="654" t="str">
        <f t="shared" si="443"/>
        <v>[860]</v>
      </c>
      <c r="D860" s="654">
        <f>ROW()</f>
        <v>860</v>
      </c>
      <c r="E860" s="1125" t="str">
        <f t="shared" ref="E860" si="450">CU860</f>
        <v xml:space="preserve">- ZIEL-Ansatz: Annahme einer leichten Verbesserung durch Effizienzsteigerung bei den Industrieöfen, der durch hohe Temperaturen und unvermeidliche Rauchgas-Verluste allerdings enge technische Grenzen gesetzt sind. Die zusätzliche Abwärmenutzung, z. B. für Gebäudewärme, ist nicht in diesem Wert enthalten, sie wird unter Wärmequellen gesondert erfasst. </v>
      </c>
      <c r="F860" s="1125"/>
      <c r="G860" s="1125"/>
      <c r="H860" s="1125"/>
      <c r="I860" s="1125"/>
      <c r="J860" s="1125"/>
      <c r="K860" s="1125"/>
      <c r="L860" s="1125"/>
      <c r="M860" s="1125"/>
      <c r="N860" s="1132"/>
      <c r="O860" s="869">
        <v>854</v>
      </c>
      <c r="P860" s="573" t="str">
        <f ca="1">HYPERLINK(EK860,EJ860)</f>
        <v/>
      </c>
      <c r="Q860" s="574" t="str">
        <f>Y860</f>
        <v>???</v>
      </c>
      <c r="R860" s="852"/>
      <c r="S860" s="784"/>
      <c r="T860" s="864"/>
      <c r="U860" s="1023" t="s">
        <v>482</v>
      </c>
      <c r="V860" s="905" t="s">
        <v>126</v>
      </c>
      <c r="W860" s="1095">
        <v>80</v>
      </c>
      <c r="X860" s="672"/>
      <c r="Y860" s="672" t="s">
        <v>314</v>
      </c>
      <c r="Z860" s="1025"/>
      <c r="AA860" s="905"/>
      <c r="AB860" s="801"/>
      <c r="AC860" s="801"/>
      <c r="AD860" s="801"/>
      <c r="AE860" s="801"/>
      <c r="AF860" s="801"/>
      <c r="AG860" s="801"/>
      <c r="AH860" s="801"/>
      <c r="AI860" s="801"/>
      <c r="AJ860" s="801"/>
      <c r="AK860" s="801"/>
      <c r="AL860" s="801"/>
      <c r="AM860" s="801"/>
      <c r="AN860" s="801"/>
      <c r="AO860" s="801"/>
      <c r="AP860" s="801"/>
      <c r="AQ860" s="801"/>
      <c r="AR860" s="801"/>
      <c r="AS860" s="801"/>
      <c r="AT860" s="801"/>
      <c r="AU860" s="801"/>
      <c r="AV860" s="801"/>
      <c r="BF860" s="473"/>
      <c r="BI860" s="472" t="s">
        <v>126</v>
      </c>
      <c r="BJ860" s="490"/>
      <c r="BN860" s="656"/>
      <c r="BO860" s="472" t="s">
        <v>259</v>
      </c>
      <c r="CU860" s="480" t="str">
        <f>CH$1&amp;IF(U860="",BF860,U860)</f>
        <v xml:space="preserve">- ZIEL-Ansatz: Annahme einer leichten Verbesserung durch Effizienzsteigerung bei den Industrieöfen, der durch hohe Temperaturen und unvermeidliche Rauchgas-Verluste allerdings enge technische Grenzen gesetzt sind. Die zusätzliche Abwärmenutzung, z. B. für Gebäudewärme, ist nicht in diesem Wert enthalten, sie wird unter Wärmequellen gesondert erfasst. </v>
      </c>
      <c r="CV860" s="656"/>
      <c r="CW860" s="480"/>
      <c r="DS860" s="656"/>
      <c r="DT860" s="518">
        <v>53</v>
      </c>
      <c r="EJ860" s="472" t="str">
        <f>IF(X860=0,"",EJ$1&amp;X860)</f>
        <v/>
      </c>
      <c r="EK860" s="472" t="str">
        <f ca="1">EK$1&amp;X860</f>
        <v>[D_Python.xlsx]9.Quellen!C</v>
      </c>
      <c r="EV860" s="819">
        <f t="shared" si="448"/>
        <v>860</v>
      </c>
      <c r="EW860" s="819"/>
    </row>
    <row r="861" spans="1:153" s="478" customFormat="1" ht="4">
      <c r="A861" s="677" t="str">
        <f t="shared" ca="1" si="446"/>
        <v>D.1.861</v>
      </c>
      <c r="B861" s="677" t="str">
        <f t="shared" ca="1" si="447"/>
        <v>1.861</v>
      </c>
      <c r="C861" s="677" t="str">
        <f t="shared" ref="C861:C870" si="451">CE$1&amp;D861&amp;CF$1</f>
        <v>[861]</v>
      </c>
      <c r="D861" s="677">
        <f>ROW()</f>
        <v>861</v>
      </c>
      <c r="E861" s="548"/>
      <c r="F861" s="548"/>
      <c r="G861" s="548"/>
      <c r="H861" s="548"/>
      <c r="I861" s="549"/>
      <c r="J861" s="549"/>
      <c r="K861" s="549"/>
      <c r="L861" s="549"/>
      <c r="M861" s="549"/>
      <c r="N861" s="548"/>
      <c r="O861" s="871">
        <v>855</v>
      </c>
      <c r="P861" s="575"/>
      <c r="Q861" s="576"/>
      <c r="R861" s="888"/>
      <c r="S861" s="802"/>
      <c r="T861" s="882"/>
      <c r="U861" s="661"/>
      <c r="V861" s="661"/>
      <c r="W861" s="661"/>
      <c r="X861" s="661"/>
      <c r="Y861" s="661"/>
      <c r="Z861" s="661"/>
      <c r="AA861" s="661"/>
      <c r="AB861" s="675"/>
      <c r="AC861" s="675"/>
      <c r="AD861" s="675"/>
      <c r="AE861" s="675"/>
      <c r="AF861" s="675"/>
      <c r="AG861" s="675"/>
      <c r="AH861" s="675"/>
      <c r="AI861" s="675"/>
      <c r="AJ861" s="675"/>
      <c r="AK861" s="675"/>
      <c r="AL861" s="675"/>
      <c r="AM861" s="675"/>
      <c r="AN861" s="675"/>
      <c r="AO861" s="675"/>
      <c r="AP861" s="675"/>
      <c r="AQ861" s="675"/>
      <c r="AR861" s="675"/>
      <c r="AS861" s="675"/>
      <c r="AT861" s="675"/>
      <c r="AU861" s="675"/>
      <c r="AV861" s="675"/>
      <c r="AZ861" s="505"/>
      <c r="BB861" s="505"/>
      <c r="BI861" s="478" t="s">
        <v>126</v>
      </c>
      <c r="BJ861" s="489"/>
      <c r="BN861" s="661"/>
      <c r="CU861" s="479"/>
      <c r="CV861" s="661"/>
      <c r="CW861" s="479"/>
      <c r="DS861" s="661"/>
      <c r="EV861" s="818" t="str">
        <f t="shared" si="448"/>
        <v/>
      </c>
      <c r="EW861" s="818"/>
    </row>
    <row r="862" spans="1:153" s="475" customFormat="1" ht="13.5" customHeight="1">
      <c r="A862" s="654" t="str">
        <f t="shared" ca="1" si="446"/>
        <v>D.1.862</v>
      </c>
      <c r="B862" s="654" t="str">
        <f t="shared" ca="1" si="447"/>
        <v>1.862</v>
      </c>
      <c r="C862" s="654" t="str">
        <f t="shared" si="451"/>
        <v>[862]</v>
      </c>
      <c r="D862" s="654">
        <f>ROW()</f>
        <v>862</v>
      </c>
      <c r="E862" s="1129" t="str">
        <f>BP862</f>
        <v>Anteil Wärme (Hoch-Temp.) an PW</v>
      </c>
      <c r="F862" s="1129"/>
      <c r="G862" s="1129"/>
      <c r="H862" s="1129"/>
      <c r="I862" s="1129"/>
      <c r="J862" s="471" t="s">
        <v>38</v>
      </c>
      <c r="K862" s="605">
        <f ca="1">INDIRECT($W$1&amp;U862)</f>
        <v>10.98484443922289</v>
      </c>
      <c r="L862" s="597" t="str">
        <f ca="1">HYPERLINK($CK$1&amp;U862,$CE$1&amp;U862&amp;$CF$1)</f>
        <v>[863]</v>
      </c>
      <c r="M862" s="545">
        <f ca="1">INDIRECT($W$1&amp;W862)</f>
        <v>0</v>
      </c>
      <c r="N862" s="533" t="str">
        <f ca="1">HYPERLINK($CK$1&amp;W862,$CE$1&amp;W862&amp;$CF$1)</f>
        <v>[865]</v>
      </c>
      <c r="O862" s="869">
        <v>856</v>
      </c>
      <c r="P862" s="570"/>
      <c r="Q862" s="583"/>
      <c r="R862" s="852"/>
      <c r="S862" s="784"/>
      <c r="T862" s="864"/>
      <c r="U862" s="672">
        <f>D863</f>
        <v>863</v>
      </c>
      <c r="V862" s="905" t="s">
        <v>126</v>
      </c>
      <c r="W862" s="672">
        <f>D865</f>
        <v>865</v>
      </c>
      <c r="X862" s="658"/>
      <c r="Y862" s="658"/>
      <c r="Z862" s="658"/>
      <c r="AA862" s="658"/>
      <c r="AB862" s="801"/>
      <c r="AC862" s="801"/>
      <c r="AD862" s="674"/>
      <c r="AE862" s="674"/>
      <c r="AF862" s="674"/>
      <c r="AG862" s="674"/>
      <c r="AH862" s="674"/>
      <c r="AI862" s="674"/>
      <c r="AJ862" s="674"/>
      <c r="AK862" s="674"/>
      <c r="AL862" s="674"/>
      <c r="AM862" s="674"/>
      <c r="AN862" s="674"/>
      <c r="AO862" s="674"/>
      <c r="AP862" s="674"/>
      <c r="AQ862" s="674"/>
      <c r="AR862" s="674"/>
      <c r="AS862" s="674"/>
      <c r="AT862" s="674"/>
      <c r="AU862" s="674"/>
      <c r="AV862" s="674"/>
      <c r="AX862" s="475" t="s">
        <v>244</v>
      </c>
      <c r="AY862" s="500">
        <f ca="1">DA862</f>
        <v>10.254559182513647</v>
      </c>
      <c r="AZ862" s="508" t="str">
        <f ca="1">HYPERLINK(DN862,DC862)</f>
        <v xml:space="preserve"> 235</v>
      </c>
      <c r="BA862" s="500">
        <f ca="1">DB862</f>
        <v>35</v>
      </c>
      <c r="BB862" s="508" t="str">
        <f ca="1">HYPERLINK(DO862,DD862)</f>
        <v xml:space="preserve"> 236</v>
      </c>
      <c r="BC862" s="475" t="str">
        <f ca="1">CY862&amp;" | "&amp;CZ862</f>
        <v>Brennstoffgew.
für Prozesse | 0</v>
      </c>
      <c r="BI862" s="475" t="s">
        <v>126</v>
      </c>
      <c r="BJ862" s="492" t="str">
        <f>E862</f>
        <v>Anteil Wärme (Hoch-Temp.) an PW</v>
      </c>
      <c r="BK862" s="486">
        <f ca="1">K862</f>
        <v>10.98484443922289</v>
      </c>
      <c r="BL862" s="486">
        <f ca="1">M862</f>
        <v>0</v>
      </c>
      <c r="BM862" s="472">
        <f>D862</f>
        <v>862</v>
      </c>
      <c r="BN862" s="658"/>
      <c r="BO862" s="475" t="s">
        <v>251</v>
      </c>
      <c r="BP862" s="521" t="s">
        <v>449</v>
      </c>
      <c r="CU862" s="476"/>
      <c r="CV862" s="658"/>
      <c r="CW862" s="518">
        <v>61</v>
      </c>
      <c r="CY862" s="472" t="str">
        <f t="shared" ref="CY862:DO862" ca="1" si="452">INDIRECT($CX$1&amp;CY$1&amp;$CW862)</f>
        <v>Brennstoffgew.
für Prozesse</v>
      </c>
      <c r="CZ862" s="472">
        <f t="shared" ca="1" si="452"/>
        <v>0</v>
      </c>
      <c r="DA862" s="472">
        <f t="shared" ca="1" si="452"/>
        <v>10.254559182513647</v>
      </c>
      <c r="DB862" s="472">
        <f t="shared" ca="1" si="452"/>
        <v>35</v>
      </c>
      <c r="DC862" s="472" t="str">
        <f t="shared" ca="1" si="452"/>
        <v xml:space="preserve"> 235</v>
      </c>
      <c r="DD862" s="472" t="str">
        <f t="shared" ca="1" si="452"/>
        <v xml:space="preserve"> 236</v>
      </c>
      <c r="DE862" s="472" t="str">
        <f t="shared" ca="1" si="452"/>
        <v>Ho99</v>
      </c>
      <c r="DF862" s="472" t="str">
        <f t="shared" ca="1" si="452"/>
        <v>Ho36</v>
      </c>
      <c r="DG862" s="472" t="str">
        <f t="shared" ca="1" si="452"/>
        <v>Ho</v>
      </c>
      <c r="DH862" s="472" t="str">
        <f t="shared" ca="1" si="452"/>
        <v>99</v>
      </c>
      <c r="DI862" s="472" t="str">
        <f t="shared" ca="1" si="452"/>
        <v>[Ho.xls]TEXT!Z99S5</v>
      </c>
      <c r="DJ862" s="472" t="str">
        <f t="shared" ca="1" si="452"/>
        <v>Ho</v>
      </c>
      <c r="DK862" s="472" t="str">
        <f t="shared" ca="1" si="452"/>
        <v>36</v>
      </c>
      <c r="DL862" s="472" t="str">
        <f t="shared" ca="1" si="452"/>
        <v>[Ho.xls]TEXT!Z36S5</v>
      </c>
      <c r="DM862" s="472">
        <f t="shared" ca="1" si="452"/>
        <v>61</v>
      </c>
      <c r="DN862" s="472" t="str">
        <f t="shared" ca="1" si="452"/>
        <v>[Region.xls]PARAMETER!Z235S6</v>
      </c>
      <c r="DO862" s="472" t="str">
        <f t="shared" ca="1" si="452"/>
        <v>[Region.xls]PARAMETER!Z236S6</v>
      </c>
      <c r="DP862" s="472"/>
      <c r="DS862" s="656"/>
      <c r="DV862" s="472"/>
      <c r="DW862" s="472"/>
      <c r="DX862" s="472"/>
      <c r="DY862" s="472"/>
      <c r="DZ862" s="472"/>
      <c r="EA862" s="472"/>
      <c r="EB862" s="472"/>
      <c r="EC862" s="472"/>
      <c r="ED862" s="472"/>
      <c r="EE862" s="472"/>
      <c r="EF862" s="472"/>
      <c r="EG862" s="472"/>
      <c r="EH862" s="472"/>
      <c r="EI862" s="472"/>
      <c r="EJ862" s="472"/>
      <c r="EK862" s="472"/>
      <c r="EV862" s="819">
        <f t="shared" si="448"/>
        <v>862</v>
      </c>
      <c r="EW862" s="819"/>
    </row>
    <row r="863" spans="1:153" s="472" customFormat="1" ht="16">
      <c r="A863" s="654" t="str">
        <f t="shared" ca="1" si="446"/>
        <v>D.1.863</v>
      </c>
      <c r="B863" s="654" t="str">
        <f t="shared" ca="1" si="447"/>
        <v>1.863</v>
      </c>
      <c r="C863" s="654" t="str">
        <f t="shared" si="451"/>
        <v>[863]</v>
      </c>
      <c r="D863" s="654">
        <f>ROW()</f>
        <v>863</v>
      </c>
      <c r="E863" s="1130" t="str">
        <f ca="1">CU863</f>
        <v>- STATUS-Ansatz: Gemäß Arbeitsgemeinschaft Energiebilanzen [9.28], Aufbereitung siehe [7.39].</v>
      </c>
      <c r="F863" s="1130"/>
      <c r="G863" s="1130"/>
      <c r="H863" s="1130"/>
      <c r="I863" s="1130"/>
      <c r="J863" s="1130"/>
      <c r="K863" s="1130"/>
      <c r="L863" s="1130"/>
      <c r="M863" s="1130"/>
      <c r="N863" s="1131"/>
      <c r="O863" s="869">
        <v>857</v>
      </c>
      <c r="P863" s="573" t="str">
        <f ca="1">HYPERLINK(EK863,EJ863)</f>
        <v>9.28</v>
      </c>
      <c r="Q863" s="646" t="str">
        <f ca="1">IF(Y863="&gt;",HYPERLINK(EO863,EN863),Y863)</f>
        <v>7.39</v>
      </c>
      <c r="R863" s="852"/>
      <c r="S863" s="784"/>
      <c r="T863" s="864"/>
      <c r="U863" s="1023" t="str">
        <f ca="1">"Gemäß Arbeitsgemeinschaft Energiebilanzen ["&amp;P863&amp;"], Aufbereitung siehe ["&amp;Q863&amp;"]."</f>
        <v>Gemäß Arbeitsgemeinschaft Energiebilanzen [9.28], Aufbereitung siehe [7.39].</v>
      </c>
      <c r="V863" s="905" t="s">
        <v>126</v>
      </c>
      <c r="W863" s="1095">
        <f>'7.VerbrauchStatus'!N39</f>
        <v>10.98484443922289</v>
      </c>
      <c r="X863" s="672">
        <f>'9.Quellen'!C$28</f>
        <v>28</v>
      </c>
      <c r="Y863" s="672" t="s">
        <v>479</v>
      </c>
      <c r="Z863" s="672">
        <f>'7.VerbrauchStatus'!D39</f>
        <v>39</v>
      </c>
      <c r="AA863" s="658"/>
      <c r="AB863" s="801"/>
      <c r="AC863" s="801"/>
      <c r="AD863" s="801"/>
      <c r="AE863" s="801"/>
      <c r="AF863" s="801"/>
      <c r="AG863" s="801"/>
      <c r="AH863" s="801"/>
      <c r="AI863" s="801"/>
      <c r="AJ863" s="801"/>
      <c r="AK863" s="801"/>
      <c r="AL863" s="801"/>
      <c r="AM863" s="801"/>
      <c r="AN863" s="801"/>
      <c r="AO863" s="801"/>
      <c r="AP863" s="801"/>
      <c r="AQ863" s="801"/>
      <c r="AR863" s="801"/>
      <c r="AS863" s="801"/>
      <c r="AT863" s="801"/>
      <c r="AU863" s="801"/>
      <c r="AV863" s="801"/>
      <c r="AY863" s="472">
        <f ca="1">AY862/AY$246%</f>
        <v>14.091645358575692</v>
      </c>
      <c r="BA863" s="472">
        <f ca="1">BA862/BA$246%</f>
        <v>100</v>
      </c>
      <c r="BF863" s="473"/>
      <c r="BI863" s="472" t="s">
        <v>126</v>
      </c>
      <c r="BJ863" s="490"/>
      <c r="BN863" s="656"/>
      <c r="BO863" s="472" t="s">
        <v>259</v>
      </c>
      <c r="CU863" s="480" t="str">
        <f ca="1">CG$1&amp;IF(U863="",BF863,U863)</f>
        <v>- STATUS-Ansatz: Gemäß Arbeitsgemeinschaft Energiebilanzen [9.28], Aufbereitung siehe [7.39].</v>
      </c>
      <c r="CV863" s="656"/>
      <c r="CW863" s="480"/>
      <c r="DS863" s="656"/>
      <c r="DT863" s="518">
        <f>I_Basisdaten!A339</f>
        <v>0</v>
      </c>
      <c r="EJ863" s="472" t="str">
        <f ca="1">IF(X863=0,"",EJ$1&amp;X863)</f>
        <v>9.28</v>
      </c>
      <c r="EK863" s="472" t="str">
        <f ca="1">EK$1&amp;X863</f>
        <v>[D_Python.xlsx]9.Quellen!C28</v>
      </c>
      <c r="EN863" s="472" t="str">
        <f ca="1">IF(Z863=0,"",EN$1&amp;Z863)</f>
        <v>7.39</v>
      </c>
      <c r="EO863" s="472" t="str">
        <f ca="1">EO$1&amp;Z863</f>
        <v>[D_Python.xlsx]7.VerbrauchStatus!D39</v>
      </c>
      <c r="EV863" s="819">
        <f t="shared" ca="1" si="448"/>
        <v>863</v>
      </c>
      <c r="EW863" s="819"/>
    </row>
    <row r="864" spans="1:153" s="478" customFormat="1" ht="4">
      <c r="A864" s="677" t="str">
        <f t="shared" ca="1" si="446"/>
        <v>D.1.864</v>
      </c>
      <c r="B864" s="677" t="str">
        <f t="shared" ca="1" si="447"/>
        <v>1.864</v>
      </c>
      <c r="C864" s="677" t="str">
        <f t="shared" si="451"/>
        <v>[864]</v>
      </c>
      <c r="D864" s="677">
        <f>ROW()</f>
        <v>864</v>
      </c>
      <c r="E864" s="528"/>
      <c r="F864" s="528"/>
      <c r="G864" s="528"/>
      <c r="H864" s="528"/>
      <c r="I864" s="527"/>
      <c r="J864" s="527"/>
      <c r="K864" s="527"/>
      <c r="L864" s="527"/>
      <c r="M864" s="527"/>
      <c r="N864" s="528"/>
      <c r="O864" s="871">
        <v>858</v>
      </c>
      <c r="P864" s="566"/>
      <c r="Q864" s="567"/>
      <c r="R864" s="888"/>
      <c r="S864" s="802"/>
      <c r="T864" s="882"/>
      <c r="U864" s="661"/>
      <c r="V864" s="661"/>
      <c r="W864" s="606"/>
      <c r="X864" s="661"/>
      <c r="Y864" s="661"/>
      <c r="Z864" s="661"/>
      <c r="AA864" s="661"/>
      <c r="AB864" s="675"/>
      <c r="AC864" s="675"/>
      <c r="AD864" s="675"/>
      <c r="AE864" s="675"/>
      <c r="AF864" s="675"/>
      <c r="AG864" s="675"/>
      <c r="AH864" s="675"/>
      <c r="AI864" s="675"/>
      <c r="AJ864" s="675"/>
      <c r="AK864" s="675"/>
      <c r="AL864" s="675"/>
      <c r="AM864" s="675"/>
      <c r="AN864" s="675"/>
      <c r="AO864" s="675"/>
      <c r="AP864" s="675"/>
      <c r="AQ864" s="675"/>
      <c r="AR864" s="675"/>
      <c r="AS864" s="675"/>
      <c r="AT864" s="675"/>
      <c r="AU864" s="675"/>
      <c r="AV864" s="675"/>
      <c r="BI864" s="478" t="s">
        <v>126</v>
      </c>
      <c r="BJ864" s="489"/>
      <c r="BN864" s="661"/>
      <c r="CU864" s="479"/>
      <c r="CV864" s="661"/>
      <c r="CW864" s="479"/>
      <c r="DS864" s="661"/>
      <c r="EV864" s="818" t="str">
        <f t="shared" si="448"/>
        <v/>
      </c>
      <c r="EW864" s="818"/>
    </row>
    <row r="865" spans="1:153" s="472" customFormat="1" ht="52">
      <c r="A865" s="654" t="str">
        <f t="shared" ca="1" si="446"/>
        <v>D.1.865</v>
      </c>
      <c r="B865" s="654" t="str">
        <f t="shared" ca="1" si="447"/>
        <v>1.865</v>
      </c>
      <c r="C865" s="654" t="str">
        <f t="shared" si="451"/>
        <v>[865]</v>
      </c>
      <c r="D865" s="654">
        <f>ROW()</f>
        <v>865</v>
      </c>
      <c r="E865" s="1125" t="str">
        <f t="shared" ref="E865" si="453">CU865</f>
        <v>- ZIEL-Ansatz: Aufgrund folgender Überlegung: Die Nutzung von Abwärme als Prozesswärme ist grundsatzlich sinnvoll und lässt sich vermutlich noch ausweiten. Im Gegensatz zur Anwendung im Gebäudebereich dürfte das noch ungenutzte Potenzial wegen des höheren Temperaturniveaus allerdings überschaubar sein.  Andere Quellen (z. B. Solarthermie mit Konzentratoren) erscheinen in Deutschland wenig aussichtsreich.</v>
      </c>
      <c r="F865" s="1125"/>
      <c r="G865" s="1125"/>
      <c r="H865" s="1125"/>
      <c r="I865" s="1125"/>
      <c r="J865" s="1125"/>
      <c r="K865" s="1125"/>
      <c r="L865" s="1125"/>
      <c r="M865" s="1125"/>
      <c r="N865" s="1132"/>
      <c r="O865" s="869">
        <v>859</v>
      </c>
      <c r="P865" s="573" t="str">
        <f ca="1">HYPERLINK(EK865,EJ865)</f>
        <v/>
      </c>
      <c r="Q865" s="574" t="str">
        <f>Y865</f>
        <v xml:space="preserve"> </v>
      </c>
      <c r="R865" s="852"/>
      <c r="S865" s="784"/>
      <c r="T865" s="864"/>
      <c r="U865" s="1023" t="s">
        <v>785</v>
      </c>
      <c r="V865" s="905" t="s">
        <v>126</v>
      </c>
      <c r="W865" s="1095">
        <v>0</v>
      </c>
      <c r="X865" s="672"/>
      <c r="Y865" s="672" t="s">
        <v>126</v>
      </c>
      <c r="Z865" s="1025"/>
      <c r="AA865" s="905"/>
      <c r="AB865" s="801"/>
      <c r="AC865" s="801"/>
      <c r="AD865" s="801"/>
      <c r="AE865" s="801"/>
      <c r="AF865" s="801"/>
      <c r="AG865" s="801"/>
      <c r="AH865" s="801"/>
      <c r="AI865" s="801"/>
      <c r="AJ865" s="801"/>
      <c r="AK865" s="801"/>
      <c r="AL865" s="801"/>
      <c r="AM865" s="801"/>
      <c r="AN865" s="801"/>
      <c r="AO865" s="801"/>
      <c r="AP865" s="801"/>
      <c r="AQ865" s="801"/>
      <c r="AR865" s="801"/>
      <c r="AS865" s="801"/>
      <c r="AT865" s="801"/>
      <c r="AU865" s="801"/>
      <c r="AV865" s="801"/>
      <c r="BF865" s="473"/>
      <c r="BI865" s="472" t="s">
        <v>126</v>
      </c>
      <c r="BJ865" s="490"/>
      <c r="BN865" s="656"/>
      <c r="BO865" s="472" t="s">
        <v>259</v>
      </c>
      <c r="CU865" s="480" t="str">
        <f>CH$1&amp;IF(U865="",BF865,U865)</f>
        <v>- ZIEL-Ansatz: Aufgrund folgender Überlegung: Die Nutzung von Abwärme als Prozesswärme ist grundsatzlich sinnvoll und lässt sich vermutlich noch ausweiten. Im Gegensatz zur Anwendung im Gebäudebereich dürfte das noch ungenutzte Potenzial wegen des höheren Temperaturniveaus allerdings überschaubar sein.  Andere Quellen (z. B. Solarthermie mit Konzentratoren) erscheinen in Deutschland wenig aussichtsreich.</v>
      </c>
      <c r="CV865" s="656"/>
      <c r="CW865" s="480"/>
      <c r="DS865" s="656"/>
      <c r="DT865" s="518">
        <v>53</v>
      </c>
      <c r="EJ865" s="472" t="str">
        <f>IF(X865=0,"",EJ$1&amp;X865)</f>
        <v/>
      </c>
      <c r="EK865" s="472" t="str">
        <f ca="1">EK$1&amp;X865</f>
        <v>[D_Python.xlsx]9.Quellen!C</v>
      </c>
      <c r="EV865" s="819">
        <f t="shared" si="448"/>
        <v>865</v>
      </c>
      <c r="EW865" s="819"/>
    </row>
    <row r="866" spans="1:153" s="478" customFormat="1" ht="4">
      <c r="A866" s="677" t="str">
        <f t="shared" ca="1" si="446"/>
        <v>D.1.866</v>
      </c>
      <c r="B866" s="677" t="str">
        <f t="shared" ca="1" si="447"/>
        <v>1.866</v>
      </c>
      <c r="C866" s="677" t="str">
        <f t="shared" si="451"/>
        <v>[866]</v>
      </c>
      <c r="D866" s="677">
        <f>ROW()</f>
        <v>866</v>
      </c>
      <c r="E866" s="548"/>
      <c r="F866" s="548"/>
      <c r="G866" s="548"/>
      <c r="H866" s="548"/>
      <c r="I866" s="549"/>
      <c r="J866" s="549"/>
      <c r="K866" s="549"/>
      <c r="L866" s="549"/>
      <c r="M866" s="549"/>
      <c r="N866" s="548"/>
      <c r="O866" s="871">
        <v>860</v>
      </c>
      <c r="P866" s="575"/>
      <c r="Q866" s="576"/>
      <c r="R866" s="888"/>
      <c r="S866" s="802"/>
      <c r="T866" s="882"/>
      <c r="U866" s="661"/>
      <c r="V866" s="661"/>
      <c r="W866" s="661"/>
      <c r="X866" s="661"/>
      <c r="Y866" s="661"/>
      <c r="Z866" s="661"/>
      <c r="AA866" s="661"/>
      <c r="AB866" s="675"/>
      <c r="AC866" s="675"/>
      <c r="AD866" s="675"/>
      <c r="AE866" s="675"/>
      <c r="AF866" s="675"/>
      <c r="AG866" s="675"/>
      <c r="AH866" s="675"/>
      <c r="AI866" s="675"/>
      <c r="AJ866" s="675"/>
      <c r="AK866" s="675"/>
      <c r="AL866" s="675"/>
      <c r="AM866" s="675"/>
      <c r="AN866" s="675"/>
      <c r="AO866" s="675"/>
      <c r="AP866" s="675"/>
      <c r="AQ866" s="675"/>
      <c r="AR866" s="675"/>
      <c r="AS866" s="675"/>
      <c r="AT866" s="675"/>
      <c r="AU866" s="675"/>
      <c r="AV866" s="675"/>
      <c r="AZ866" s="505"/>
      <c r="BB866" s="505"/>
      <c r="BI866" s="478" t="s">
        <v>126</v>
      </c>
      <c r="BJ866" s="489"/>
      <c r="BN866" s="661"/>
      <c r="CU866" s="479"/>
      <c r="CV866" s="661"/>
      <c r="CW866" s="479"/>
      <c r="DS866" s="661"/>
      <c r="EV866" s="818" t="str">
        <f t="shared" si="448"/>
        <v/>
      </c>
      <c r="EW866" s="818"/>
    </row>
    <row r="867" spans="1:153" s="475" customFormat="1" ht="13.5" customHeight="1">
      <c r="A867" s="654" t="str">
        <f t="shared" ca="1" si="446"/>
        <v>D.1.867</v>
      </c>
      <c r="B867" s="654" t="str">
        <f t="shared" ca="1" si="447"/>
        <v>1.867</v>
      </c>
      <c r="C867" s="654" t="str">
        <f t="shared" si="451"/>
        <v>[867]</v>
      </c>
      <c r="D867" s="654">
        <f>ROW()</f>
        <v>867</v>
      </c>
      <c r="E867" s="1129" t="str">
        <f>BP867</f>
        <v>Anteil Strom an PW</v>
      </c>
      <c r="F867" s="1129"/>
      <c r="G867" s="1129"/>
      <c r="H867" s="1129"/>
      <c r="I867" s="1129"/>
      <c r="J867" s="471" t="s">
        <v>38</v>
      </c>
      <c r="K867" s="605">
        <f ca="1">INDIRECT($W$1&amp;U867)</f>
        <v>16.33041044975381</v>
      </c>
      <c r="L867" s="597" t="str">
        <f ca="1">HYPERLINK($CK$1&amp;U867,$CE$1&amp;U867&amp;$CF$1)</f>
        <v>[868]</v>
      </c>
      <c r="M867" s="775" t="str">
        <f ca="1">INDIRECT($W$1&amp;W867)</f>
        <v>(resultierend)</v>
      </c>
      <c r="N867" s="533" t="str">
        <f ca="1">HYPERLINK($CK$1&amp;W867,$CE$1&amp;W867&amp;$CF$1)</f>
        <v>[870]</v>
      </c>
      <c r="O867" s="869">
        <v>861</v>
      </c>
      <c r="P867" s="570"/>
      <c r="Q867" s="583"/>
      <c r="R867" s="852"/>
      <c r="S867" s="784"/>
      <c r="T867" s="864"/>
      <c r="U867" s="672">
        <f>D868</f>
        <v>868</v>
      </c>
      <c r="V867" s="905" t="s">
        <v>126</v>
      </c>
      <c r="W867" s="672">
        <f>D870</f>
        <v>870</v>
      </c>
      <c r="X867" s="658"/>
      <c r="Y867" s="658"/>
      <c r="Z867" s="658"/>
      <c r="AA867" s="658"/>
      <c r="AB867" s="801"/>
      <c r="AC867" s="801"/>
      <c r="AD867" s="674"/>
      <c r="AE867" s="674"/>
      <c r="AF867" s="674"/>
      <c r="AG867" s="674"/>
      <c r="AH867" s="674"/>
      <c r="AI867" s="674"/>
      <c r="AJ867" s="674"/>
      <c r="AK867" s="674"/>
      <c r="AL867" s="674"/>
      <c r="AM867" s="674"/>
      <c r="AN867" s="674"/>
      <c r="AO867" s="674"/>
      <c r="AP867" s="674"/>
      <c r="AQ867" s="674"/>
      <c r="AR867" s="674"/>
      <c r="AS867" s="674"/>
      <c r="AT867" s="674"/>
      <c r="AU867" s="674"/>
      <c r="AV867" s="674"/>
      <c r="AX867" s="475" t="s">
        <v>244</v>
      </c>
      <c r="AY867" s="500">
        <f ca="1">DA867</f>
        <v>10.254559182513647</v>
      </c>
      <c r="AZ867" s="508" t="str">
        <f ca="1">HYPERLINK(DN867,DC867)</f>
        <v xml:space="preserve"> 235</v>
      </c>
      <c r="BA867" s="500">
        <f ca="1">DB867</f>
        <v>35</v>
      </c>
      <c r="BB867" s="508" t="str">
        <f ca="1">HYPERLINK(DO867,DD867)</f>
        <v xml:space="preserve"> 236</v>
      </c>
      <c r="BC867" s="475" t="str">
        <f ca="1">CY867&amp;" | "&amp;CZ867</f>
        <v>Brennstoffgew.
für Prozesse | 0</v>
      </c>
      <c r="BI867" s="475" t="s">
        <v>126</v>
      </c>
      <c r="BJ867" s="492" t="str">
        <f>E867</f>
        <v>Anteil Strom an PW</v>
      </c>
      <c r="BK867" s="486">
        <f ca="1">K867</f>
        <v>16.33041044975381</v>
      </c>
      <c r="BL867" s="486" t="str">
        <f ca="1">M867</f>
        <v>(resultierend)</v>
      </c>
      <c r="BM867" s="472">
        <f>D867</f>
        <v>867</v>
      </c>
      <c r="BN867" s="658"/>
      <c r="BO867" s="475" t="s">
        <v>251</v>
      </c>
      <c r="BP867" s="521" t="s">
        <v>448</v>
      </c>
      <c r="CU867" s="476"/>
      <c r="CV867" s="658"/>
      <c r="CW867" s="518">
        <v>61</v>
      </c>
      <c r="CY867" s="472" t="str">
        <f t="shared" ref="CY867:DO867" ca="1" si="454">INDIRECT($CX$1&amp;CY$1&amp;$CW867)</f>
        <v>Brennstoffgew.
für Prozesse</v>
      </c>
      <c r="CZ867" s="472">
        <f t="shared" ca="1" si="454"/>
        <v>0</v>
      </c>
      <c r="DA867" s="472">
        <f t="shared" ca="1" si="454"/>
        <v>10.254559182513647</v>
      </c>
      <c r="DB867" s="472">
        <f t="shared" ca="1" si="454"/>
        <v>35</v>
      </c>
      <c r="DC867" s="472" t="str">
        <f t="shared" ca="1" si="454"/>
        <v xml:space="preserve"> 235</v>
      </c>
      <c r="DD867" s="472" t="str">
        <f t="shared" ca="1" si="454"/>
        <v xml:space="preserve"> 236</v>
      </c>
      <c r="DE867" s="472" t="str">
        <f t="shared" ca="1" si="454"/>
        <v>Ho99</v>
      </c>
      <c r="DF867" s="472" t="str">
        <f t="shared" ca="1" si="454"/>
        <v>Ho36</v>
      </c>
      <c r="DG867" s="472" t="str">
        <f t="shared" ca="1" si="454"/>
        <v>Ho</v>
      </c>
      <c r="DH867" s="472" t="str">
        <f t="shared" ca="1" si="454"/>
        <v>99</v>
      </c>
      <c r="DI867" s="472" t="str">
        <f t="shared" ca="1" si="454"/>
        <v>[Ho.xls]TEXT!Z99S5</v>
      </c>
      <c r="DJ867" s="472" t="str">
        <f t="shared" ca="1" si="454"/>
        <v>Ho</v>
      </c>
      <c r="DK867" s="472" t="str">
        <f t="shared" ca="1" si="454"/>
        <v>36</v>
      </c>
      <c r="DL867" s="472" t="str">
        <f t="shared" ca="1" si="454"/>
        <v>[Ho.xls]TEXT!Z36S5</v>
      </c>
      <c r="DM867" s="472">
        <f t="shared" ca="1" si="454"/>
        <v>61</v>
      </c>
      <c r="DN867" s="472" t="str">
        <f t="shared" ca="1" si="454"/>
        <v>[Region.xls]PARAMETER!Z235S6</v>
      </c>
      <c r="DO867" s="472" t="str">
        <f t="shared" ca="1" si="454"/>
        <v>[Region.xls]PARAMETER!Z236S6</v>
      </c>
      <c r="DP867" s="472"/>
      <c r="DS867" s="656"/>
      <c r="DV867" s="472"/>
      <c r="DW867" s="472"/>
      <c r="DX867" s="472"/>
      <c r="DY867" s="472"/>
      <c r="DZ867" s="472"/>
      <c r="EA867" s="472"/>
      <c r="EB867" s="472"/>
      <c r="EC867" s="472"/>
      <c r="ED867" s="472"/>
      <c r="EE867" s="472"/>
      <c r="EF867" s="472"/>
      <c r="EG867" s="472"/>
      <c r="EH867" s="472"/>
      <c r="EI867" s="472"/>
      <c r="EJ867" s="472"/>
      <c r="EK867" s="472"/>
      <c r="EV867" s="819">
        <f t="shared" si="448"/>
        <v>867</v>
      </c>
      <c r="EW867" s="819"/>
    </row>
    <row r="868" spans="1:153" s="472" customFormat="1" ht="16">
      <c r="A868" s="654" t="str">
        <f t="shared" ca="1" si="446"/>
        <v>D.1.868</v>
      </c>
      <c r="B868" s="654" t="str">
        <f t="shared" ca="1" si="447"/>
        <v>1.868</v>
      </c>
      <c r="C868" s="654" t="str">
        <f t="shared" si="451"/>
        <v>[868]</v>
      </c>
      <c r="D868" s="654">
        <f>ROW()</f>
        <v>868</v>
      </c>
      <c r="E868" s="1130" t="str">
        <f ca="1">CU868</f>
        <v>- STATUS-Ansatz: Gemäß Arbeitsgemeinschaft Energiebilanzen [9.28], Aufbereitung siehe [7.37].</v>
      </c>
      <c r="F868" s="1130"/>
      <c r="G868" s="1130"/>
      <c r="H868" s="1130"/>
      <c r="I868" s="1130"/>
      <c r="J868" s="1130"/>
      <c r="K868" s="1130"/>
      <c r="L868" s="1130"/>
      <c r="M868" s="1130"/>
      <c r="N868" s="1131"/>
      <c r="O868" s="869">
        <v>862</v>
      </c>
      <c r="P868" s="573" t="str">
        <f ca="1">HYPERLINK(EK868,EJ868)</f>
        <v>9.28</v>
      </c>
      <c r="Q868" s="646" t="str">
        <f ca="1">IF(Y868="&gt;",HYPERLINK(EO868,EN868),Y868)</f>
        <v>7.37</v>
      </c>
      <c r="R868" s="852"/>
      <c r="S868" s="784"/>
      <c r="T868" s="864"/>
      <c r="U868" s="1023" t="str">
        <f ca="1">"Gemäß Arbeitsgemeinschaft Energiebilanzen ["&amp;P868&amp;"], Aufbereitung siehe ["&amp;Q868&amp;"]."</f>
        <v>Gemäß Arbeitsgemeinschaft Energiebilanzen [9.28], Aufbereitung siehe [7.37].</v>
      </c>
      <c r="V868" s="905" t="s">
        <v>126</v>
      </c>
      <c r="W868" s="1095">
        <f>'7.VerbrauchStatus'!N37</f>
        <v>16.33041044975381</v>
      </c>
      <c r="X868" s="672">
        <f>'9.Quellen'!C$28</f>
        <v>28</v>
      </c>
      <c r="Y868" s="672" t="s">
        <v>479</v>
      </c>
      <c r="Z868" s="672">
        <f>'7.VerbrauchStatus'!D37</f>
        <v>37</v>
      </c>
      <c r="AA868" s="658"/>
      <c r="AB868" s="801"/>
      <c r="AC868" s="801"/>
      <c r="AD868" s="801"/>
      <c r="AE868" s="801"/>
      <c r="AF868" s="801"/>
      <c r="AG868" s="801"/>
      <c r="AH868" s="801"/>
      <c r="AI868" s="801"/>
      <c r="AJ868" s="801"/>
      <c r="AK868" s="801"/>
      <c r="AL868" s="801"/>
      <c r="AM868" s="801"/>
      <c r="AN868" s="801"/>
      <c r="AO868" s="801"/>
      <c r="AP868" s="801"/>
      <c r="AQ868" s="801"/>
      <c r="AR868" s="801"/>
      <c r="AS868" s="801"/>
      <c r="AT868" s="801"/>
      <c r="AU868" s="801"/>
      <c r="AV868" s="801"/>
      <c r="AY868" s="472">
        <f ca="1">AY867/AY$246%</f>
        <v>14.091645358575692</v>
      </c>
      <c r="BA868" s="472">
        <f ca="1">BA867/BA$246%</f>
        <v>100</v>
      </c>
      <c r="BF868" s="473"/>
      <c r="BI868" s="472" t="s">
        <v>126</v>
      </c>
      <c r="BJ868" s="490"/>
      <c r="BN868" s="656"/>
      <c r="BO868" s="472" t="s">
        <v>259</v>
      </c>
      <c r="CU868" s="480" t="str">
        <f ca="1">CG$1&amp;IF(U868="",BF868,U868)</f>
        <v>- STATUS-Ansatz: Gemäß Arbeitsgemeinschaft Energiebilanzen [9.28], Aufbereitung siehe [7.37].</v>
      </c>
      <c r="CV868" s="656"/>
      <c r="CW868" s="480"/>
      <c r="DS868" s="656"/>
      <c r="DT868" s="518">
        <f>I_Basisdaten!A334</f>
        <v>0</v>
      </c>
      <c r="EJ868" s="472" t="str">
        <f ca="1">IF(X868=0,"",EJ$1&amp;X868)</f>
        <v>9.28</v>
      </c>
      <c r="EK868" s="472" t="str">
        <f ca="1">EK$1&amp;X868</f>
        <v>[D_Python.xlsx]9.Quellen!C28</v>
      </c>
      <c r="EN868" s="472" t="str">
        <f ca="1">IF(Z868=0,"",EN$1&amp;Z868)</f>
        <v>7.37</v>
      </c>
      <c r="EO868" s="472" t="str">
        <f ca="1">EO$1&amp;Z868</f>
        <v>[D_Python.xlsx]7.VerbrauchStatus!D37</v>
      </c>
      <c r="EV868" s="819">
        <f t="shared" ca="1" si="448"/>
        <v>868</v>
      </c>
      <c r="EW868" s="819"/>
    </row>
    <row r="869" spans="1:153" s="478" customFormat="1" ht="4">
      <c r="A869" s="677" t="str">
        <f t="shared" ca="1" si="446"/>
        <v>D.1.869</v>
      </c>
      <c r="B869" s="677" t="str">
        <f t="shared" ca="1" si="447"/>
        <v>1.869</v>
      </c>
      <c r="C869" s="677" t="str">
        <f t="shared" si="451"/>
        <v>[869]</v>
      </c>
      <c r="D869" s="677">
        <f>ROW()</f>
        <v>869</v>
      </c>
      <c r="E869" s="528"/>
      <c r="F869" s="528"/>
      <c r="G869" s="528"/>
      <c r="H869" s="528"/>
      <c r="I869" s="527"/>
      <c r="J869" s="527"/>
      <c r="K869" s="527"/>
      <c r="L869" s="527"/>
      <c r="M869" s="527"/>
      <c r="N869" s="528"/>
      <c r="O869" s="871">
        <v>863</v>
      </c>
      <c r="P869" s="566"/>
      <c r="Q869" s="567"/>
      <c r="R869" s="888"/>
      <c r="S869" s="802"/>
      <c r="T869" s="882"/>
      <c r="U869" s="661"/>
      <c r="V869" s="661"/>
      <c r="W869" s="606"/>
      <c r="X869" s="661"/>
      <c r="Y869" s="661"/>
      <c r="Z869" s="661"/>
      <c r="AA869" s="661"/>
      <c r="AB869" s="675"/>
      <c r="AC869" s="675"/>
      <c r="AD869" s="675"/>
      <c r="AE869" s="675"/>
      <c r="AF869" s="675"/>
      <c r="AG869" s="675"/>
      <c r="AH869" s="675"/>
      <c r="AI869" s="675"/>
      <c r="AJ869" s="675"/>
      <c r="AK869" s="675"/>
      <c r="AL869" s="675"/>
      <c r="AM869" s="675"/>
      <c r="AN869" s="675"/>
      <c r="AO869" s="675"/>
      <c r="AP869" s="675"/>
      <c r="AQ869" s="675"/>
      <c r="AR869" s="675"/>
      <c r="AS869" s="675"/>
      <c r="AT869" s="675"/>
      <c r="AU869" s="675"/>
      <c r="AV869" s="675"/>
      <c r="BI869" s="478" t="s">
        <v>126</v>
      </c>
      <c r="BJ869" s="489"/>
      <c r="BN869" s="661"/>
      <c r="CU869" s="479"/>
      <c r="CV869" s="661"/>
      <c r="CW869" s="479"/>
      <c r="DS869" s="661"/>
      <c r="EV869" s="818" t="str">
        <f t="shared" si="448"/>
        <v/>
      </c>
      <c r="EW869" s="818"/>
    </row>
    <row r="870" spans="1:153" s="472" customFormat="1" ht="78">
      <c r="A870" s="654" t="str">
        <f t="shared" ca="1" si="446"/>
        <v>D.1.870</v>
      </c>
      <c r="B870" s="654" t="str">
        <f t="shared" ca="1" si="447"/>
        <v>1.870</v>
      </c>
      <c r="C870" s="654" t="str">
        <f t="shared" si="451"/>
        <v>[870]</v>
      </c>
      <c r="D870" s="654">
        <f>ROW()</f>
        <v>870</v>
      </c>
      <c r="E870" s="1135" t="str">
        <f t="shared" ref="E870" si="455">CU870</f>
        <v>- ZIEL-Ansatz: Resultiert aus 100% abzüglich Anteil Brennstoffe [852] abzüglich Anteil Wärme [862] und abzüglich der Einsparungen, die aus geringeren Wandlungsverlusten wegen höherer Nutzungsgrade bzw. höherer Anteile von verlustfrei nutzbarer Wärme und Strom resultieren. Begründung für den großen Anteil: Der künftige Hauptenergieträger Strom wird den Anteil der heute überwiegend fossilen Prozesswärmebereitstellung übernehmen müssen, der weder durch Wärmelieferung (z. B. Abwärme) [862] noch durch das begrenzte Angebot an erneuerbaren Brennstoffen [852] substituiert werden kann.</v>
      </c>
      <c r="F870" s="1135"/>
      <c r="G870" s="1135"/>
      <c r="H870" s="1135"/>
      <c r="I870" s="1135"/>
      <c r="J870" s="1135"/>
      <c r="K870" s="1135"/>
      <c r="L870" s="1135"/>
      <c r="M870" s="1135"/>
      <c r="N870" s="1136"/>
      <c r="O870" s="869">
        <v>864</v>
      </c>
      <c r="P870" s="573" t="str">
        <f ca="1">HYPERLINK(EK870,EJ870)</f>
        <v/>
      </c>
      <c r="Q870" s="574" t="str">
        <f>Y870</f>
        <v xml:space="preserve"> </v>
      </c>
      <c r="R870" s="852"/>
      <c r="S870" s="784"/>
      <c r="T870" s="864"/>
      <c r="U870" s="1023" t="str">
        <f>"Resultiert aus 100% abzüglich Anteil Brennstoffe "&amp;C852&amp;" abzüglich Anteil Wärme "&amp;C862&amp;" und abzüglich der Einsparungen, die aus geringeren Wandlungsverlusten wegen höherer Nutzungsgrade bzw. höherer Anteile von verlustfrei nutzbarer Wärme und Strom resultieren."&amp;" Begründung für den großen Anteil: Der künftige Hauptenergieträger Strom wird den Anteil der heute überwiegend fossilen Prozesswärmebereitstellung übernehmen müssen, der weder durch Wärmelieferung (z. B. Abwärme) "&amp;C862&amp;" noch durch das begrenzte Angebot an erneuerbaren Brennstoffen "&amp;C852&amp;" substituiert werden kann."</f>
        <v>Resultiert aus 100% abzüglich Anteil Brennstoffe [852] abzüglich Anteil Wärme [862] und abzüglich der Einsparungen, die aus geringeren Wandlungsverlusten wegen höherer Nutzungsgrade bzw. höherer Anteile von verlustfrei nutzbarer Wärme und Strom resultieren. Begründung für den großen Anteil: Der künftige Hauptenergieträger Strom wird den Anteil der heute überwiegend fossilen Prozesswärmebereitstellung übernehmen müssen, der weder durch Wärmelieferung (z. B. Abwärme) [862] noch durch das begrenzte Angebot an erneuerbaren Brennstoffen [852] substituiert werden kann.</v>
      </c>
      <c r="V870" s="905" t="s">
        <v>126</v>
      </c>
      <c r="W870" s="1099" t="s">
        <v>699</v>
      </c>
      <c r="X870" s="672"/>
      <c r="Y870" s="672" t="s">
        <v>126</v>
      </c>
      <c r="Z870" s="1025"/>
      <c r="AA870" s="905"/>
      <c r="AB870" s="801"/>
      <c r="AC870" s="801"/>
      <c r="AD870" s="801"/>
      <c r="AE870" s="801"/>
      <c r="AF870" s="801"/>
      <c r="AG870" s="801"/>
      <c r="AH870" s="801"/>
      <c r="AI870" s="801"/>
      <c r="AJ870" s="801"/>
      <c r="AK870" s="801"/>
      <c r="AL870" s="801"/>
      <c r="AM870" s="801"/>
      <c r="AN870" s="801"/>
      <c r="AO870" s="801"/>
      <c r="AP870" s="801"/>
      <c r="AQ870" s="801"/>
      <c r="AR870" s="801"/>
      <c r="AS870" s="801"/>
      <c r="AT870" s="801"/>
      <c r="AU870" s="801"/>
      <c r="AV870" s="801"/>
      <c r="BF870" s="473"/>
      <c r="BI870" s="472" t="s">
        <v>126</v>
      </c>
      <c r="BJ870" s="490"/>
      <c r="BN870" s="656"/>
      <c r="BO870" s="472" t="s">
        <v>259</v>
      </c>
      <c r="CU870" s="480" t="str">
        <f>CH$1&amp;IF(U870="",BF870,U870)</f>
        <v>- ZIEL-Ansatz: Resultiert aus 100% abzüglich Anteil Brennstoffe [852] abzüglich Anteil Wärme [862] und abzüglich der Einsparungen, die aus geringeren Wandlungsverlusten wegen höherer Nutzungsgrade bzw. höherer Anteile von verlustfrei nutzbarer Wärme und Strom resultieren. Begründung für den großen Anteil: Der künftige Hauptenergieträger Strom wird den Anteil der heute überwiegend fossilen Prozesswärmebereitstellung übernehmen müssen, der weder durch Wärmelieferung (z. B. Abwärme) [862] noch durch das begrenzte Angebot an erneuerbaren Brennstoffen [852] substituiert werden kann.</v>
      </c>
      <c r="CV870" s="656"/>
      <c r="CW870" s="480"/>
      <c r="DS870" s="656"/>
      <c r="DT870" s="518">
        <v>53</v>
      </c>
      <c r="EJ870" s="472" t="str">
        <f>IF(X870=0,"",EJ$1&amp;X870)</f>
        <v/>
      </c>
      <c r="EK870" s="472" t="str">
        <f ca="1">EK$1&amp;X870</f>
        <v>[D_Python.xlsx]9.Quellen!C</v>
      </c>
      <c r="EV870" s="819">
        <f t="shared" si="448"/>
        <v>870</v>
      </c>
      <c r="EW870" s="819"/>
    </row>
    <row r="871" spans="1:153" s="661" customFormat="1" ht="4">
      <c r="A871" s="677" t="str">
        <f t="shared" ca="1" si="446"/>
        <v>D.1.871</v>
      </c>
      <c r="B871" s="677" t="str">
        <f t="shared" ca="1" si="447"/>
        <v>1.871</v>
      </c>
      <c r="C871" s="677" t="str">
        <f t="shared" si="443"/>
        <v>[871]</v>
      </c>
      <c r="D871" s="677">
        <f>ROW()</f>
        <v>871</v>
      </c>
      <c r="E871" s="680"/>
      <c r="F871" s="680"/>
      <c r="G871" s="680"/>
      <c r="H871" s="680"/>
      <c r="I871" s="679"/>
      <c r="J871" s="679"/>
      <c r="K871" s="679"/>
      <c r="L871" s="679"/>
      <c r="M871" s="679"/>
      <c r="N871" s="680"/>
      <c r="O871" s="871">
        <v>865</v>
      </c>
      <c r="P871" s="688"/>
      <c r="Q871" s="689"/>
      <c r="R871" s="888"/>
      <c r="S871" s="802"/>
      <c r="T871" s="882"/>
      <c r="AB871" s="675"/>
      <c r="AC871" s="675"/>
      <c r="AD871" s="675"/>
      <c r="AE871" s="675"/>
      <c r="AF871" s="675"/>
      <c r="AG871" s="675"/>
      <c r="AH871" s="675"/>
      <c r="AI871" s="675"/>
      <c r="AJ871" s="675"/>
      <c r="AK871" s="675"/>
      <c r="AL871" s="675"/>
      <c r="AM871" s="675"/>
      <c r="AN871" s="675"/>
      <c r="AO871" s="675"/>
      <c r="AP871" s="675"/>
      <c r="AQ871" s="675"/>
      <c r="AR871" s="675"/>
      <c r="AS871" s="675"/>
      <c r="AT871" s="675"/>
      <c r="AU871" s="675"/>
      <c r="AV871" s="675"/>
      <c r="BI871" s="661" t="s">
        <v>126</v>
      </c>
      <c r="BJ871" s="665"/>
      <c r="CU871" s="662"/>
      <c r="CW871" s="662"/>
      <c r="EV871" s="818" t="str">
        <f t="shared" si="448"/>
        <v/>
      </c>
      <c r="EW871" s="818"/>
    </row>
    <row r="872" spans="1:153" s="656" customFormat="1" ht="13">
      <c r="A872" s="654" t="str">
        <f t="shared" ca="1" si="446"/>
        <v>D.1.872</v>
      </c>
      <c r="B872" s="654" t="str">
        <f t="shared" ca="1" si="447"/>
        <v>1.872</v>
      </c>
      <c r="C872" s="654" t="str">
        <f t="shared" si="443"/>
        <v>[872]</v>
      </c>
      <c r="D872" s="654">
        <f>ROW()</f>
        <v>872</v>
      </c>
      <c r="E872" s="481" t="str">
        <f>BP872</f>
        <v>Mobile Anwendungen (MA)</v>
      </c>
      <c r="F872" s="482"/>
      <c r="G872" s="482"/>
      <c r="H872" s="482"/>
      <c r="I872" s="483"/>
      <c r="J872" s="484"/>
      <c r="K872" s="484"/>
      <c r="L872" s="484"/>
      <c r="M872" s="484"/>
      <c r="N872" s="532"/>
      <c r="O872" s="869">
        <v>866</v>
      </c>
      <c r="P872" s="568"/>
      <c r="Q872" s="569"/>
      <c r="R872" s="852"/>
      <c r="S872" s="804"/>
      <c r="T872" s="864"/>
      <c r="U872" s="905"/>
      <c r="V872" s="905"/>
      <c r="W872" s="905"/>
      <c r="X872" s="905"/>
      <c r="Y872" s="905"/>
      <c r="Z872" s="905"/>
      <c r="AA872" s="905"/>
      <c r="AB872" s="801"/>
      <c r="AC872" s="801"/>
      <c r="AD872" s="801"/>
      <c r="AE872" s="801"/>
      <c r="AF872" s="801"/>
      <c r="AG872" s="801"/>
      <c r="AH872" s="801"/>
      <c r="AI872" s="801"/>
      <c r="AJ872" s="801"/>
      <c r="AK872" s="801"/>
      <c r="AL872" s="801"/>
      <c r="AM872" s="801"/>
      <c r="AN872" s="801"/>
      <c r="AO872" s="801"/>
      <c r="AP872" s="801"/>
      <c r="AQ872" s="801"/>
      <c r="AR872" s="801"/>
      <c r="AS872" s="801"/>
      <c r="AT872" s="801"/>
      <c r="AU872" s="801"/>
      <c r="AV872" s="801"/>
      <c r="AZ872" s="504"/>
      <c r="BB872" s="506"/>
      <c r="BI872" s="656" t="s">
        <v>126</v>
      </c>
      <c r="BJ872" s="666"/>
      <c r="BO872" s="656" t="s">
        <v>250</v>
      </c>
      <c r="BP872" s="671" t="s">
        <v>702</v>
      </c>
      <c r="CU872" s="663"/>
      <c r="CW872" s="663"/>
      <c r="EV872" s="819">
        <f t="shared" si="448"/>
        <v>872</v>
      </c>
      <c r="EW872" s="819"/>
    </row>
    <row r="873" spans="1:153" s="661" customFormat="1" ht="4">
      <c r="A873" s="677" t="str">
        <f t="shared" ca="1" si="446"/>
        <v>D.1.873</v>
      </c>
      <c r="B873" s="677" t="str">
        <f t="shared" ca="1" si="447"/>
        <v>1.873</v>
      </c>
      <c r="C873" s="677" t="str">
        <f t="shared" si="443"/>
        <v>[873]</v>
      </c>
      <c r="D873" s="677">
        <f>ROW()</f>
        <v>873</v>
      </c>
      <c r="E873" s="680"/>
      <c r="F873" s="680"/>
      <c r="G873" s="680"/>
      <c r="H873" s="680"/>
      <c r="I873" s="679"/>
      <c r="J873" s="679"/>
      <c r="K873" s="679"/>
      <c r="L873" s="679"/>
      <c r="M873" s="679"/>
      <c r="N873" s="680"/>
      <c r="O873" s="871">
        <v>867</v>
      </c>
      <c r="P873" s="688"/>
      <c r="Q873" s="689"/>
      <c r="R873" s="888"/>
      <c r="S873" s="802"/>
      <c r="T873" s="882"/>
      <c r="AB873" s="675"/>
      <c r="AC873" s="675"/>
      <c r="AD873" s="675"/>
      <c r="AE873" s="675"/>
      <c r="AF873" s="675"/>
      <c r="AG873" s="675"/>
      <c r="AH873" s="675"/>
      <c r="AI873" s="675"/>
      <c r="AJ873" s="675"/>
      <c r="AK873" s="675"/>
      <c r="AL873" s="675"/>
      <c r="AM873" s="675"/>
      <c r="AN873" s="675"/>
      <c r="AO873" s="675"/>
      <c r="AP873" s="675"/>
      <c r="AQ873" s="675"/>
      <c r="AR873" s="675"/>
      <c r="AS873" s="675"/>
      <c r="AT873" s="675"/>
      <c r="AU873" s="675"/>
      <c r="AV873" s="675"/>
      <c r="BI873" s="661" t="s">
        <v>126</v>
      </c>
      <c r="BJ873" s="665"/>
      <c r="CU873" s="662"/>
      <c r="CW873" s="662"/>
      <c r="EV873" s="818" t="str">
        <f t="shared" si="448"/>
        <v/>
      </c>
      <c r="EW873" s="818"/>
    </row>
    <row r="874" spans="1:153" s="656" customFormat="1" ht="13">
      <c r="A874" s="654" t="str">
        <f t="shared" ca="1" si="446"/>
        <v>D.1.874</v>
      </c>
      <c r="B874" s="654" t="str">
        <f t="shared" ca="1" si="447"/>
        <v>1.874</v>
      </c>
      <c r="C874" s="654" t="str">
        <f t="shared" si="443"/>
        <v>[874]</v>
      </c>
      <c r="D874" s="654">
        <f>ROW()</f>
        <v>874</v>
      </c>
      <c r="E874" s="481" t="str">
        <f>BP874</f>
        <v>MA am Boden</v>
      </c>
      <c r="F874" s="482"/>
      <c r="G874" s="482"/>
      <c r="H874" s="482"/>
      <c r="I874" s="483"/>
      <c r="J874" s="484"/>
      <c r="K874" s="484"/>
      <c r="L874" s="484"/>
      <c r="M874" s="484"/>
      <c r="N874" s="532"/>
      <c r="O874" s="869">
        <v>868</v>
      </c>
      <c r="P874" s="568"/>
      <c r="Q874" s="569"/>
      <c r="R874" s="852"/>
      <c r="S874" s="804"/>
      <c r="T874" s="864"/>
      <c r="U874" s="905"/>
      <c r="V874" s="905"/>
      <c r="W874" s="905"/>
      <c r="X874" s="905"/>
      <c r="Y874" s="905"/>
      <c r="Z874" s="905"/>
      <c r="AA874" s="905"/>
      <c r="AB874" s="801"/>
      <c r="AC874" s="801"/>
      <c r="AD874" s="801"/>
      <c r="AE874" s="801"/>
      <c r="AF874" s="801"/>
      <c r="AG874" s="801"/>
      <c r="AH874" s="801"/>
      <c r="AI874" s="801"/>
      <c r="AJ874" s="801"/>
      <c r="AK874" s="801"/>
      <c r="AL874" s="801"/>
      <c r="AM874" s="801"/>
      <c r="AN874" s="801"/>
      <c r="AO874" s="801"/>
      <c r="AP874" s="801"/>
      <c r="AQ874" s="801"/>
      <c r="AR874" s="801"/>
      <c r="AS874" s="801"/>
      <c r="AT874" s="801"/>
      <c r="AU874" s="801"/>
      <c r="AV874" s="801"/>
      <c r="AZ874" s="504"/>
      <c r="BB874" s="506"/>
      <c r="BI874" s="656" t="s">
        <v>126</v>
      </c>
      <c r="BJ874" s="666"/>
      <c r="BO874" s="656" t="s">
        <v>250</v>
      </c>
      <c r="BP874" s="671" t="s">
        <v>703</v>
      </c>
      <c r="CU874" s="663"/>
      <c r="CW874" s="663"/>
      <c r="EV874" s="819">
        <f t="shared" si="448"/>
        <v>874</v>
      </c>
      <c r="EW874" s="819"/>
    </row>
    <row r="875" spans="1:153" s="661" customFormat="1" ht="4">
      <c r="A875" s="677" t="str">
        <f t="shared" ca="1" si="446"/>
        <v>D.1.875</v>
      </c>
      <c r="B875" s="677" t="str">
        <f t="shared" ca="1" si="447"/>
        <v>1.875</v>
      </c>
      <c r="C875" s="677" t="str">
        <f t="shared" si="443"/>
        <v>[875]</v>
      </c>
      <c r="D875" s="677">
        <f>ROW()</f>
        <v>875</v>
      </c>
      <c r="E875" s="680"/>
      <c r="F875" s="680"/>
      <c r="G875" s="680"/>
      <c r="H875" s="680"/>
      <c r="I875" s="679"/>
      <c r="J875" s="679"/>
      <c r="K875" s="679"/>
      <c r="L875" s="679"/>
      <c r="M875" s="679"/>
      <c r="N875" s="680"/>
      <c r="O875" s="871">
        <v>869</v>
      </c>
      <c r="P875" s="688"/>
      <c r="Q875" s="689"/>
      <c r="R875" s="888"/>
      <c r="S875" s="802"/>
      <c r="T875" s="882"/>
      <c r="AB875" s="675"/>
      <c r="AC875" s="675"/>
      <c r="AD875" s="675"/>
      <c r="AE875" s="675"/>
      <c r="AF875" s="675"/>
      <c r="AG875" s="675"/>
      <c r="AH875" s="675"/>
      <c r="AI875" s="675"/>
      <c r="AJ875" s="675"/>
      <c r="AK875" s="675"/>
      <c r="AL875" s="675"/>
      <c r="AM875" s="675"/>
      <c r="AN875" s="675"/>
      <c r="AO875" s="675"/>
      <c r="AP875" s="675"/>
      <c r="AQ875" s="675"/>
      <c r="AR875" s="675"/>
      <c r="AS875" s="675"/>
      <c r="AT875" s="675"/>
      <c r="AU875" s="675"/>
      <c r="AV875" s="675"/>
      <c r="BI875" s="661" t="s">
        <v>126</v>
      </c>
      <c r="BJ875" s="665"/>
      <c r="CU875" s="662"/>
      <c r="CW875" s="662"/>
      <c r="EV875" s="818" t="str">
        <f t="shared" si="448"/>
        <v/>
      </c>
      <c r="EW875" s="818"/>
    </row>
    <row r="876" spans="1:153" s="658" customFormat="1" ht="13.5" customHeight="1">
      <c r="A876" s="654" t="str">
        <f t="shared" ca="1" si="446"/>
        <v>D.1.876</v>
      </c>
      <c r="B876" s="654" t="str">
        <f t="shared" ca="1" si="447"/>
        <v>1.876</v>
      </c>
      <c r="C876" s="654" t="str">
        <f t="shared" si="443"/>
        <v>[876]</v>
      </c>
      <c r="D876" s="654">
        <f>ROW()</f>
        <v>876</v>
      </c>
      <c r="E876" s="1129" t="str">
        <f>BP876</f>
        <v>Anteil Personenverkehr (PVk) am EEV MA Boden</v>
      </c>
      <c r="F876" s="1129"/>
      <c r="G876" s="1129"/>
      <c r="H876" s="1129"/>
      <c r="I876" s="1129"/>
      <c r="J876" s="655" t="s">
        <v>38</v>
      </c>
      <c r="K876" s="605">
        <f ca="1">INDIRECT($W$1&amp;U876)</f>
        <v>68.126094570928203</v>
      </c>
      <c r="L876" s="697" t="str">
        <f ca="1">HYPERLINK($CK$1&amp;U876,$CE$1&amp;U876&amp;$CF$1)</f>
        <v>[877]</v>
      </c>
      <c r="M876" s="683">
        <f ca="1">INDIRECT($W$1&amp;W876)</f>
        <v>68.126094570928203</v>
      </c>
      <c r="N876" s="681" t="str">
        <f ca="1">HYPERLINK($CK$1&amp;W876,$CE$1&amp;W876&amp;$CF$1)</f>
        <v>[880]</v>
      </c>
      <c r="O876" s="869">
        <v>870</v>
      </c>
      <c r="P876" s="690"/>
      <c r="Q876" s="695"/>
      <c r="R876" s="852"/>
      <c r="S876" s="784"/>
      <c r="T876" s="864"/>
      <c r="U876" s="672">
        <f>D877</f>
        <v>877</v>
      </c>
      <c r="V876" s="905" t="s">
        <v>126</v>
      </c>
      <c r="W876" s="672">
        <f>D880</f>
        <v>880</v>
      </c>
      <c r="AB876" s="801"/>
      <c r="AC876" s="801"/>
      <c r="AD876" s="674"/>
      <c r="AE876" s="674"/>
      <c r="AF876" s="674"/>
      <c r="AG876" s="674"/>
      <c r="AH876" s="674"/>
      <c r="AI876" s="674"/>
      <c r="AJ876" s="674"/>
      <c r="AK876" s="674"/>
      <c r="AL876" s="674"/>
      <c r="AM876" s="674"/>
      <c r="AN876" s="674"/>
      <c r="AO876" s="674"/>
      <c r="AP876" s="674"/>
      <c r="AQ876" s="674"/>
      <c r="AR876" s="674"/>
      <c r="AS876" s="674"/>
      <c r="AT876" s="674"/>
      <c r="AU876" s="674"/>
      <c r="AV876" s="674"/>
      <c r="AX876" s="658" t="s">
        <v>244</v>
      </c>
      <c r="AY876" s="668">
        <f ca="1">DA876</f>
        <v>10.254559182513647</v>
      </c>
      <c r="AZ876" s="670" t="str">
        <f ca="1">HYPERLINK(DN876,DC876)</f>
        <v xml:space="preserve"> 235</v>
      </c>
      <c r="BA876" s="668">
        <f ca="1">DB876</f>
        <v>35</v>
      </c>
      <c r="BB876" s="670" t="str">
        <f ca="1">HYPERLINK(DO876,DD876)</f>
        <v xml:space="preserve"> 236</v>
      </c>
      <c r="BC876" s="658" t="str">
        <f ca="1">CY876&amp;" | "&amp;CZ876</f>
        <v>Brennstoffgew.
für Prozesse | 0</v>
      </c>
      <c r="BI876" s="658" t="s">
        <v>126</v>
      </c>
      <c r="BJ876" s="667" t="str">
        <f>E876</f>
        <v>Anteil Personenverkehr (PVk) am EEV MA Boden</v>
      </c>
      <c r="BK876" s="664">
        <f ca="1">K876</f>
        <v>68.126094570928203</v>
      </c>
      <c r="BL876" s="664">
        <f ca="1">M876</f>
        <v>68.126094570928203</v>
      </c>
      <c r="BM876" s="656">
        <f>D876</f>
        <v>876</v>
      </c>
      <c r="BO876" s="658" t="s">
        <v>251</v>
      </c>
      <c r="BP876" s="676" t="s">
        <v>790</v>
      </c>
      <c r="CU876" s="659"/>
      <c r="CW876" s="671">
        <v>61</v>
      </c>
      <c r="CY876" s="656" t="str">
        <f t="shared" ref="CY876:DO876" ca="1" si="456">INDIRECT($CX$1&amp;CY$1&amp;$CW876)</f>
        <v>Brennstoffgew.
für Prozesse</v>
      </c>
      <c r="CZ876" s="656">
        <f t="shared" ca="1" si="456"/>
        <v>0</v>
      </c>
      <c r="DA876" s="656">
        <f t="shared" ca="1" si="456"/>
        <v>10.254559182513647</v>
      </c>
      <c r="DB876" s="656">
        <f t="shared" ca="1" si="456"/>
        <v>35</v>
      </c>
      <c r="DC876" s="656" t="str">
        <f t="shared" ca="1" si="456"/>
        <v xml:space="preserve"> 235</v>
      </c>
      <c r="DD876" s="656" t="str">
        <f t="shared" ca="1" si="456"/>
        <v xml:space="preserve"> 236</v>
      </c>
      <c r="DE876" s="656" t="str">
        <f t="shared" ca="1" si="456"/>
        <v>Ho99</v>
      </c>
      <c r="DF876" s="656" t="str">
        <f t="shared" ca="1" si="456"/>
        <v>Ho36</v>
      </c>
      <c r="DG876" s="656" t="str">
        <f t="shared" ca="1" si="456"/>
        <v>Ho</v>
      </c>
      <c r="DH876" s="656" t="str">
        <f t="shared" ca="1" si="456"/>
        <v>99</v>
      </c>
      <c r="DI876" s="656" t="str">
        <f t="shared" ca="1" si="456"/>
        <v>[Ho.xls]TEXT!Z99S5</v>
      </c>
      <c r="DJ876" s="656" t="str">
        <f t="shared" ca="1" si="456"/>
        <v>Ho</v>
      </c>
      <c r="DK876" s="656" t="str">
        <f t="shared" ca="1" si="456"/>
        <v>36</v>
      </c>
      <c r="DL876" s="656" t="str">
        <f t="shared" ca="1" si="456"/>
        <v>[Ho.xls]TEXT!Z36S5</v>
      </c>
      <c r="DM876" s="656">
        <f t="shared" ca="1" si="456"/>
        <v>61</v>
      </c>
      <c r="DN876" s="656" t="str">
        <f t="shared" ca="1" si="456"/>
        <v>[Region.xls]PARAMETER!Z235S6</v>
      </c>
      <c r="DO876" s="656" t="str">
        <f t="shared" ca="1" si="456"/>
        <v>[Region.xls]PARAMETER!Z236S6</v>
      </c>
      <c r="DP876" s="656"/>
      <c r="DS876" s="656"/>
      <c r="DV876" s="656"/>
      <c r="DW876" s="656"/>
      <c r="DX876" s="656"/>
      <c r="DY876" s="656"/>
      <c r="DZ876" s="656"/>
      <c r="EA876" s="656"/>
      <c r="EB876" s="656"/>
      <c r="EC876" s="656"/>
      <c r="ED876" s="656"/>
      <c r="EE876" s="656"/>
      <c r="EF876" s="656"/>
      <c r="EG876" s="656"/>
      <c r="EH876" s="656"/>
      <c r="EI876" s="656"/>
      <c r="EJ876" s="656"/>
      <c r="EK876" s="656"/>
      <c r="EV876" s="819">
        <f t="shared" si="448"/>
        <v>876</v>
      </c>
      <c r="EW876" s="819"/>
    </row>
    <row r="877" spans="1:153" s="656" customFormat="1">
      <c r="A877" s="654" t="str">
        <f t="shared" ca="1" si="446"/>
        <v>D.1.877</v>
      </c>
      <c r="B877" s="654" t="str">
        <f t="shared" ca="1" si="447"/>
        <v>1.877</v>
      </c>
      <c r="C877" s="654" t="str">
        <f t="shared" si="443"/>
        <v>[877]</v>
      </c>
      <c r="D877" s="654">
        <f>ROW()</f>
        <v>877</v>
      </c>
      <c r="E877" s="1130" t="str">
        <f>CU877</f>
        <v>- STATUS-Ansatz: Eigene Berechnungen auf Basis VDV-Statstik [878].</v>
      </c>
      <c r="F877" s="1130"/>
      <c r="G877" s="1130"/>
      <c r="H877" s="1130"/>
      <c r="I877" s="1130"/>
      <c r="J877" s="1130"/>
      <c r="K877" s="1130"/>
      <c r="L877" s="1130"/>
      <c r="M877" s="1130"/>
      <c r="N877" s="1131"/>
      <c r="O877" s="869">
        <v>871</v>
      </c>
      <c r="P877" s="691" t="str">
        <f ca="1">HYPERLINK(EK877,EJ877)</f>
        <v/>
      </c>
      <c r="Q877" s="692" t="str">
        <f>Y877</f>
        <v xml:space="preserve"> </v>
      </c>
      <c r="R877" s="852"/>
      <c r="S877" s="784"/>
      <c r="T877" s="864"/>
      <c r="U877" s="1023" t="str">
        <f>"Eigene Berechnungen auf Basis VDV-Statstik "&amp;C878&amp;"."</f>
        <v>Eigene Berechnungen auf Basis VDV-Statstik [878].</v>
      </c>
      <c r="V877" s="905" t="s">
        <v>126</v>
      </c>
      <c r="W877" s="1095">
        <f>AH878</f>
        <v>68.126094570928203</v>
      </c>
      <c r="X877" s="672"/>
      <c r="Y877" s="672" t="s">
        <v>126</v>
      </c>
      <c r="Z877" s="1025"/>
      <c r="AA877" s="658"/>
      <c r="AB877" s="801"/>
      <c r="AC877" s="801"/>
      <c r="AD877" s="801"/>
      <c r="AE877" s="801"/>
      <c r="AF877" s="801"/>
      <c r="AG877" s="801"/>
      <c r="AH877" s="801"/>
      <c r="AI877" s="801"/>
      <c r="AJ877" s="801"/>
      <c r="AK877" s="801"/>
      <c r="AL877" s="801"/>
      <c r="AM877" s="801"/>
      <c r="AN877" s="801"/>
      <c r="AO877" s="801"/>
      <c r="AP877" s="801"/>
      <c r="AQ877" s="801"/>
      <c r="AR877" s="801"/>
      <c r="AS877" s="801"/>
      <c r="AT877" s="801"/>
      <c r="AU877" s="801"/>
      <c r="AV877" s="801"/>
      <c r="AY877" s="656">
        <f ca="1">AY876/AY$246%</f>
        <v>14.091645358575692</v>
      </c>
      <c r="BA877" s="656">
        <f ca="1">BA876/BA$246%</f>
        <v>100</v>
      </c>
      <c r="BF877" s="657"/>
      <c r="BI877" s="656" t="s">
        <v>126</v>
      </c>
      <c r="BJ877" s="666"/>
      <c r="BO877" s="656" t="s">
        <v>259</v>
      </c>
      <c r="CU877" s="663" t="str">
        <f>CG$1&amp;IF(U877="",BF877,U877)</f>
        <v>- STATUS-Ansatz: Eigene Berechnungen auf Basis VDV-Statstik [878].</v>
      </c>
      <c r="CW877" s="663"/>
      <c r="DT877" s="671">
        <f>I_Basisdaten!A353</f>
        <v>0</v>
      </c>
      <c r="EJ877" s="656" t="str">
        <f>IF(X877=0,"",EJ$1&amp;X877)</f>
        <v/>
      </c>
      <c r="EK877" s="656" t="str">
        <f ca="1">EK$1&amp;X877</f>
        <v>[D_Python.xlsx]9.Quellen!C</v>
      </c>
      <c r="EV877" s="819">
        <f t="shared" si="448"/>
        <v>877</v>
      </c>
      <c r="EW877" s="819"/>
    </row>
    <row r="878" spans="1:153" s="656" customFormat="1" ht="65">
      <c r="A878" s="654" t="str">
        <f t="shared" ca="1" si="446"/>
        <v>D.1.878</v>
      </c>
      <c r="B878" s="654" t="str">
        <f t="shared" ca="1" si="447"/>
        <v>1.878</v>
      </c>
      <c r="C878" s="654" t="str">
        <f t="shared" si="443"/>
        <v>[878]</v>
      </c>
      <c r="D878" s="654">
        <f>ROW()</f>
        <v>878</v>
      </c>
      <c r="E878" s="1130" t="str">
        <f ca="1">CU878</f>
        <v>Eigene Berechnungen auf Basis VDV-Statistik [9.258], S. 13, 10: Die aus Verkehrsleistung und spezifischem Verbrauch (Tank-to-Wheel) der verschiedenen Verkehrsmittel ermittelten Endenergie-Verbräuche für Deutschland im Jahr 2013 ergeben rund 389 TWh für den Personenverkehr auf Straße und Schiene und 571 TWh  insgesamt einschließlich Güterverkehr. Daraus resultiert ein Anteil von 68,1%  am Endenergieverbrauch der mobilen Anwendungen am Boden.</v>
      </c>
      <c r="F878" s="1130"/>
      <c r="G878" s="1130"/>
      <c r="H878" s="1130"/>
      <c r="I878" s="1130"/>
      <c r="J878" s="1130"/>
      <c r="K878" s="1130"/>
      <c r="L878" s="1130"/>
      <c r="M878" s="1130"/>
      <c r="N878" s="1131"/>
      <c r="O878" s="869">
        <v>872</v>
      </c>
      <c r="P878" s="691" t="str">
        <f t="shared" ref="P878" ca="1" si="457">HYPERLINK(EK878,EJ878)</f>
        <v>9.258</v>
      </c>
      <c r="Q878" s="692" t="str">
        <f t="shared" ref="Q878" si="458">Y878</f>
        <v>S. 13, 10</v>
      </c>
      <c r="R878" s="852"/>
      <c r="S878" s="784"/>
      <c r="T878" s="864"/>
      <c r="U878" s="1023" t="str">
        <f ca="1">"Eigene Berechnungen auf Basis VDV-Statistik ["&amp;P878&amp;"], "&amp;Q878&amp;": Die aus Verkehrsleistung und spezifischem Verbrauch (Tank-to-Wheel) der verschiedenen Verkehrsmittel ermittelten Endenergie-Verbräuche für Deutschland im Jahr 2013 ergeben rund "&amp;AD878&amp;AE878&amp;" für den Personenverkehr auf Straße und Schiene und "&amp;AF878&amp;AG878&amp;" insgesamt einschließlich Güterverkehr. Daraus resultiert ein Anteil von "&amp;TEXT(AH878,"0,0")&amp;AI878&amp;" am Endenergieverbrauch der mobilen Anwendungen am Boden."</f>
        <v>Eigene Berechnungen auf Basis VDV-Statistik [9.258], S. 13, 10: Die aus Verkehrsleistung und spezifischem Verbrauch (Tank-to-Wheel) der verschiedenen Verkehrsmittel ermittelten Endenergie-Verbräuche für Deutschland im Jahr 2013 ergeben rund 389 TWh für den Personenverkehr auf Straße und Schiene und 571 TWh  insgesamt einschließlich Güterverkehr. Daraus resultiert ein Anteil von 68,1%  am Endenergieverbrauch der mobilen Anwendungen am Boden.</v>
      </c>
      <c r="V878" s="905" t="s">
        <v>126</v>
      </c>
      <c r="W878" s="1025"/>
      <c r="X878" s="672">
        <f>'9.Quellen'!C$258</f>
        <v>258</v>
      </c>
      <c r="Y878" s="672" t="s">
        <v>788</v>
      </c>
      <c r="Z878" s="1025"/>
      <c r="AA878" s="905"/>
      <c r="AB878" s="801"/>
      <c r="AC878" s="801"/>
      <c r="AD878" s="801">
        <v>389</v>
      </c>
      <c r="AE878" s="801" t="s">
        <v>789</v>
      </c>
      <c r="AF878" s="801">
        <v>571</v>
      </c>
      <c r="AG878" s="801" t="s">
        <v>624</v>
      </c>
      <c r="AH878" s="801">
        <f>AD878/AF878%</f>
        <v>68.126094570928203</v>
      </c>
      <c r="AI878" s="801" t="s">
        <v>835</v>
      </c>
      <c r="AJ878" s="801"/>
      <c r="AK878" s="801"/>
      <c r="AL878" s="801"/>
      <c r="AM878" s="801"/>
      <c r="AN878" s="801"/>
      <c r="AO878" s="801"/>
      <c r="AP878" s="801"/>
      <c r="AQ878" s="801"/>
      <c r="AR878" s="801"/>
      <c r="AS878" s="801"/>
      <c r="AT878" s="801"/>
      <c r="AU878" s="801"/>
      <c r="AV878" s="801"/>
      <c r="BF878" s="657"/>
      <c r="BI878" s="656" t="s">
        <v>126</v>
      </c>
      <c r="BJ878" s="666"/>
      <c r="BO878" s="656" t="s">
        <v>252</v>
      </c>
      <c r="CU878" s="663" t="str">
        <f ca="1">IF(U878="",BF878,U878)</f>
        <v>Eigene Berechnungen auf Basis VDV-Statistik [9.258], S. 13, 10: Die aus Verkehrsleistung und spezifischem Verbrauch (Tank-to-Wheel) der verschiedenen Verkehrsmittel ermittelten Endenergie-Verbräuche für Deutschland im Jahr 2013 ergeben rund 389 TWh für den Personenverkehr auf Straße und Schiene und 571 TWh  insgesamt einschließlich Güterverkehr. Daraus resultiert ein Anteil von 68,1%  am Endenergieverbrauch der mobilen Anwendungen am Boden.</v>
      </c>
      <c r="CW878" s="663"/>
      <c r="DT878" s="671"/>
      <c r="EJ878" s="656" t="str">
        <f ca="1">IF(X878=0,"",EJ$1&amp;X878)</f>
        <v>9.258</v>
      </c>
      <c r="EK878" s="656" t="str">
        <f ca="1">EK$1&amp;X878</f>
        <v>[D_Python.xlsx]9.Quellen!C258</v>
      </c>
      <c r="EV878" s="819">
        <f t="shared" ca="1" si="448"/>
        <v>878</v>
      </c>
      <c r="EW878" s="819"/>
    </row>
    <row r="879" spans="1:153" s="661" customFormat="1" ht="4">
      <c r="A879" s="677" t="str">
        <f t="shared" ca="1" si="446"/>
        <v>D.1.879</v>
      </c>
      <c r="B879" s="677" t="str">
        <f t="shared" ca="1" si="447"/>
        <v>1.879</v>
      </c>
      <c r="C879" s="677" t="str">
        <f t="shared" si="443"/>
        <v>[879]</v>
      </c>
      <c r="D879" s="677">
        <f>ROW()</f>
        <v>879</v>
      </c>
      <c r="E879" s="680"/>
      <c r="F879" s="680"/>
      <c r="G879" s="680"/>
      <c r="H879" s="680"/>
      <c r="I879" s="679"/>
      <c r="J879" s="679"/>
      <c r="K879" s="679"/>
      <c r="L879" s="679"/>
      <c r="M879" s="679"/>
      <c r="N879" s="680"/>
      <c r="O879" s="871">
        <v>873</v>
      </c>
      <c r="P879" s="688"/>
      <c r="Q879" s="689"/>
      <c r="R879" s="888"/>
      <c r="S879" s="802"/>
      <c r="T879" s="882"/>
      <c r="W879" s="606"/>
      <c r="AB879" s="675"/>
      <c r="AC879" s="675"/>
      <c r="AD879" s="675"/>
      <c r="AE879" s="675"/>
      <c r="AF879" s="675"/>
      <c r="AG879" s="675"/>
      <c r="AH879" s="675"/>
      <c r="AI879" s="675"/>
      <c r="AJ879" s="675"/>
      <c r="AK879" s="675"/>
      <c r="AL879" s="675"/>
      <c r="AM879" s="675"/>
      <c r="AN879" s="675"/>
      <c r="AO879" s="675"/>
      <c r="AP879" s="675"/>
      <c r="AQ879" s="675"/>
      <c r="AR879" s="675"/>
      <c r="AS879" s="675"/>
      <c r="AT879" s="675"/>
      <c r="AU879" s="675"/>
      <c r="AV879" s="675"/>
      <c r="BI879" s="661" t="s">
        <v>126</v>
      </c>
      <c r="BJ879" s="665"/>
      <c r="CU879" s="662"/>
      <c r="CW879" s="662"/>
      <c r="EV879" s="818" t="str">
        <f t="shared" si="448"/>
        <v/>
      </c>
      <c r="EW879" s="818"/>
    </row>
    <row r="880" spans="1:153" s="656" customFormat="1" ht="39">
      <c r="A880" s="654" t="str">
        <f t="shared" ca="1" si="446"/>
        <v>D.1.880</v>
      </c>
      <c r="B880" s="654" t="str">
        <f t="shared" ca="1" si="447"/>
        <v>1.880</v>
      </c>
      <c r="C880" s="654" t="str">
        <f t="shared" si="443"/>
        <v>[880]</v>
      </c>
      <c r="D880" s="654">
        <f>ROW()</f>
        <v>880</v>
      </c>
      <c r="E880" s="1125" t="str">
        <f t="shared" ref="E880" si="459">CU880</f>
        <v>- ZIEL-Ansatz: Dient als Berechnungsgrundlage für das (fiktive) künftige Bedarfsniveau im Anwendungsbereich Prozesswärme im Sektor Haushalte, das sich ohne Volumen-, Effizienz-und Energiemix-Änderungen einstellen würde. Der Status-Ansatz wird methodisch bedingt unverändert übernommen.</v>
      </c>
      <c r="F880" s="1125"/>
      <c r="G880" s="1125"/>
      <c r="H880" s="1125"/>
      <c r="I880" s="1125"/>
      <c r="J880" s="1125"/>
      <c r="K880" s="1125"/>
      <c r="L880" s="1125"/>
      <c r="M880" s="1125"/>
      <c r="N880" s="1132"/>
      <c r="O880" s="869">
        <v>874</v>
      </c>
      <c r="P880" s="691" t="str">
        <f ca="1">HYPERLINK(EK880,EJ880)</f>
        <v/>
      </c>
      <c r="Q880" s="692" t="str">
        <f>Y880</f>
        <v xml:space="preserve"> </v>
      </c>
      <c r="R880" s="852"/>
      <c r="S880" s="784"/>
      <c r="T880" s="864"/>
      <c r="U880" s="1023" t="s">
        <v>781</v>
      </c>
      <c r="V880" s="905" t="s">
        <v>126</v>
      </c>
      <c r="W880" s="1096">
        <f>W877</f>
        <v>68.126094570928203</v>
      </c>
      <c r="X880" s="672"/>
      <c r="Y880" s="672" t="s">
        <v>126</v>
      </c>
      <c r="Z880" s="1025"/>
      <c r="AA880" s="905"/>
      <c r="AB880" s="801"/>
      <c r="AC880" s="801"/>
      <c r="AD880" s="801"/>
      <c r="AE880" s="801"/>
      <c r="AF880" s="801"/>
      <c r="AG880" s="801"/>
      <c r="AH880" s="801"/>
      <c r="AI880" s="801"/>
      <c r="AJ880" s="801"/>
      <c r="AK880" s="801"/>
      <c r="AL880" s="801"/>
      <c r="AM880" s="801"/>
      <c r="AN880" s="801"/>
      <c r="AO880" s="801"/>
      <c r="AP880" s="801"/>
      <c r="AQ880" s="801"/>
      <c r="AR880" s="801"/>
      <c r="AS880" s="801"/>
      <c r="AT880" s="801"/>
      <c r="AU880" s="801"/>
      <c r="AV880" s="801"/>
      <c r="BF880" s="657"/>
      <c r="BI880" s="656" t="s">
        <v>126</v>
      </c>
      <c r="BJ880" s="666"/>
      <c r="BO880" s="656" t="s">
        <v>259</v>
      </c>
      <c r="CU880" s="663" t="str">
        <f>CH$1&amp;IF(U880="",BF880,U880)</f>
        <v>- ZIEL-Ansatz: Dient als Berechnungsgrundlage für das (fiktive) künftige Bedarfsniveau im Anwendungsbereich Prozesswärme im Sektor Haushalte, das sich ohne Volumen-, Effizienz-und Energiemix-Änderungen einstellen würde. Der Status-Ansatz wird methodisch bedingt unverändert übernommen.</v>
      </c>
      <c r="CW880" s="663"/>
      <c r="DT880" s="671">
        <v>53</v>
      </c>
      <c r="EJ880" s="656" t="str">
        <f>IF(X880=0,"",EJ$1&amp;X880)</f>
        <v/>
      </c>
      <c r="EK880" s="656" t="str">
        <f ca="1">EK$1&amp;X880</f>
        <v>[D_Python.xlsx]9.Quellen!C</v>
      </c>
      <c r="EV880" s="819">
        <f t="shared" si="448"/>
        <v>880</v>
      </c>
      <c r="EW880" s="819"/>
    </row>
    <row r="881" spans="1:153" s="661" customFormat="1" ht="4">
      <c r="A881" s="677" t="str">
        <f t="shared" ca="1" si="446"/>
        <v>D.1.881</v>
      </c>
      <c r="B881" s="677" t="str">
        <f t="shared" ca="1" si="447"/>
        <v>1.881</v>
      </c>
      <c r="C881" s="677" t="str">
        <f t="shared" si="443"/>
        <v>[881]</v>
      </c>
      <c r="D881" s="677">
        <f>ROW()</f>
        <v>881</v>
      </c>
      <c r="E881" s="685"/>
      <c r="F881" s="685"/>
      <c r="G881" s="685"/>
      <c r="H881" s="685"/>
      <c r="I881" s="686"/>
      <c r="J881" s="686"/>
      <c r="K881" s="686"/>
      <c r="L881" s="686"/>
      <c r="M881" s="686"/>
      <c r="N881" s="685"/>
      <c r="O881" s="871">
        <v>875</v>
      </c>
      <c r="P881" s="693"/>
      <c r="Q881" s="694"/>
      <c r="R881" s="888"/>
      <c r="S881" s="802"/>
      <c r="T881" s="882"/>
      <c r="AB881" s="675"/>
      <c r="AC881" s="675"/>
      <c r="AD881" s="675"/>
      <c r="AE881" s="675"/>
      <c r="AF881" s="675"/>
      <c r="AG881" s="675"/>
      <c r="AH881" s="675"/>
      <c r="AI881" s="675"/>
      <c r="AJ881" s="675"/>
      <c r="AK881" s="675"/>
      <c r="AL881" s="675"/>
      <c r="AM881" s="675"/>
      <c r="AN881" s="675"/>
      <c r="AO881" s="675"/>
      <c r="AP881" s="675"/>
      <c r="AQ881" s="675"/>
      <c r="AR881" s="675"/>
      <c r="AS881" s="675"/>
      <c r="AT881" s="675"/>
      <c r="AU881" s="675"/>
      <c r="AV881" s="675"/>
      <c r="AZ881" s="669"/>
      <c r="BB881" s="669"/>
      <c r="BI881" s="661" t="s">
        <v>126</v>
      </c>
      <c r="BJ881" s="665"/>
      <c r="CU881" s="662"/>
      <c r="CW881" s="662"/>
      <c r="EV881" s="818" t="str">
        <f t="shared" si="448"/>
        <v/>
      </c>
      <c r="EW881" s="818"/>
    </row>
    <row r="882" spans="1:153" s="658" customFormat="1" ht="13.5" customHeight="1">
      <c r="A882" s="654" t="str">
        <f t="shared" ca="1" si="446"/>
        <v>D.1.882</v>
      </c>
      <c r="B882" s="654" t="str">
        <f t="shared" ca="1" si="447"/>
        <v>1.882</v>
      </c>
      <c r="C882" s="654" t="str">
        <f t="shared" si="443"/>
        <v>[882]</v>
      </c>
      <c r="D882" s="654">
        <f>ROW()</f>
        <v>882</v>
      </c>
      <c r="E882" s="1129" t="str">
        <f>BP882</f>
        <v>Zieleinfluss Entwicklung PVk</v>
      </c>
      <c r="F882" s="1129"/>
      <c r="G882" s="1129"/>
      <c r="H882" s="1129"/>
      <c r="I882" s="1129"/>
      <c r="J882" s="655" t="s">
        <v>38</v>
      </c>
      <c r="K882" s="605">
        <f ca="1">INDIRECT($W$1&amp;U882)</f>
        <v>100</v>
      </c>
      <c r="L882" s="697" t="str">
        <f ca="1">HYPERLINK($CK$1&amp;U882,$CE$1&amp;U882&amp;$CF$1)</f>
        <v>[883]</v>
      </c>
      <c r="M882" s="683">
        <v>80</v>
      </c>
      <c r="N882" s="681" t="str">
        <f ca="1">HYPERLINK($CK$1&amp;W882,$CE$1&amp;W882&amp;$CF$1)</f>
        <v>[885]</v>
      </c>
      <c r="O882" s="869">
        <v>876</v>
      </c>
      <c r="P882" s="690"/>
      <c r="Q882" s="695"/>
      <c r="R882" s="852"/>
      <c r="S882" s="784"/>
      <c r="T882" s="864"/>
      <c r="U882" s="672">
        <f>D883</f>
        <v>883</v>
      </c>
      <c r="V882" s="905" t="s">
        <v>126</v>
      </c>
      <c r="W882" s="672">
        <f>D885</f>
        <v>885</v>
      </c>
      <c r="AB882" s="801"/>
      <c r="AC882" s="801"/>
      <c r="AD882" s="674"/>
      <c r="AE882" s="674"/>
      <c r="AF882" s="674"/>
      <c r="AG882" s="674"/>
      <c r="AH882" s="674"/>
      <c r="AI882" s="674"/>
      <c r="AJ882" s="674"/>
      <c r="AK882" s="674"/>
      <c r="AL882" s="674"/>
      <c r="AM882" s="674"/>
      <c r="AN882" s="674"/>
      <c r="AO882" s="674"/>
      <c r="AP882" s="674"/>
      <c r="AQ882" s="674"/>
      <c r="AR882" s="674"/>
      <c r="AS882" s="674"/>
      <c r="AT882" s="674"/>
      <c r="AU882" s="674"/>
      <c r="AV882" s="674"/>
      <c r="AX882" s="658" t="s">
        <v>244</v>
      </c>
      <c r="AY882" s="668">
        <f ca="1">DA882</f>
        <v>10.254559182513647</v>
      </c>
      <c r="AZ882" s="670" t="str">
        <f ca="1">HYPERLINK(DN882,DC882)</f>
        <v xml:space="preserve"> 235</v>
      </c>
      <c r="BA882" s="668">
        <f ca="1">DB882</f>
        <v>35</v>
      </c>
      <c r="BB882" s="670" t="str">
        <f ca="1">HYPERLINK(DO882,DD882)</f>
        <v xml:space="preserve"> 236</v>
      </c>
      <c r="BC882" s="658" t="str">
        <f ca="1">CY882&amp;" | "&amp;CZ882</f>
        <v>Brennstoffgew.
für Prozesse | 0</v>
      </c>
      <c r="BI882" s="658" t="s">
        <v>126</v>
      </c>
      <c r="BJ882" s="667" t="str">
        <f>E882</f>
        <v>Zieleinfluss Entwicklung PVk</v>
      </c>
      <c r="BK882" s="664">
        <f ca="1">K882</f>
        <v>100</v>
      </c>
      <c r="BL882" s="664">
        <f>M882</f>
        <v>80</v>
      </c>
      <c r="BM882" s="656">
        <f>D882</f>
        <v>882</v>
      </c>
      <c r="BO882" s="658" t="s">
        <v>251</v>
      </c>
      <c r="BP882" s="676" t="s">
        <v>705</v>
      </c>
      <c r="CU882" s="659"/>
      <c r="CW882" s="671">
        <v>61</v>
      </c>
      <c r="CY882" s="656" t="str">
        <f t="shared" ref="CY882:DO882" ca="1" si="460">INDIRECT($CX$1&amp;CY$1&amp;$CW882)</f>
        <v>Brennstoffgew.
für Prozesse</v>
      </c>
      <c r="CZ882" s="656">
        <f t="shared" ca="1" si="460"/>
        <v>0</v>
      </c>
      <c r="DA882" s="656">
        <f t="shared" ca="1" si="460"/>
        <v>10.254559182513647</v>
      </c>
      <c r="DB882" s="656">
        <f t="shared" ca="1" si="460"/>
        <v>35</v>
      </c>
      <c r="DC882" s="656" t="str">
        <f t="shared" ca="1" si="460"/>
        <v xml:space="preserve"> 235</v>
      </c>
      <c r="DD882" s="656" t="str">
        <f t="shared" ca="1" si="460"/>
        <v xml:space="preserve"> 236</v>
      </c>
      <c r="DE882" s="656" t="str">
        <f t="shared" ca="1" si="460"/>
        <v>Ho99</v>
      </c>
      <c r="DF882" s="656" t="str">
        <f t="shared" ca="1" si="460"/>
        <v>Ho36</v>
      </c>
      <c r="DG882" s="656" t="str">
        <f t="shared" ca="1" si="460"/>
        <v>Ho</v>
      </c>
      <c r="DH882" s="656" t="str">
        <f t="shared" ca="1" si="460"/>
        <v>99</v>
      </c>
      <c r="DI882" s="656" t="str">
        <f t="shared" ca="1" si="460"/>
        <v>[Ho.xls]TEXT!Z99S5</v>
      </c>
      <c r="DJ882" s="656" t="str">
        <f t="shared" ca="1" si="460"/>
        <v>Ho</v>
      </c>
      <c r="DK882" s="656" t="str">
        <f t="shared" ca="1" si="460"/>
        <v>36</v>
      </c>
      <c r="DL882" s="656" t="str">
        <f t="shared" ca="1" si="460"/>
        <v>[Ho.xls]TEXT!Z36S5</v>
      </c>
      <c r="DM882" s="656">
        <f t="shared" ca="1" si="460"/>
        <v>61</v>
      </c>
      <c r="DN882" s="656" t="str">
        <f t="shared" ca="1" si="460"/>
        <v>[Region.xls]PARAMETER!Z235S6</v>
      </c>
      <c r="DO882" s="656" t="str">
        <f t="shared" ca="1" si="460"/>
        <v>[Region.xls]PARAMETER!Z236S6</v>
      </c>
      <c r="DP882" s="656"/>
      <c r="DS882" s="656"/>
      <c r="DV882" s="656"/>
      <c r="DW882" s="656"/>
      <c r="DX882" s="656"/>
      <c r="DY882" s="656"/>
      <c r="DZ882" s="656"/>
      <c r="EA882" s="656"/>
      <c r="EB882" s="656"/>
      <c r="EC882" s="656"/>
      <c r="ED882" s="656"/>
      <c r="EE882" s="656"/>
      <c r="EF882" s="656"/>
      <c r="EG882" s="656"/>
      <c r="EH882" s="656"/>
      <c r="EI882" s="656"/>
      <c r="EJ882" s="656"/>
      <c r="EK882" s="656"/>
      <c r="EV882" s="819">
        <f t="shared" si="448"/>
        <v>882</v>
      </c>
      <c r="EW882" s="819"/>
    </row>
    <row r="883" spans="1:153" s="656" customFormat="1" ht="39">
      <c r="A883" s="654" t="str">
        <f t="shared" ca="1" si="446"/>
        <v>D.1.883</v>
      </c>
      <c r="B883" s="654" t="str">
        <f t="shared" ca="1" si="447"/>
        <v>1.883</v>
      </c>
      <c r="C883" s="654" t="str">
        <f t="shared" si="443"/>
        <v>[883]</v>
      </c>
      <c r="D883" s="654">
        <f>ROW()</f>
        <v>883</v>
      </c>
      <c r="E883" s="1130" t="str">
        <f>CU883</f>
        <v>- STATUS-Ansatz: Repräsentiert den Status der Personenverkehrsleistung pro Einwohner im Durchschnitt über den Modal-Mix der Personenverkehrsmittel. Dient als Referenz für die Veränderung der Personenverkehrsleistung zum Zieljahr.</v>
      </c>
      <c r="F883" s="1130"/>
      <c r="G883" s="1130"/>
      <c r="H883" s="1130"/>
      <c r="I883" s="1130"/>
      <c r="J883" s="1130"/>
      <c r="K883" s="1130"/>
      <c r="L883" s="1130"/>
      <c r="M883" s="1130"/>
      <c r="N883" s="1131"/>
      <c r="O883" s="869">
        <v>877</v>
      </c>
      <c r="P883" s="691" t="str">
        <f ca="1">HYPERLINK(EK883,EJ883)</f>
        <v/>
      </c>
      <c r="Q883" s="692" t="str">
        <f>Y883</f>
        <v xml:space="preserve"> </v>
      </c>
      <c r="R883" s="852"/>
      <c r="S883" s="784"/>
      <c r="T883" s="864"/>
      <c r="U883" s="1023" t="s">
        <v>1045</v>
      </c>
      <c r="V883" s="905" t="s">
        <v>126</v>
      </c>
      <c r="W883" s="1096">
        <v>100</v>
      </c>
      <c r="X883" s="672"/>
      <c r="Y883" s="672" t="s">
        <v>126</v>
      </c>
      <c r="Z883" s="1025"/>
      <c r="AA883" s="658"/>
      <c r="AB883" s="801"/>
      <c r="AC883" s="801"/>
      <c r="AD883" s="801"/>
      <c r="AE883" s="801"/>
      <c r="AF883" s="801"/>
      <c r="AG883" s="801"/>
      <c r="AH883" s="801"/>
      <c r="AI883" s="801"/>
      <c r="AJ883" s="801"/>
      <c r="AK883" s="801"/>
      <c r="AL883" s="801"/>
      <c r="AM883" s="801"/>
      <c r="AN883" s="801"/>
      <c r="AO883" s="801"/>
      <c r="AP883" s="801"/>
      <c r="AQ883" s="801"/>
      <c r="AR883" s="801"/>
      <c r="AS883" s="801"/>
      <c r="AT883" s="801"/>
      <c r="AU883" s="801"/>
      <c r="AV883" s="801"/>
      <c r="AY883" s="656">
        <f ca="1">AY882/AY$246%</f>
        <v>14.091645358575692</v>
      </c>
      <c r="BA883" s="656">
        <f ca="1">BA882/BA$246%</f>
        <v>100</v>
      </c>
      <c r="BF883" s="657"/>
      <c r="BI883" s="656" t="s">
        <v>126</v>
      </c>
      <c r="BJ883" s="666"/>
      <c r="BO883" s="656" t="s">
        <v>259</v>
      </c>
      <c r="CU883" s="663" t="str">
        <f>CG$1&amp;IF(U883="",BF883,U883)</f>
        <v>- STATUS-Ansatz: Repräsentiert den Status der Personenverkehrsleistung pro Einwohner im Durchschnitt über den Modal-Mix der Personenverkehrsmittel. Dient als Referenz für die Veränderung der Personenverkehrsleistung zum Zieljahr.</v>
      </c>
      <c r="CW883" s="663"/>
      <c r="DT883" s="671">
        <f>I_Basisdaten!A358</f>
        <v>0</v>
      </c>
      <c r="EJ883" s="656" t="str">
        <f>IF(X883=0,"",EJ$1&amp;X883)</f>
        <v/>
      </c>
      <c r="EK883" s="656" t="str">
        <f ca="1">EK$1&amp;X883</f>
        <v>[D_Python.xlsx]9.Quellen!C</v>
      </c>
      <c r="EV883" s="819">
        <f t="shared" si="448"/>
        <v>883</v>
      </c>
      <c r="EW883" s="819"/>
    </row>
    <row r="884" spans="1:153" s="661" customFormat="1" ht="4">
      <c r="A884" s="677" t="str">
        <f t="shared" ca="1" si="446"/>
        <v>D.1.884</v>
      </c>
      <c r="B884" s="677" t="str">
        <f t="shared" ca="1" si="447"/>
        <v>1.884</v>
      </c>
      <c r="C884" s="677" t="str">
        <f t="shared" si="443"/>
        <v>[884]</v>
      </c>
      <c r="D884" s="677">
        <f>ROW()</f>
        <v>884</v>
      </c>
      <c r="E884" s="680"/>
      <c r="F884" s="680"/>
      <c r="G884" s="680"/>
      <c r="H884" s="680"/>
      <c r="I884" s="679"/>
      <c r="J884" s="679"/>
      <c r="K884" s="679"/>
      <c r="L884" s="679"/>
      <c r="M884" s="679"/>
      <c r="N884" s="680"/>
      <c r="O884" s="871">
        <v>878</v>
      </c>
      <c r="P884" s="688"/>
      <c r="Q884" s="689"/>
      <c r="R884" s="888"/>
      <c r="S884" s="802"/>
      <c r="T884" s="882"/>
      <c r="W884" s="606"/>
      <c r="AB884" s="675"/>
      <c r="AC884" s="675"/>
      <c r="AD884" s="675"/>
      <c r="AE884" s="675"/>
      <c r="AF884" s="675"/>
      <c r="AG884" s="675"/>
      <c r="AH884" s="675"/>
      <c r="AI884" s="675"/>
      <c r="AJ884" s="675"/>
      <c r="AK884" s="675"/>
      <c r="AL884" s="675"/>
      <c r="AM884" s="675"/>
      <c r="AN884" s="675"/>
      <c r="AO884" s="675"/>
      <c r="AP884" s="675"/>
      <c r="AQ884" s="675"/>
      <c r="AR884" s="675"/>
      <c r="AS884" s="675"/>
      <c r="AT884" s="675"/>
      <c r="AU884" s="675"/>
      <c r="AV884" s="675"/>
      <c r="BI884" s="661" t="s">
        <v>126</v>
      </c>
      <c r="BJ884" s="665"/>
      <c r="CU884" s="662"/>
      <c r="CW884" s="662"/>
      <c r="EV884" s="818" t="str">
        <f t="shared" si="448"/>
        <v/>
      </c>
      <c r="EW884" s="818"/>
    </row>
    <row r="885" spans="1:153" s="656" customFormat="1" ht="52">
      <c r="A885" s="654" t="str">
        <f t="shared" ca="1" si="446"/>
        <v>D.1.885</v>
      </c>
      <c r="B885" s="654" t="str">
        <f t="shared" ca="1" si="447"/>
        <v>1.885</v>
      </c>
      <c r="C885" s="654" t="str">
        <f t="shared" si="443"/>
        <v>[885]</v>
      </c>
      <c r="D885" s="654">
        <f>ROW()</f>
        <v>885</v>
      </c>
      <c r="E885" s="1125" t="str">
        <f t="shared" ref="E885" si="461">CU885</f>
        <v>- ZIEL-Ansatz: Abweichend vom Niedersachsen-Szenario wird hier von einer künftigen Verkehrsleistung  auf heutigem Niveau ausgegangen.
Dort wurde gemäß BMU-Leitstudie [886] von eienr geringfügigen Verringerung der Personenkilomenterzahl pro Kopf ausgegangen.</v>
      </c>
      <c r="F885" s="1125"/>
      <c r="G885" s="1125"/>
      <c r="H885" s="1125"/>
      <c r="I885" s="1125"/>
      <c r="J885" s="1125"/>
      <c r="K885" s="1125"/>
      <c r="L885" s="1125"/>
      <c r="M885" s="1125"/>
      <c r="N885" s="1132"/>
      <c r="O885" s="869">
        <v>879</v>
      </c>
      <c r="P885" s="691" t="str">
        <f ca="1">HYPERLINK(EK885,EJ885)</f>
        <v/>
      </c>
      <c r="Q885" s="692" t="str">
        <f>Y885</f>
        <v xml:space="preserve"> </v>
      </c>
      <c r="R885" s="852"/>
      <c r="S885" s="803"/>
      <c r="T885" s="864"/>
      <c r="U885" s="1023" t="str">
        <f>"Abweichend vom Niedersachsen-Szenario wird hier von einer künftigen Verkehrsleistung  auf heutigem Niveau ausgegangen.
Dort wurde gemäß BMU-Leitstudie "&amp;C886&amp;" von eienr geringfügigen Verringerung der Personenkilomenterzahl pro Kopf ausgegangen."</f>
        <v>Abweichend vom Niedersachsen-Szenario wird hier von einer künftigen Verkehrsleistung  auf heutigem Niveau ausgegangen.
Dort wurde gemäß BMU-Leitstudie [886] von eienr geringfügigen Verringerung der Personenkilomenterzahl pro Kopf ausgegangen.</v>
      </c>
      <c r="V885" s="905" t="s">
        <v>126</v>
      </c>
      <c r="W885" s="778">
        <v>100</v>
      </c>
      <c r="X885" s="672"/>
      <c r="Y885" s="526" t="s">
        <v>126</v>
      </c>
      <c r="Z885" s="1025"/>
      <c r="AA885" s="905"/>
      <c r="AB885" s="801"/>
      <c r="AC885" s="1020"/>
      <c r="AD885" s="801"/>
      <c r="AE885" s="801"/>
      <c r="AF885" s="801"/>
      <c r="AG885" s="801"/>
      <c r="AH885" s="801"/>
      <c r="AI885" s="801"/>
      <c r="AJ885" s="801"/>
      <c r="AK885" s="801"/>
      <c r="AL885" s="801"/>
      <c r="AM885" s="801"/>
      <c r="AN885" s="801"/>
      <c r="AO885" s="801"/>
      <c r="AP885" s="801"/>
      <c r="AQ885" s="801"/>
      <c r="AR885" s="801"/>
      <c r="AS885" s="801"/>
      <c r="AT885" s="801"/>
      <c r="AU885" s="801"/>
      <c r="AV885" s="801"/>
      <c r="BF885" s="657"/>
      <c r="BI885" s="656" t="s">
        <v>126</v>
      </c>
      <c r="BJ885" s="666"/>
      <c r="BO885" s="656" t="s">
        <v>259</v>
      </c>
      <c r="CU885" s="663" t="str">
        <f>CH$1&amp;IF(U885="",BF885,U885)</f>
        <v>- ZIEL-Ansatz: Abweichend vom Niedersachsen-Szenario wird hier von einer künftigen Verkehrsleistung  auf heutigem Niveau ausgegangen.
Dort wurde gemäß BMU-Leitstudie [886] von eienr geringfügigen Verringerung der Personenkilomenterzahl pro Kopf ausgegangen.</v>
      </c>
      <c r="CW885" s="663"/>
      <c r="DT885" s="671">
        <v>53</v>
      </c>
      <c r="EJ885" s="656" t="str">
        <f>IF(X885=0,"",EJ$1&amp;X885)</f>
        <v/>
      </c>
      <c r="EK885" s="656" t="str">
        <f ca="1">EK$1&amp;X885</f>
        <v>[D_Python.xlsx]9.Quellen!C</v>
      </c>
      <c r="EV885" s="819">
        <f t="shared" si="448"/>
        <v>885</v>
      </c>
      <c r="EW885" s="819"/>
    </row>
    <row r="886" spans="1:153" s="656" customFormat="1" ht="39">
      <c r="A886" s="654" t="str">
        <f t="shared" ca="1" si="446"/>
        <v>D.1.886</v>
      </c>
      <c r="B886" s="654" t="str">
        <f t="shared" ca="1" si="447"/>
        <v>1.886</v>
      </c>
      <c r="C886" s="654" t="str">
        <f t="shared" si="443"/>
        <v>[886]</v>
      </c>
      <c r="D886" s="654">
        <f>ROW()</f>
        <v>886</v>
      </c>
      <c r="E886" s="1125" t="str">
        <f ca="1">CU886</f>
        <v>In der BMU Leitstudie 2011 [9.60], S.47, ist man gemäß der Ansätze in früheren Leitstudien von einer Entwicklung der Personenverkehrsleistung in Deutschland von 13.829 Perosonenkilometern pro Kopf im Jahr 2010 auf 13.734 pkm/Kopf  im Jahr 2050 entsprechend 99,3%  ausgegangen.</v>
      </c>
      <c r="F886" s="1125"/>
      <c r="G886" s="1125"/>
      <c r="H886" s="1125"/>
      <c r="I886" s="1125"/>
      <c r="J886" s="1125"/>
      <c r="K886" s="1125"/>
      <c r="L886" s="1125"/>
      <c r="M886" s="1125"/>
      <c r="N886" s="1132"/>
      <c r="O886" s="869">
        <v>880</v>
      </c>
      <c r="P886" s="691" t="str">
        <f t="shared" ref="P886" ca="1" si="462">HYPERLINK(EK886,EJ886)</f>
        <v>9.60</v>
      </c>
      <c r="Q886" s="692" t="str">
        <f t="shared" ref="Q886" si="463">Y886</f>
        <v>S.47</v>
      </c>
      <c r="R886" s="852"/>
      <c r="S886" s="784"/>
      <c r="T886" s="864"/>
      <c r="U886" s="1023" t="str">
        <f ca="1">"In der BMU Leitstudie 2011 ["&amp;P886&amp;"], "&amp;Q886&amp;", ist man gemäß der Ansätze in früheren Leitstudien von einer Entwicklung der Personenverkehrsleistung in Deutschland von "&amp;TEXT(AD886,"0.000")&amp;" Perosonenkilometern pro Kopf im Jahr 2010 auf "&amp;TEXT(AF886,"0.000")&amp;AG886&amp;" im Jahr 2050 entsprechend "&amp;AH886&amp;AI886&amp;" ausgegangen."</f>
        <v>In der BMU Leitstudie 2011 [9.60], S.47, ist man gemäß der Ansätze in früheren Leitstudien von einer Entwicklung der Personenverkehrsleistung in Deutschland von 13.829 Perosonenkilometern pro Kopf im Jahr 2010 auf 13.734 pkm/Kopf  im Jahr 2050 entsprechend 99,3%  ausgegangen.</v>
      </c>
      <c r="V886" s="905" t="s">
        <v>126</v>
      </c>
      <c r="W886" s="1024"/>
      <c r="X886" s="672">
        <f>'9.Quellen'!C$60</f>
        <v>60</v>
      </c>
      <c r="Y886" s="672" t="s">
        <v>768</v>
      </c>
      <c r="Z886" s="1025"/>
      <c r="AA886" s="905"/>
      <c r="AB886" s="801"/>
      <c r="AC886" s="801"/>
      <c r="AD886" s="801">
        <v>13829</v>
      </c>
      <c r="AE886" s="801" t="s">
        <v>791</v>
      </c>
      <c r="AF886" s="801">
        <v>13734</v>
      </c>
      <c r="AG886" s="801" t="s">
        <v>791</v>
      </c>
      <c r="AH886" s="801">
        <f>ROUND(AF886/AD886%,1)</f>
        <v>99.3</v>
      </c>
      <c r="AI886" s="801" t="s">
        <v>835</v>
      </c>
      <c r="AJ886" s="801"/>
      <c r="AK886" s="801"/>
      <c r="AL886" s="801"/>
      <c r="AM886" s="801"/>
      <c r="AN886" s="801"/>
      <c r="AO886" s="801"/>
      <c r="AP886" s="801"/>
      <c r="AQ886" s="801"/>
      <c r="AR886" s="801"/>
      <c r="AS886" s="801"/>
      <c r="AT886" s="801"/>
      <c r="AU886" s="801"/>
      <c r="AV886" s="801"/>
      <c r="BF886" s="657"/>
      <c r="BI886" s="656" t="s">
        <v>126</v>
      </c>
      <c r="BJ886" s="666"/>
      <c r="BO886" s="656" t="s">
        <v>252</v>
      </c>
      <c r="CU886" s="663" t="str">
        <f ca="1">IF(U886="",BF886,U886)</f>
        <v>In der BMU Leitstudie 2011 [9.60], S.47, ist man gemäß der Ansätze in früheren Leitstudien von einer Entwicklung der Personenverkehrsleistung in Deutschland von 13.829 Perosonenkilometern pro Kopf im Jahr 2010 auf 13.734 pkm/Kopf  im Jahr 2050 entsprechend 99,3%  ausgegangen.</v>
      </c>
      <c r="CW886" s="663"/>
      <c r="DT886" s="671"/>
      <c r="EJ886" s="656" t="str">
        <f ca="1">IF(X886=0,"",EJ$1&amp;X886)</f>
        <v>9.60</v>
      </c>
      <c r="EK886" s="656" t="str">
        <f ca="1">EK$1&amp;X886</f>
        <v>[D_Python.xlsx]9.Quellen!C60</v>
      </c>
      <c r="EV886" s="819">
        <f t="shared" ca="1" si="448"/>
        <v>886</v>
      </c>
      <c r="EW886" s="819"/>
    </row>
    <row r="887" spans="1:153" s="661" customFormat="1" ht="4">
      <c r="A887" s="677" t="str">
        <f t="shared" ref="A887:A895" ca="1" si="464">BT$1&amp;D887</f>
        <v>D.1.887</v>
      </c>
      <c r="B887" s="677" t="str">
        <f t="shared" ref="B887:B895" ca="1" si="465">BW$1&amp;D887</f>
        <v>1.887</v>
      </c>
      <c r="C887" s="677" t="str">
        <f t="shared" ref="C887:C894" si="466">CE$1&amp;D887&amp;CF$1</f>
        <v>[887]</v>
      </c>
      <c r="D887" s="677">
        <f>ROW()</f>
        <v>887</v>
      </c>
      <c r="E887" s="685"/>
      <c r="F887" s="685"/>
      <c r="G887" s="685"/>
      <c r="H887" s="685"/>
      <c r="I887" s="686"/>
      <c r="J887" s="686"/>
      <c r="K887" s="686"/>
      <c r="L887" s="686"/>
      <c r="M887" s="686"/>
      <c r="N887" s="685"/>
      <c r="O887" s="871">
        <v>881</v>
      </c>
      <c r="P887" s="693"/>
      <c r="Q887" s="694"/>
      <c r="R887" s="888"/>
      <c r="S887" s="802"/>
      <c r="T887" s="882"/>
      <c r="AB887" s="675"/>
      <c r="AC887" s="675"/>
      <c r="AD887" s="675"/>
      <c r="AE887" s="675"/>
      <c r="AF887" s="675"/>
      <c r="AG887" s="675"/>
      <c r="AH887" s="675"/>
      <c r="AI887" s="675"/>
      <c r="AJ887" s="675"/>
      <c r="AK887" s="675"/>
      <c r="AL887" s="675"/>
      <c r="AM887" s="675"/>
      <c r="AN887" s="675"/>
      <c r="AO887" s="675"/>
      <c r="AP887" s="675"/>
      <c r="AQ887" s="675"/>
      <c r="AR887" s="675"/>
      <c r="AS887" s="675"/>
      <c r="AT887" s="675"/>
      <c r="AU887" s="675"/>
      <c r="AV887" s="675"/>
      <c r="AZ887" s="669"/>
      <c r="BB887" s="669"/>
      <c r="BI887" s="661" t="s">
        <v>126</v>
      </c>
      <c r="BJ887" s="665"/>
      <c r="CU887" s="662"/>
      <c r="CW887" s="662"/>
      <c r="EV887" s="818" t="str">
        <f t="shared" ref="EV887:EV895" si="467">IF(U887&amp;BP887="","",D887)</f>
        <v/>
      </c>
      <c r="EW887" s="818"/>
    </row>
    <row r="888" spans="1:153" s="658" customFormat="1" ht="13.5" customHeight="1">
      <c r="A888" s="654" t="str">
        <f t="shared" ca="1" si="464"/>
        <v>D.1.888</v>
      </c>
      <c r="B888" s="654" t="str">
        <f t="shared" ca="1" si="465"/>
        <v>1.888</v>
      </c>
      <c r="C888" s="654" t="str">
        <f t="shared" si="466"/>
        <v>[888]</v>
      </c>
      <c r="D888" s="654">
        <f>ROW()</f>
        <v>888</v>
      </c>
      <c r="E888" s="1129" t="str">
        <f>BP888</f>
        <v>Vorgabe: Anteil Elektrotraktion an PVk-Leistung</v>
      </c>
      <c r="F888" s="1129"/>
      <c r="G888" s="1129"/>
      <c r="H888" s="1129"/>
      <c r="I888" s="1129"/>
      <c r="J888" s="655" t="s">
        <v>38</v>
      </c>
      <c r="K888" s="605">
        <f ca="1">INDIRECT($W$1&amp;U888)</f>
        <v>6.7172142656557137</v>
      </c>
      <c r="L888" s="697" t="str">
        <f ca="1">HYPERLINK($CK$1&amp;U888,$CE$1&amp;U888&amp;$CF$1)</f>
        <v>[889]</v>
      </c>
      <c r="M888" s="683">
        <f ca="1">INDIRECT($W$1&amp;W888)</f>
        <v>89.174450376704897</v>
      </c>
      <c r="N888" s="681" t="str">
        <f ca="1">HYPERLINK($CK$1&amp;W888,$CE$1&amp;W888&amp;$CF$1)</f>
        <v>[892]</v>
      </c>
      <c r="O888" s="893" t="s">
        <v>725</v>
      </c>
      <c r="P888" s="690"/>
      <c r="Q888" s="695"/>
      <c r="R888" s="852"/>
      <c r="S888" s="784"/>
      <c r="T888" s="864"/>
      <c r="U888" s="672">
        <f>D889</f>
        <v>889</v>
      </c>
      <c r="V888" s="905" t="s">
        <v>126</v>
      </c>
      <c r="W888" s="672">
        <f>D892</f>
        <v>892</v>
      </c>
      <c r="AB888" s="801"/>
      <c r="AC888" s="801"/>
      <c r="AD888" s="674"/>
      <c r="AE888" s="674"/>
      <c r="AF888" s="674"/>
      <c r="AG888" s="674"/>
      <c r="AH888" s="674"/>
      <c r="AI888" s="674"/>
      <c r="AJ888" s="674"/>
      <c r="AK888" s="674"/>
      <c r="AL888" s="674"/>
      <c r="AM888" s="674"/>
      <c r="AN888" s="674"/>
      <c r="AO888" s="674"/>
      <c r="AP888" s="674"/>
      <c r="AQ888" s="674"/>
      <c r="AR888" s="674"/>
      <c r="AS888" s="674"/>
      <c r="AT888" s="674"/>
      <c r="AU888" s="674"/>
      <c r="AV888" s="674"/>
      <c r="AX888" s="658" t="s">
        <v>244</v>
      </c>
      <c r="AY888" s="668">
        <f ca="1">DA888</f>
        <v>10.254559182513647</v>
      </c>
      <c r="AZ888" s="670" t="str">
        <f ca="1">HYPERLINK(DN888,DC888)</f>
        <v xml:space="preserve"> 235</v>
      </c>
      <c r="BA888" s="668">
        <f ca="1">DB888</f>
        <v>35</v>
      </c>
      <c r="BB888" s="670" t="str">
        <f ca="1">HYPERLINK(DO888,DD888)</f>
        <v xml:space="preserve"> 236</v>
      </c>
      <c r="BC888" s="658" t="str">
        <f ca="1">CY888&amp;" | "&amp;CZ888</f>
        <v>Brennstoffgew.
für Prozesse | 0</v>
      </c>
      <c r="BI888" s="658" t="s">
        <v>126</v>
      </c>
      <c r="BJ888" s="667" t="str">
        <f>E888</f>
        <v>Vorgabe: Anteil Elektrotraktion an PVk-Leistung</v>
      </c>
      <c r="BK888" s="664">
        <f ca="1">K888</f>
        <v>6.7172142656557137</v>
      </c>
      <c r="BL888" s="664">
        <f ca="1">M888</f>
        <v>89.174450376704897</v>
      </c>
      <c r="BM888" s="798">
        <f>D888</f>
        <v>888</v>
      </c>
      <c r="BO888" s="658" t="s">
        <v>251</v>
      </c>
      <c r="BP888" s="676" t="s">
        <v>1061</v>
      </c>
      <c r="CU888" s="659"/>
      <c r="CW888" s="671">
        <v>61</v>
      </c>
      <c r="CY888" s="798" t="str">
        <f t="shared" ref="CY888:DO888" ca="1" si="468">INDIRECT($CX$1&amp;CY$1&amp;$CW888)</f>
        <v>Brennstoffgew.
für Prozesse</v>
      </c>
      <c r="CZ888" s="798">
        <f t="shared" ca="1" si="468"/>
        <v>0</v>
      </c>
      <c r="DA888" s="798">
        <f t="shared" ca="1" si="468"/>
        <v>10.254559182513647</v>
      </c>
      <c r="DB888" s="798">
        <f t="shared" ca="1" si="468"/>
        <v>35</v>
      </c>
      <c r="DC888" s="798" t="str">
        <f t="shared" ca="1" si="468"/>
        <v xml:space="preserve"> 235</v>
      </c>
      <c r="DD888" s="798" t="str">
        <f t="shared" ca="1" si="468"/>
        <v xml:space="preserve"> 236</v>
      </c>
      <c r="DE888" s="798" t="str">
        <f t="shared" ca="1" si="468"/>
        <v>Ho99</v>
      </c>
      <c r="DF888" s="798" t="str">
        <f t="shared" ca="1" si="468"/>
        <v>Ho36</v>
      </c>
      <c r="DG888" s="798" t="str">
        <f t="shared" ca="1" si="468"/>
        <v>Ho</v>
      </c>
      <c r="DH888" s="798" t="str">
        <f t="shared" ca="1" si="468"/>
        <v>99</v>
      </c>
      <c r="DI888" s="798" t="str">
        <f t="shared" ca="1" si="468"/>
        <v>[Ho.xls]TEXT!Z99S5</v>
      </c>
      <c r="DJ888" s="798" t="str">
        <f t="shared" ca="1" si="468"/>
        <v>Ho</v>
      </c>
      <c r="DK888" s="798" t="str">
        <f t="shared" ca="1" si="468"/>
        <v>36</v>
      </c>
      <c r="DL888" s="798" t="str">
        <f t="shared" ca="1" si="468"/>
        <v>[Ho.xls]TEXT!Z36S5</v>
      </c>
      <c r="DM888" s="798">
        <f t="shared" ca="1" si="468"/>
        <v>61</v>
      </c>
      <c r="DN888" s="798" t="str">
        <f t="shared" ca="1" si="468"/>
        <v>[Region.xls]PARAMETER!Z235S6</v>
      </c>
      <c r="DO888" s="798" t="str">
        <f t="shared" ca="1" si="468"/>
        <v>[Region.xls]PARAMETER!Z236S6</v>
      </c>
      <c r="DP888" s="798"/>
      <c r="DS888" s="798"/>
      <c r="DV888" s="798"/>
      <c r="DW888" s="798"/>
      <c r="DX888" s="798"/>
      <c r="DY888" s="798"/>
      <c r="DZ888" s="798"/>
      <c r="EA888" s="798"/>
      <c r="EB888" s="798"/>
      <c r="EC888" s="798"/>
      <c r="ED888" s="798"/>
      <c r="EE888" s="798"/>
      <c r="EF888" s="798"/>
      <c r="EG888" s="798"/>
      <c r="EH888" s="798"/>
      <c r="EI888" s="798"/>
      <c r="EJ888" s="798"/>
      <c r="EK888" s="798"/>
      <c r="EV888" s="819">
        <f t="shared" si="467"/>
        <v>888</v>
      </c>
      <c r="EW888" s="819"/>
    </row>
    <row r="889" spans="1:153" s="798" customFormat="1">
      <c r="A889" s="654" t="str">
        <f t="shared" ca="1" si="464"/>
        <v>D.1.889</v>
      </c>
      <c r="B889" s="654" t="str">
        <f t="shared" ca="1" si="465"/>
        <v>1.889</v>
      </c>
      <c r="C889" s="654" t="str">
        <f t="shared" si="466"/>
        <v>[889]</v>
      </c>
      <c r="D889" s="654">
        <f>ROW()</f>
        <v>889</v>
      </c>
      <c r="E889" s="1130" t="str">
        <f>CU889</f>
        <v>- STATUS-Ansatz: Zur Orientierung das Resultat eigener Berechnungen von [S.4.135] übernommen.</v>
      </c>
      <c r="F889" s="1130"/>
      <c r="G889" s="1130"/>
      <c r="H889" s="1130"/>
      <c r="I889" s="1130"/>
      <c r="J889" s="1130"/>
      <c r="K889" s="1130"/>
      <c r="L889" s="1130"/>
      <c r="M889" s="1130"/>
      <c r="N889" s="1131"/>
      <c r="O889" s="893" t="s">
        <v>725</v>
      </c>
      <c r="P889" s="691" t="str">
        <f ca="1">HYPERLINK(EK889,EJ889)</f>
        <v/>
      </c>
      <c r="Q889" s="692" t="str">
        <f>Y889</f>
        <v xml:space="preserve"> </v>
      </c>
      <c r="R889" s="852"/>
      <c r="S889" s="784"/>
      <c r="T889" s="864"/>
      <c r="U889" s="1023" t="str">
        <f>"Zur Orientierung das Resultat eigener Berechnungen von [S.4.135] übernommen."</f>
        <v>Zur Orientierung das Resultat eigener Berechnungen von [S.4.135] übernommen.</v>
      </c>
      <c r="V889" s="905" t="s">
        <v>126</v>
      </c>
      <c r="W889" s="1095">
        <f>AD889</f>
        <v>6.7172142656557137</v>
      </c>
      <c r="X889" s="672"/>
      <c r="Y889" s="672" t="s">
        <v>126</v>
      </c>
      <c r="Z889" s="1025"/>
      <c r="AA889" s="658"/>
      <c r="AB889" s="801"/>
      <c r="AC889" s="801"/>
      <c r="AD889" s="801">
        <v>6.7172142656557137</v>
      </c>
      <c r="AE889" s="801" t="s">
        <v>972</v>
      </c>
      <c r="AF889" s="801"/>
      <c r="AG889" s="801"/>
      <c r="AH889" s="801"/>
      <c r="AI889" s="801"/>
      <c r="AJ889" s="801"/>
      <c r="AK889" s="801"/>
      <c r="AL889" s="801"/>
      <c r="AM889" s="801"/>
      <c r="AN889" s="801"/>
      <c r="AO889" s="801"/>
      <c r="AP889" s="801"/>
      <c r="AQ889" s="801"/>
      <c r="AR889" s="801"/>
      <c r="AS889" s="801"/>
      <c r="AT889" s="801"/>
      <c r="AU889" s="801"/>
      <c r="AV889" s="801"/>
      <c r="AY889" s="798">
        <f ca="1">AY888/AY$246%</f>
        <v>14.091645358575692</v>
      </c>
      <c r="BA889" s="798">
        <f ca="1">BA888/BA$246%</f>
        <v>100</v>
      </c>
      <c r="BF889" s="657"/>
      <c r="BI889" s="798" t="s">
        <v>126</v>
      </c>
      <c r="BJ889" s="666"/>
      <c r="BO889" s="798" t="s">
        <v>259</v>
      </c>
      <c r="CU889" s="663" t="str">
        <f>CG$1&amp;IF(U889="",BF889,U889)</f>
        <v>- STATUS-Ansatz: Zur Orientierung das Resultat eigener Berechnungen von [S.4.135] übernommen.</v>
      </c>
      <c r="CW889" s="663"/>
      <c r="DT889" s="671">
        <f>I_Basisdaten!A355</f>
        <v>0</v>
      </c>
      <c r="EJ889" s="798" t="str">
        <f>IF(X889=0,"",EJ$1&amp;X889)</f>
        <v/>
      </c>
      <c r="EK889" s="798" t="str">
        <f ca="1">EK$1&amp;X889</f>
        <v>[D_Python.xlsx]9.Quellen!C</v>
      </c>
      <c r="EV889" s="819">
        <f t="shared" si="467"/>
        <v>889</v>
      </c>
      <c r="EW889" s="819"/>
    </row>
    <row r="890" spans="1:153" s="798" customFormat="1" hidden="1">
      <c r="A890" s="654" t="str">
        <f t="shared" ca="1" si="464"/>
        <v>D.1.890</v>
      </c>
      <c r="B890" s="654" t="str">
        <f t="shared" ca="1" si="465"/>
        <v>1.890</v>
      </c>
      <c r="C890" s="654" t="str">
        <f t="shared" si="466"/>
        <v>[890]</v>
      </c>
      <c r="D890" s="654">
        <f>ROW()</f>
        <v>890</v>
      </c>
      <c r="E890" s="1130">
        <f>CU890</f>
        <v>0</v>
      </c>
      <c r="F890" s="1130"/>
      <c r="G890" s="1130"/>
      <c r="H890" s="1130"/>
      <c r="I890" s="1130"/>
      <c r="J890" s="1130"/>
      <c r="K890" s="1130"/>
      <c r="L890" s="1130"/>
      <c r="M890" s="1130"/>
      <c r="N890" s="1131"/>
      <c r="O890" s="893" t="s">
        <v>725</v>
      </c>
      <c r="P890" s="691"/>
      <c r="Q890" s="692"/>
      <c r="R890" s="852"/>
      <c r="S890" s="784"/>
      <c r="T890" s="864"/>
      <c r="U890" s="1023"/>
      <c r="V890" s="905" t="s">
        <v>126</v>
      </c>
      <c r="W890" s="1025"/>
      <c r="X890" s="672">
        <f>'9.Quellen'!C$258</f>
        <v>258</v>
      </c>
      <c r="Y890" s="672" t="s">
        <v>788</v>
      </c>
      <c r="Z890" s="1025"/>
      <c r="AA890" s="905"/>
      <c r="AB890" s="801"/>
      <c r="AC890" s="801"/>
      <c r="AD890" s="801"/>
      <c r="AE890" s="801"/>
      <c r="AF890" s="801">
        <v>8.8000000000000007</v>
      </c>
      <c r="AG890" s="801" t="s">
        <v>624</v>
      </c>
      <c r="AH890" s="801" t="e">
        <f>ROUND(AF890/AD890%,1)</f>
        <v>#DIV/0!</v>
      </c>
      <c r="AI890" s="801" t="s">
        <v>835</v>
      </c>
      <c r="AJ890" s="801"/>
      <c r="AK890" s="801"/>
      <c r="AL890" s="801"/>
      <c r="AM890" s="801"/>
      <c r="AN890" s="801"/>
      <c r="AO890" s="801"/>
      <c r="AP890" s="801"/>
      <c r="AQ890" s="801"/>
      <c r="AR890" s="801"/>
      <c r="AS890" s="801"/>
      <c r="AT890" s="801"/>
      <c r="AU890" s="801"/>
      <c r="AV890" s="801"/>
      <c r="BF890" s="657"/>
      <c r="BI890" s="798" t="s">
        <v>126</v>
      </c>
      <c r="BJ890" s="666"/>
      <c r="BO890" s="798" t="s">
        <v>252</v>
      </c>
      <c r="CU890" s="663">
        <f>IF(U890="",BF890,U890)</f>
        <v>0</v>
      </c>
      <c r="CW890" s="663"/>
      <c r="DT890" s="671"/>
      <c r="EJ890" s="798" t="str">
        <f ca="1">IF(X890=0,"",EJ$1&amp;X890)</f>
        <v>9.258</v>
      </c>
      <c r="EK890" s="798" t="str">
        <f ca="1">EK$1&amp;X890</f>
        <v>[D_Python.xlsx]9.Quellen!C258</v>
      </c>
      <c r="EV890" s="819" t="str">
        <f t="shared" si="467"/>
        <v/>
      </c>
      <c r="EW890" s="819"/>
    </row>
    <row r="891" spans="1:153" s="661" customFormat="1" ht="4">
      <c r="A891" s="677" t="str">
        <f t="shared" ca="1" si="464"/>
        <v>D.1.891</v>
      </c>
      <c r="B891" s="677" t="str">
        <f t="shared" ca="1" si="465"/>
        <v>1.891</v>
      </c>
      <c r="C891" s="677" t="str">
        <f t="shared" si="466"/>
        <v>[891]</v>
      </c>
      <c r="D891" s="677">
        <f>ROW()</f>
        <v>891</v>
      </c>
      <c r="E891" s="680"/>
      <c r="F891" s="680"/>
      <c r="G891" s="680"/>
      <c r="H891" s="680"/>
      <c r="I891" s="679"/>
      <c r="J891" s="679"/>
      <c r="K891" s="679"/>
      <c r="L891" s="679"/>
      <c r="M891" s="679"/>
      <c r="N891" s="680"/>
      <c r="O891" s="894" t="s">
        <v>725</v>
      </c>
      <c r="P891" s="688"/>
      <c r="Q891" s="689"/>
      <c r="R891" s="888"/>
      <c r="S891" s="802"/>
      <c r="T891" s="882"/>
      <c r="W891" s="606"/>
      <c r="AB891" s="675"/>
      <c r="AC891" s="675"/>
      <c r="AD891" s="675"/>
      <c r="AE891" s="675"/>
      <c r="AF891" s="675"/>
      <c r="AG891" s="675"/>
      <c r="AH891" s="675"/>
      <c r="AI891" s="675"/>
      <c r="AJ891" s="675"/>
      <c r="AK891" s="675"/>
      <c r="AL891" s="675"/>
      <c r="AM891" s="675"/>
      <c r="AN891" s="675"/>
      <c r="AO891" s="675"/>
      <c r="AP891" s="675"/>
      <c r="AQ891" s="675"/>
      <c r="AR891" s="675"/>
      <c r="AS891" s="675"/>
      <c r="AT891" s="675"/>
      <c r="AU891" s="675"/>
      <c r="AV891" s="675"/>
      <c r="BI891" s="661" t="s">
        <v>126</v>
      </c>
      <c r="BJ891" s="665"/>
      <c r="CU891" s="662"/>
      <c r="CW891" s="662"/>
      <c r="EV891" s="818" t="str">
        <f t="shared" si="467"/>
        <v/>
      </c>
      <c r="EW891" s="818"/>
    </row>
    <row r="892" spans="1:153" s="798" customFormat="1" ht="91">
      <c r="A892" s="654" t="str">
        <f t="shared" ca="1" si="464"/>
        <v>D.1.892</v>
      </c>
      <c r="B892" s="654" t="str">
        <f t="shared" ca="1" si="465"/>
        <v>1.892</v>
      </c>
      <c r="C892" s="654" t="str">
        <f t="shared" si="466"/>
        <v>[892]</v>
      </c>
      <c r="D892" s="654">
        <f>ROW()</f>
        <v>892</v>
      </c>
      <c r="E892" s="1125" t="str">
        <f t="shared" ref="E892" ca="1" si="469">CU892</f>
        <v>- ZIEL-Ansatz: Abgleich-Vorgabe ist orientiert am Gutachten [9.105], Anhang D, [D.1.882]. Ein hoher Anteil Elektrotraktion im Personenverkehr wurde einmal wegen der ca. dreifach höheren Effizienz des Elektroantriebs gegenüber Verbrennungsmotoeren gewählt, zum anderen wegen des sehr begrenzten Potenzials an biogenen Kraftstoffen. Der Ansatz ist am IWES Geschäftsmodell Energiewende orientiert [895], der über den Ansatz in UBA Treibhausgasneutrales Deutschland 2050 [894] deutlich hinaus geht (dort ist der Import großer Mengen an synthetischen Kraftstoffen aus Wind-/Solarstrom vorgesehen, der durch unseren Ansatz bis auf Luftverkerhs-Kraftstoffe vermieden werden kann).</v>
      </c>
      <c r="F892" s="1125"/>
      <c r="G892" s="1125"/>
      <c r="H892" s="1125"/>
      <c r="I892" s="1125"/>
      <c r="J892" s="1125"/>
      <c r="K892" s="1125"/>
      <c r="L892" s="1125"/>
      <c r="M892" s="1125"/>
      <c r="N892" s="1132"/>
      <c r="O892" s="893" t="s">
        <v>725</v>
      </c>
      <c r="P892" s="691" t="str">
        <f ca="1">HYPERLINK(EK892,EJ892)</f>
        <v>9.105</v>
      </c>
      <c r="Q892" s="692" t="str">
        <f>Y892</f>
        <v>Anhang D, [D.1.882]</v>
      </c>
      <c r="R892" s="852"/>
      <c r="S892" s="784"/>
      <c r="T892" s="864"/>
      <c r="U892" s="1023" t="str">
        <f ca="1">"Abgleich-Vorgabe ist orientiert am Gutachten ["&amp;P892&amp;"], "&amp;Q892&amp;". Ein hoher Anteil Elektrotraktion im Personenverkehr wurde einmal wegen der ca. dreifach höheren Effizienz des Elektroantriebs gegenüber Verbrennungsmotoeren gewählt, zum anderen wegen des sehr begrenzten Potenzials an biogenen Kraftstoffen. "&amp;"Der Ansatz ist am IWES Geschäftsmodell Energiewende orientiert "&amp;C895&amp;", der über den Ansatz in UBA Treibhausgasneutrales Deutschland 2050 "&amp;C894&amp;" deutlich hinaus geht (dort ist der Import großer Mengen an synthetischen Kraftstoffen aus Wind-/Solarstrom vorgesehen, der durch unseren Ansatz bis auf Luftverkerhs-Kraftstoffe vermieden werden kann)."</f>
        <v>Abgleich-Vorgabe ist orientiert am Gutachten [9.105], Anhang D, [D.1.882]. Ein hoher Anteil Elektrotraktion im Personenverkehr wurde einmal wegen der ca. dreifach höheren Effizienz des Elektroantriebs gegenüber Verbrennungsmotoeren gewählt, zum anderen wegen des sehr begrenzten Potenzials an biogenen Kraftstoffen. Der Ansatz ist am IWES Geschäftsmodell Energiewende orientiert [895], der über den Ansatz in UBA Treibhausgasneutrales Deutschland 2050 [894] deutlich hinaus geht (dort ist der Import großer Mengen an synthetischen Kraftstoffen aus Wind-/Solarstrom vorgesehen, der durch unseren Ansatz bis auf Luftverkerhs-Kraftstoffe vermieden werden kann).</v>
      </c>
      <c r="V892" s="905" t="s">
        <v>126</v>
      </c>
      <c r="W892" s="1101">
        <f>AF892</f>
        <v>89.174450376704897</v>
      </c>
      <c r="X892" s="672">
        <f>'9.Quellen'!C105</f>
        <v>105</v>
      </c>
      <c r="Y892" s="525" t="s">
        <v>1062</v>
      </c>
      <c r="Z892" s="1025"/>
      <c r="AA892" s="905"/>
      <c r="AB892" s="801"/>
      <c r="AC892" s="1020"/>
      <c r="AD892" s="801">
        <v>87.9</v>
      </c>
      <c r="AE892" s="801"/>
      <c r="AF892" s="801">
        <v>89.174450376704897</v>
      </c>
      <c r="AG892" s="801"/>
      <c r="AH892" s="801"/>
      <c r="AI892" s="801"/>
      <c r="AJ892" s="801"/>
      <c r="AK892" s="801"/>
      <c r="AL892" s="801"/>
      <c r="AM892" s="801"/>
      <c r="AN892" s="801"/>
      <c r="AO892" s="801"/>
      <c r="AP892" s="801"/>
      <c r="AQ892" s="801"/>
      <c r="AR892" s="801"/>
      <c r="AS892" s="801"/>
      <c r="AT892" s="801"/>
      <c r="AU892" s="801"/>
      <c r="AV892" s="801"/>
      <c r="BF892" s="657"/>
      <c r="BI892" s="798" t="s">
        <v>126</v>
      </c>
      <c r="BJ892" s="666"/>
      <c r="BO892" s="798" t="s">
        <v>259</v>
      </c>
      <c r="CU892" s="663" t="str">
        <f ca="1">CH$1&amp;IF(U892="",BF892,U892)</f>
        <v>- ZIEL-Ansatz: Abgleich-Vorgabe ist orientiert am Gutachten [9.105], Anhang D, [D.1.882]. Ein hoher Anteil Elektrotraktion im Personenverkehr wurde einmal wegen der ca. dreifach höheren Effizienz des Elektroantriebs gegenüber Verbrennungsmotoeren gewählt, zum anderen wegen des sehr begrenzten Potenzials an biogenen Kraftstoffen. Der Ansatz ist am IWES Geschäftsmodell Energiewende orientiert [895], der über den Ansatz in UBA Treibhausgasneutrales Deutschland 2050 [894] deutlich hinaus geht (dort ist der Import großer Mengen an synthetischen Kraftstoffen aus Wind-/Solarstrom vorgesehen, der durch unseren Ansatz bis auf Luftverkerhs-Kraftstoffe vermieden werden kann).</v>
      </c>
      <c r="CW892" s="663"/>
      <c r="DT892" s="671">
        <v>53</v>
      </c>
      <c r="EJ892" s="798" t="str">
        <f ca="1">IF(X892=0,"",EJ$1&amp;X892)</f>
        <v>9.105</v>
      </c>
      <c r="EK892" s="798" t="str">
        <f ca="1">EK$1&amp;X892</f>
        <v>[D_Python.xlsx]9.Quellen!C105</v>
      </c>
      <c r="EV892" s="819">
        <f t="shared" ca="1" si="467"/>
        <v>892</v>
      </c>
      <c r="EW892" s="819"/>
    </row>
    <row r="893" spans="1:153" s="798" customFormat="1" ht="52">
      <c r="A893" s="654" t="str">
        <f t="shared" ca="1" si="464"/>
        <v>D.1.893</v>
      </c>
      <c r="B893" s="654" t="str">
        <f t="shared" ca="1" si="465"/>
        <v>1.893</v>
      </c>
      <c r="C893" s="654" t="str">
        <f t="shared" si="466"/>
        <v>[893]</v>
      </c>
      <c r="D893" s="654">
        <f>ROW()</f>
        <v>893</v>
      </c>
      <c r="E893" s="1125" t="str">
        <f>CU893</f>
        <v>Bei dieser Betrachtung wurde keine Änderung im Modalsplit vorgesehen, der hohe Anteil von Individualverkehr am Personenverkehr bleibt erhalten. Allerdings erscheint es als wahrscheinlich, dass der Anteil der Bahn am Modalsplit zumindest im Fernverkehr zunehmen könnte. Wegen des Effizienzvorteils der Bahnen gegenüber PKW würde dies zu einer weiteren Senkung des Energiebedarfs führen.</v>
      </c>
      <c r="F893" s="1125"/>
      <c r="G893" s="1125"/>
      <c r="H893" s="1125"/>
      <c r="I893" s="1125"/>
      <c r="J893" s="1125"/>
      <c r="K893" s="1125"/>
      <c r="L893" s="1125"/>
      <c r="M893" s="1125"/>
      <c r="N893" s="1132"/>
      <c r="O893" s="893" t="s">
        <v>725</v>
      </c>
      <c r="P893" s="691" t="str">
        <f t="shared" ref="P893:P894" ca="1" si="470">HYPERLINK(EK893,EJ893)</f>
        <v/>
      </c>
      <c r="Q893" s="692" t="str">
        <f t="shared" ref="Q893:Q894" si="471">Y893</f>
        <v xml:space="preserve"> </v>
      </c>
      <c r="R893" s="852"/>
      <c r="S893" s="784"/>
      <c r="T893" s="864"/>
      <c r="U893" s="1023" t="str">
        <f>"Bei dieser Betrachtung wurde keine Änderung im Modalsplit vorgesehen, der hohe Anteil von Individualverkehr am Personenverkehr bleibt erhalten. "&amp;"Allerdings erscheint es als wahrscheinlich, dass der Anteil der Bahn am Modalsplit zumindest im Fernverkehr zunehmen könnte. "&amp;"Wegen des Effizienzvorteils der Bahnen gegenüber PKW würde dies zu einer weiteren Senkung des Energiebedarfs führen."</f>
        <v>Bei dieser Betrachtung wurde keine Änderung im Modalsplit vorgesehen, der hohe Anteil von Individualverkehr am Personenverkehr bleibt erhalten. Allerdings erscheint es als wahrscheinlich, dass der Anteil der Bahn am Modalsplit zumindest im Fernverkehr zunehmen könnte. Wegen des Effizienzvorteils der Bahnen gegenüber PKW würde dies zu einer weiteren Senkung des Energiebedarfs führen.</v>
      </c>
      <c r="V893" s="905" t="s">
        <v>126</v>
      </c>
      <c r="W893" s="1025"/>
      <c r="X893" s="672"/>
      <c r="Y893" s="672" t="s">
        <v>126</v>
      </c>
      <c r="Z893" s="1025"/>
      <c r="AA893" s="905"/>
      <c r="AB893" s="801"/>
      <c r="AC893" s="801"/>
      <c r="AD893" s="801"/>
      <c r="AE893" s="801"/>
      <c r="AF893" s="801"/>
      <c r="AG893" s="801"/>
      <c r="AH893" s="801"/>
      <c r="AI893" s="801"/>
      <c r="AJ893" s="801"/>
      <c r="AK893" s="801"/>
      <c r="AL893" s="801"/>
      <c r="AM893" s="801"/>
      <c r="AN893" s="801"/>
      <c r="AO893" s="801"/>
      <c r="AP893" s="801"/>
      <c r="AQ893" s="801"/>
      <c r="AR893" s="801"/>
      <c r="AS893" s="801"/>
      <c r="AT893" s="801"/>
      <c r="AU893" s="801"/>
      <c r="AV893" s="801"/>
      <c r="BF893" s="657"/>
      <c r="BI893" s="798" t="s">
        <v>126</v>
      </c>
      <c r="BJ893" s="666"/>
      <c r="BO893" s="798" t="s">
        <v>252</v>
      </c>
      <c r="CU893" s="663" t="str">
        <f>IF(U893="",BF893,U893)</f>
        <v>Bei dieser Betrachtung wurde keine Änderung im Modalsplit vorgesehen, der hohe Anteil von Individualverkehr am Personenverkehr bleibt erhalten. Allerdings erscheint es als wahrscheinlich, dass der Anteil der Bahn am Modalsplit zumindest im Fernverkehr zunehmen könnte. Wegen des Effizienzvorteils der Bahnen gegenüber PKW würde dies zu einer weiteren Senkung des Energiebedarfs führen.</v>
      </c>
      <c r="CW893" s="663"/>
      <c r="DT893" s="671"/>
      <c r="EJ893" s="798" t="str">
        <f>IF(X893=0,"",EJ$1&amp;X893)</f>
        <v/>
      </c>
      <c r="EK893" s="798" t="str">
        <f ca="1">EK$1&amp;X893</f>
        <v>[D_Python.xlsx]9.Quellen!C</v>
      </c>
      <c r="EV893" s="819">
        <f t="shared" si="467"/>
        <v>893</v>
      </c>
      <c r="EW893" s="819"/>
    </row>
    <row r="894" spans="1:153" s="798" customFormat="1" ht="26">
      <c r="A894" s="654" t="str">
        <f t="shared" ca="1" si="464"/>
        <v>D.1.894</v>
      </c>
      <c r="B894" s="654" t="str">
        <f t="shared" ca="1" si="465"/>
        <v>1.894</v>
      </c>
      <c r="C894" s="654" t="str">
        <f t="shared" si="466"/>
        <v>[894]</v>
      </c>
      <c r="D894" s="654">
        <f>ROW()</f>
        <v>894</v>
      </c>
      <c r="E894" s="1125" t="str">
        <f ca="1">CU894</f>
        <v>UBA Treibhausgasneutrales Deutschland 2050 [9.249], S. 114: "(…) bei den Pkw bis zum Jahr 2050 57 % der Fahrleistung elektrisch erbracht wird (…)".</v>
      </c>
      <c r="F894" s="1125"/>
      <c r="G894" s="1125"/>
      <c r="H894" s="1125"/>
      <c r="I894" s="1125"/>
      <c r="J894" s="1125"/>
      <c r="K894" s="1125"/>
      <c r="L894" s="1125"/>
      <c r="M894" s="1125"/>
      <c r="N894" s="1132"/>
      <c r="O894" s="893" t="s">
        <v>725</v>
      </c>
      <c r="P894" s="691" t="str">
        <f t="shared" ca="1" si="470"/>
        <v>9.249</v>
      </c>
      <c r="Q894" s="692" t="str">
        <f t="shared" si="471"/>
        <v>S. 114</v>
      </c>
      <c r="R894" s="852"/>
      <c r="S894" s="784"/>
      <c r="T894" s="864"/>
      <c r="U894" s="1023" t="str">
        <f ca="1">"UBA Treibhausgasneutrales Deutschland 2050 ["&amp;P894&amp;"], "&amp;Q894&amp;": ""(…) bei den Pkw bis zum Jahr 2050 57 % der Fahrleistung elektrisch erbracht wird (…)""."</f>
        <v>UBA Treibhausgasneutrales Deutschland 2050 [9.249], S. 114: "(…) bei den Pkw bis zum Jahr 2050 57 % der Fahrleistung elektrisch erbracht wird (…)".</v>
      </c>
      <c r="V894" s="905" t="s">
        <v>126</v>
      </c>
      <c r="W894" s="1025"/>
      <c r="X894" s="672">
        <f>'9.Quellen'!C$249</f>
        <v>249</v>
      </c>
      <c r="Y894" s="672" t="s">
        <v>792</v>
      </c>
      <c r="Z894" s="1025"/>
      <c r="AA894" s="905"/>
      <c r="AB894" s="801"/>
      <c r="AC894" s="801"/>
      <c r="AD894" s="801"/>
      <c r="AE894" s="801"/>
      <c r="AF894" s="801"/>
      <c r="AG894" s="801"/>
      <c r="AH894" s="801"/>
      <c r="AI894" s="801"/>
      <c r="AJ894" s="801"/>
      <c r="AK894" s="801"/>
      <c r="AL894" s="801"/>
      <c r="AM894" s="801"/>
      <c r="AN894" s="801"/>
      <c r="AO894" s="801"/>
      <c r="AP894" s="801"/>
      <c r="AQ894" s="801"/>
      <c r="AR894" s="801"/>
      <c r="AS894" s="801"/>
      <c r="AT894" s="801"/>
      <c r="AU894" s="801"/>
      <c r="AV894" s="801"/>
      <c r="BF894" s="657"/>
      <c r="BI894" s="798" t="s">
        <v>126</v>
      </c>
      <c r="BJ894" s="666"/>
      <c r="BO894" s="798" t="s">
        <v>252</v>
      </c>
      <c r="CU894" s="663" t="str">
        <f ca="1">IF(U894="",BF894,U894)</f>
        <v>UBA Treibhausgasneutrales Deutschland 2050 [9.249], S. 114: "(…) bei den Pkw bis zum Jahr 2050 57 % der Fahrleistung elektrisch erbracht wird (…)".</v>
      </c>
      <c r="CW894" s="663"/>
      <c r="DT894" s="671"/>
      <c r="EJ894" s="798" t="str">
        <f ca="1">IF(X894=0,"",EJ$1&amp;X894)</f>
        <v>9.249</v>
      </c>
      <c r="EK894" s="798" t="str">
        <f ca="1">EK$1&amp;X894</f>
        <v>[D_Python.xlsx]9.Quellen!C249</v>
      </c>
      <c r="EV894" s="819">
        <f t="shared" ca="1" si="467"/>
        <v>894</v>
      </c>
      <c r="EW894" s="819"/>
    </row>
    <row r="895" spans="1:153" s="798" customFormat="1" ht="26">
      <c r="A895" s="654" t="str">
        <f t="shared" ca="1" si="464"/>
        <v>D.1.895</v>
      </c>
      <c r="B895" s="654" t="str">
        <f t="shared" ca="1" si="465"/>
        <v>1.895</v>
      </c>
      <c r="C895" s="654" t="str">
        <f>CE$1&amp;D895&amp;CF$1</f>
        <v>[895]</v>
      </c>
      <c r="D895" s="654">
        <f>ROW()</f>
        <v>895</v>
      </c>
      <c r="E895" s="1125" t="str">
        <f ca="1">CU895</f>
        <v>IWES Geschäftsmodell Energiewende [9.120], S. 14, sieht "100% E-Mobilität im PKW-Bereich" vor und erfasst damit den weitaus größten Teil des Personenverkehrs.</v>
      </c>
      <c r="F895" s="1125"/>
      <c r="G895" s="1125"/>
      <c r="H895" s="1125"/>
      <c r="I895" s="1125"/>
      <c r="J895" s="1125"/>
      <c r="K895" s="1125"/>
      <c r="L895" s="1125"/>
      <c r="M895" s="1125"/>
      <c r="N895" s="1132"/>
      <c r="O895" s="893" t="s">
        <v>725</v>
      </c>
      <c r="P895" s="691" t="str">
        <f ca="1">HYPERLINK(EK895,EJ895)</f>
        <v>9.120</v>
      </c>
      <c r="Q895" s="692" t="str">
        <f>Y895</f>
        <v>S. 14</v>
      </c>
      <c r="R895" s="852"/>
      <c r="S895" s="784"/>
      <c r="T895" s="864"/>
      <c r="U895" s="1023" t="str">
        <f ca="1">"IWES Geschäftsmodell Energiewende ["&amp;P895&amp;"], "&amp;Q895&amp;", sieht ""100% E-Mobilität im PKW-Bereich"" vor und erfasst damit den weitaus größten Teil des Personenverkehrs."</f>
        <v>IWES Geschäftsmodell Energiewende [9.120], S. 14, sieht "100% E-Mobilität im PKW-Bereich" vor und erfasst damit den weitaus größten Teil des Personenverkehrs.</v>
      </c>
      <c r="V895" s="905" t="s">
        <v>126</v>
      </c>
      <c r="W895" s="1025"/>
      <c r="X895" s="672">
        <f>'9.Quellen'!C$120</f>
        <v>120</v>
      </c>
      <c r="Y895" s="672" t="s">
        <v>770</v>
      </c>
      <c r="Z895" s="1025"/>
      <c r="AA895" s="905"/>
      <c r="AB895" s="801"/>
      <c r="AC895" s="801"/>
      <c r="AD895" s="801"/>
      <c r="AE895" s="801"/>
      <c r="AF895" s="801"/>
      <c r="AG895" s="801"/>
      <c r="AH895" s="801"/>
      <c r="AI895" s="801"/>
      <c r="AJ895" s="801"/>
      <c r="AK895" s="801"/>
      <c r="AL895" s="801"/>
      <c r="AM895" s="801"/>
      <c r="AN895" s="801"/>
      <c r="AO895" s="801"/>
      <c r="AP895" s="801"/>
      <c r="AQ895" s="801"/>
      <c r="AR895" s="801"/>
      <c r="AS895" s="801"/>
      <c r="AT895" s="801"/>
      <c r="AU895" s="801"/>
      <c r="AV895" s="801"/>
      <c r="BF895" s="657" t="s">
        <v>126</v>
      </c>
      <c r="BI895" s="798" t="s">
        <v>126</v>
      </c>
      <c r="BJ895" s="666"/>
      <c r="BO895" s="798" t="s">
        <v>259</v>
      </c>
      <c r="BQ895" s="678" t="s">
        <v>271</v>
      </c>
      <c r="CU895" s="663" t="str">
        <f ca="1">IF(U895="",BF895,U895)</f>
        <v>IWES Geschäftsmodell Energiewende [9.120], S. 14, sieht "100% E-Mobilität im PKW-Bereich" vor und erfasst damit den weitaus größten Teil des Personenverkehrs.</v>
      </c>
      <c r="CW895" s="663"/>
      <c r="EJ895" s="798" t="str">
        <f ca="1">IF(X895=0,"",EJ$1&amp;X895)</f>
        <v>9.120</v>
      </c>
      <c r="EK895" s="798" t="str">
        <f ca="1">EK$1&amp;X895</f>
        <v>[D_Python.xlsx]9.Quellen!C120</v>
      </c>
      <c r="EV895" s="819">
        <f t="shared" ca="1" si="467"/>
        <v>895</v>
      </c>
      <c r="EW895" s="819"/>
    </row>
    <row r="896" spans="1:153" s="661" customFormat="1" ht="4">
      <c r="A896" s="677" t="str">
        <f t="shared" ca="1" si="446"/>
        <v>D.1.896</v>
      </c>
      <c r="B896" s="677" t="str">
        <f t="shared" ca="1" si="447"/>
        <v>1.896</v>
      </c>
      <c r="C896" s="677" t="str">
        <f t="shared" si="443"/>
        <v>[896]</v>
      </c>
      <c r="D896" s="677">
        <f>ROW()</f>
        <v>896</v>
      </c>
      <c r="E896" s="685"/>
      <c r="F896" s="685"/>
      <c r="G896" s="685"/>
      <c r="H896" s="685"/>
      <c r="I896" s="686"/>
      <c r="J896" s="686"/>
      <c r="K896" s="686"/>
      <c r="L896" s="686"/>
      <c r="M896" s="686"/>
      <c r="N896" s="685"/>
      <c r="O896" s="871">
        <v>881</v>
      </c>
      <c r="P896" s="693"/>
      <c r="Q896" s="694"/>
      <c r="R896" s="888"/>
      <c r="S896" s="802"/>
      <c r="T896" s="882"/>
      <c r="AB896" s="675"/>
      <c r="AC896" s="675"/>
      <c r="AD896" s="675"/>
      <c r="AE896" s="675"/>
      <c r="AF896" s="675"/>
      <c r="AG896" s="675"/>
      <c r="AH896" s="675"/>
      <c r="AI896" s="675"/>
      <c r="AJ896" s="675"/>
      <c r="AK896" s="675"/>
      <c r="AL896" s="675"/>
      <c r="AM896" s="675"/>
      <c r="AN896" s="675"/>
      <c r="AO896" s="675"/>
      <c r="AP896" s="675"/>
      <c r="AQ896" s="675"/>
      <c r="AR896" s="675"/>
      <c r="AS896" s="675"/>
      <c r="AT896" s="675"/>
      <c r="AU896" s="675"/>
      <c r="AV896" s="675"/>
      <c r="AZ896" s="669"/>
      <c r="BB896" s="669"/>
      <c r="BI896" s="661" t="s">
        <v>126</v>
      </c>
      <c r="BJ896" s="665"/>
      <c r="CU896" s="662"/>
      <c r="CW896" s="662"/>
      <c r="EV896" s="818" t="str">
        <f t="shared" si="448"/>
        <v/>
      </c>
      <c r="EW896" s="818"/>
    </row>
    <row r="897" spans="1:153" s="658" customFormat="1" ht="13.5" customHeight="1">
      <c r="A897" s="654" t="str">
        <f t="shared" ca="1" si="446"/>
        <v>D.1.897</v>
      </c>
      <c r="B897" s="654" t="str">
        <f t="shared" ca="1" si="447"/>
        <v>1.897</v>
      </c>
      <c r="C897" s="654" t="str">
        <f t="shared" si="443"/>
        <v>[897]</v>
      </c>
      <c r="D897" s="654">
        <f>ROW()</f>
        <v>897</v>
      </c>
      <c r="E897" s="1129" t="str">
        <f>BP897</f>
        <v>Anteil Elektrotraktion am Endverbrauch im PVk</v>
      </c>
      <c r="F897" s="1129"/>
      <c r="G897" s="1129"/>
      <c r="H897" s="1129"/>
      <c r="I897" s="1129"/>
      <c r="J897" s="655" t="s">
        <v>38</v>
      </c>
      <c r="K897" s="605">
        <f ca="1">INDIRECT($W$1&amp;U897)</f>
        <v>2.2999999999999998</v>
      </c>
      <c r="L897" s="697" t="str">
        <f ca="1">HYPERLINK($CK$1&amp;U897,$CE$1&amp;U897&amp;$CF$1)</f>
        <v>[898]</v>
      </c>
      <c r="M897" s="683">
        <f>74.9977106050651</f>
        <v>74.997710605065095</v>
      </c>
      <c r="N897" s="681" t="str">
        <f ca="1">HYPERLINK($CK$1&amp;W897,$CE$1&amp;W897&amp;$CF$1)</f>
        <v>[901]</v>
      </c>
      <c r="O897" s="869">
        <v>882</v>
      </c>
      <c r="P897" s="690"/>
      <c r="Q897" s="695"/>
      <c r="R897" s="852"/>
      <c r="S897" s="784"/>
      <c r="T897" s="864"/>
      <c r="U897" s="672">
        <f>D898</f>
        <v>898</v>
      </c>
      <c r="V897" s="905" t="s">
        <v>126</v>
      </c>
      <c r="W897" s="672">
        <f>D901</f>
        <v>901</v>
      </c>
      <c r="AB897" s="801"/>
      <c r="AC897" s="801"/>
      <c r="AD897" s="674"/>
      <c r="AE897" s="674"/>
      <c r="AF897" s="674"/>
      <c r="AG897" s="674"/>
      <c r="AH897" s="674"/>
      <c r="AI897" s="674"/>
      <c r="AJ897" s="674"/>
      <c r="AK897" s="674"/>
      <c r="AL897" s="674"/>
      <c r="AM897" s="674"/>
      <c r="AN897" s="674"/>
      <c r="AO897" s="674"/>
      <c r="AP897" s="674"/>
      <c r="AQ897" s="674"/>
      <c r="AR897" s="674"/>
      <c r="AS897" s="674"/>
      <c r="AT897" s="674"/>
      <c r="AU897" s="674"/>
      <c r="AV897" s="674"/>
      <c r="AX897" s="658" t="s">
        <v>244</v>
      </c>
      <c r="AY897" s="668">
        <f ca="1">DA897</f>
        <v>10.254559182513647</v>
      </c>
      <c r="AZ897" s="670" t="str">
        <f ca="1">HYPERLINK(DN897,DC897)</f>
        <v xml:space="preserve"> 235</v>
      </c>
      <c r="BA897" s="668">
        <f ca="1">DB897</f>
        <v>35</v>
      </c>
      <c r="BB897" s="670" t="str">
        <f ca="1">HYPERLINK(DO897,DD897)</f>
        <v xml:space="preserve"> 236</v>
      </c>
      <c r="BC897" s="658" t="str">
        <f ca="1">CY897&amp;" | "&amp;CZ897</f>
        <v>Brennstoffgew.
für Prozesse | 0</v>
      </c>
      <c r="BI897" s="658" t="s">
        <v>126</v>
      </c>
      <c r="BJ897" s="667" t="str">
        <f>E897</f>
        <v>Anteil Elektrotraktion am Endverbrauch im PVk</v>
      </c>
      <c r="BK897" s="664">
        <f ca="1">K897</f>
        <v>2.2999999999999998</v>
      </c>
      <c r="BL897" s="664">
        <f>M897</f>
        <v>74.997710605065095</v>
      </c>
      <c r="BM897" s="656">
        <f>D897</f>
        <v>897</v>
      </c>
      <c r="BO897" s="658" t="s">
        <v>251</v>
      </c>
      <c r="BP897" s="676" t="s">
        <v>704</v>
      </c>
      <c r="CU897" s="659"/>
      <c r="CW897" s="671">
        <v>61</v>
      </c>
      <c r="CY897" s="656" t="str">
        <f t="shared" ref="CY897:DO897" ca="1" si="472">INDIRECT($CX$1&amp;CY$1&amp;$CW897)</f>
        <v>Brennstoffgew.
für Prozesse</v>
      </c>
      <c r="CZ897" s="656">
        <f t="shared" ca="1" si="472"/>
        <v>0</v>
      </c>
      <c r="DA897" s="656">
        <f t="shared" ca="1" si="472"/>
        <v>10.254559182513647</v>
      </c>
      <c r="DB897" s="656">
        <f t="shared" ca="1" si="472"/>
        <v>35</v>
      </c>
      <c r="DC897" s="656" t="str">
        <f t="shared" ca="1" si="472"/>
        <v xml:space="preserve"> 235</v>
      </c>
      <c r="DD897" s="656" t="str">
        <f t="shared" ca="1" si="472"/>
        <v xml:space="preserve"> 236</v>
      </c>
      <c r="DE897" s="656" t="str">
        <f t="shared" ca="1" si="472"/>
        <v>Ho99</v>
      </c>
      <c r="DF897" s="656" t="str">
        <f t="shared" ca="1" si="472"/>
        <v>Ho36</v>
      </c>
      <c r="DG897" s="656" t="str">
        <f t="shared" ca="1" si="472"/>
        <v>Ho</v>
      </c>
      <c r="DH897" s="656" t="str">
        <f t="shared" ca="1" si="472"/>
        <v>99</v>
      </c>
      <c r="DI897" s="656" t="str">
        <f t="shared" ca="1" si="472"/>
        <v>[Ho.xls]TEXT!Z99S5</v>
      </c>
      <c r="DJ897" s="656" t="str">
        <f t="shared" ca="1" si="472"/>
        <v>Ho</v>
      </c>
      <c r="DK897" s="656" t="str">
        <f t="shared" ca="1" si="472"/>
        <v>36</v>
      </c>
      <c r="DL897" s="656" t="str">
        <f t="shared" ca="1" si="472"/>
        <v>[Ho.xls]TEXT!Z36S5</v>
      </c>
      <c r="DM897" s="656">
        <f t="shared" ca="1" si="472"/>
        <v>61</v>
      </c>
      <c r="DN897" s="656" t="str">
        <f t="shared" ca="1" si="472"/>
        <v>[Region.xls]PARAMETER!Z235S6</v>
      </c>
      <c r="DO897" s="656" t="str">
        <f t="shared" ca="1" si="472"/>
        <v>[Region.xls]PARAMETER!Z236S6</v>
      </c>
      <c r="DP897" s="656"/>
      <c r="DS897" s="656"/>
      <c r="DV897" s="656"/>
      <c r="DW897" s="656"/>
      <c r="DX897" s="656"/>
      <c r="DY897" s="656"/>
      <c r="DZ897" s="656"/>
      <c r="EA897" s="656"/>
      <c r="EB897" s="656"/>
      <c r="EC897" s="656"/>
      <c r="ED897" s="656"/>
      <c r="EE897" s="656"/>
      <c r="EF897" s="656"/>
      <c r="EG897" s="656"/>
      <c r="EH897" s="656"/>
      <c r="EI897" s="656"/>
      <c r="EJ897" s="656"/>
      <c r="EK897" s="656"/>
      <c r="EV897" s="819">
        <f t="shared" si="448"/>
        <v>897</v>
      </c>
      <c r="EW897" s="819"/>
    </row>
    <row r="898" spans="1:153" s="656" customFormat="1">
      <c r="A898" s="654" t="str">
        <f t="shared" ca="1" si="446"/>
        <v>D.1.898</v>
      </c>
      <c r="B898" s="654" t="str">
        <f t="shared" ca="1" si="447"/>
        <v>1.898</v>
      </c>
      <c r="C898" s="654" t="str">
        <f t="shared" si="443"/>
        <v>[898]</v>
      </c>
      <c r="D898" s="654">
        <f>ROW()</f>
        <v>898</v>
      </c>
      <c r="E898" s="1130" t="str">
        <f>CU898</f>
        <v>- STATUS-Ansatz: Eigene Berechnungen nach VDV-Statstik [899].</v>
      </c>
      <c r="F898" s="1130"/>
      <c r="G898" s="1130"/>
      <c r="H898" s="1130"/>
      <c r="I898" s="1130"/>
      <c r="J898" s="1130"/>
      <c r="K898" s="1130"/>
      <c r="L898" s="1130"/>
      <c r="M898" s="1130"/>
      <c r="N898" s="1131"/>
      <c r="O898" s="869">
        <v>883</v>
      </c>
      <c r="P898" s="691" t="str">
        <f ca="1">HYPERLINK(EK898,EJ898)</f>
        <v/>
      </c>
      <c r="Q898" s="692" t="str">
        <f>Y898</f>
        <v xml:space="preserve"> </v>
      </c>
      <c r="R898" s="852"/>
      <c r="S898" s="784"/>
      <c r="T898" s="864"/>
      <c r="U898" s="1023" t="str">
        <f>"Eigene Berechnungen nach VDV-Statstik "&amp;C899&amp;"."</f>
        <v>Eigene Berechnungen nach VDV-Statstik [899].</v>
      </c>
      <c r="V898" s="905" t="s">
        <v>126</v>
      </c>
      <c r="W898" s="1095">
        <f>AH899</f>
        <v>2.2999999999999998</v>
      </c>
      <c r="X898" s="672"/>
      <c r="Y898" s="672" t="s">
        <v>126</v>
      </c>
      <c r="Z898" s="1025"/>
      <c r="AA898" s="658"/>
      <c r="AB898" s="801"/>
      <c r="AC898" s="801"/>
      <c r="AD898" s="801"/>
      <c r="AE898" s="801"/>
      <c r="AF898" s="801"/>
      <c r="AG898" s="801"/>
      <c r="AH898" s="801"/>
      <c r="AI898" s="801"/>
      <c r="AJ898" s="801"/>
      <c r="AK898" s="801"/>
      <c r="AL898" s="801"/>
      <c r="AM898" s="801"/>
      <c r="AN898" s="801"/>
      <c r="AO898" s="801"/>
      <c r="AP898" s="801"/>
      <c r="AQ898" s="801"/>
      <c r="AR898" s="801"/>
      <c r="AS898" s="801"/>
      <c r="AT898" s="801"/>
      <c r="AU898" s="801"/>
      <c r="AV898" s="801"/>
      <c r="AY898" s="656">
        <f ca="1">AY897/AY$246%</f>
        <v>14.091645358575692</v>
      </c>
      <c r="BA898" s="656">
        <f ca="1">BA897/BA$246%</f>
        <v>100</v>
      </c>
      <c r="BF898" s="657"/>
      <c r="BI898" s="656" t="s">
        <v>126</v>
      </c>
      <c r="BJ898" s="666"/>
      <c r="BO898" s="656" t="s">
        <v>259</v>
      </c>
      <c r="CU898" s="663" t="str">
        <f>CG$1&amp;IF(U898="",BF898,U898)</f>
        <v>- STATUS-Ansatz: Eigene Berechnungen nach VDV-Statstik [899].</v>
      </c>
      <c r="CW898" s="663"/>
      <c r="DT898" s="671">
        <f>I_Basisdaten!A364</f>
        <v>0</v>
      </c>
      <c r="EJ898" s="656" t="str">
        <f>IF(X898=0,"",EJ$1&amp;X898)</f>
        <v/>
      </c>
      <c r="EK898" s="656" t="str">
        <f ca="1">EK$1&amp;X898</f>
        <v>[D_Python.xlsx]9.Quellen!C</v>
      </c>
      <c r="EV898" s="819">
        <f t="shared" si="448"/>
        <v>898</v>
      </c>
      <c r="EW898" s="819"/>
    </row>
    <row r="899" spans="1:153" s="656" customFormat="1" ht="78">
      <c r="A899" s="654" t="str">
        <f t="shared" ca="1" si="446"/>
        <v>D.1.899</v>
      </c>
      <c r="B899" s="654" t="str">
        <f t="shared" ca="1" si="447"/>
        <v>1.899</v>
      </c>
      <c r="C899" s="654" t="str">
        <f t="shared" ref="C899" si="473">CE$1&amp;D899&amp;CF$1</f>
        <v>[899]</v>
      </c>
      <c r="D899" s="654">
        <f>ROW()</f>
        <v>899</v>
      </c>
      <c r="E899" s="1130" t="str">
        <f ca="1">CU899</f>
        <v>Eigene Berechnungen auf Basis VDV-Statistik [9.258], S. 13, 10: Die aus Verkehrsleistung und spezifischem Verbrauch (Tank-to-Wheel) der verschiedenen Verkehrsmittel ermittelten Endenergie-Verbräuche für Deutschland im Jahr 2013 ergeben rund 389 TWh für den Personenverkehr auf Straße und Schiene, davon 8,8 TWh  Strom für Fernbahn, Regionalbahn, Stadtbahn, U-Bahn und Straßenbahn (Elektro-Straßenfahrzeuge waren noch vernachlässigbar). Damit hatte die Elektrotraktiion einen Anteil von 2,3%  am Endenergieverbrauch des Personenverkehrs auf Straße und Schiene.</v>
      </c>
      <c r="F899" s="1130"/>
      <c r="G899" s="1130"/>
      <c r="H899" s="1130"/>
      <c r="I899" s="1130"/>
      <c r="J899" s="1130"/>
      <c r="K899" s="1130"/>
      <c r="L899" s="1130"/>
      <c r="M899" s="1130"/>
      <c r="N899" s="1131"/>
      <c r="O899" s="869">
        <v>884</v>
      </c>
      <c r="P899" s="691" t="str">
        <f t="shared" ref="P899" ca="1" si="474">HYPERLINK(EK899,EJ899)</f>
        <v>9.258</v>
      </c>
      <c r="Q899" s="692" t="str">
        <f t="shared" ref="Q899" si="475">Y899</f>
        <v>S. 13, 10</v>
      </c>
      <c r="R899" s="852"/>
      <c r="S899" s="784"/>
      <c r="T899" s="864"/>
      <c r="U899" s="1023" t="str">
        <f ca="1">"Eigene Berechnungen auf Basis VDV-Statistik ["&amp;P899&amp;"], "&amp;Q899&amp;": Die aus Verkehrsleistung und spezifischem Verbrauch (Tank-to-Wheel) der verschiedenen Verkehrsmittel ermittelten Endenergie-Verbräuche für Deutschland im Jahr 2013 ergeben rund "&amp;AD899&amp;AE899&amp;" für den Personenverkehr auf Straße und Schiene, davon "&amp;AF899&amp;AG899&amp;" Strom für Fernbahn, Regionalbahn, Stadtbahn, U-Bahn und Straßenbahn (Elektro-Straßenfahrzeuge waren noch vernachlässigbar). Damit hatte die Elektrotraktiion einen Anteil von "&amp;TEXT(AH899,"0,0")&amp;AI899&amp;" am Endenergieverbrauch des Personenverkehrs auf Straße und Schiene."</f>
        <v>Eigene Berechnungen auf Basis VDV-Statistik [9.258], S. 13, 10: Die aus Verkehrsleistung und spezifischem Verbrauch (Tank-to-Wheel) der verschiedenen Verkehrsmittel ermittelten Endenergie-Verbräuche für Deutschland im Jahr 2013 ergeben rund 389 TWh für den Personenverkehr auf Straße und Schiene, davon 8,8 TWh  Strom für Fernbahn, Regionalbahn, Stadtbahn, U-Bahn und Straßenbahn (Elektro-Straßenfahrzeuge waren noch vernachlässigbar). Damit hatte die Elektrotraktiion einen Anteil von 2,3%  am Endenergieverbrauch des Personenverkehrs auf Straße und Schiene.</v>
      </c>
      <c r="V899" s="905" t="s">
        <v>126</v>
      </c>
      <c r="W899" s="1025"/>
      <c r="X899" s="672">
        <f>'9.Quellen'!C$258</f>
        <v>258</v>
      </c>
      <c r="Y899" s="672" t="s">
        <v>788</v>
      </c>
      <c r="Z899" s="1025"/>
      <c r="AA899" s="905"/>
      <c r="AB899" s="801"/>
      <c r="AC899" s="801"/>
      <c r="AD899" s="801">
        <v>389</v>
      </c>
      <c r="AE899" s="801" t="s">
        <v>789</v>
      </c>
      <c r="AF899" s="801">
        <v>8.8000000000000007</v>
      </c>
      <c r="AG899" s="801" t="s">
        <v>624</v>
      </c>
      <c r="AH899" s="801">
        <f>ROUND(AF899/AD899%,1)</f>
        <v>2.2999999999999998</v>
      </c>
      <c r="AI899" s="801" t="s">
        <v>835</v>
      </c>
      <c r="AJ899" s="801"/>
      <c r="AK899" s="801"/>
      <c r="AL899" s="801"/>
      <c r="AM899" s="801"/>
      <c r="AN899" s="801"/>
      <c r="AO899" s="801"/>
      <c r="AP899" s="801"/>
      <c r="AQ899" s="801"/>
      <c r="AR899" s="801"/>
      <c r="AS899" s="801"/>
      <c r="AT899" s="801"/>
      <c r="AU899" s="801"/>
      <c r="AV899" s="801"/>
      <c r="BF899" s="657"/>
      <c r="BI899" s="656" t="s">
        <v>126</v>
      </c>
      <c r="BJ899" s="666"/>
      <c r="BO899" s="656" t="s">
        <v>252</v>
      </c>
      <c r="CU899" s="663" t="str">
        <f ca="1">IF(U899="",BF899,U899)</f>
        <v>Eigene Berechnungen auf Basis VDV-Statistik [9.258], S. 13, 10: Die aus Verkehrsleistung und spezifischem Verbrauch (Tank-to-Wheel) der verschiedenen Verkehrsmittel ermittelten Endenergie-Verbräuche für Deutschland im Jahr 2013 ergeben rund 389 TWh für den Personenverkehr auf Straße und Schiene, davon 8,8 TWh  Strom für Fernbahn, Regionalbahn, Stadtbahn, U-Bahn und Straßenbahn (Elektro-Straßenfahrzeuge waren noch vernachlässigbar). Damit hatte die Elektrotraktiion einen Anteil von 2,3%  am Endenergieverbrauch des Personenverkehrs auf Straße und Schiene.</v>
      </c>
      <c r="CW899" s="663"/>
      <c r="DT899" s="671"/>
      <c r="EJ899" s="656" t="str">
        <f ca="1">IF(X899=0,"",EJ$1&amp;X899)</f>
        <v>9.258</v>
      </c>
      <c r="EK899" s="656" t="str">
        <f ca="1">EK$1&amp;X899</f>
        <v>[D_Python.xlsx]9.Quellen!C258</v>
      </c>
      <c r="EV899" s="819">
        <f t="shared" ca="1" si="448"/>
        <v>899</v>
      </c>
      <c r="EW899" s="819"/>
    </row>
    <row r="900" spans="1:153" s="661" customFormat="1" ht="4">
      <c r="A900" s="677" t="str">
        <f t="shared" ca="1" si="446"/>
        <v>D.1.900</v>
      </c>
      <c r="B900" s="677" t="str">
        <f t="shared" ca="1" si="447"/>
        <v>1.900</v>
      </c>
      <c r="C900" s="677" t="str">
        <f t="shared" si="443"/>
        <v>[900]</v>
      </c>
      <c r="D900" s="677">
        <f>ROW()</f>
        <v>900</v>
      </c>
      <c r="E900" s="680"/>
      <c r="F900" s="680"/>
      <c r="G900" s="680"/>
      <c r="H900" s="680"/>
      <c r="I900" s="679"/>
      <c r="J900" s="679"/>
      <c r="K900" s="679"/>
      <c r="L900" s="679"/>
      <c r="M900" s="679"/>
      <c r="N900" s="680"/>
      <c r="O900" s="871">
        <v>885</v>
      </c>
      <c r="P900" s="688"/>
      <c r="Q900" s="689"/>
      <c r="R900" s="888"/>
      <c r="S900" s="802"/>
      <c r="T900" s="882"/>
      <c r="W900" s="606"/>
      <c r="AB900" s="675"/>
      <c r="AC900" s="675"/>
      <c r="AD900" s="675"/>
      <c r="AE900" s="675"/>
      <c r="AF900" s="675"/>
      <c r="AG900" s="675"/>
      <c r="AH900" s="675"/>
      <c r="AI900" s="675"/>
      <c r="AJ900" s="675"/>
      <c r="AK900" s="675"/>
      <c r="AL900" s="675"/>
      <c r="AM900" s="675"/>
      <c r="AN900" s="675"/>
      <c r="AO900" s="675"/>
      <c r="AP900" s="675"/>
      <c r="AQ900" s="675"/>
      <c r="AR900" s="675"/>
      <c r="AS900" s="675"/>
      <c r="AT900" s="675"/>
      <c r="AU900" s="675"/>
      <c r="AV900" s="675"/>
      <c r="BI900" s="661" t="s">
        <v>126</v>
      </c>
      <c r="BJ900" s="665"/>
      <c r="CU900" s="662"/>
      <c r="CW900" s="662"/>
      <c r="EV900" s="818" t="str">
        <f t="shared" si="448"/>
        <v/>
      </c>
      <c r="EW900" s="818"/>
    </row>
    <row r="901" spans="1:153" s="656" customFormat="1" ht="27" customHeight="1">
      <c r="A901" s="654" t="str">
        <f t="shared" ca="1" si="446"/>
        <v>D.1.901</v>
      </c>
      <c r="B901" s="654" t="str">
        <f t="shared" ca="1" si="447"/>
        <v>1.901</v>
      </c>
      <c r="C901" s="654" t="str">
        <f t="shared" si="443"/>
        <v>[901]</v>
      </c>
      <c r="D901" s="654">
        <f>ROW()</f>
        <v>901</v>
      </c>
      <c r="E901" s="1125" t="str">
        <f t="shared" ref="E901" si="476">CU901</f>
        <v>- ZIEL-Ansatz: Resultiert aus dem Abgleich nach der Vorgabe "Anteil Elektrotraktion an Personen-VERKEHRSLEISTUNG" gemäß [888].</v>
      </c>
      <c r="F901" s="1125"/>
      <c r="G901" s="1125"/>
      <c r="H901" s="1125"/>
      <c r="I901" s="1125"/>
      <c r="J901" s="1125"/>
      <c r="K901" s="1125"/>
      <c r="L901" s="1125"/>
      <c r="M901" s="1125"/>
      <c r="N901" s="1132"/>
      <c r="O901" s="869">
        <v>886</v>
      </c>
      <c r="P901" s="691" t="str">
        <f ca="1">HYPERLINK(EK901,EJ901)</f>
        <v/>
      </c>
      <c r="Q901" s="692" t="str">
        <f>Y901</f>
        <v xml:space="preserve"> </v>
      </c>
      <c r="R901" s="852"/>
      <c r="S901" s="784"/>
      <c r="T901" s="864"/>
      <c r="U901" s="1023" t="str">
        <f>"Resultiert aus dem Abgleich nach der Vorgabe ""Anteil Elektrotraktion an Personen-VERKEHRSLEISTUNG"" gemäß "&amp;C888&amp;"."</f>
        <v>Resultiert aus dem Abgleich nach der Vorgabe "Anteil Elektrotraktion an Personen-VERKEHRSLEISTUNG" gemäß [888].</v>
      </c>
      <c r="V901" s="905" t="s">
        <v>126</v>
      </c>
      <c r="W901" s="824">
        <v>75.047517865241304</v>
      </c>
      <c r="X901" s="672"/>
      <c r="Y901" s="672" t="s">
        <v>126</v>
      </c>
      <c r="Z901" s="1025"/>
      <c r="AA901" s="905"/>
      <c r="AB901" s="801"/>
      <c r="AC901" s="801"/>
      <c r="AD901" s="801">
        <v>87.7</v>
      </c>
      <c r="AE901" s="801"/>
      <c r="AF901" s="801"/>
      <c r="AG901" s="801"/>
      <c r="AH901" s="801"/>
      <c r="AI901" s="801"/>
      <c r="AJ901" s="801"/>
      <c r="AK901" s="801"/>
      <c r="AL901" s="801"/>
      <c r="AM901" s="801"/>
      <c r="AN901" s="801"/>
      <c r="AO901" s="801"/>
      <c r="AP901" s="801"/>
      <c r="AQ901" s="801"/>
      <c r="AR901" s="801"/>
      <c r="AS901" s="801"/>
      <c r="AT901" s="801"/>
      <c r="AU901" s="801"/>
      <c r="AV901" s="801"/>
      <c r="BF901" s="657"/>
      <c r="BI901" s="656" t="s">
        <v>126</v>
      </c>
      <c r="BJ901" s="666"/>
      <c r="BO901" s="656" t="s">
        <v>259</v>
      </c>
      <c r="CU901" s="663" t="str">
        <f>CH$1&amp;IF(U901="",BF901,U901)</f>
        <v>- ZIEL-Ansatz: Resultiert aus dem Abgleich nach der Vorgabe "Anteil Elektrotraktion an Personen-VERKEHRSLEISTUNG" gemäß [888].</v>
      </c>
      <c r="CW901" s="663"/>
      <c r="DT901" s="671">
        <v>53</v>
      </c>
      <c r="EJ901" s="656" t="str">
        <f>IF(X901=0,"",EJ$1&amp;X901)</f>
        <v/>
      </c>
      <c r="EK901" s="656" t="str">
        <f ca="1">EK$1&amp;X901</f>
        <v>[D_Python.xlsx]9.Quellen!C</v>
      </c>
      <c r="EV901" s="819">
        <f t="shared" si="448"/>
        <v>901</v>
      </c>
      <c r="EW901" s="819"/>
    </row>
    <row r="902" spans="1:153" s="656" customFormat="1" hidden="1">
      <c r="A902" s="654" t="str">
        <f t="shared" ca="1" si="446"/>
        <v>D.1.902</v>
      </c>
      <c r="B902" s="654" t="str">
        <f t="shared" ca="1" si="447"/>
        <v>1.902</v>
      </c>
      <c r="C902" s="654" t="str">
        <f t="shared" ref="C902" si="477">CE$1&amp;D902&amp;CF$1</f>
        <v>[902]</v>
      </c>
      <c r="D902" s="654">
        <f>ROW()</f>
        <v>902</v>
      </c>
      <c r="E902" s="1125" t="str">
        <f>CU902</f>
        <v xml:space="preserve"> </v>
      </c>
      <c r="F902" s="1125"/>
      <c r="G902" s="1125"/>
      <c r="H902" s="1125"/>
      <c r="I902" s="1125"/>
      <c r="J902" s="1125"/>
      <c r="K902" s="1125"/>
      <c r="L902" s="1125"/>
      <c r="M902" s="1125"/>
      <c r="N902" s="1132"/>
      <c r="O902" s="869">
        <v>887</v>
      </c>
      <c r="P902" s="691" t="str">
        <f t="shared" ref="P902" ca="1" si="478">HYPERLINK(EK902,EJ902)</f>
        <v/>
      </c>
      <c r="Q902" s="692" t="str">
        <f t="shared" ref="Q902" si="479">Y902</f>
        <v xml:space="preserve"> </v>
      </c>
      <c r="R902" s="852"/>
      <c r="S902" s="784"/>
      <c r="T902" s="864"/>
      <c r="U902" s="1023" t="s">
        <v>126</v>
      </c>
      <c r="V902" s="905" t="s">
        <v>126</v>
      </c>
      <c r="W902" s="1025"/>
      <c r="X902" s="672"/>
      <c r="Y902" s="672" t="s">
        <v>126</v>
      </c>
      <c r="Z902" s="1025"/>
      <c r="AA902" s="905"/>
      <c r="AB902" s="801"/>
      <c r="AC902" s="801"/>
      <c r="AD902" s="801"/>
      <c r="AE902" s="801"/>
      <c r="AF902" s="801"/>
      <c r="AG902" s="801"/>
      <c r="AH902" s="801"/>
      <c r="AI902" s="801"/>
      <c r="AJ902" s="801"/>
      <c r="AK902" s="801"/>
      <c r="AL902" s="801"/>
      <c r="AM902" s="801"/>
      <c r="AN902" s="801"/>
      <c r="AO902" s="801"/>
      <c r="AP902" s="801"/>
      <c r="AQ902" s="801"/>
      <c r="AR902" s="801"/>
      <c r="AS902" s="801"/>
      <c r="AT902" s="801"/>
      <c r="AU902" s="801"/>
      <c r="AV902" s="801"/>
      <c r="BF902" s="657"/>
      <c r="BI902" s="656" t="s">
        <v>126</v>
      </c>
      <c r="BJ902" s="666"/>
      <c r="BO902" s="656" t="s">
        <v>252</v>
      </c>
      <c r="CU902" s="663" t="str">
        <f>IF(U902="",BF902,U902)</f>
        <v xml:space="preserve"> </v>
      </c>
      <c r="CW902" s="663"/>
      <c r="DT902" s="671"/>
      <c r="EJ902" s="656" t="str">
        <f>IF(X902=0,"",EJ$1&amp;X902)</f>
        <v/>
      </c>
      <c r="EK902" s="656" t="str">
        <f ca="1">EK$1&amp;X902</f>
        <v>[D_Python.xlsx]9.Quellen!C</v>
      </c>
      <c r="EV902" s="819">
        <f t="shared" si="448"/>
        <v>902</v>
      </c>
      <c r="EW902" s="819"/>
    </row>
    <row r="903" spans="1:153" s="656" customFormat="1" hidden="1">
      <c r="A903" s="654" t="str">
        <f t="shared" ca="1" si="446"/>
        <v>D.1.903</v>
      </c>
      <c r="B903" s="654" t="str">
        <f t="shared" ca="1" si="447"/>
        <v>1.903</v>
      </c>
      <c r="C903" s="654" t="str">
        <f t="shared" si="443"/>
        <v>[903]</v>
      </c>
      <c r="D903" s="654">
        <f>ROW()</f>
        <v>903</v>
      </c>
      <c r="E903" s="1125" t="str">
        <f>CU903</f>
        <v xml:space="preserve"> </v>
      </c>
      <c r="F903" s="1125"/>
      <c r="G903" s="1125"/>
      <c r="H903" s="1125"/>
      <c r="I903" s="1125"/>
      <c r="J903" s="1125"/>
      <c r="K903" s="1125"/>
      <c r="L903" s="1125"/>
      <c r="M903" s="1125"/>
      <c r="N903" s="1132"/>
      <c r="O903" s="869">
        <v>888</v>
      </c>
      <c r="P903" s="691" t="str">
        <f t="shared" ref="P903" ca="1" si="480">HYPERLINK(EK903,EJ903)</f>
        <v/>
      </c>
      <c r="Q903" s="692" t="str">
        <f t="shared" ref="Q903" si="481">Y903</f>
        <v xml:space="preserve"> </v>
      </c>
      <c r="R903" s="852"/>
      <c r="S903" s="784"/>
      <c r="T903" s="864"/>
      <c r="U903" s="1023" t="s">
        <v>126</v>
      </c>
      <c r="V903" s="905" t="s">
        <v>126</v>
      </c>
      <c r="W903" s="1025"/>
      <c r="X903" s="672"/>
      <c r="Y903" s="672" t="s">
        <v>126</v>
      </c>
      <c r="Z903" s="1025"/>
      <c r="AA903" s="905"/>
      <c r="AB903" s="801"/>
      <c r="AC903" s="801"/>
      <c r="AD903" s="801"/>
      <c r="AE903" s="801"/>
      <c r="AF903" s="801"/>
      <c r="AG903" s="801"/>
      <c r="AH903" s="801"/>
      <c r="AI903" s="801"/>
      <c r="AJ903" s="801"/>
      <c r="AK903" s="801"/>
      <c r="AL903" s="801"/>
      <c r="AM903" s="801"/>
      <c r="AN903" s="801"/>
      <c r="AO903" s="801"/>
      <c r="AP903" s="801"/>
      <c r="AQ903" s="801"/>
      <c r="AR903" s="801"/>
      <c r="AS903" s="801"/>
      <c r="AT903" s="801"/>
      <c r="AU903" s="801"/>
      <c r="AV903" s="801"/>
      <c r="BF903" s="657"/>
      <c r="BI903" s="656" t="s">
        <v>126</v>
      </c>
      <c r="BJ903" s="666"/>
      <c r="BO903" s="656" t="s">
        <v>252</v>
      </c>
      <c r="CU903" s="663" t="str">
        <f>IF(U903="",BF903,U903)</f>
        <v xml:space="preserve"> </v>
      </c>
      <c r="CW903" s="663"/>
      <c r="DT903" s="671"/>
      <c r="EJ903" s="656" t="str">
        <f>IF(X903=0,"",EJ$1&amp;X903)</f>
        <v/>
      </c>
      <c r="EK903" s="656" t="str">
        <f ca="1">EK$1&amp;X903</f>
        <v>[D_Python.xlsx]9.Quellen!C</v>
      </c>
      <c r="EV903" s="819">
        <f t="shared" si="448"/>
        <v>903</v>
      </c>
      <c r="EW903" s="819"/>
    </row>
    <row r="904" spans="1:153" s="656" customFormat="1" ht="0.75" customHeight="1">
      <c r="A904" s="654" t="str">
        <f t="shared" ca="1" si="446"/>
        <v>D.1.904</v>
      </c>
      <c r="B904" s="654" t="str">
        <f t="shared" ca="1" si="447"/>
        <v>1.904</v>
      </c>
      <c r="C904" s="654" t="str">
        <f>CE$1&amp;D904&amp;CF$1</f>
        <v>[904]</v>
      </c>
      <c r="D904" s="654">
        <f>ROW()</f>
        <v>904</v>
      </c>
      <c r="E904" s="1125" t="str">
        <f>CU904</f>
        <v xml:space="preserve"> </v>
      </c>
      <c r="F904" s="1125"/>
      <c r="G904" s="1125"/>
      <c r="H904" s="1125"/>
      <c r="I904" s="1125"/>
      <c r="J904" s="1125"/>
      <c r="K904" s="1125"/>
      <c r="L904" s="1125"/>
      <c r="M904" s="1125"/>
      <c r="N904" s="1132"/>
      <c r="O904" s="869">
        <v>889</v>
      </c>
      <c r="P904" s="691" t="str">
        <f ca="1">HYPERLINK(EK904,EJ904)</f>
        <v/>
      </c>
      <c r="Q904" s="692" t="str">
        <f>Y904</f>
        <v xml:space="preserve"> </v>
      </c>
      <c r="R904" s="852"/>
      <c r="S904" s="784"/>
      <c r="T904" s="864"/>
      <c r="U904" s="1023"/>
      <c r="V904" s="905" t="s">
        <v>126</v>
      </c>
      <c r="W904" s="1025"/>
      <c r="X904" s="672"/>
      <c r="Y904" s="672" t="s">
        <v>126</v>
      </c>
      <c r="Z904" s="1025"/>
      <c r="AA904" s="905"/>
      <c r="AB904" s="801"/>
      <c r="AC904" s="801"/>
      <c r="AD904" s="801"/>
      <c r="AE904" s="801"/>
      <c r="AF904" s="801"/>
      <c r="AG904" s="801"/>
      <c r="AH904" s="801"/>
      <c r="AI904" s="801"/>
      <c r="AJ904" s="801"/>
      <c r="AK904" s="801"/>
      <c r="AL904" s="801"/>
      <c r="AM904" s="801"/>
      <c r="AN904" s="801"/>
      <c r="AO904" s="801"/>
      <c r="AP904" s="801"/>
      <c r="AQ904" s="801"/>
      <c r="AR904" s="801"/>
      <c r="AS904" s="801"/>
      <c r="AT904" s="801"/>
      <c r="AU904" s="801"/>
      <c r="AV904" s="801"/>
      <c r="BF904" s="657" t="s">
        <v>126</v>
      </c>
      <c r="BI904" s="656" t="s">
        <v>126</v>
      </c>
      <c r="BJ904" s="666"/>
      <c r="BO904" s="656" t="s">
        <v>259</v>
      </c>
      <c r="BQ904" s="678" t="s">
        <v>271</v>
      </c>
      <c r="CU904" s="663" t="str">
        <f>IF(U904="",BF904,U904)</f>
        <v xml:space="preserve"> </v>
      </c>
      <c r="CW904" s="663"/>
      <c r="EJ904" s="656" t="str">
        <f>IF(X904=0,"",EJ$1&amp;X904)</f>
        <v/>
      </c>
      <c r="EK904" s="656" t="str">
        <f ca="1">EK$1&amp;X904</f>
        <v>[D_Python.xlsx]9.Quellen!C</v>
      </c>
      <c r="EV904" s="819" t="str">
        <f t="shared" si="448"/>
        <v/>
      </c>
      <c r="EW904" s="819"/>
    </row>
    <row r="905" spans="1:153" s="661" customFormat="1" ht="4">
      <c r="A905" s="677" t="str">
        <f t="shared" ca="1" si="446"/>
        <v>D.1.905</v>
      </c>
      <c r="B905" s="677" t="str">
        <f t="shared" ca="1" si="447"/>
        <v>1.905</v>
      </c>
      <c r="C905" s="677" t="str">
        <f t="shared" si="443"/>
        <v>[905]</v>
      </c>
      <c r="D905" s="677">
        <f>ROW()</f>
        <v>905</v>
      </c>
      <c r="E905" s="685"/>
      <c r="F905" s="685"/>
      <c r="G905" s="685"/>
      <c r="H905" s="685"/>
      <c r="I905" s="686"/>
      <c r="J905" s="686"/>
      <c r="K905" s="686"/>
      <c r="L905" s="686"/>
      <c r="M905" s="686"/>
      <c r="N905" s="685"/>
      <c r="O905" s="871">
        <v>890</v>
      </c>
      <c r="P905" s="693"/>
      <c r="Q905" s="694"/>
      <c r="R905" s="888"/>
      <c r="S905" s="802"/>
      <c r="T905" s="882"/>
      <c r="AB905" s="675"/>
      <c r="AC905" s="675"/>
      <c r="AD905" s="675"/>
      <c r="AE905" s="675"/>
      <c r="AF905" s="675"/>
      <c r="AG905" s="675"/>
      <c r="AH905" s="675"/>
      <c r="AI905" s="675"/>
      <c r="AJ905" s="675"/>
      <c r="AK905" s="675"/>
      <c r="AL905" s="675"/>
      <c r="AM905" s="675"/>
      <c r="AN905" s="675"/>
      <c r="AO905" s="675"/>
      <c r="AP905" s="675"/>
      <c r="AQ905" s="675"/>
      <c r="AR905" s="675"/>
      <c r="AS905" s="675"/>
      <c r="AT905" s="675"/>
      <c r="AU905" s="675"/>
      <c r="AV905" s="675"/>
      <c r="AZ905" s="669"/>
      <c r="BB905" s="669"/>
      <c r="BI905" s="661" t="s">
        <v>126</v>
      </c>
      <c r="BJ905" s="665"/>
      <c r="CU905" s="662"/>
      <c r="CW905" s="662"/>
      <c r="EV905" s="818" t="str">
        <f t="shared" si="448"/>
        <v/>
      </c>
      <c r="EW905" s="818"/>
    </row>
    <row r="906" spans="1:153" s="658" customFormat="1" ht="13.5" customHeight="1">
      <c r="A906" s="654" t="str">
        <f t="shared" ca="1" si="446"/>
        <v>D.1.906</v>
      </c>
      <c r="B906" s="654" t="str">
        <f t="shared" ca="1" si="447"/>
        <v>1.906</v>
      </c>
      <c r="C906" s="654" t="str">
        <f t="shared" si="443"/>
        <v>[906]</v>
      </c>
      <c r="D906" s="654">
        <f>ROW()</f>
        <v>906</v>
      </c>
      <c r="E906" s="1129" t="str">
        <f>BP906</f>
        <v>Nutzungsgrad Elektrotraktion PVk</v>
      </c>
      <c r="F906" s="1129"/>
      <c r="G906" s="1129"/>
      <c r="H906" s="1129"/>
      <c r="I906" s="1129"/>
      <c r="J906" s="655" t="s">
        <v>38</v>
      </c>
      <c r="K906" s="605">
        <f ca="1">INDIRECT($W$1&amp;U906)</f>
        <v>78</v>
      </c>
      <c r="L906" s="697" t="str">
        <f ca="1">HYPERLINK($CK$1&amp;U906,$CE$1&amp;U906&amp;$CF$1)</f>
        <v>[907]</v>
      </c>
      <c r="M906" s="683">
        <f ca="1">INDIRECT($W$1&amp;W906)</f>
        <v>78</v>
      </c>
      <c r="N906" s="681" t="str">
        <f ca="1">HYPERLINK($CK$1&amp;W906,$CE$1&amp;W906&amp;$CF$1)</f>
        <v>[909]</v>
      </c>
      <c r="O906" s="869">
        <v>891</v>
      </c>
      <c r="P906" s="690"/>
      <c r="Q906" s="695"/>
      <c r="R906" s="852"/>
      <c r="S906" s="784"/>
      <c r="T906" s="864"/>
      <c r="U906" s="672">
        <f>D907</f>
        <v>907</v>
      </c>
      <c r="V906" s="905" t="s">
        <v>126</v>
      </c>
      <c r="W906" s="672">
        <f>D909</f>
        <v>909</v>
      </c>
      <c r="AB906" s="801"/>
      <c r="AC906" s="801"/>
      <c r="AD906" s="674"/>
      <c r="AE906" s="674"/>
      <c r="AF906" s="674"/>
      <c r="AG906" s="674"/>
      <c r="AH906" s="674"/>
      <c r="AI906" s="674"/>
      <c r="AJ906" s="674"/>
      <c r="AK906" s="674"/>
      <c r="AL906" s="674"/>
      <c r="AM906" s="674"/>
      <c r="AN906" s="674"/>
      <c r="AO906" s="674"/>
      <c r="AP906" s="674"/>
      <c r="AQ906" s="674"/>
      <c r="AR906" s="674"/>
      <c r="AS906" s="674"/>
      <c r="AT906" s="674"/>
      <c r="AU906" s="674"/>
      <c r="AV906" s="674"/>
      <c r="AX906" s="658" t="s">
        <v>244</v>
      </c>
      <c r="AY906" s="668">
        <f ca="1">DA906</f>
        <v>10.254559182513647</v>
      </c>
      <c r="AZ906" s="670" t="str">
        <f ca="1">HYPERLINK(DN906,DC906)</f>
        <v xml:space="preserve"> 235</v>
      </c>
      <c r="BA906" s="668">
        <f ca="1">DB906</f>
        <v>35</v>
      </c>
      <c r="BB906" s="670" t="str">
        <f ca="1">HYPERLINK(DO906,DD906)</f>
        <v xml:space="preserve"> 236</v>
      </c>
      <c r="BC906" s="658" t="str">
        <f ca="1">CY906&amp;" | "&amp;CZ906</f>
        <v>Brennstoffgew.
für Prozesse | 0</v>
      </c>
      <c r="BI906" s="658" t="s">
        <v>126</v>
      </c>
      <c r="BJ906" s="667" t="str">
        <f>E906</f>
        <v>Nutzungsgrad Elektrotraktion PVk</v>
      </c>
      <c r="BK906" s="664">
        <f ca="1">K906</f>
        <v>78</v>
      </c>
      <c r="BL906" s="664">
        <f ca="1">M906</f>
        <v>78</v>
      </c>
      <c r="BM906" s="656">
        <f>D906</f>
        <v>906</v>
      </c>
      <c r="BO906" s="658" t="s">
        <v>251</v>
      </c>
      <c r="BP906" s="676" t="s">
        <v>910</v>
      </c>
      <c r="CU906" s="659"/>
      <c r="CW906" s="671">
        <v>61</v>
      </c>
      <c r="CY906" s="656" t="str">
        <f t="shared" ref="CY906:DO906" ca="1" si="482">INDIRECT($CX$1&amp;CY$1&amp;$CW906)</f>
        <v>Brennstoffgew.
für Prozesse</v>
      </c>
      <c r="CZ906" s="656">
        <f t="shared" ca="1" si="482"/>
        <v>0</v>
      </c>
      <c r="DA906" s="656">
        <f t="shared" ca="1" si="482"/>
        <v>10.254559182513647</v>
      </c>
      <c r="DB906" s="656">
        <f t="shared" ca="1" si="482"/>
        <v>35</v>
      </c>
      <c r="DC906" s="656" t="str">
        <f t="shared" ca="1" si="482"/>
        <v xml:space="preserve"> 235</v>
      </c>
      <c r="DD906" s="656" t="str">
        <f t="shared" ca="1" si="482"/>
        <v xml:space="preserve"> 236</v>
      </c>
      <c r="DE906" s="656" t="str">
        <f t="shared" ca="1" si="482"/>
        <v>Ho99</v>
      </c>
      <c r="DF906" s="656" t="str">
        <f t="shared" ca="1" si="482"/>
        <v>Ho36</v>
      </c>
      <c r="DG906" s="656" t="str">
        <f t="shared" ca="1" si="482"/>
        <v>Ho</v>
      </c>
      <c r="DH906" s="656" t="str">
        <f t="shared" ca="1" si="482"/>
        <v>99</v>
      </c>
      <c r="DI906" s="656" t="str">
        <f t="shared" ca="1" si="482"/>
        <v>[Ho.xls]TEXT!Z99S5</v>
      </c>
      <c r="DJ906" s="656" t="str">
        <f t="shared" ca="1" si="482"/>
        <v>Ho</v>
      </c>
      <c r="DK906" s="656" t="str">
        <f t="shared" ca="1" si="482"/>
        <v>36</v>
      </c>
      <c r="DL906" s="656" t="str">
        <f t="shared" ca="1" si="482"/>
        <v>[Ho.xls]TEXT!Z36S5</v>
      </c>
      <c r="DM906" s="656">
        <f t="shared" ca="1" si="482"/>
        <v>61</v>
      </c>
      <c r="DN906" s="656" t="str">
        <f t="shared" ca="1" si="482"/>
        <v>[Region.xls]PARAMETER!Z235S6</v>
      </c>
      <c r="DO906" s="656" t="str">
        <f t="shared" ca="1" si="482"/>
        <v>[Region.xls]PARAMETER!Z236S6</v>
      </c>
      <c r="DP906" s="656"/>
      <c r="DS906" s="656"/>
      <c r="DV906" s="656"/>
      <c r="DW906" s="656"/>
      <c r="DX906" s="656"/>
      <c r="DY906" s="656"/>
      <c r="DZ906" s="656"/>
      <c r="EA906" s="656"/>
      <c r="EB906" s="656"/>
      <c r="EC906" s="656"/>
      <c r="ED906" s="656"/>
      <c r="EE906" s="656"/>
      <c r="EF906" s="656"/>
      <c r="EG906" s="656"/>
      <c r="EH906" s="656"/>
      <c r="EI906" s="656"/>
      <c r="EJ906" s="656"/>
      <c r="EK906" s="656"/>
      <c r="EV906" s="819">
        <f t="shared" si="448"/>
        <v>906</v>
      </c>
      <c r="EW906" s="819"/>
    </row>
    <row r="907" spans="1:153" s="656" customFormat="1" ht="39">
      <c r="A907" s="654" t="str">
        <f t="shared" ca="1" si="446"/>
        <v>D.1.907</v>
      </c>
      <c r="B907" s="654" t="str">
        <f t="shared" ca="1" si="447"/>
        <v>1.907</v>
      </c>
      <c r="C907" s="654" t="str">
        <f t="shared" si="443"/>
        <v>[907]</v>
      </c>
      <c r="D907" s="654">
        <f>ROW()</f>
        <v>907</v>
      </c>
      <c r="E907" s="1133" t="str">
        <f>CU907</f>
        <v xml:space="preserve">- STATUS-Ansatz: Repräsentiert den Status Quo des Verhältnisses von Nutzenergie zum Endenergieverbrauch gemäß [911]. Dient zur Ermittlung des mit dem bekannten Endenergieverbrauch erreichten Nutzenergieaufkommen als Maß für die erreichte Verkehrsleistung. </v>
      </c>
      <c r="F907" s="1133"/>
      <c r="G907" s="1133"/>
      <c r="H907" s="1133"/>
      <c r="I907" s="1133"/>
      <c r="J907" s="1133"/>
      <c r="K907" s="1133"/>
      <c r="L907" s="1133"/>
      <c r="M907" s="1133"/>
      <c r="N907" s="1134"/>
      <c r="O907" s="869">
        <v>892</v>
      </c>
      <c r="P907" s="691" t="str">
        <f ca="1">HYPERLINK(EK907,EJ907)</f>
        <v/>
      </c>
      <c r="Q907" s="692" t="str">
        <f>Y907</f>
        <v xml:space="preserve"> </v>
      </c>
      <c r="R907" s="852"/>
      <c r="S907" s="784"/>
      <c r="T907" s="864"/>
      <c r="U907" s="1023" t="str">
        <f>"Repräsentiert den Status Quo des Verhältnisses von Nutzenergie zum Endenergieverbrauch gemäß "&amp;C911&amp;". Dient zur Ermittlung des mit dem bekannten Endenergieverbrauch erreichten Nutzenergieaufkommen als Maß für die erreichte Verkehrsleistung. "</f>
        <v xml:space="preserve">Repräsentiert den Status Quo des Verhältnisses von Nutzenergie zum Endenergieverbrauch gemäß [911]. Dient zur Ermittlung des mit dem bekannten Endenergieverbrauch erreichten Nutzenergieaufkommen als Maß für die erreichte Verkehrsleistung. </v>
      </c>
      <c r="V907" s="905" t="s">
        <v>126</v>
      </c>
      <c r="W907" s="1095">
        <v>78</v>
      </c>
      <c r="X907" s="672"/>
      <c r="Y907" s="672" t="s">
        <v>126</v>
      </c>
      <c r="Z907" s="1025"/>
      <c r="AA907" s="658"/>
      <c r="AB907" s="801"/>
      <c r="AC907" s="801"/>
      <c r="AD907" s="801"/>
      <c r="AE907" s="801"/>
      <c r="AF907" s="801"/>
      <c r="AG907" s="801"/>
      <c r="AH907" s="801"/>
      <c r="AI907" s="801"/>
      <c r="AJ907" s="801"/>
      <c r="AK907" s="801"/>
      <c r="AL907" s="801"/>
      <c r="AM907" s="801"/>
      <c r="AN907" s="801"/>
      <c r="AO907" s="801"/>
      <c r="AP907" s="801"/>
      <c r="AQ907" s="801"/>
      <c r="AR907" s="801"/>
      <c r="AS907" s="801"/>
      <c r="AT907" s="801"/>
      <c r="AU907" s="801"/>
      <c r="AV907" s="801"/>
      <c r="AY907" s="656">
        <f ca="1">AY906/AY$246%</f>
        <v>14.091645358575692</v>
      </c>
      <c r="BA907" s="656">
        <f ca="1">BA906/BA$246%</f>
        <v>100</v>
      </c>
      <c r="BF907" s="657"/>
      <c r="BI907" s="656" t="s">
        <v>126</v>
      </c>
      <c r="BJ907" s="666"/>
      <c r="BO907" s="656" t="s">
        <v>259</v>
      </c>
      <c r="CU907" s="663" t="str">
        <f>CG$1&amp;IF(U907="",BF907,U907)</f>
        <v xml:space="preserve">- STATUS-Ansatz: Repräsentiert den Status Quo des Verhältnisses von Nutzenergie zum Endenergieverbrauch gemäß [911]. Dient zur Ermittlung des mit dem bekannten Endenergieverbrauch erreichten Nutzenergieaufkommen als Maß für die erreichte Verkehrsleistung. </v>
      </c>
      <c r="CW907" s="663"/>
      <c r="DT907" s="671">
        <f>I_Basisdaten!A369</f>
        <v>0</v>
      </c>
      <c r="EJ907" s="656" t="str">
        <f>IF(X907=0,"",EJ$1&amp;X907)</f>
        <v/>
      </c>
      <c r="EK907" s="656" t="str">
        <f ca="1">EK$1&amp;X907</f>
        <v>[D_Python.xlsx]9.Quellen!C</v>
      </c>
      <c r="EV907" s="819">
        <f t="shared" si="448"/>
        <v>907</v>
      </c>
      <c r="EW907" s="819"/>
    </row>
    <row r="908" spans="1:153" s="661" customFormat="1" ht="4">
      <c r="A908" s="677" t="str">
        <f t="shared" ca="1" si="446"/>
        <v>D.1.908</v>
      </c>
      <c r="B908" s="677" t="str">
        <f t="shared" ca="1" si="447"/>
        <v>1.908</v>
      </c>
      <c r="C908" s="677" t="str">
        <f t="shared" si="443"/>
        <v>[908]</v>
      </c>
      <c r="D908" s="677">
        <f>ROW()</f>
        <v>908</v>
      </c>
      <c r="E908" s="680"/>
      <c r="F908" s="680"/>
      <c r="G908" s="680"/>
      <c r="H908" s="680"/>
      <c r="I908" s="679"/>
      <c r="J908" s="679"/>
      <c r="K908" s="679"/>
      <c r="L908" s="679"/>
      <c r="M908" s="679"/>
      <c r="N908" s="680"/>
      <c r="O908" s="871">
        <v>893</v>
      </c>
      <c r="P908" s="688"/>
      <c r="Q908" s="689"/>
      <c r="R908" s="888"/>
      <c r="S908" s="802"/>
      <c r="T908" s="882"/>
      <c r="W908" s="606"/>
      <c r="AB908" s="675"/>
      <c r="AC908" s="675"/>
      <c r="AD908" s="675"/>
      <c r="AE908" s="675"/>
      <c r="AF908" s="675"/>
      <c r="AG908" s="675"/>
      <c r="AH908" s="675"/>
      <c r="AI908" s="675"/>
      <c r="AJ908" s="675"/>
      <c r="AK908" s="675"/>
      <c r="AL908" s="675"/>
      <c r="AM908" s="675"/>
      <c r="AN908" s="675"/>
      <c r="AO908" s="675"/>
      <c r="AP908" s="675"/>
      <c r="AQ908" s="675"/>
      <c r="AR908" s="675"/>
      <c r="AS908" s="675"/>
      <c r="AT908" s="675"/>
      <c r="AU908" s="675"/>
      <c r="AV908" s="675"/>
      <c r="BI908" s="661" t="s">
        <v>126</v>
      </c>
      <c r="BJ908" s="665"/>
      <c r="CU908" s="662"/>
      <c r="CW908" s="662"/>
      <c r="EV908" s="818" t="str">
        <f t="shared" si="448"/>
        <v/>
      </c>
      <c r="EW908" s="818"/>
    </row>
    <row r="909" spans="1:153" s="656" customFormat="1" ht="65">
      <c r="A909" s="654" t="str">
        <f t="shared" ca="1" si="446"/>
        <v>D.1.909</v>
      </c>
      <c r="B909" s="654" t="str">
        <f t="shared" ca="1" si="447"/>
        <v>1.909</v>
      </c>
      <c r="C909" s="654" t="str">
        <f t="shared" si="443"/>
        <v>[909]</v>
      </c>
      <c r="D909" s="654">
        <f>ROW()</f>
        <v>909</v>
      </c>
      <c r="E909" s="1135" t="str">
        <f>CU909</f>
        <v>- ZIEL-Ansatz: Repräsentiert das für den Zielzeitpunkt anzunehmende Verhältnis von Nutzenergie zum Endenergieverbrauch gemäß [911]. Dient zur Ermittlung des mit dem angenommenen Endenergieverbrauch erreichbaren Nutzenergieaufkommens als Maß für die erreichbare Verkehrsleistung. Es wird davon ausgegangen, dass keine nennenswerten Potenziale zu einer weiteren Steigerung des bereits hohen Eiffizienzniveaus gegeben sind.</v>
      </c>
      <c r="F909" s="1135"/>
      <c r="G909" s="1135"/>
      <c r="H909" s="1135"/>
      <c r="I909" s="1135"/>
      <c r="J909" s="1135"/>
      <c r="K909" s="1135"/>
      <c r="L909" s="1135"/>
      <c r="M909" s="1135"/>
      <c r="N909" s="1136"/>
      <c r="O909" s="869">
        <v>894</v>
      </c>
      <c r="P909" s="691" t="str">
        <f ca="1">HYPERLINK(EK909,EJ909)</f>
        <v/>
      </c>
      <c r="Q909" s="692" t="str">
        <f>Y909</f>
        <v xml:space="preserve"> </v>
      </c>
      <c r="R909" s="852"/>
      <c r="S909" s="784"/>
      <c r="T909" s="864"/>
      <c r="U909" s="1023" t="str">
        <f>"Repräsentiert das für den Zielzeitpunkt anzunehmende Verhältnis von Nutzenergie zum Endenergieverbrauch gemäß "&amp;C911&amp;". Dient zur Ermittlung des mit dem angenommenen Endenergieverbrauch erreichbaren Nutzenergieaufkommens als Maß für die erreichbare Verkehrsleistung. "&amp;"Es wird davon ausgegangen, dass keine nennenswerten Potenziale zu einer weiteren Steigerung des bereits hohen Eiffizienzniveaus gegeben sind."</f>
        <v>Repräsentiert das für den Zielzeitpunkt anzunehmende Verhältnis von Nutzenergie zum Endenergieverbrauch gemäß [911]. Dient zur Ermittlung des mit dem angenommenen Endenergieverbrauch erreichbaren Nutzenergieaufkommens als Maß für die erreichbare Verkehrsleistung. Es wird davon ausgegangen, dass keine nennenswerten Potenziale zu einer weiteren Steigerung des bereits hohen Eiffizienzniveaus gegeben sind.</v>
      </c>
      <c r="V909" s="905" t="s">
        <v>126</v>
      </c>
      <c r="W909" s="1095">
        <v>78</v>
      </c>
      <c r="X909" s="672"/>
      <c r="Y909" s="672" t="s">
        <v>126</v>
      </c>
      <c r="Z909" s="1025"/>
      <c r="AA909" s="905"/>
      <c r="AB909" s="801"/>
      <c r="AC909" s="801"/>
      <c r="AD909" s="801">
        <f>AL910</f>
        <v>-67.3</v>
      </c>
      <c r="AE909" s="801" t="str">
        <f>AM910</f>
        <v xml:space="preserve">% </v>
      </c>
      <c r="AF909" s="774">
        <f>W898</f>
        <v>2.2999999999999998</v>
      </c>
      <c r="AG909" s="801" t="s">
        <v>835</v>
      </c>
      <c r="AH909" s="801">
        <f>ROUND(AL910*(100-AF909)%,1)</f>
        <v>-65.8</v>
      </c>
      <c r="AI909" s="801" t="s">
        <v>835</v>
      </c>
      <c r="AJ909" s="801"/>
      <c r="AK909" s="801"/>
      <c r="AL909" s="801"/>
      <c r="AM909" s="801"/>
      <c r="AN909" s="801"/>
      <c r="AO909" s="801"/>
      <c r="AP909" s="801"/>
      <c r="AQ909" s="801"/>
      <c r="AR909" s="801"/>
      <c r="AS909" s="801"/>
      <c r="AT909" s="801"/>
      <c r="AU909" s="801"/>
      <c r="AV909" s="801"/>
      <c r="BF909" s="657"/>
      <c r="BI909" s="656" t="s">
        <v>126</v>
      </c>
      <c r="BJ909" s="666"/>
      <c r="BO909" s="656" t="s">
        <v>259</v>
      </c>
      <c r="CU909" s="663" t="str">
        <f>CH$1&amp;IF(U909="",BF909,U909)</f>
        <v>- ZIEL-Ansatz: Repräsentiert das für den Zielzeitpunkt anzunehmende Verhältnis von Nutzenergie zum Endenergieverbrauch gemäß [911]. Dient zur Ermittlung des mit dem angenommenen Endenergieverbrauch erreichbaren Nutzenergieaufkommens als Maß für die erreichbare Verkehrsleistung. Es wird davon ausgegangen, dass keine nennenswerten Potenziale zu einer weiteren Steigerung des bereits hohen Eiffizienzniveaus gegeben sind.</v>
      </c>
      <c r="CW909" s="663"/>
      <c r="DT909" s="671">
        <v>53</v>
      </c>
      <c r="EJ909" s="656" t="str">
        <f>IF(X909=0,"",EJ$1&amp;X909)</f>
        <v/>
      </c>
      <c r="EK909" s="656" t="str">
        <f ca="1">EK$1&amp;X909</f>
        <v>[D_Python.xlsx]9.Quellen!C</v>
      </c>
      <c r="EV909" s="819">
        <f t="shared" si="448"/>
        <v>909</v>
      </c>
      <c r="EW909" s="819"/>
    </row>
    <row r="910" spans="1:153" s="656" customFormat="1" hidden="1">
      <c r="A910" s="654" t="str">
        <f t="shared" ca="1" si="446"/>
        <v>D.1.910</v>
      </c>
      <c r="B910" s="654" t="str">
        <f t="shared" ca="1" si="447"/>
        <v>1.910</v>
      </c>
      <c r="C910" s="654" t="str">
        <f t="shared" si="443"/>
        <v>[910]</v>
      </c>
      <c r="D910" s="654">
        <f>ROW()</f>
        <v>910</v>
      </c>
      <c r="E910" s="1137">
        <f>CU910</f>
        <v>0</v>
      </c>
      <c r="F910" s="1137"/>
      <c r="G910" s="1137"/>
      <c r="H910" s="1137"/>
      <c r="I910" s="1137"/>
      <c r="J910" s="1137"/>
      <c r="K910" s="1137"/>
      <c r="L910" s="1137"/>
      <c r="M910" s="1137"/>
      <c r="N910" s="1138"/>
      <c r="O910" s="869">
        <v>895</v>
      </c>
      <c r="P910" s="691" t="str">
        <f t="shared" ref="P910" ca="1" si="483">HYPERLINK(EK910,EJ910)</f>
        <v/>
      </c>
      <c r="Q910" s="692" t="str">
        <f t="shared" ref="Q910" si="484">Y910</f>
        <v xml:space="preserve"> </v>
      </c>
      <c r="R910" s="852"/>
      <c r="S910" s="784"/>
      <c r="T910" s="864"/>
      <c r="U910" s="1023"/>
      <c r="V910" s="905" t="s">
        <v>126</v>
      </c>
      <c r="W910" s="1025"/>
      <c r="X910" s="672"/>
      <c r="Y910" s="672" t="s">
        <v>126</v>
      </c>
      <c r="Z910" s="1025"/>
      <c r="AA910" s="905"/>
      <c r="AB910" s="801"/>
      <c r="AC910" s="801"/>
      <c r="AD910" s="801">
        <f>AD911</f>
        <v>24</v>
      </c>
      <c r="AE910" s="801" t="str">
        <f>AE911</f>
        <v xml:space="preserve">% </v>
      </c>
      <c r="AF910" s="801">
        <f>AF911</f>
        <v>27</v>
      </c>
      <c r="AG910" s="801" t="str">
        <f>AG911</f>
        <v xml:space="preserve">% </v>
      </c>
      <c r="AH910" s="801">
        <f>(AD910+AF910)/2</f>
        <v>25.5</v>
      </c>
      <c r="AI910" s="801" t="s">
        <v>835</v>
      </c>
      <c r="AJ910" s="801">
        <f>AH911</f>
        <v>78</v>
      </c>
      <c r="AK910" s="801" t="str">
        <f>AI911</f>
        <v xml:space="preserve">% </v>
      </c>
      <c r="AL910" s="801">
        <f>ROUND(AH910*100/AJ910-100,1)</f>
        <v>-67.3</v>
      </c>
      <c r="AM910" s="801" t="s">
        <v>835</v>
      </c>
      <c r="AN910" s="801"/>
      <c r="AO910" s="801"/>
      <c r="AP910" s="801"/>
      <c r="AQ910" s="801"/>
      <c r="AR910" s="801"/>
      <c r="AS910" s="801"/>
      <c r="AT910" s="801"/>
      <c r="AU910" s="801"/>
      <c r="AV910" s="801"/>
      <c r="BF910" s="657"/>
      <c r="BI910" s="656" t="s">
        <v>126</v>
      </c>
      <c r="BJ910" s="666"/>
      <c r="BO910" s="656" t="s">
        <v>252</v>
      </c>
      <c r="CU910" s="663">
        <f>IF(U910="",BF910,U910)</f>
        <v>0</v>
      </c>
      <c r="CW910" s="663"/>
      <c r="DT910" s="671"/>
      <c r="EJ910" s="656" t="str">
        <f>IF(X910=0,"",EJ$1&amp;X910)</f>
        <v/>
      </c>
      <c r="EK910" s="656" t="str">
        <f ca="1">EK$1&amp;X910</f>
        <v>[D_Python.xlsx]9.Quellen!C</v>
      </c>
      <c r="EV910" s="819" t="str">
        <f t="shared" si="448"/>
        <v/>
      </c>
      <c r="EW910" s="819"/>
    </row>
    <row r="911" spans="1:153" s="656" customFormat="1" ht="65">
      <c r="A911" s="654" t="str">
        <f t="shared" ca="1" si="446"/>
        <v>D.1.911</v>
      </c>
      <c r="B911" s="654" t="str">
        <f t="shared" ca="1" si="447"/>
        <v>1.911</v>
      </c>
      <c r="C911" s="654" t="str">
        <f t="shared" ref="C911" si="485">CE$1&amp;D911&amp;CF$1</f>
        <v>[911]</v>
      </c>
      <c r="D911" s="654">
        <f>ROW()</f>
        <v>911</v>
      </c>
      <c r="E911" s="1125" t="str">
        <f ca="1">CU911</f>
        <v>In einer Betrachtung der TU München zur Energieeffizienz durch Elektromobilität [9.261], S. 17, werden Fahrzeug-Nutzungsgrade (Verhältnis Nutzenergie zu der als Kraftstoff getankten bzw. zur Batterielandung aufgenommenen Endenergie) abhängig vom Antriebstyp gegenübergestellt: Ottomotor 24% , Dieselmotor 27% , Elektromotor mit Batterie 78% . Hier wird vereinfachend angenommen, dass der Nutzungsgrad für oberleitungsgetriebene Elektrofahrzeuge auf Schiene und Straße auf gleichem Niveau liegen.</v>
      </c>
      <c r="F911" s="1125"/>
      <c r="G911" s="1125"/>
      <c r="H911" s="1125"/>
      <c r="I911" s="1125"/>
      <c r="J911" s="1125"/>
      <c r="K911" s="1125"/>
      <c r="L911" s="1125"/>
      <c r="M911" s="1125"/>
      <c r="N911" s="1132"/>
      <c r="O911" s="869">
        <v>896</v>
      </c>
      <c r="P911" s="691" t="str">
        <f t="shared" ref="P911" ca="1" si="486">HYPERLINK(EK911,EJ911)</f>
        <v>9.261</v>
      </c>
      <c r="Q911" s="692" t="str">
        <f t="shared" ref="Q911" si="487">Y911</f>
        <v>S. 17</v>
      </c>
      <c r="R911" s="852"/>
      <c r="S911" s="784"/>
      <c r="T911" s="864"/>
      <c r="U911" s="1023" t="str">
        <f ca="1">"In einer Betrachtung der TU München zur Energieeffizienz durch Elektromobilität ["&amp;P911&amp;"], "&amp;Q911&amp;", werden Fahrzeug-Nutzungsgrade (Verhältnis Nutzenergie zu der als Kraftstoff getankten bzw. zur Batterielandung aufgenommenen Endenergie) abhängig vom Antriebstyp gegenübergestellt: Ottomotor "&amp;AD911&amp;AE911&amp;", Dieselmotor "&amp;AF911&amp;AG911&amp;", Elektromotor mit Batterie "&amp;AH911&amp;AI911&amp;". Hier wird vereinfachend angenommen, dass der Nutzungsgrad für oberleitungsgetriebene Elektrofahrzeuge auf Schiene und Straße auf gleichem Niveau liegen."</f>
        <v>In einer Betrachtung der TU München zur Energieeffizienz durch Elektromobilität [9.261], S. 17, werden Fahrzeug-Nutzungsgrade (Verhältnis Nutzenergie zu der als Kraftstoff getankten bzw. zur Batterielandung aufgenommenen Endenergie) abhängig vom Antriebstyp gegenübergestellt: Ottomotor 24% , Dieselmotor 27% , Elektromotor mit Batterie 78% . Hier wird vereinfachend angenommen, dass der Nutzungsgrad für oberleitungsgetriebene Elektrofahrzeuge auf Schiene und Straße auf gleichem Niveau liegen.</v>
      </c>
      <c r="V911" s="905" t="s">
        <v>126</v>
      </c>
      <c r="W911" s="1025"/>
      <c r="X911" s="672">
        <f>'9.Quellen'!C$261</f>
        <v>261</v>
      </c>
      <c r="Y911" s="672" t="s">
        <v>540</v>
      </c>
      <c r="Z911" s="1025"/>
      <c r="AA911" s="905"/>
      <c r="AB911" s="801"/>
      <c r="AC911" s="801"/>
      <c r="AD911" s="801">
        <v>24</v>
      </c>
      <c r="AE911" s="801" t="s">
        <v>835</v>
      </c>
      <c r="AF911" s="801">
        <v>27</v>
      </c>
      <c r="AG911" s="801" t="s">
        <v>835</v>
      </c>
      <c r="AH911" s="801">
        <v>78</v>
      </c>
      <c r="AI911" s="801" t="s">
        <v>835</v>
      </c>
      <c r="AJ911" s="801"/>
      <c r="AK911" s="801"/>
      <c r="AL911" s="801"/>
      <c r="AM911" s="801"/>
      <c r="AN911" s="801"/>
      <c r="AO911" s="801"/>
      <c r="AP911" s="801"/>
      <c r="AQ911" s="801"/>
      <c r="AR911" s="801"/>
      <c r="AS911" s="801"/>
      <c r="AT911" s="801"/>
      <c r="AU911" s="801"/>
      <c r="AV911" s="801"/>
      <c r="BF911" s="657"/>
      <c r="BI911" s="656" t="s">
        <v>126</v>
      </c>
      <c r="BJ911" s="666"/>
      <c r="BO911" s="656" t="s">
        <v>252</v>
      </c>
      <c r="CU911" s="663" t="str">
        <f ca="1">IF(U911="",BF911,U911)</f>
        <v>In einer Betrachtung der TU München zur Energieeffizienz durch Elektromobilität [9.261], S. 17, werden Fahrzeug-Nutzungsgrade (Verhältnis Nutzenergie zu der als Kraftstoff getankten bzw. zur Batterielandung aufgenommenen Endenergie) abhängig vom Antriebstyp gegenübergestellt: Ottomotor 24% , Dieselmotor 27% , Elektromotor mit Batterie 78% . Hier wird vereinfachend angenommen, dass der Nutzungsgrad für oberleitungsgetriebene Elektrofahrzeuge auf Schiene und Straße auf gleichem Niveau liegen.</v>
      </c>
      <c r="CW911" s="663"/>
      <c r="DT911" s="671"/>
      <c r="EJ911" s="656" t="str">
        <f ca="1">IF(X911=0,"",EJ$1&amp;X911)</f>
        <v>9.261</v>
      </c>
      <c r="EK911" s="656" t="str">
        <f ca="1">EK$1&amp;X911</f>
        <v>[D_Python.xlsx]9.Quellen!C261</v>
      </c>
      <c r="EV911" s="819">
        <f t="shared" ca="1" si="448"/>
        <v>911</v>
      </c>
      <c r="EW911" s="819"/>
    </row>
    <row r="912" spans="1:153" s="661" customFormat="1" ht="4">
      <c r="A912" s="677" t="str">
        <f t="shared" ca="1" si="446"/>
        <v>D.1.912</v>
      </c>
      <c r="B912" s="677" t="str">
        <f t="shared" ca="1" si="447"/>
        <v>1.912</v>
      </c>
      <c r="C912" s="677" t="str">
        <f t="shared" si="443"/>
        <v>[912]</v>
      </c>
      <c r="D912" s="677">
        <f>ROW()</f>
        <v>912</v>
      </c>
      <c r="E912" s="685"/>
      <c r="F912" s="685"/>
      <c r="G912" s="685"/>
      <c r="H912" s="685"/>
      <c r="I912" s="686"/>
      <c r="J912" s="686"/>
      <c r="K912" s="686"/>
      <c r="L912" s="686"/>
      <c r="M912" s="686"/>
      <c r="N912" s="685"/>
      <c r="O912" s="871">
        <v>897</v>
      </c>
      <c r="P912" s="693"/>
      <c r="Q912" s="694"/>
      <c r="R912" s="888"/>
      <c r="S912" s="802"/>
      <c r="T912" s="882"/>
      <c r="AB912" s="675"/>
      <c r="AC912" s="675"/>
      <c r="AD912" s="675"/>
      <c r="AE912" s="675"/>
      <c r="AF912" s="675"/>
      <c r="AG912" s="675"/>
      <c r="AH912" s="675"/>
      <c r="AI912" s="675"/>
      <c r="AJ912" s="675"/>
      <c r="AK912" s="675"/>
      <c r="AL912" s="675"/>
      <c r="AM912" s="675"/>
      <c r="AN912" s="675"/>
      <c r="AO912" s="675"/>
      <c r="AP912" s="675"/>
      <c r="AQ912" s="675"/>
      <c r="AR912" s="675"/>
      <c r="AS912" s="675"/>
      <c r="AT912" s="675"/>
      <c r="AU912" s="675"/>
      <c r="AV912" s="675"/>
      <c r="AZ912" s="669"/>
      <c r="BB912" s="669"/>
      <c r="BI912" s="661" t="s">
        <v>126</v>
      </c>
      <c r="BJ912" s="665"/>
      <c r="CU912" s="662"/>
      <c r="CW912" s="662"/>
      <c r="EV912" s="818" t="str">
        <f t="shared" si="448"/>
        <v/>
      </c>
      <c r="EW912" s="818"/>
    </row>
    <row r="913" spans="1:153" s="658" customFormat="1" ht="13.5" customHeight="1">
      <c r="A913" s="654" t="str">
        <f t="shared" ca="1" si="446"/>
        <v>D.1.913</v>
      </c>
      <c r="B913" s="654" t="str">
        <f t="shared" ca="1" si="447"/>
        <v>1.913</v>
      </c>
      <c r="C913" s="654" t="str">
        <f t="shared" si="443"/>
        <v>[913]</v>
      </c>
      <c r="D913" s="654">
        <f>ROW()</f>
        <v>913</v>
      </c>
      <c r="E913" s="1129" t="str">
        <f>BP913</f>
        <v>Nutzungsgrad Kraftstofftraktion PVk</v>
      </c>
      <c r="F913" s="1129"/>
      <c r="G913" s="1129"/>
      <c r="H913" s="1129"/>
      <c r="I913" s="1129"/>
      <c r="J913" s="655" t="s">
        <v>38</v>
      </c>
      <c r="K913" s="605">
        <f ca="1">INDIRECT($W$1&amp;U913)</f>
        <v>25.5</v>
      </c>
      <c r="L913" s="697" t="str">
        <f ca="1">HYPERLINK($CK$1&amp;U913,$CE$1&amp;U913&amp;$CF$1)</f>
        <v>[914]</v>
      </c>
      <c r="M913" s="683">
        <f ca="1">INDIRECT($W$1&amp;W913)</f>
        <v>28.407000000000004</v>
      </c>
      <c r="N913" s="681" t="str">
        <f ca="1">HYPERLINK($CK$1&amp;W913,$CE$1&amp;W913&amp;$CF$1)</f>
        <v>[916]</v>
      </c>
      <c r="O913" s="869">
        <v>898</v>
      </c>
      <c r="P913" s="690"/>
      <c r="Q913" s="695"/>
      <c r="R913" s="852"/>
      <c r="S913" s="784"/>
      <c r="T913" s="864"/>
      <c r="U913" s="672">
        <f>D914</f>
        <v>914</v>
      </c>
      <c r="V913" s="905" t="s">
        <v>126</v>
      </c>
      <c r="W913" s="672">
        <f>D916</f>
        <v>916</v>
      </c>
      <c r="AB913" s="801"/>
      <c r="AC913" s="801"/>
      <c r="AD913" s="674"/>
      <c r="AE913" s="674"/>
      <c r="AF913" s="674"/>
      <c r="AG913" s="674"/>
      <c r="AH913" s="674"/>
      <c r="AI913" s="674"/>
      <c r="AJ913" s="674"/>
      <c r="AK913" s="674"/>
      <c r="AL913" s="674"/>
      <c r="AM913" s="674"/>
      <c r="AN913" s="674"/>
      <c r="AO913" s="674"/>
      <c r="AP913" s="674"/>
      <c r="AQ913" s="674"/>
      <c r="AR913" s="674"/>
      <c r="AS913" s="674"/>
      <c r="AT913" s="674"/>
      <c r="AU913" s="674"/>
      <c r="AV913" s="674"/>
      <c r="AX913" s="658" t="s">
        <v>244</v>
      </c>
      <c r="AY913" s="668">
        <f ca="1">DA913</f>
        <v>10.254559182513647</v>
      </c>
      <c r="AZ913" s="670" t="str">
        <f ca="1">HYPERLINK(DN913,DC913)</f>
        <v xml:space="preserve"> 235</v>
      </c>
      <c r="BA913" s="668">
        <f ca="1">DB913</f>
        <v>35</v>
      </c>
      <c r="BB913" s="670" t="str">
        <f ca="1">HYPERLINK(DO913,DD913)</f>
        <v xml:space="preserve"> 236</v>
      </c>
      <c r="BC913" s="658" t="str">
        <f ca="1">CY913&amp;" | "&amp;CZ913</f>
        <v>Brennstoffgew.
für Prozesse | 0</v>
      </c>
      <c r="BI913" s="658" t="s">
        <v>126</v>
      </c>
      <c r="BJ913" s="667" t="str">
        <f>E913</f>
        <v>Nutzungsgrad Kraftstofftraktion PVk</v>
      </c>
      <c r="BK913" s="664">
        <f ca="1">K913</f>
        <v>25.5</v>
      </c>
      <c r="BL913" s="664">
        <f ca="1">M913</f>
        <v>28.407000000000004</v>
      </c>
      <c r="BM913" s="656">
        <f>D913</f>
        <v>913</v>
      </c>
      <c r="BO913" s="658" t="s">
        <v>251</v>
      </c>
      <c r="BP913" s="676" t="s">
        <v>911</v>
      </c>
      <c r="CU913" s="659"/>
      <c r="CW913" s="671">
        <v>61</v>
      </c>
      <c r="CY913" s="656" t="str">
        <f t="shared" ref="CY913:DO913" ca="1" si="488">INDIRECT($CX$1&amp;CY$1&amp;$CW913)</f>
        <v>Brennstoffgew.
für Prozesse</v>
      </c>
      <c r="CZ913" s="656">
        <f t="shared" ca="1" si="488"/>
        <v>0</v>
      </c>
      <c r="DA913" s="656">
        <f t="shared" ca="1" si="488"/>
        <v>10.254559182513647</v>
      </c>
      <c r="DB913" s="656">
        <f t="shared" ca="1" si="488"/>
        <v>35</v>
      </c>
      <c r="DC913" s="656" t="str">
        <f t="shared" ca="1" si="488"/>
        <v xml:space="preserve"> 235</v>
      </c>
      <c r="DD913" s="656" t="str">
        <f t="shared" ca="1" si="488"/>
        <v xml:space="preserve"> 236</v>
      </c>
      <c r="DE913" s="656" t="str">
        <f t="shared" ca="1" si="488"/>
        <v>Ho99</v>
      </c>
      <c r="DF913" s="656" t="str">
        <f t="shared" ca="1" si="488"/>
        <v>Ho36</v>
      </c>
      <c r="DG913" s="656" t="str">
        <f t="shared" ca="1" si="488"/>
        <v>Ho</v>
      </c>
      <c r="DH913" s="656" t="str">
        <f t="shared" ca="1" si="488"/>
        <v>99</v>
      </c>
      <c r="DI913" s="656" t="str">
        <f t="shared" ca="1" si="488"/>
        <v>[Ho.xls]TEXT!Z99S5</v>
      </c>
      <c r="DJ913" s="656" t="str">
        <f t="shared" ca="1" si="488"/>
        <v>Ho</v>
      </c>
      <c r="DK913" s="656" t="str">
        <f t="shared" ca="1" si="488"/>
        <v>36</v>
      </c>
      <c r="DL913" s="656" t="str">
        <f t="shared" ca="1" si="488"/>
        <v>[Ho.xls]TEXT!Z36S5</v>
      </c>
      <c r="DM913" s="656">
        <f t="shared" ca="1" si="488"/>
        <v>61</v>
      </c>
      <c r="DN913" s="656" t="str">
        <f t="shared" ca="1" si="488"/>
        <v>[Region.xls]PARAMETER!Z235S6</v>
      </c>
      <c r="DO913" s="656" t="str">
        <f t="shared" ca="1" si="488"/>
        <v>[Region.xls]PARAMETER!Z236S6</v>
      </c>
      <c r="DP913" s="656"/>
      <c r="DS913" s="656"/>
      <c r="DV913" s="656"/>
      <c r="DW913" s="656"/>
      <c r="DX913" s="656"/>
      <c r="DY913" s="656"/>
      <c r="DZ913" s="656"/>
      <c r="EA913" s="656"/>
      <c r="EB913" s="656"/>
      <c r="EC913" s="656"/>
      <c r="ED913" s="656"/>
      <c r="EE913" s="656"/>
      <c r="EF913" s="656"/>
      <c r="EG913" s="656"/>
      <c r="EH913" s="656"/>
      <c r="EI913" s="656"/>
      <c r="EJ913" s="656"/>
      <c r="EK913" s="656"/>
      <c r="EV913" s="819">
        <f t="shared" si="448"/>
        <v>913</v>
      </c>
      <c r="EW913" s="819"/>
    </row>
    <row r="914" spans="1:153" s="656" customFormat="1" ht="52">
      <c r="A914" s="654" t="str">
        <f t="shared" ca="1" si="446"/>
        <v>D.1.914</v>
      </c>
      <c r="B914" s="654" t="str">
        <f t="shared" ca="1" si="447"/>
        <v>1.914</v>
      </c>
      <c r="C914" s="654" t="str">
        <f t="shared" si="443"/>
        <v>[914]</v>
      </c>
      <c r="D914" s="654">
        <f>ROW()</f>
        <v>914</v>
      </c>
      <c r="E914" s="1133" t="str">
        <f>CU914</f>
        <v xml:space="preserve">- STATUS-Ansatz: Repräsentiert den Status Quo des Verhältnisses von Nutzenergie zum Endenergieverbrauch gemäß [911], wobei wegen der vergleichbaren Anteile das Mittel von Diesel- und Ottomotor-betriebenen Fahrzeugen angesetzt wird. Dient zur Ermittlung des mit dem bekannten Endenergieverbrauch erreichten Nutzenergieaufkommen als Maß für die erreichte Verkehrsleistung. </v>
      </c>
      <c r="F914" s="1133"/>
      <c r="G914" s="1133"/>
      <c r="H914" s="1133"/>
      <c r="I914" s="1133"/>
      <c r="J914" s="1133"/>
      <c r="K914" s="1133"/>
      <c r="L914" s="1133"/>
      <c r="M914" s="1133"/>
      <c r="N914" s="1134"/>
      <c r="O914" s="869">
        <v>899</v>
      </c>
      <c r="P914" s="691" t="str">
        <f ca="1">HYPERLINK(EK914,EJ914)</f>
        <v/>
      </c>
      <c r="Q914" s="692" t="str">
        <f>Y914</f>
        <v xml:space="preserve"> </v>
      </c>
      <c r="R914" s="852"/>
      <c r="S914" s="784"/>
      <c r="T914" s="864"/>
      <c r="U914" s="1023" t="str">
        <f>"Repräsentiert den Status Quo des Verhältnisses von Nutzenergie zum Endenergieverbrauch gemäß "&amp;C911&amp;", wobei wegen der vergleichbaren Anteile das Mittel von Diesel- und Ottomotor-betriebenen Fahrzeugen angesetzt wird. "&amp;"Dient zur Ermittlung des mit dem bekannten Endenergieverbrauch erreichten Nutzenergieaufkommen als Maß für die erreichte Verkehrsleistung. "</f>
        <v xml:space="preserve">Repräsentiert den Status Quo des Verhältnisses von Nutzenergie zum Endenergieverbrauch gemäß [911], wobei wegen der vergleichbaren Anteile das Mittel von Diesel- und Ottomotor-betriebenen Fahrzeugen angesetzt wird. Dient zur Ermittlung des mit dem bekannten Endenergieverbrauch erreichten Nutzenergieaufkommen als Maß für die erreichte Verkehrsleistung. </v>
      </c>
      <c r="V914" s="905" t="s">
        <v>126</v>
      </c>
      <c r="W914" s="1102">
        <v>25.5</v>
      </c>
      <c r="X914" s="672"/>
      <c r="Y914" s="672" t="s">
        <v>126</v>
      </c>
      <c r="Z914" s="1025"/>
      <c r="AA914" s="658"/>
      <c r="AB914" s="801"/>
      <c r="AC914" s="801"/>
      <c r="AD914" s="801"/>
      <c r="AE914" s="801"/>
      <c r="AF914" s="801"/>
      <c r="AG914" s="801"/>
      <c r="AH914" s="801"/>
      <c r="AI914" s="801"/>
      <c r="AJ914" s="801"/>
      <c r="AK914" s="801"/>
      <c r="AL914" s="801"/>
      <c r="AM914" s="801"/>
      <c r="AN914" s="801"/>
      <c r="AO914" s="801"/>
      <c r="AP914" s="801"/>
      <c r="AQ914" s="801"/>
      <c r="AR914" s="801"/>
      <c r="AS914" s="801"/>
      <c r="AT914" s="801"/>
      <c r="AU914" s="801"/>
      <c r="AV914" s="801"/>
      <c r="AY914" s="656">
        <f ca="1">AY913/AY$246%</f>
        <v>14.091645358575692</v>
      </c>
      <c r="BA914" s="656">
        <f ca="1">BA913/BA$246%</f>
        <v>100</v>
      </c>
      <c r="BF914" s="657"/>
      <c r="BI914" s="656" t="s">
        <v>126</v>
      </c>
      <c r="BJ914" s="666"/>
      <c r="BO914" s="656" t="s">
        <v>259</v>
      </c>
      <c r="CU914" s="663" t="str">
        <f>CG$1&amp;IF(U914="",BF914,U914)</f>
        <v xml:space="preserve">- STATUS-Ansatz: Repräsentiert den Status Quo des Verhältnisses von Nutzenergie zum Endenergieverbrauch gemäß [911], wobei wegen der vergleichbaren Anteile das Mittel von Diesel- und Ottomotor-betriebenen Fahrzeugen angesetzt wird. Dient zur Ermittlung des mit dem bekannten Endenergieverbrauch erreichten Nutzenergieaufkommen als Maß für die erreichte Verkehrsleistung. </v>
      </c>
      <c r="CW914" s="663"/>
      <c r="DT914" s="671">
        <f>I_Basisdaten!A374</f>
        <v>0</v>
      </c>
      <c r="EJ914" s="656" t="str">
        <f>IF(X914=0,"",EJ$1&amp;X914)</f>
        <v/>
      </c>
      <c r="EK914" s="656" t="str">
        <f ca="1">EK$1&amp;X914</f>
        <v>[D_Python.xlsx]9.Quellen!C</v>
      </c>
      <c r="EV914" s="819">
        <f t="shared" si="448"/>
        <v>914</v>
      </c>
      <c r="EW914" s="819"/>
    </row>
    <row r="915" spans="1:153" s="661" customFormat="1" ht="4">
      <c r="A915" s="677" t="str">
        <f t="shared" ca="1" si="446"/>
        <v>D.1.915</v>
      </c>
      <c r="B915" s="677" t="str">
        <f t="shared" ca="1" si="447"/>
        <v>1.915</v>
      </c>
      <c r="C915" s="677" t="str">
        <f t="shared" si="443"/>
        <v>[915]</v>
      </c>
      <c r="D915" s="677">
        <f>ROW()</f>
        <v>915</v>
      </c>
      <c r="E915" s="800"/>
      <c r="F915" s="800"/>
      <c r="G915" s="800"/>
      <c r="H915" s="800"/>
      <c r="I915" s="832"/>
      <c r="J915" s="832"/>
      <c r="K915" s="832"/>
      <c r="L915" s="832"/>
      <c r="M915" s="832"/>
      <c r="N915" s="800"/>
      <c r="O915" s="871">
        <v>900</v>
      </c>
      <c r="P915" s="688"/>
      <c r="Q915" s="689"/>
      <c r="R915" s="888"/>
      <c r="S915" s="802"/>
      <c r="T915" s="882"/>
      <c r="W915" s="606"/>
      <c r="AB915" s="675"/>
      <c r="AC915" s="675"/>
      <c r="AD915" s="675"/>
      <c r="AE915" s="675"/>
      <c r="AF915" s="675"/>
      <c r="AG915" s="675"/>
      <c r="AH915" s="675"/>
      <c r="AI915" s="675"/>
      <c r="AJ915" s="675"/>
      <c r="AK915" s="675"/>
      <c r="AL915" s="675"/>
      <c r="AM915" s="675"/>
      <c r="AN915" s="675"/>
      <c r="AO915" s="675"/>
      <c r="AP915" s="675"/>
      <c r="AQ915" s="675"/>
      <c r="AR915" s="675"/>
      <c r="AS915" s="675"/>
      <c r="AT915" s="675"/>
      <c r="AU915" s="675"/>
      <c r="AV915" s="675"/>
      <c r="BI915" s="661" t="s">
        <v>126</v>
      </c>
      <c r="BJ915" s="665"/>
      <c r="CU915" s="662"/>
      <c r="CW915" s="662"/>
      <c r="EV915" s="818" t="str">
        <f t="shared" si="448"/>
        <v/>
      </c>
      <c r="EW915" s="818"/>
    </row>
    <row r="916" spans="1:153" s="656" customFormat="1" ht="26">
      <c r="A916" s="654" t="str">
        <f t="shared" ca="1" si="446"/>
        <v>D.1.916</v>
      </c>
      <c r="B916" s="654" t="str">
        <f t="shared" ca="1" si="447"/>
        <v>1.916</v>
      </c>
      <c r="C916" s="654" t="str">
        <f t="shared" si="443"/>
        <v>[916]</v>
      </c>
      <c r="D916" s="654">
        <f>ROW()</f>
        <v>916</v>
      </c>
      <c r="E916" s="1135" t="str">
        <f t="shared" ref="E916" si="489">CU916</f>
        <v>- ZIEL-Ansatz: Orientiert an dem Einsparpotenzial von 11,4%  gemäß IFEU Effizienzstrategie [917] im PKW-Bereich, die den größten Anteil am Personenverkehr ausmachen.</v>
      </c>
      <c r="F916" s="1135"/>
      <c r="G916" s="1135"/>
      <c r="H916" s="1135"/>
      <c r="I916" s="1135"/>
      <c r="J916" s="1135"/>
      <c r="K916" s="1135"/>
      <c r="L916" s="1135"/>
      <c r="M916" s="1135"/>
      <c r="N916" s="1136"/>
      <c r="O916" s="869">
        <v>901</v>
      </c>
      <c r="P916" s="691" t="str">
        <f ca="1">HYPERLINK(EK916,EJ916)</f>
        <v/>
      </c>
      <c r="Q916" s="692" t="str">
        <f>Y916</f>
        <v xml:space="preserve"> </v>
      </c>
      <c r="R916" s="852"/>
      <c r="S916" s="784"/>
      <c r="T916" s="864"/>
      <c r="U916" s="1023" t="str">
        <f>"Orientiert an dem Einsparpotenzial von "&amp;AD916&amp;AE916&amp;" gemäß IFEU Effizienzstrategie "&amp;C917&amp;" im PKW-Bereich, die den größten Anteil am Personenverkehr ausmachen."</f>
        <v>Orientiert an dem Einsparpotenzial von 11,4%  gemäß IFEU Effizienzstrategie [917] im PKW-Bereich, die den größten Anteil am Personenverkehr ausmachen.</v>
      </c>
      <c r="V916" s="905" t="s">
        <v>126</v>
      </c>
      <c r="W916" s="1095">
        <f>W914*111.4%</f>
        <v>28.407000000000004</v>
      </c>
      <c r="X916" s="672"/>
      <c r="Y916" s="672" t="s">
        <v>126</v>
      </c>
      <c r="Z916" s="1025"/>
      <c r="AA916" s="905"/>
      <c r="AB916" s="801"/>
      <c r="AC916" s="801"/>
      <c r="AD916" s="801">
        <f>AN917</f>
        <v>11.4</v>
      </c>
      <c r="AE916" s="801" t="str">
        <f>AO917</f>
        <v xml:space="preserve">% </v>
      </c>
      <c r="AF916" s="801">
        <f>100-AD916</f>
        <v>88.6</v>
      </c>
      <c r="AG916" s="801" t="s">
        <v>835</v>
      </c>
      <c r="AH916" s="801"/>
      <c r="AI916" s="801"/>
      <c r="AJ916" s="801"/>
      <c r="AK916" s="801"/>
      <c r="AL916" s="801"/>
      <c r="AM916" s="801"/>
      <c r="AN916" s="801"/>
      <c r="AO916" s="801"/>
      <c r="AP916" s="801"/>
      <c r="AQ916" s="801"/>
      <c r="AR916" s="801"/>
      <c r="AS916" s="801"/>
      <c r="AT916" s="801"/>
      <c r="AU916" s="801"/>
      <c r="AV916" s="801"/>
      <c r="BF916" s="657"/>
      <c r="BI916" s="656" t="s">
        <v>126</v>
      </c>
      <c r="BJ916" s="666"/>
      <c r="BO916" s="656" t="s">
        <v>259</v>
      </c>
      <c r="CU916" s="663" t="str">
        <f>CH$1&amp;IF(U916="",BF916,U916)</f>
        <v>- ZIEL-Ansatz: Orientiert an dem Einsparpotenzial von 11,4%  gemäß IFEU Effizienzstrategie [917] im PKW-Bereich, die den größten Anteil am Personenverkehr ausmachen.</v>
      </c>
      <c r="CW916" s="663"/>
      <c r="DT916" s="671">
        <v>53</v>
      </c>
      <c r="EJ916" s="656" t="str">
        <f>IF(X916=0,"",EJ$1&amp;X916)</f>
        <v/>
      </c>
      <c r="EK916" s="656" t="str">
        <f ca="1">EK$1&amp;X916</f>
        <v>[D_Python.xlsx]9.Quellen!C</v>
      </c>
      <c r="EV916" s="819">
        <f t="shared" si="448"/>
        <v>916</v>
      </c>
      <c r="EW916" s="819"/>
    </row>
    <row r="917" spans="1:153" s="656" customFormat="1" ht="52">
      <c r="A917" s="654" t="str">
        <f t="shared" ca="1" si="446"/>
        <v>D.1.917</v>
      </c>
      <c r="B917" s="654" t="str">
        <f t="shared" ca="1" si="447"/>
        <v>1.917</v>
      </c>
      <c r="C917" s="654" t="str">
        <f>CE$1&amp;D917&amp;CF$1</f>
        <v>[917]</v>
      </c>
      <c r="D917" s="654">
        <f>ROW()</f>
        <v>917</v>
      </c>
      <c r="E917" s="1125" t="str">
        <f ca="1">CU917</f>
        <v>IFEU Effizienzstrategie für Deutschland [9.135], S. 19: "Durch Einführung von effizienten Fahrzeugen, insbesondere durch effiziente PKW, können etwa 175 PJ  eingespart werden." Bezogen auf den Endenergieverbrauch 2012 von 1.534 PJ, der auf PKW entfällt (2419,6 PJ  Mobile Anwendungen am Boden [BS.4.20] * 68,1%  Anteil Personenverkehr * 93,1%  Anteil PKW), entspricht das einem Einsparpotenzial von 11,4% .</v>
      </c>
      <c r="F917" s="1125"/>
      <c r="G917" s="1125"/>
      <c r="H917" s="1125"/>
      <c r="I917" s="1125"/>
      <c r="J917" s="1125"/>
      <c r="K917" s="1125"/>
      <c r="L917" s="1125"/>
      <c r="M917" s="1125"/>
      <c r="N917" s="1132"/>
      <c r="O917" s="869">
        <v>902</v>
      </c>
      <c r="P917" s="691" t="str">
        <f ca="1">HYPERLINK(EK917,EJ917)</f>
        <v>9.135</v>
      </c>
      <c r="Q917" s="692" t="str">
        <f>Y917</f>
        <v>S. 19</v>
      </c>
      <c r="R917" s="852"/>
      <c r="S917" s="784"/>
      <c r="T917" s="864"/>
      <c r="U917" s="1023" t="str">
        <f ca="1">"IFEU Effizienzstrategie für Deutschland ["&amp;P917&amp;"], "&amp;Q917&amp;": ""Durch Einführung von effizienten Fahrzeugen, insbesondere durch effiziente PKW, können etwa "&amp;AD917&amp;AE917&amp;" eingespart werden."" Bezogen auf den Endenergieverbrauch 2012 von "&amp;TEXT(AL917,"0.000")&amp;AM917&amp;", der auf PKW entfällt ("&amp;AF917&amp;AG917&amp;" Mobile Anwendungen am Boden [BS.4.20] * "&amp;TEXT('1.'!AH917,"0,0")&amp;'1.'!AI917&amp;" Anteil Personenverkehr * "&amp;TEXT('1.'!AJ917,"0,0")&amp;AK917&amp;" Anteil PKW), entspricht das einem Einsparpotenzial von "&amp;AN917&amp;AO917&amp;"."</f>
        <v>IFEU Effizienzstrategie für Deutschland [9.135], S. 19: "Durch Einführung von effizienten Fahrzeugen, insbesondere durch effiziente PKW, können etwa 175 PJ  eingespart werden." Bezogen auf den Endenergieverbrauch 2012 von 1.534 PJ, der auf PKW entfällt (2419,6 PJ  Mobile Anwendungen am Boden [BS.4.20] * 68,1%  Anteil Personenverkehr * 93,1%  Anteil PKW), entspricht das einem Einsparpotenzial von 11,4% .</v>
      </c>
      <c r="V917" s="905" t="s">
        <v>126</v>
      </c>
      <c r="W917" s="1025"/>
      <c r="X917" s="672">
        <f>'9.Quellen'!C$135</f>
        <v>135</v>
      </c>
      <c r="Y917" s="672" t="s">
        <v>793</v>
      </c>
      <c r="Z917" s="1025"/>
      <c r="AA917" s="905"/>
      <c r="AB917" s="801"/>
      <c r="AC917" s="801"/>
      <c r="AD917" s="801">
        <v>175</v>
      </c>
      <c r="AE917" s="801" t="s">
        <v>695</v>
      </c>
      <c r="AF917" s="801">
        <v>2419.6</v>
      </c>
      <c r="AG917" s="801" t="s">
        <v>695</v>
      </c>
      <c r="AH917" s="801">
        <f>AH878</f>
        <v>68.126094570928203</v>
      </c>
      <c r="AI917" s="801" t="str">
        <f>AI878</f>
        <v xml:space="preserve">% </v>
      </c>
      <c r="AJ917" s="801">
        <f>362/389%</f>
        <v>93.059125964010278</v>
      </c>
      <c r="AK917" s="801" t="s">
        <v>835</v>
      </c>
      <c r="AL917" s="801">
        <f>AF917*AH917%*AJ917%</f>
        <v>1533.9670753064797</v>
      </c>
      <c r="AM917" s="801" t="s">
        <v>795</v>
      </c>
      <c r="AN917" s="801">
        <f>ROUND(AD917/AL917%,1)</f>
        <v>11.4</v>
      </c>
      <c r="AO917" s="801" t="s">
        <v>835</v>
      </c>
      <c r="AP917" s="801"/>
      <c r="AQ917" s="801"/>
      <c r="AR917" s="801"/>
      <c r="AS917" s="801"/>
      <c r="AT917" s="801"/>
      <c r="AU917" s="801"/>
      <c r="AV917" s="801"/>
      <c r="BF917" s="657" t="s">
        <v>126</v>
      </c>
      <c r="BI917" s="656" t="s">
        <v>126</v>
      </c>
      <c r="BJ917" s="666"/>
      <c r="BO917" s="656" t="s">
        <v>259</v>
      </c>
      <c r="BQ917" s="678" t="s">
        <v>271</v>
      </c>
      <c r="CU917" s="663" t="str">
        <f ca="1">IF(U917="",BF917,U917)</f>
        <v>IFEU Effizienzstrategie für Deutschland [9.135], S. 19: "Durch Einführung von effizienten Fahrzeugen, insbesondere durch effiziente PKW, können etwa 175 PJ  eingespart werden." Bezogen auf den Endenergieverbrauch 2012 von 1.534 PJ, der auf PKW entfällt (2419,6 PJ  Mobile Anwendungen am Boden [BS.4.20] * 68,1%  Anteil Personenverkehr * 93,1%  Anteil PKW), entspricht das einem Einsparpotenzial von 11,4% .</v>
      </c>
      <c r="CW917" s="663"/>
      <c r="EJ917" s="656" t="str">
        <f ca="1">IF(X917=0,"",EJ$1&amp;X917)</f>
        <v>9.135</v>
      </c>
      <c r="EK917" s="656" t="str">
        <f ca="1">EK$1&amp;X917</f>
        <v>[D_Python.xlsx]9.Quellen!C135</v>
      </c>
      <c r="EV917" s="819">
        <f t="shared" ca="1" si="448"/>
        <v>917</v>
      </c>
      <c r="EW917" s="819"/>
    </row>
    <row r="918" spans="1:153" s="661" customFormat="1" ht="4">
      <c r="A918" s="677" t="str">
        <f t="shared" ca="1" si="446"/>
        <v>D.1.918</v>
      </c>
      <c r="B918" s="677" t="str">
        <f t="shared" ca="1" si="447"/>
        <v>1.918</v>
      </c>
      <c r="C918" s="677" t="str">
        <f t="shared" ref="C918:C922" si="490">CE$1&amp;D918&amp;CF$1</f>
        <v>[918]</v>
      </c>
      <c r="D918" s="677">
        <f>ROW()</f>
        <v>918</v>
      </c>
      <c r="E918" s="685"/>
      <c r="F918" s="685"/>
      <c r="G918" s="685"/>
      <c r="H918" s="685"/>
      <c r="I918" s="686"/>
      <c r="J918" s="686"/>
      <c r="K918" s="686"/>
      <c r="L918" s="686"/>
      <c r="M918" s="686"/>
      <c r="N918" s="685"/>
      <c r="O918" s="871">
        <v>897</v>
      </c>
      <c r="P918" s="693"/>
      <c r="Q918" s="694"/>
      <c r="R918" s="888"/>
      <c r="S918" s="802"/>
      <c r="T918" s="882"/>
      <c r="AB918" s="675"/>
      <c r="AC918" s="675"/>
      <c r="AD918" s="675"/>
      <c r="AE918" s="675"/>
      <c r="AF918" s="675"/>
      <c r="AG918" s="675"/>
      <c r="AH918" s="675"/>
      <c r="AI918" s="675"/>
      <c r="AJ918" s="675"/>
      <c r="AK918" s="675"/>
      <c r="AL918" s="675"/>
      <c r="AM918" s="675"/>
      <c r="AN918" s="675"/>
      <c r="AO918" s="675"/>
      <c r="AP918" s="675"/>
      <c r="AQ918" s="675"/>
      <c r="AR918" s="675"/>
      <c r="AS918" s="675"/>
      <c r="AT918" s="675"/>
      <c r="AU918" s="675"/>
      <c r="AV918" s="675"/>
      <c r="AZ918" s="669"/>
      <c r="BB918" s="669"/>
      <c r="BI918" s="661" t="s">
        <v>126</v>
      </c>
      <c r="BJ918" s="665"/>
      <c r="CU918" s="662"/>
      <c r="CW918" s="662"/>
      <c r="EV918" s="818" t="str">
        <f t="shared" si="448"/>
        <v/>
      </c>
      <c r="EW918" s="818"/>
    </row>
    <row r="919" spans="1:153" s="658" customFormat="1" ht="13.5" customHeight="1">
      <c r="A919" s="654" t="str">
        <f t="shared" ca="1" si="446"/>
        <v>D.1.919</v>
      </c>
      <c r="B919" s="654" t="str">
        <f t="shared" ca="1" si="447"/>
        <v>1.919</v>
      </c>
      <c r="C919" s="654" t="str">
        <f t="shared" si="490"/>
        <v>[919]</v>
      </c>
      <c r="D919" s="654">
        <f>ROW()</f>
        <v>919</v>
      </c>
      <c r="E919" s="1129" t="str">
        <f>BP919</f>
        <v>Brennstoffzellen-Traktio (FC) statt Verbrenner</v>
      </c>
      <c r="F919" s="1129"/>
      <c r="G919" s="1129"/>
      <c r="H919" s="1129"/>
      <c r="I919" s="1129"/>
      <c r="J919" s="655" t="s">
        <v>38</v>
      </c>
      <c r="K919" s="605" t="str">
        <f ca="1">INDIRECT($W$1&amp;U919)</f>
        <v>(n. r.)</v>
      </c>
      <c r="L919" s="697" t="str">
        <f ca="1">HYPERLINK($CK$1&amp;U919,$CE$1&amp;U919&amp;$CF$1)</f>
        <v>[920]</v>
      </c>
      <c r="M919" s="683" t="str">
        <f ca="1">INDIRECT($W$1&amp;W919)</f>
        <v>(Passiv)</v>
      </c>
      <c r="N919" s="681" t="str">
        <f ca="1">HYPERLINK($CK$1&amp;W919,$CE$1&amp;W919&amp;$CF$1)</f>
        <v>[922]</v>
      </c>
      <c r="O919" s="893" t="s">
        <v>725</v>
      </c>
      <c r="P919" s="690"/>
      <c r="Q919" s="695"/>
      <c r="R919" s="852"/>
      <c r="S919" s="784"/>
      <c r="T919" s="864"/>
      <c r="U919" s="672">
        <f>D920</f>
        <v>920</v>
      </c>
      <c r="V919" s="905" t="s">
        <v>126</v>
      </c>
      <c r="W919" s="672">
        <f>D922</f>
        <v>922</v>
      </c>
      <c r="AB919" s="801"/>
      <c r="AC919" s="801"/>
      <c r="AD919" s="674"/>
      <c r="AE919" s="674"/>
      <c r="AF919" s="674"/>
      <c r="AG919" s="674"/>
      <c r="AH919" s="674"/>
      <c r="AI919" s="674"/>
      <c r="AJ919" s="674"/>
      <c r="AK919" s="674"/>
      <c r="AL919" s="674"/>
      <c r="AM919" s="674"/>
      <c r="AN919" s="674"/>
      <c r="AO919" s="674"/>
      <c r="AP919" s="674"/>
      <c r="AQ919" s="674"/>
      <c r="AR919" s="674"/>
      <c r="AS919" s="674"/>
      <c r="AT919" s="674"/>
      <c r="AU919" s="674"/>
      <c r="AV919" s="674"/>
      <c r="AX919" s="658" t="s">
        <v>244</v>
      </c>
      <c r="AY919" s="668">
        <f ca="1">DA919</f>
        <v>10.254559182513647</v>
      </c>
      <c r="AZ919" s="670" t="str">
        <f ca="1">HYPERLINK(DN919,DC919)</f>
        <v xml:space="preserve"> 235</v>
      </c>
      <c r="BA919" s="668">
        <f ca="1">DB919</f>
        <v>35</v>
      </c>
      <c r="BB919" s="670" t="str">
        <f ca="1">HYPERLINK(DO919,DD919)</f>
        <v xml:space="preserve"> 236</v>
      </c>
      <c r="BC919" s="658" t="str">
        <f ca="1">CY919&amp;" | "&amp;CZ919</f>
        <v>Brennstoffgew.
für Prozesse | 0</v>
      </c>
      <c r="BI919" s="658" t="s">
        <v>126</v>
      </c>
      <c r="BJ919" s="667" t="str">
        <f>E919</f>
        <v>Brennstoffzellen-Traktio (FC) statt Verbrenner</v>
      </c>
      <c r="BK919" s="664" t="str">
        <f ca="1">K919</f>
        <v>(n. r.)</v>
      </c>
      <c r="BL919" s="664" t="str">
        <f ca="1">M919</f>
        <v>(Passiv)</v>
      </c>
      <c r="BM919" s="798">
        <f>D919</f>
        <v>919</v>
      </c>
      <c r="BO919" s="658" t="s">
        <v>251</v>
      </c>
      <c r="BP919" s="676" t="s">
        <v>1068</v>
      </c>
      <c r="CU919" s="659"/>
      <c r="CW919" s="671">
        <v>61</v>
      </c>
      <c r="CY919" s="798" t="str">
        <f t="shared" ref="CY919:DO919" ca="1" si="491">INDIRECT($CX$1&amp;CY$1&amp;$CW919)</f>
        <v>Brennstoffgew.
für Prozesse</v>
      </c>
      <c r="CZ919" s="798">
        <f t="shared" ca="1" si="491"/>
        <v>0</v>
      </c>
      <c r="DA919" s="798">
        <f t="shared" ca="1" si="491"/>
        <v>10.254559182513647</v>
      </c>
      <c r="DB919" s="798">
        <f t="shared" ca="1" si="491"/>
        <v>35</v>
      </c>
      <c r="DC919" s="798" t="str">
        <f t="shared" ca="1" si="491"/>
        <v xml:space="preserve"> 235</v>
      </c>
      <c r="DD919" s="798" t="str">
        <f t="shared" ca="1" si="491"/>
        <v xml:space="preserve"> 236</v>
      </c>
      <c r="DE919" s="798" t="str">
        <f t="shared" ca="1" si="491"/>
        <v>Ho99</v>
      </c>
      <c r="DF919" s="798" t="str">
        <f t="shared" ca="1" si="491"/>
        <v>Ho36</v>
      </c>
      <c r="DG919" s="798" t="str">
        <f t="shared" ca="1" si="491"/>
        <v>Ho</v>
      </c>
      <c r="DH919" s="798" t="str">
        <f t="shared" ca="1" si="491"/>
        <v>99</v>
      </c>
      <c r="DI919" s="798" t="str">
        <f t="shared" ca="1" si="491"/>
        <v>[Ho.xls]TEXT!Z99S5</v>
      </c>
      <c r="DJ919" s="798" t="str">
        <f t="shared" ca="1" si="491"/>
        <v>Ho</v>
      </c>
      <c r="DK919" s="798" t="str">
        <f t="shared" ca="1" si="491"/>
        <v>36</v>
      </c>
      <c r="DL919" s="798" t="str">
        <f t="shared" ca="1" si="491"/>
        <v>[Ho.xls]TEXT!Z36S5</v>
      </c>
      <c r="DM919" s="798">
        <f t="shared" ca="1" si="491"/>
        <v>61</v>
      </c>
      <c r="DN919" s="798" t="str">
        <f t="shared" ca="1" si="491"/>
        <v>[Region.xls]PARAMETER!Z235S6</v>
      </c>
      <c r="DO919" s="798" t="str">
        <f t="shared" ca="1" si="491"/>
        <v>[Region.xls]PARAMETER!Z236S6</v>
      </c>
      <c r="DP919" s="798"/>
      <c r="DS919" s="798"/>
      <c r="DV919" s="798"/>
      <c r="DW919" s="798"/>
      <c r="DX919" s="798"/>
      <c r="DY919" s="798"/>
      <c r="DZ919" s="798"/>
      <c r="EA919" s="798"/>
      <c r="EB919" s="798"/>
      <c r="EC919" s="798"/>
      <c r="ED919" s="798"/>
      <c r="EE919" s="798"/>
      <c r="EF919" s="798"/>
      <c r="EG919" s="798"/>
      <c r="EH919" s="798"/>
      <c r="EI919" s="798"/>
      <c r="EJ919" s="798"/>
      <c r="EK919" s="798"/>
      <c r="EV919" s="819">
        <f t="shared" si="448"/>
        <v>919</v>
      </c>
      <c r="EW919" s="819"/>
    </row>
    <row r="920" spans="1:153" s="798" customFormat="1">
      <c r="A920" s="654" t="str">
        <f t="shared" ca="1" si="446"/>
        <v>D.1.920</v>
      </c>
      <c r="B920" s="654" t="str">
        <f t="shared" ca="1" si="447"/>
        <v>1.920</v>
      </c>
      <c r="C920" s="654" t="str">
        <f t="shared" si="490"/>
        <v>[920]</v>
      </c>
      <c r="D920" s="654">
        <f>ROW()</f>
        <v>920</v>
      </c>
      <c r="E920" s="1133" t="str">
        <f>CU920</f>
        <v xml:space="preserve">- STATUS-Ansatz: Nicht relevant, da die Option Brennstoffzellen-Traktion noch nicht gebräuchlich ist. </v>
      </c>
      <c r="F920" s="1133"/>
      <c r="G920" s="1133"/>
      <c r="H920" s="1133"/>
      <c r="I920" s="1133"/>
      <c r="J920" s="1133"/>
      <c r="K920" s="1133"/>
      <c r="L920" s="1133"/>
      <c r="M920" s="1133"/>
      <c r="N920" s="1134"/>
      <c r="O920" s="893" t="s">
        <v>725</v>
      </c>
      <c r="P920" s="691"/>
      <c r="Q920" s="692"/>
      <c r="R920" s="852"/>
      <c r="S920" s="784"/>
      <c r="T920" s="864"/>
      <c r="U920" s="1023" t="str">
        <f>"Nicht relevant, da die Option Brennstoffzellen-Traktion noch nicht gebräuchlich ist. "</f>
        <v xml:space="preserve">Nicht relevant, da die Option Brennstoffzellen-Traktion noch nicht gebräuchlich ist. </v>
      </c>
      <c r="V920" s="905" t="s">
        <v>126</v>
      </c>
      <c r="W920" s="1102" t="s">
        <v>1065</v>
      </c>
      <c r="X920" s="672">
        <f>'9.Quellen'!C70</f>
        <v>70</v>
      </c>
      <c r="Y920" s="672" t="s">
        <v>1060</v>
      </c>
      <c r="Z920" s="1025"/>
      <c r="AA920" s="658"/>
      <c r="AB920" s="801"/>
      <c r="AC920" s="801"/>
      <c r="AD920" s="801"/>
      <c r="AE920" s="801"/>
      <c r="AF920" s="801"/>
      <c r="AG920" s="801"/>
      <c r="AH920" s="801"/>
      <c r="AI920" s="801"/>
      <c r="AJ920" s="801"/>
      <c r="AK920" s="801"/>
      <c r="AL920" s="801"/>
      <c r="AM920" s="801"/>
      <c r="AN920" s="801"/>
      <c r="AO920" s="801"/>
      <c r="AP920" s="801"/>
      <c r="AQ920" s="801"/>
      <c r="AR920" s="801"/>
      <c r="AS920" s="801"/>
      <c r="AT920" s="801"/>
      <c r="AU920" s="801"/>
      <c r="AV920" s="801"/>
      <c r="AY920" s="798">
        <f ca="1">AY919/AY$246%</f>
        <v>14.091645358575692</v>
      </c>
      <c r="BA920" s="798">
        <f ca="1">BA919/BA$246%</f>
        <v>100</v>
      </c>
      <c r="BF920" s="657"/>
      <c r="BI920" s="798" t="s">
        <v>126</v>
      </c>
      <c r="BJ920" s="666"/>
      <c r="BO920" s="798" t="s">
        <v>259</v>
      </c>
      <c r="CU920" s="663" t="str">
        <f>CG$1&amp;IF(U920="",BF920,U920)</f>
        <v xml:space="preserve">- STATUS-Ansatz: Nicht relevant, da die Option Brennstoffzellen-Traktion noch nicht gebräuchlich ist. </v>
      </c>
      <c r="CW920" s="663"/>
      <c r="DT920" s="671">
        <f>I_Basisdaten!A375</f>
        <v>0</v>
      </c>
      <c r="EJ920" s="798" t="str">
        <f ca="1">IF(X920=0,"",EJ$1&amp;X920)</f>
        <v>9.70</v>
      </c>
      <c r="EK920" s="798" t="str">
        <f ca="1">EK$1&amp;X920</f>
        <v>[D_Python.xlsx]9.Quellen!C70</v>
      </c>
      <c r="EV920" s="819">
        <f t="shared" si="448"/>
        <v>920</v>
      </c>
      <c r="EW920" s="819"/>
    </row>
    <row r="921" spans="1:153" s="661" customFormat="1" ht="4">
      <c r="A921" s="677" t="str">
        <f t="shared" ca="1" si="446"/>
        <v>D.1.921</v>
      </c>
      <c r="B921" s="677" t="str">
        <f t="shared" ca="1" si="447"/>
        <v>1.921</v>
      </c>
      <c r="C921" s="677" t="str">
        <f t="shared" si="490"/>
        <v>[921]</v>
      </c>
      <c r="D921" s="677">
        <f>ROW()</f>
        <v>921</v>
      </c>
      <c r="E921" s="800"/>
      <c r="F921" s="800"/>
      <c r="G921" s="800"/>
      <c r="H921" s="800"/>
      <c r="I921" s="832"/>
      <c r="J921" s="832"/>
      <c r="K921" s="832"/>
      <c r="L921" s="832"/>
      <c r="M921" s="832"/>
      <c r="N921" s="800"/>
      <c r="O921" s="894" t="s">
        <v>725</v>
      </c>
      <c r="P921" s="688"/>
      <c r="Q921" s="689"/>
      <c r="R921" s="888"/>
      <c r="S921" s="802"/>
      <c r="T921" s="882"/>
      <c r="W921" s="606"/>
      <c r="AB921" s="675"/>
      <c r="AC921" s="675"/>
      <c r="AD921" s="675"/>
      <c r="AE921" s="675"/>
      <c r="AF921" s="675"/>
      <c r="AG921" s="675"/>
      <c r="AH921" s="675"/>
      <c r="AI921" s="675"/>
      <c r="AJ921" s="675"/>
      <c r="AK921" s="675"/>
      <c r="AL921" s="675"/>
      <c r="AM921" s="675"/>
      <c r="AN921" s="675"/>
      <c r="AO921" s="675"/>
      <c r="AP921" s="675"/>
      <c r="AQ921" s="675"/>
      <c r="AR921" s="675"/>
      <c r="AS921" s="675"/>
      <c r="AT921" s="675"/>
      <c r="AU921" s="675"/>
      <c r="AV921" s="675"/>
      <c r="BI921" s="661" t="s">
        <v>126</v>
      </c>
      <c r="BJ921" s="665"/>
      <c r="CU921" s="662"/>
      <c r="CW921" s="662"/>
      <c r="EV921" s="818" t="str">
        <f t="shared" si="448"/>
        <v/>
      </c>
      <c r="EW921" s="818"/>
    </row>
    <row r="922" spans="1:153" s="798" customFormat="1" ht="26">
      <c r="A922" s="654" t="str">
        <f t="shared" ca="1" si="446"/>
        <v>D.1.922</v>
      </c>
      <c r="B922" s="654" t="str">
        <f t="shared" ca="1" si="447"/>
        <v>1.922</v>
      </c>
      <c r="C922" s="654" t="str">
        <f t="shared" si="490"/>
        <v>[922]</v>
      </c>
      <c r="D922" s="654">
        <f>ROW()</f>
        <v>922</v>
      </c>
      <c r="E922" s="1135" t="str">
        <f t="shared" ref="E922" si="492">CU922</f>
        <v>- ZIEL-Ansatz: Im Startszenario wird zur Ergänzung der Elektroantriebe klassisch von Verbrennungsmotoren ausgegangen.</v>
      </c>
      <c r="F922" s="1135"/>
      <c r="G922" s="1135"/>
      <c r="H922" s="1135"/>
      <c r="I922" s="1135"/>
      <c r="J922" s="1135"/>
      <c r="K922" s="1135"/>
      <c r="L922" s="1135"/>
      <c r="M922" s="1135"/>
      <c r="N922" s="1136"/>
      <c r="O922" s="893" t="s">
        <v>725</v>
      </c>
      <c r="P922" s="691" t="str">
        <f ca="1">HYPERLINK(EK922,EJ922)</f>
        <v/>
      </c>
      <c r="Q922" s="692" t="str">
        <f>Y922</f>
        <v xml:space="preserve"> </v>
      </c>
      <c r="R922" s="852"/>
      <c r="S922" s="784"/>
      <c r="T922" s="864"/>
      <c r="U922" s="1023" t="str">
        <f>"Im Startszenario wird zur Ergänzung der Elektroantriebe klassisch von Verbrennungsmotoren ausgegangen."</f>
        <v>Im Startszenario wird zur Ergänzung der Elektroantriebe klassisch von Verbrennungsmotoren ausgegangen.</v>
      </c>
      <c r="V922" s="905" t="s">
        <v>126</v>
      </c>
      <c r="W922" s="778" t="s">
        <v>1066</v>
      </c>
      <c r="X922" s="672"/>
      <c r="Y922" s="672" t="s">
        <v>126</v>
      </c>
      <c r="Z922" s="1025"/>
      <c r="AA922" s="905"/>
      <c r="AB922" s="801"/>
      <c r="AC922" s="1020"/>
      <c r="AD922" s="801" t="s">
        <v>1066</v>
      </c>
      <c r="AE922" s="801" t="s">
        <v>1067</v>
      </c>
      <c r="AF922" s="801"/>
      <c r="AG922" s="801"/>
      <c r="AH922" s="801"/>
      <c r="AI922" s="801"/>
      <c r="AJ922" s="801"/>
      <c r="AK922" s="801"/>
      <c r="AL922" s="801"/>
      <c r="AM922" s="801"/>
      <c r="AN922" s="801"/>
      <c r="AO922" s="801"/>
      <c r="AP922" s="801"/>
      <c r="AQ922" s="801"/>
      <c r="AR922" s="801"/>
      <c r="AS922" s="801"/>
      <c r="AT922" s="801"/>
      <c r="AU922" s="801"/>
      <c r="AV922" s="801"/>
      <c r="BF922" s="657"/>
      <c r="BI922" s="798" t="s">
        <v>126</v>
      </c>
      <c r="BJ922" s="666"/>
      <c r="BO922" s="798" t="s">
        <v>259</v>
      </c>
      <c r="CU922" s="663" t="str">
        <f>CH$1&amp;IF(U922="",BF922,U922)</f>
        <v>- ZIEL-Ansatz: Im Startszenario wird zur Ergänzung der Elektroantriebe klassisch von Verbrennungsmotoren ausgegangen.</v>
      </c>
      <c r="CW922" s="663"/>
      <c r="DT922" s="671">
        <v>53</v>
      </c>
      <c r="EJ922" s="798" t="str">
        <f>IF(X922=0,"",EJ$1&amp;X922)</f>
        <v/>
      </c>
      <c r="EK922" s="798" t="str">
        <f ca="1">EK$1&amp;X922</f>
        <v>[D_Python.xlsx]9.Quellen!C</v>
      </c>
      <c r="EV922" s="819">
        <f t="shared" si="448"/>
        <v>922</v>
      </c>
      <c r="EW922" s="819"/>
    </row>
    <row r="923" spans="1:153" s="661" customFormat="1" ht="4">
      <c r="A923" s="677" t="str">
        <f t="shared" ref="A923:A928" ca="1" si="493">BT$1&amp;D923</f>
        <v>D.1.923</v>
      </c>
      <c r="B923" s="677" t="str">
        <f t="shared" ref="B923:B928" ca="1" si="494">BW$1&amp;D923</f>
        <v>1.923</v>
      </c>
      <c r="C923" s="677" t="str">
        <f t="shared" ref="C923:C927" si="495">CE$1&amp;D923&amp;CF$1</f>
        <v>[923]</v>
      </c>
      <c r="D923" s="677">
        <f>ROW()</f>
        <v>923</v>
      </c>
      <c r="E923" s="685"/>
      <c r="F923" s="685"/>
      <c r="G923" s="685"/>
      <c r="H923" s="685"/>
      <c r="I923" s="686"/>
      <c r="J923" s="686"/>
      <c r="K923" s="686"/>
      <c r="L923" s="686"/>
      <c r="M923" s="686"/>
      <c r="N923" s="685"/>
      <c r="O923" s="871">
        <v>897</v>
      </c>
      <c r="P923" s="693"/>
      <c r="Q923" s="694"/>
      <c r="R923" s="888"/>
      <c r="S923" s="802"/>
      <c r="T923" s="882"/>
      <c r="AB923" s="675"/>
      <c r="AC923" s="675"/>
      <c r="AD923" s="675"/>
      <c r="AE923" s="675"/>
      <c r="AF923" s="675"/>
      <c r="AG923" s="675"/>
      <c r="AH923" s="675"/>
      <c r="AI923" s="675"/>
      <c r="AJ923" s="675"/>
      <c r="AK923" s="675"/>
      <c r="AL923" s="675"/>
      <c r="AM923" s="675"/>
      <c r="AN923" s="675"/>
      <c r="AO923" s="675"/>
      <c r="AP923" s="675"/>
      <c r="AQ923" s="675"/>
      <c r="AR923" s="675"/>
      <c r="AS923" s="675"/>
      <c r="AT923" s="675"/>
      <c r="AU923" s="675"/>
      <c r="AV923" s="675"/>
      <c r="AZ923" s="669"/>
      <c r="BB923" s="669"/>
      <c r="BI923" s="661" t="s">
        <v>126</v>
      </c>
      <c r="BJ923" s="665"/>
      <c r="CU923" s="662"/>
      <c r="CW923" s="662"/>
      <c r="EV923" s="818" t="str">
        <f t="shared" ref="EV923:EV928" si="496">IF(U923&amp;BP923="","",D923)</f>
        <v/>
      </c>
      <c r="EW923" s="818"/>
    </row>
    <row r="924" spans="1:153" s="658" customFormat="1" ht="13.5" customHeight="1">
      <c r="A924" s="654" t="str">
        <f t="shared" ca="1" si="493"/>
        <v>D.1.924</v>
      </c>
      <c r="B924" s="654" t="str">
        <f t="shared" ca="1" si="494"/>
        <v>1.924</v>
      </c>
      <c r="C924" s="654" t="str">
        <f t="shared" si="495"/>
        <v>[924]</v>
      </c>
      <c r="D924" s="654">
        <f>ROW()</f>
        <v>924</v>
      </c>
      <c r="E924" s="1129" t="str">
        <f>BP924</f>
        <v>Nutzungsgrad Brennstoffzellen-Traktion (FC)</v>
      </c>
      <c r="F924" s="1129"/>
      <c r="G924" s="1129"/>
      <c r="H924" s="1129"/>
      <c r="I924" s="1129"/>
      <c r="J924" s="655" t="s">
        <v>38</v>
      </c>
      <c r="K924" s="605">
        <f ca="1">INDIRECT($W$1&amp;U924)</f>
        <v>35</v>
      </c>
      <c r="L924" s="697" t="str">
        <f ca="1">HYPERLINK($CK$1&amp;U924,$CE$1&amp;U924&amp;$CF$1)</f>
        <v>[925]</v>
      </c>
      <c r="M924" s="683">
        <f ca="1">INDIRECT($W$1&amp;W924)</f>
        <v>40</v>
      </c>
      <c r="N924" s="681" t="str">
        <f ca="1">HYPERLINK($CK$1&amp;W924,$CE$1&amp;W924&amp;$CF$1)</f>
        <v>[927]</v>
      </c>
      <c r="O924" s="893" t="s">
        <v>725</v>
      </c>
      <c r="P924" s="690"/>
      <c r="Q924" s="695"/>
      <c r="R924" s="852"/>
      <c r="S924" s="784"/>
      <c r="T924" s="864"/>
      <c r="U924" s="672">
        <f>D925</f>
        <v>925</v>
      </c>
      <c r="V924" s="905" t="s">
        <v>126</v>
      </c>
      <c r="W924" s="672">
        <f>D927</f>
        <v>927</v>
      </c>
      <c r="AB924" s="801"/>
      <c r="AC924" s="801"/>
      <c r="AD924" s="674"/>
      <c r="AE924" s="674"/>
      <c r="AF924" s="674"/>
      <c r="AG924" s="674"/>
      <c r="AH924" s="674"/>
      <c r="AI924" s="674"/>
      <c r="AJ924" s="674"/>
      <c r="AK924" s="674"/>
      <c r="AL924" s="674"/>
      <c r="AM924" s="674"/>
      <c r="AN924" s="674"/>
      <c r="AO924" s="674"/>
      <c r="AP924" s="674"/>
      <c r="AQ924" s="674"/>
      <c r="AR924" s="674"/>
      <c r="AS924" s="674"/>
      <c r="AT924" s="674"/>
      <c r="AU924" s="674"/>
      <c r="AV924" s="674"/>
      <c r="AX924" s="658" t="s">
        <v>244</v>
      </c>
      <c r="AY924" s="668">
        <f ca="1">DA924</f>
        <v>10.254559182513647</v>
      </c>
      <c r="AZ924" s="670" t="str">
        <f ca="1">HYPERLINK(DN924,DC924)</f>
        <v xml:space="preserve"> 235</v>
      </c>
      <c r="BA924" s="668">
        <f ca="1">DB924</f>
        <v>35</v>
      </c>
      <c r="BB924" s="670" t="str">
        <f ca="1">HYPERLINK(DO924,DD924)</f>
        <v xml:space="preserve"> 236</v>
      </c>
      <c r="BC924" s="658" t="str">
        <f ca="1">CY924&amp;" | "&amp;CZ924</f>
        <v>Brennstoffgew.
für Prozesse | 0</v>
      </c>
      <c r="BI924" s="658" t="s">
        <v>126</v>
      </c>
      <c r="BJ924" s="667" t="str">
        <f>E924</f>
        <v>Nutzungsgrad Brennstoffzellen-Traktion (FC)</v>
      </c>
      <c r="BK924" s="664">
        <f ca="1">K924</f>
        <v>35</v>
      </c>
      <c r="BL924" s="664">
        <f ca="1">M924</f>
        <v>40</v>
      </c>
      <c r="BM924" s="798">
        <f>D924</f>
        <v>924</v>
      </c>
      <c r="BO924" s="658" t="s">
        <v>251</v>
      </c>
      <c r="BP924" s="676" t="s">
        <v>1059</v>
      </c>
      <c r="CU924" s="659"/>
      <c r="CW924" s="671">
        <v>61</v>
      </c>
      <c r="CY924" s="798" t="str">
        <f t="shared" ref="CY924:DO924" ca="1" si="497">INDIRECT($CX$1&amp;CY$1&amp;$CW924)</f>
        <v>Brennstoffgew.
für Prozesse</v>
      </c>
      <c r="CZ924" s="798">
        <f t="shared" ca="1" si="497"/>
        <v>0</v>
      </c>
      <c r="DA924" s="798">
        <f t="shared" ca="1" si="497"/>
        <v>10.254559182513647</v>
      </c>
      <c r="DB924" s="798">
        <f t="shared" ca="1" si="497"/>
        <v>35</v>
      </c>
      <c r="DC924" s="798" t="str">
        <f t="shared" ca="1" si="497"/>
        <v xml:space="preserve"> 235</v>
      </c>
      <c r="DD924" s="798" t="str">
        <f t="shared" ca="1" si="497"/>
        <v xml:space="preserve"> 236</v>
      </c>
      <c r="DE924" s="798" t="str">
        <f t="shared" ca="1" si="497"/>
        <v>Ho99</v>
      </c>
      <c r="DF924" s="798" t="str">
        <f t="shared" ca="1" si="497"/>
        <v>Ho36</v>
      </c>
      <c r="DG924" s="798" t="str">
        <f t="shared" ca="1" si="497"/>
        <v>Ho</v>
      </c>
      <c r="DH924" s="798" t="str">
        <f t="shared" ca="1" si="497"/>
        <v>99</v>
      </c>
      <c r="DI924" s="798" t="str">
        <f t="shared" ca="1" si="497"/>
        <v>[Ho.xls]TEXT!Z99S5</v>
      </c>
      <c r="DJ924" s="798" t="str">
        <f t="shared" ca="1" si="497"/>
        <v>Ho</v>
      </c>
      <c r="DK924" s="798" t="str">
        <f t="shared" ca="1" si="497"/>
        <v>36</v>
      </c>
      <c r="DL924" s="798" t="str">
        <f t="shared" ca="1" si="497"/>
        <v>[Ho.xls]TEXT!Z36S5</v>
      </c>
      <c r="DM924" s="798">
        <f t="shared" ca="1" si="497"/>
        <v>61</v>
      </c>
      <c r="DN924" s="798" t="str">
        <f t="shared" ca="1" si="497"/>
        <v>[Region.xls]PARAMETER!Z235S6</v>
      </c>
      <c r="DO924" s="798" t="str">
        <f t="shared" ca="1" si="497"/>
        <v>[Region.xls]PARAMETER!Z236S6</v>
      </c>
      <c r="DP924" s="798"/>
      <c r="DS924" s="798"/>
      <c r="DV924" s="798"/>
      <c r="DW924" s="798"/>
      <c r="DX924" s="798"/>
      <c r="DY924" s="798"/>
      <c r="DZ924" s="798"/>
      <c r="EA924" s="798"/>
      <c r="EB924" s="798"/>
      <c r="EC924" s="798"/>
      <c r="ED924" s="798"/>
      <c r="EE924" s="798"/>
      <c r="EF924" s="798"/>
      <c r="EG924" s="798"/>
      <c r="EH924" s="798"/>
      <c r="EI924" s="798"/>
      <c r="EJ924" s="798"/>
      <c r="EK924" s="798"/>
      <c r="EV924" s="819">
        <f t="shared" si="496"/>
        <v>924</v>
      </c>
      <c r="EW924" s="819"/>
    </row>
    <row r="925" spans="1:153" s="798" customFormat="1" ht="39">
      <c r="A925" s="654" t="str">
        <f t="shared" ca="1" si="493"/>
        <v>D.1.925</v>
      </c>
      <c r="B925" s="654" t="str">
        <f t="shared" ca="1" si="494"/>
        <v>1.925</v>
      </c>
      <c r="C925" s="654" t="str">
        <f t="shared" si="495"/>
        <v>[925]</v>
      </c>
      <c r="D925" s="654">
        <f>ROW()</f>
        <v>925</v>
      </c>
      <c r="E925" s="1133" t="str">
        <f>CU925</f>
        <v xml:space="preserve">- STATUS-Ansatz: "Für den mobilen Einsatz in Fahrzeugen kommen daher nur PEFC bei 70°C und festem Elektrolyt mit Leistungen von etwa 250kW zum Einsatz, die einen Wirkungsgrad von bis zu 35% aufweisen". (In der Literatur auch PEM bzw. PEMFC). </v>
      </c>
      <c r="F925" s="1133"/>
      <c r="G925" s="1133"/>
      <c r="H925" s="1133"/>
      <c r="I925" s="1133"/>
      <c r="J925" s="1133"/>
      <c r="K925" s="1133"/>
      <c r="L925" s="1133"/>
      <c r="M925" s="1133"/>
      <c r="N925" s="1134"/>
      <c r="O925" s="893" t="s">
        <v>725</v>
      </c>
      <c r="P925" s="691" t="str">
        <f ca="1">HYPERLINK(EK925,EJ925)</f>
        <v>9.205</v>
      </c>
      <c r="Q925" s="692" t="str">
        <f>Y925</f>
        <v>Kap. 3</v>
      </c>
      <c r="R925" s="852"/>
      <c r="S925" s="784"/>
      <c r="T925" s="864"/>
      <c r="U925" s="1023" t="str">
        <f>"""Für den mobilen Einsatz in Fahrzeugen kommen daher nur PEFC bei 70°C und festem Elektrolyt mit Leistungen von etwa 250kW zum Einsatz, die einen Wirkungsgrad von bis zu 35% aufweisen"". (In der Literatur auch PEM bzw. PEMFC). "</f>
        <v xml:space="preserve">"Für den mobilen Einsatz in Fahrzeugen kommen daher nur PEFC bei 70°C und festem Elektrolyt mit Leistungen von etwa 250kW zum Einsatz, die einen Wirkungsgrad von bis zu 35% aufweisen". (In der Literatur auch PEM bzw. PEMFC). </v>
      </c>
      <c r="V925" s="905" t="s">
        <v>126</v>
      </c>
      <c r="W925" s="1102">
        <f>AD925</f>
        <v>35</v>
      </c>
      <c r="X925" s="672">
        <f>'9.Quellen'!C205</f>
        <v>205</v>
      </c>
      <c r="Y925" s="672" t="s">
        <v>1060</v>
      </c>
      <c r="Z925" s="1025"/>
      <c r="AA925" s="658"/>
      <c r="AB925" s="801"/>
      <c r="AC925" s="801"/>
      <c r="AD925" s="801">
        <v>35</v>
      </c>
      <c r="AE925" s="801" t="s">
        <v>972</v>
      </c>
      <c r="AF925" s="801"/>
      <c r="AG925" s="801"/>
      <c r="AH925" s="801"/>
      <c r="AI925" s="801"/>
      <c r="AJ925" s="801"/>
      <c r="AK925" s="801"/>
      <c r="AL925" s="801"/>
      <c r="AM925" s="801"/>
      <c r="AN925" s="801"/>
      <c r="AO925" s="801"/>
      <c r="AP925" s="801"/>
      <c r="AQ925" s="801"/>
      <c r="AR925" s="801"/>
      <c r="AS925" s="801"/>
      <c r="AT925" s="801"/>
      <c r="AU925" s="801"/>
      <c r="AV925" s="801"/>
      <c r="AY925" s="798">
        <f ca="1">AY924/AY$246%</f>
        <v>14.091645358575692</v>
      </c>
      <c r="BA925" s="798">
        <f ca="1">BA924/BA$246%</f>
        <v>100</v>
      </c>
      <c r="BF925" s="657"/>
      <c r="BI925" s="798" t="s">
        <v>126</v>
      </c>
      <c r="BJ925" s="666"/>
      <c r="BO925" s="798" t="s">
        <v>259</v>
      </c>
      <c r="CU925" s="663" t="str">
        <f>CG$1&amp;IF(U925="",BF925,U925)</f>
        <v xml:space="preserve">- STATUS-Ansatz: "Für den mobilen Einsatz in Fahrzeugen kommen daher nur PEFC bei 70°C und festem Elektrolyt mit Leistungen von etwa 250kW zum Einsatz, die einen Wirkungsgrad von bis zu 35% aufweisen". (In der Literatur auch PEM bzw. PEMFC). </v>
      </c>
      <c r="CW925" s="663"/>
      <c r="DT925" s="671">
        <f>I_Basisdaten!A380</f>
        <v>0</v>
      </c>
      <c r="EJ925" s="798" t="str">
        <f ca="1">IF(X925=0,"",EJ$1&amp;X925)</f>
        <v>9.205</v>
      </c>
      <c r="EK925" s="798" t="str">
        <f ca="1">EK$1&amp;X925</f>
        <v>[D_Python.xlsx]9.Quellen!C205</v>
      </c>
      <c r="EV925" s="819">
        <f t="shared" si="496"/>
        <v>925</v>
      </c>
      <c r="EW925" s="819"/>
    </row>
    <row r="926" spans="1:153" s="661" customFormat="1" ht="4">
      <c r="A926" s="677" t="str">
        <f t="shared" ca="1" si="493"/>
        <v>D.1.926</v>
      </c>
      <c r="B926" s="677" t="str">
        <f t="shared" ca="1" si="494"/>
        <v>1.926</v>
      </c>
      <c r="C926" s="677" t="str">
        <f t="shared" si="495"/>
        <v>[926]</v>
      </c>
      <c r="D926" s="677">
        <f>ROW()</f>
        <v>926</v>
      </c>
      <c r="E926" s="800"/>
      <c r="F926" s="800"/>
      <c r="G926" s="800"/>
      <c r="H926" s="800"/>
      <c r="I926" s="832"/>
      <c r="J926" s="832"/>
      <c r="K926" s="832"/>
      <c r="L926" s="832"/>
      <c r="M926" s="832"/>
      <c r="N926" s="800"/>
      <c r="O926" s="894" t="s">
        <v>725</v>
      </c>
      <c r="P926" s="688"/>
      <c r="Q926" s="689"/>
      <c r="R926" s="888"/>
      <c r="S926" s="802"/>
      <c r="T926" s="882"/>
      <c r="W926" s="606"/>
      <c r="AB926" s="675"/>
      <c r="AC926" s="675"/>
      <c r="AD926" s="675"/>
      <c r="AE926" s="675"/>
      <c r="AF926" s="675"/>
      <c r="AG926" s="675"/>
      <c r="AH926" s="675"/>
      <c r="AI926" s="675"/>
      <c r="AJ926" s="675"/>
      <c r="AK926" s="675"/>
      <c r="AL926" s="675"/>
      <c r="AM926" s="675"/>
      <c r="AN926" s="675"/>
      <c r="AO926" s="675"/>
      <c r="AP926" s="675"/>
      <c r="AQ926" s="675"/>
      <c r="AR926" s="675"/>
      <c r="AS926" s="675"/>
      <c r="AT926" s="675"/>
      <c r="AU926" s="675"/>
      <c r="AV926" s="675"/>
      <c r="BI926" s="661" t="s">
        <v>126</v>
      </c>
      <c r="BJ926" s="665"/>
      <c r="CU926" s="662"/>
      <c r="CW926" s="662"/>
      <c r="EV926" s="818" t="str">
        <f t="shared" si="496"/>
        <v/>
      </c>
      <c r="EW926" s="818"/>
    </row>
    <row r="927" spans="1:153" s="798" customFormat="1">
      <c r="A927" s="654" t="str">
        <f t="shared" ca="1" si="493"/>
        <v>D.1.927</v>
      </c>
      <c r="B927" s="654" t="str">
        <f t="shared" ca="1" si="494"/>
        <v>1.927</v>
      </c>
      <c r="C927" s="654" t="str">
        <f t="shared" si="495"/>
        <v>[927]</v>
      </c>
      <c r="D927" s="654">
        <f>ROW()</f>
        <v>927</v>
      </c>
      <c r="E927" s="1135" t="str">
        <f t="shared" ref="E927" si="498">CU927</f>
        <v>- ZIEL-Ansatz: Orientiert am Status wird von einem erreichbaren Wirkungsgrad von 40%  ausgegangen.</v>
      </c>
      <c r="F927" s="1135"/>
      <c r="G927" s="1135"/>
      <c r="H927" s="1135"/>
      <c r="I927" s="1135"/>
      <c r="J927" s="1135"/>
      <c r="K927" s="1135"/>
      <c r="L927" s="1135"/>
      <c r="M927" s="1135"/>
      <c r="N927" s="1136"/>
      <c r="O927" s="893" t="s">
        <v>725</v>
      </c>
      <c r="P927" s="691" t="str">
        <f ca="1">HYPERLINK(EK927,EJ927)</f>
        <v/>
      </c>
      <c r="Q927" s="692" t="str">
        <f>Y927</f>
        <v xml:space="preserve"> </v>
      </c>
      <c r="R927" s="852"/>
      <c r="S927" s="784"/>
      <c r="T927" s="864"/>
      <c r="U927" s="1023" t="str">
        <f>"Orientiert am Status wird von einem erreichbaren Wirkungsgrad von "&amp;AD927&amp;AE927&amp;" ausgegangen."</f>
        <v>Orientiert am Status wird von einem erreichbaren Wirkungsgrad von 40%  ausgegangen.</v>
      </c>
      <c r="V927" s="905" t="s">
        <v>126</v>
      </c>
      <c r="W927" s="1095">
        <f>AD927</f>
        <v>40</v>
      </c>
      <c r="X927" s="672"/>
      <c r="Y927" s="672" t="s">
        <v>126</v>
      </c>
      <c r="Z927" s="1025"/>
      <c r="AA927" s="905"/>
      <c r="AB927" s="801"/>
      <c r="AC927" s="801"/>
      <c r="AD927" s="801">
        <v>40</v>
      </c>
      <c r="AE927" s="801" t="str">
        <f>AO928</f>
        <v xml:space="preserve">% </v>
      </c>
      <c r="AF927" s="801"/>
      <c r="AG927" s="801"/>
      <c r="AH927" s="801"/>
      <c r="AI927" s="801"/>
      <c r="AJ927" s="801"/>
      <c r="AK927" s="801"/>
      <c r="AL927" s="801"/>
      <c r="AM927" s="801"/>
      <c r="AN927" s="801"/>
      <c r="AO927" s="801"/>
      <c r="AP927" s="801"/>
      <c r="AQ927" s="801"/>
      <c r="AR927" s="801"/>
      <c r="AS927" s="801"/>
      <c r="AT927" s="801"/>
      <c r="AU927" s="801"/>
      <c r="AV927" s="801"/>
      <c r="BF927" s="657"/>
      <c r="BI927" s="798" t="s">
        <v>126</v>
      </c>
      <c r="BJ927" s="666"/>
      <c r="BO927" s="798" t="s">
        <v>259</v>
      </c>
      <c r="CU927" s="663" t="str">
        <f>CH$1&amp;IF(U927="",BF927,U927)</f>
        <v>- ZIEL-Ansatz: Orientiert am Status wird von einem erreichbaren Wirkungsgrad von 40%  ausgegangen.</v>
      </c>
      <c r="CW927" s="663"/>
      <c r="DT927" s="671">
        <v>53</v>
      </c>
      <c r="EJ927" s="798" t="str">
        <f>IF(X927=0,"",EJ$1&amp;X927)</f>
        <v/>
      </c>
      <c r="EK927" s="798" t="str">
        <f ca="1">EK$1&amp;X927</f>
        <v>[D_Python.xlsx]9.Quellen!C</v>
      </c>
      <c r="EV927" s="819">
        <f t="shared" si="496"/>
        <v>927</v>
      </c>
      <c r="EW927" s="819"/>
    </row>
    <row r="928" spans="1:153" s="798" customFormat="1" hidden="1">
      <c r="A928" s="654" t="str">
        <f t="shared" ca="1" si="493"/>
        <v>D.1.928</v>
      </c>
      <c r="B928" s="654" t="str">
        <f t="shared" ca="1" si="494"/>
        <v>1.928</v>
      </c>
      <c r="C928" s="654" t="str">
        <f>CE$1&amp;D928&amp;CF$1</f>
        <v>[928]</v>
      </c>
      <c r="D928" s="654">
        <f>ROW()</f>
        <v>928</v>
      </c>
      <c r="E928" s="1125" t="str">
        <f>CU928</f>
        <v xml:space="preserve"> </v>
      </c>
      <c r="F928" s="1125"/>
      <c r="G928" s="1125"/>
      <c r="H928" s="1125"/>
      <c r="I928" s="1125"/>
      <c r="J928" s="1125"/>
      <c r="K928" s="1125"/>
      <c r="L928" s="1125"/>
      <c r="M928" s="1125"/>
      <c r="N928" s="1132"/>
      <c r="O928" s="869" t="s">
        <v>725</v>
      </c>
      <c r="P928" s="691" t="str">
        <f ca="1">HYPERLINK(EK928,EJ928)</f>
        <v/>
      </c>
      <c r="Q928" s="692">
        <f>Y928</f>
        <v>0</v>
      </c>
      <c r="R928" s="852"/>
      <c r="S928" s="784"/>
      <c r="T928" s="864"/>
      <c r="U928" s="1023"/>
      <c r="V928" s="905" t="s">
        <v>126</v>
      </c>
      <c r="W928" s="1025"/>
      <c r="X928" s="672"/>
      <c r="Y928" s="672"/>
      <c r="Z928" s="1025"/>
      <c r="AA928" s="905"/>
      <c r="AB928" s="801"/>
      <c r="AC928" s="801"/>
      <c r="AD928" s="801"/>
      <c r="AE928" s="801"/>
      <c r="AF928" s="801"/>
      <c r="AG928" s="801"/>
      <c r="AH928" s="801"/>
      <c r="AI928" s="801"/>
      <c r="AJ928" s="801"/>
      <c r="AK928" s="801"/>
      <c r="AL928" s="801"/>
      <c r="AM928" s="801"/>
      <c r="AN928" s="801"/>
      <c r="AO928" s="801" t="s">
        <v>835</v>
      </c>
      <c r="AP928" s="801"/>
      <c r="AQ928" s="801"/>
      <c r="AR928" s="801"/>
      <c r="AS928" s="801"/>
      <c r="AT928" s="801"/>
      <c r="AU928" s="801"/>
      <c r="AV928" s="801"/>
      <c r="BF928" s="657" t="s">
        <v>126</v>
      </c>
      <c r="BI928" s="798" t="s">
        <v>126</v>
      </c>
      <c r="BJ928" s="666"/>
      <c r="BO928" s="798" t="s">
        <v>259</v>
      </c>
      <c r="BQ928" s="678" t="s">
        <v>271</v>
      </c>
      <c r="CU928" s="663" t="str">
        <f>IF(U928="",BF928,U928)</f>
        <v xml:space="preserve"> </v>
      </c>
      <c r="CW928" s="663"/>
      <c r="EJ928" s="798" t="str">
        <f>IF(X928=0,"",EJ$1&amp;X928)</f>
        <v/>
      </c>
      <c r="EK928" s="798" t="str">
        <f ca="1">EK$1&amp;X928</f>
        <v>[D_Python.xlsx]9.Quellen!C</v>
      </c>
      <c r="EV928" s="819" t="str">
        <f t="shared" si="496"/>
        <v/>
      </c>
      <c r="EW928" s="819"/>
    </row>
    <row r="929" spans="1:153" s="661" customFormat="1" ht="4">
      <c r="A929" s="677" t="str">
        <f t="shared" ca="1" si="446"/>
        <v>D.1.929</v>
      </c>
      <c r="B929" s="677" t="str">
        <f t="shared" ca="1" si="447"/>
        <v>1.929</v>
      </c>
      <c r="C929" s="677" t="str">
        <f t="shared" si="443"/>
        <v>[929]</v>
      </c>
      <c r="D929" s="677">
        <f>ROW()</f>
        <v>929</v>
      </c>
      <c r="E929" s="685"/>
      <c r="F929" s="685"/>
      <c r="G929" s="685"/>
      <c r="H929" s="685"/>
      <c r="I929" s="686"/>
      <c r="J929" s="686"/>
      <c r="K929" s="686"/>
      <c r="L929" s="686"/>
      <c r="M929" s="686"/>
      <c r="N929" s="685"/>
      <c r="O929" s="871">
        <v>903</v>
      </c>
      <c r="P929" s="693"/>
      <c r="Q929" s="694"/>
      <c r="R929" s="888"/>
      <c r="S929" s="802"/>
      <c r="T929" s="882"/>
      <c r="AB929" s="675"/>
      <c r="AC929" s="675"/>
      <c r="AD929" s="675"/>
      <c r="AE929" s="675"/>
      <c r="AF929" s="675"/>
      <c r="AG929" s="675"/>
      <c r="AH929" s="675"/>
      <c r="AI929" s="675"/>
      <c r="AJ929" s="675"/>
      <c r="AK929" s="675"/>
      <c r="AL929" s="675"/>
      <c r="AM929" s="675"/>
      <c r="AN929" s="675"/>
      <c r="AO929" s="675"/>
      <c r="AP929" s="675"/>
      <c r="AQ929" s="675"/>
      <c r="AR929" s="675"/>
      <c r="AS929" s="675"/>
      <c r="AT929" s="675"/>
      <c r="AU929" s="675"/>
      <c r="AV929" s="675"/>
      <c r="AZ929" s="669"/>
      <c r="BB929" s="669"/>
      <c r="BI929" s="661" t="s">
        <v>126</v>
      </c>
      <c r="BJ929" s="665"/>
      <c r="CU929" s="662"/>
      <c r="CW929" s="662"/>
      <c r="EV929" s="818" t="str">
        <f t="shared" si="448"/>
        <v/>
      </c>
      <c r="EW929" s="818"/>
    </row>
    <row r="930" spans="1:153" s="658" customFormat="1" ht="13.5" customHeight="1">
      <c r="A930" s="654" t="str">
        <f t="shared" ca="1" si="446"/>
        <v>D.1.930</v>
      </c>
      <c r="B930" s="654" t="str">
        <f t="shared" ca="1" si="447"/>
        <v>1.930</v>
      </c>
      <c r="C930" s="654" t="str">
        <f t="shared" si="443"/>
        <v>[930]</v>
      </c>
      <c r="D930" s="654">
        <f>ROW()</f>
        <v>930</v>
      </c>
      <c r="E930" s="1129" t="str">
        <f>BP930</f>
        <v>Zieleinfluss Entwicklung Güterverkehr (GVk)</v>
      </c>
      <c r="F930" s="1129"/>
      <c r="G930" s="1129"/>
      <c r="H930" s="1129"/>
      <c r="I930" s="1129"/>
      <c r="J930" s="655" t="s">
        <v>38</v>
      </c>
      <c r="K930" s="605">
        <f ca="1">INDIRECT($W$1&amp;U930)</f>
        <v>100</v>
      </c>
      <c r="L930" s="697" t="str">
        <f ca="1">HYPERLINK($CK$1&amp;U930,$CE$1&amp;U930&amp;$CF$1)</f>
        <v>[931]</v>
      </c>
      <c r="M930" s="683">
        <f ca="1">INDIRECT($W$1&amp;W930)</f>
        <v>100</v>
      </c>
      <c r="N930" s="681" t="str">
        <f ca="1">HYPERLINK($CK$1&amp;W930,$CE$1&amp;W930&amp;$CF$1)</f>
        <v>[933]</v>
      </c>
      <c r="O930" s="869">
        <v>904</v>
      </c>
      <c r="P930" s="690"/>
      <c r="Q930" s="695"/>
      <c r="R930" s="852"/>
      <c r="S930" s="784"/>
      <c r="T930" s="864"/>
      <c r="U930" s="672">
        <f>D931</f>
        <v>931</v>
      </c>
      <c r="V930" s="905" t="s">
        <v>126</v>
      </c>
      <c r="W930" s="672">
        <f>D933</f>
        <v>933</v>
      </c>
      <c r="AB930" s="801"/>
      <c r="AC930" s="801"/>
      <c r="AD930" s="674"/>
      <c r="AE930" s="674"/>
      <c r="AF930" s="674"/>
      <c r="AG930" s="674"/>
      <c r="AH930" s="674"/>
      <c r="AI930" s="674"/>
      <c r="AJ930" s="674"/>
      <c r="AK930" s="674"/>
      <c r="AL930" s="674"/>
      <c r="AM930" s="674"/>
      <c r="AN930" s="674"/>
      <c r="AO930" s="674"/>
      <c r="AP930" s="674"/>
      <c r="AQ930" s="674"/>
      <c r="AR930" s="674"/>
      <c r="AS930" s="674"/>
      <c r="AT930" s="674"/>
      <c r="AU930" s="674"/>
      <c r="AV930" s="674"/>
      <c r="AX930" s="658" t="s">
        <v>244</v>
      </c>
      <c r="AY930" s="668">
        <f ca="1">DA930</f>
        <v>10.254559182513647</v>
      </c>
      <c r="AZ930" s="670" t="str">
        <f ca="1">HYPERLINK(DN930,DC930)</f>
        <v xml:space="preserve"> 235</v>
      </c>
      <c r="BA930" s="668">
        <f ca="1">DB930</f>
        <v>35</v>
      </c>
      <c r="BB930" s="670" t="str">
        <f ca="1">HYPERLINK(DO930,DD930)</f>
        <v xml:space="preserve"> 236</v>
      </c>
      <c r="BC930" s="658" t="str">
        <f ca="1">CY930&amp;" | "&amp;CZ930</f>
        <v>Brennstoffgew.
für Prozesse | 0</v>
      </c>
      <c r="BI930" s="658" t="s">
        <v>126</v>
      </c>
      <c r="BJ930" s="667" t="str">
        <f>E930</f>
        <v>Zieleinfluss Entwicklung Güterverkehr (GVk)</v>
      </c>
      <c r="BK930" s="664">
        <f ca="1">K930</f>
        <v>100</v>
      </c>
      <c r="BL930" s="664">
        <f ca="1">M930</f>
        <v>100</v>
      </c>
      <c r="BM930" s="656">
        <f>D930</f>
        <v>930</v>
      </c>
      <c r="BO930" s="658" t="s">
        <v>251</v>
      </c>
      <c r="BP930" s="676" t="s">
        <v>706</v>
      </c>
      <c r="CU930" s="659"/>
      <c r="CW930" s="671">
        <v>61</v>
      </c>
      <c r="CY930" s="656" t="str">
        <f t="shared" ref="CY930:DO930" ca="1" si="499">INDIRECT($CX$1&amp;CY$1&amp;$CW930)</f>
        <v>Brennstoffgew.
für Prozesse</v>
      </c>
      <c r="CZ930" s="656">
        <f t="shared" ca="1" si="499"/>
        <v>0</v>
      </c>
      <c r="DA930" s="656">
        <f t="shared" ca="1" si="499"/>
        <v>10.254559182513647</v>
      </c>
      <c r="DB930" s="656">
        <f t="shared" ca="1" si="499"/>
        <v>35</v>
      </c>
      <c r="DC930" s="656" t="str">
        <f t="shared" ca="1" si="499"/>
        <v xml:space="preserve"> 235</v>
      </c>
      <c r="DD930" s="656" t="str">
        <f t="shared" ca="1" si="499"/>
        <v xml:space="preserve"> 236</v>
      </c>
      <c r="DE930" s="656" t="str">
        <f t="shared" ca="1" si="499"/>
        <v>Ho99</v>
      </c>
      <c r="DF930" s="656" t="str">
        <f t="shared" ca="1" si="499"/>
        <v>Ho36</v>
      </c>
      <c r="DG930" s="656" t="str">
        <f t="shared" ca="1" si="499"/>
        <v>Ho</v>
      </c>
      <c r="DH930" s="656" t="str">
        <f t="shared" ca="1" si="499"/>
        <v>99</v>
      </c>
      <c r="DI930" s="656" t="str">
        <f t="shared" ca="1" si="499"/>
        <v>[Ho.xls]TEXT!Z99S5</v>
      </c>
      <c r="DJ930" s="656" t="str">
        <f t="shared" ca="1" si="499"/>
        <v>Ho</v>
      </c>
      <c r="DK930" s="656" t="str">
        <f t="shared" ca="1" si="499"/>
        <v>36</v>
      </c>
      <c r="DL930" s="656" t="str">
        <f t="shared" ca="1" si="499"/>
        <v>[Ho.xls]TEXT!Z36S5</v>
      </c>
      <c r="DM930" s="656">
        <f t="shared" ca="1" si="499"/>
        <v>61</v>
      </c>
      <c r="DN930" s="656" t="str">
        <f t="shared" ca="1" si="499"/>
        <v>[Region.xls]PARAMETER!Z235S6</v>
      </c>
      <c r="DO930" s="656" t="str">
        <f t="shared" ca="1" si="499"/>
        <v>[Region.xls]PARAMETER!Z236S6</v>
      </c>
      <c r="DP930" s="656"/>
      <c r="DS930" s="656"/>
      <c r="DV930" s="656"/>
      <c r="DW930" s="656"/>
      <c r="DX930" s="656"/>
      <c r="DY930" s="656"/>
      <c r="DZ930" s="656"/>
      <c r="EA930" s="656"/>
      <c r="EB930" s="656"/>
      <c r="EC930" s="656"/>
      <c r="ED930" s="656"/>
      <c r="EE930" s="656"/>
      <c r="EF930" s="656"/>
      <c r="EG930" s="656"/>
      <c r="EH930" s="656"/>
      <c r="EI930" s="656"/>
      <c r="EJ930" s="656"/>
      <c r="EK930" s="656"/>
      <c r="EV930" s="819">
        <f t="shared" si="448"/>
        <v>930</v>
      </c>
      <c r="EW930" s="819"/>
    </row>
    <row r="931" spans="1:153" s="656" customFormat="1" ht="39">
      <c r="A931" s="654" t="str">
        <f t="shared" ca="1" si="446"/>
        <v>D.1.931</v>
      </c>
      <c r="B931" s="654" t="str">
        <f t="shared" ca="1" si="447"/>
        <v>1.931</v>
      </c>
      <c r="C931" s="654" t="str">
        <f t="shared" si="443"/>
        <v>[931]</v>
      </c>
      <c r="D931" s="654">
        <f>ROW()</f>
        <v>931</v>
      </c>
      <c r="E931" s="1130" t="str">
        <f>CU931</f>
        <v>- STATUS-Ansatz: Repräsentiert den Status der Güterverkehrsleistung (Tonnenkilometer pro Einwohner) im Durchschnitt über die verbrennungsmotorisch betriebenen Güterverkehrsmittel. Dient als Referenz für Veränderung der Güterverkehrsleistung zum Zieljahr.</v>
      </c>
      <c r="F931" s="1130"/>
      <c r="G931" s="1130"/>
      <c r="H931" s="1130"/>
      <c r="I931" s="1130"/>
      <c r="J931" s="1130"/>
      <c r="K931" s="1130"/>
      <c r="L931" s="1130"/>
      <c r="M931" s="1130"/>
      <c r="N931" s="1131"/>
      <c r="O931" s="869">
        <v>905</v>
      </c>
      <c r="P931" s="691" t="str">
        <f ca="1">HYPERLINK(EK931,EJ931)</f>
        <v/>
      </c>
      <c r="Q931" s="692" t="str">
        <f>Y931</f>
        <v xml:space="preserve"> </v>
      </c>
      <c r="R931" s="852"/>
      <c r="S931" s="784"/>
      <c r="T931" s="864"/>
      <c r="U931" s="1023" t="s">
        <v>1044</v>
      </c>
      <c r="V931" s="905" t="s">
        <v>126</v>
      </c>
      <c r="W931" s="1096">
        <v>100</v>
      </c>
      <c r="X931" s="672"/>
      <c r="Y931" s="672" t="s">
        <v>126</v>
      </c>
      <c r="Z931" s="1025"/>
      <c r="AA931" s="658"/>
      <c r="AB931" s="801"/>
      <c r="AC931" s="801"/>
      <c r="AD931" s="801"/>
      <c r="AE931" s="801"/>
      <c r="AF931" s="801"/>
      <c r="AG931" s="801"/>
      <c r="AH931" s="801"/>
      <c r="AI931" s="801"/>
      <c r="AJ931" s="801"/>
      <c r="AK931" s="801"/>
      <c r="AL931" s="801"/>
      <c r="AM931" s="801"/>
      <c r="AN931" s="801"/>
      <c r="AO931" s="801"/>
      <c r="AP931" s="801"/>
      <c r="AQ931" s="801"/>
      <c r="AR931" s="801"/>
      <c r="AS931" s="801"/>
      <c r="AT931" s="801"/>
      <c r="AU931" s="801"/>
      <c r="AV931" s="801"/>
      <c r="AY931" s="656">
        <f ca="1">AY930/AY$246%</f>
        <v>14.091645358575692</v>
      </c>
      <c r="BA931" s="656">
        <f ca="1">BA930/BA$246%</f>
        <v>100</v>
      </c>
      <c r="BF931" s="657"/>
      <c r="BI931" s="656" t="s">
        <v>126</v>
      </c>
      <c r="BJ931" s="666"/>
      <c r="BO931" s="656" t="s">
        <v>259</v>
      </c>
      <c r="CU931" s="663" t="str">
        <f>CG$1&amp;IF(U931="",BF931,U931)</f>
        <v>- STATUS-Ansatz: Repräsentiert den Status der Güterverkehrsleistung (Tonnenkilometer pro Einwohner) im Durchschnitt über die verbrennungsmotorisch betriebenen Güterverkehrsmittel. Dient als Referenz für Veränderung der Güterverkehrsleistung zum Zieljahr.</v>
      </c>
      <c r="CW931" s="663"/>
      <c r="DT931" s="671">
        <f>I_Basisdaten!A379</f>
        <v>0</v>
      </c>
      <c r="EJ931" s="656" t="str">
        <f>IF(X931=0,"",EJ$1&amp;X931)</f>
        <v/>
      </c>
      <c r="EK931" s="656" t="str">
        <f ca="1">EK$1&amp;X931</f>
        <v>[D_Python.xlsx]9.Quellen!C</v>
      </c>
      <c r="EV931" s="819">
        <f t="shared" si="448"/>
        <v>931</v>
      </c>
      <c r="EW931" s="819"/>
    </row>
    <row r="932" spans="1:153" s="661" customFormat="1" ht="4">
      <c r="A932" s="677" t="str">
        <f t="shared" ca="1" si="446"/>
        <v>D.1.932</v>
      </c>
      <c r="B932" s="677" t="str">
        <f t="shared" ca="1" si="447"/>
        <v>1.932</v>
      </c>
      <c r="C932" s="677" t="str">
        <f t="shared" si="443"/>
        <v>[932]</v>
      </c>
      <c r="D932" s="677">
        <f>ROW()</f>
        <v>932</v>
      </c>
      <c r="E932" s="680"/>
      <c r="F932" s="680"/>
      <c r="G932" s="680"/>
      <c r="H932" s="680"/>
      <c r="I932" s="679"/>
      <c r="J932" s="679"/>
      <c r="K932" s="679"/>
      <c r="L932" s="679"/>
      <c r="M932" s="679"/>
      <c r="N932" s="680"/>
      <c r="O932" s="871">
        <v>906</v>
      </c>
      <c r="P932" s="688"/>
      <c r="Q932" s="689"/>
      <c r="R932" s="888"/>
      <c r="S932" s="802"/>
      <c r="T932" s="882"/>
      <c r="W932" s="606"/>
      <c r="AB932" s="675"/>
      <c r="AC932" s="675"/>
      <c r="AD932" s="675"/>
      <c r="AE932" s="675"/>
      <c r="AF932" s="675"/>
      <c r="AG932" s="675"/>
      <c r="AH932" s="675"/>
      <c r="AI932" s="675"/>
      <c r="AJ932" s="675"/>
      <c r="AK932" s="675"/>
      <c r="AL932" s="675"/>
      <c r="AM932" s="675"/>
      <c r="AN932" s="675"/>
      <c r="AO932" s="675"/>
      <c r="AP932" s="675"/>
      <c r="AQ932" s="675"/>
      <c r="AR932" s="675"/>
      <c r="AS932" s="675"/>
      <c r="AT932" s="675"/>
      <c r="AU932" s="675"/>
      <c r="AV932" s="675"/>
      <c r="BI932" s="661" t="s">
        <v>126</v>
      </c>
      <c r="BJ932" s="665"/>
      <c r="CU932" s="662"/>
      <c r="CW932" s="662"/>
      <c r="EV932" s="818" t="str">
        <f t="shared" si="448"/>
        <v/>
      </c>
      <c r="EW932" s="818"/>
    </row>
    <row r="933" spans="1:153" s="656" customFormat="1" ht="52">
      <c r="A933" s="654" t="str">
        <f t="shared" ca="1" si="446"/>
        <v>D.1.933</v>
      </c>
      <c r="B933" s="654" t="str">
        <f t="shared" ca="1" si="447"/>
        <v>1.933</v>
      </c>
      <c r="C933" s="654" t="str">
        <f t="shared" ref="C933:C942" si="500">CE$1&amp;D933&amp;CF$1</f>
        <v>[933]</v>
      </c>
      <c r="D933" s="654">
        <f>ROW()</f>
        <v>933</v>
      </c>
      <c r="E933" s="1125" t="str">
        <f t="shared" ref="E933" si="501">CU933</f>
        <v>- ZIEL-Ansatz: Abweichend vom Niedersachsen-Szenario wird hier von einer künftigen Verkehrsleistung  auf heutigem Niveau ausgegangen.
Dort wurde gemäß BMU-Leitstudie [934] davon ausgegangen, dass die Tonnenkilomenterzahl pro Kopf auf 158 % gegenüber 2012 steigt.</v>
      </c>
      <c r="F933" s="1125"/>
      <c r="G933" s="1125"/>
      <c r="H933" s="1125"/>
      <c r="I933" s="1125"/>
      <c r="J933" s="1125"/>
      <c r="K933" s="1125"/>
      <c r="L933" s="1125"/>
      <c r="M933" s="1125"/>
      <c r="N933" s="1132"/>
      <c r="O933" s="869">
        <v>907</v>
      </c>
      <c r="P933" s="691" t="str">
        <f ca="1">HYPERLINK(EK933,EJ933)</f>
        <v/>
      </c>
      <c r="Q933" s="692" t="str">
        <f>Y933</f>
        <v xml:space="preserve"> </v>
      </c>
      <c r="R933" s="852"/>
      <c r="S933" s="803"/>
      <c r="T933" s="864"/>
      <c r="U933" s="1023" t="str">
        <f>"Abweichend vom Niedersachsen-Szenario wird hier von einer künftigen Verkehrsleistung  auf heutigem Niveau ausgegangen.
Dort wurde gemäß BMU-Leitstudie "&amp;C934&amp;" davon ausgegangen, dass die Tonnenkilomenterzahl pro Kopf auf "&amp;TEXT(AH934,"0")&amp;" % gegenüber 2012 steigt."</f>
        <v>Abweichend vom Niedersachsen-Szenario wird hier von einer künftigen Verkehrsleistung  auf heutigem Niveau ausgegangen.
Dort wurde gemäß BMU-Leitstudie [934] davon ausgegangen, dass die Tonnenkilomenterzahl pro Kopf auf 158 % gegenüber 2012 steigt.</v>
      </c>
      <c r="V933" s="905" t="s">
        <v>126</v>
      </c>
      <c r="W933" s="778">
        <v>100</v>
      </c>
      <c r="X933" s="672"/>
      <c r="Y933" s="526" t="s">
        <v>126</v>
      </c>
      <c r="Z933" s="1025"/>
      <c r="AA933" s="905"/>
      <c r="AB933" s="801"/>
      <c r="AC933" s="1020"/>
      <c r="AD933" s="801"/>
      <c r="AE933" s="801"/>
      <c r="AF933" s="801"/>
      <c r="AG933" s="801"/>
      <c r="AH933" s="801"/>
      <c r="AI933" s="801"/>
      <c r="AJ933" s="801"/>
      <c r="AK933" s="801"/>
      <c r="AL933" s="801"/>
      <c r="AM933" s="801"/>
      <c r="AN933" s="801"/>
      <c r="AO933" s="801"/>
      <c r="AP933" s="801"/>
      <c r="AQ933" s="801"/>
      <c r="AR933" s="801"/>
      <c r="AS933" s="801"/>
      <c r="AT933" s="801"/>
      <c r="AU933" s="801"/>
      <c r="AV933" s="801"/>
      <c r="BF933" s="657"/>
      <c r="BI933" s="656" t="s">
        <v>126</v>
      </c>
      <c r="BJ933" s="666"/>
      <c r="BO933" s="656" t="s">
        <v>259</v>
      </c>
      <c r="CU933" s="663" t="str">
        <f>CH$1&amp;IF(U933="",BF933,U933)</f>
        <v>- ZIEL-Ansatz: Abweichend vom Niedersachsen-Szenario wird hier von einer künftigen Verkehrsleistung  auf heutigem Niveau ausgegangen.
Dort wurde gemäß BMU-Leitstudie [934] davon ausgegangen, dass die Tonnenkilomenterzahl pro Kopf auf 158 % gegenüber 2012 steigt.</v>
      </c>
      <c r="CW933" s="663"/>
      <c r="DT933" s="671">
        <v>53</v>
      </c>
      <c r="EJ933" s="656" t="str">
        <f>IF(X933=0,"",EJ$1&amp;X933)</f>
        <v/>
      </c>
      <c r="EK933" s="656" t="str">
        <f ca="1">EK$1&amp;X933</f>
        <v>[D_Python.xlsx]9.Quellen!C</v>
      </c>
      <c r="EV933" s="819">
        <f t="shared" si="448"/>
        <v>933</v>
      </c>
      <c r="EW933" s="819"/>
    </row>
    <row r="934" spans="1:153" s="656" customFormat="1" ht="39">
      <c r="A934" s="654" t="str">
        <f t="shared" ca="1" si="446"/>
        <v>D.1.934</v>
      </c>
      <c r="B934" s="654" t="str">
        <f t="shared" ca="1" si="447"/>
        <v>1.934</v>
      </c>
      <c r="C934" s="654" t="str">
        <f t="shared" si="500"/>
        <v>[934]</v>
      </c>
      <c r="D934" s="654">
        <f>ROW()</f>
        <v>934</v>
      </c>
      <c r="E934" s="1125" t="str">
        <f ca="1">CU934</f>
        <v>In der BMU Leitstudie 2011 [9.60], S.47, ist man gemäß der Ansätze in früheren Leitstudien von einer Entwicklung der Güterverkehrsleistung in Deutschland von 7.643 Tonnenkilometern pro Kopf im Jahr 2010 auf 12.075 tkm/Kopf  im Jahr 2050 entsprechend 158%  ausgegangen.</v>
      </c>
      <c r="F934" s="1125"/>
      <c r="G934" s="1125"/>
      <c r="H934" s="1125"/>
      <c r="I934" s="1125"/>
      <c r="J934" s="1125"/>
      <c r="K934" s="1125"/>
      <c r="L934" s="1125"/>
      <c r="M934" s="1125"/>
      <c r="N934" s="1132"/>
      <c r="O934" s="869">
        <v>908</v>
      </c>
      <c r="P934" s="691" t="str">
        <f t="shared" ref="P934" ca="1" si="502">HYPERLINK(EK934,EJ934)</f>
        <v>9.60</v>
      </c>
      <c r="Q934" s="692" t="str">
        <f t="shared" ref="Q934" si="503">Y934</f>
        <v>S.47</v>
      </c>
      <c r="R934" s="852"/>
      <c r="S934" s="784"/>
      <c r="T934" s="864"/>
      <c r="U934" s="1023" t="str">
        <f ca="1">"In der BMU Leitstudie 2011 ["&amp;P934&amp;"], "&amp;Q934&amp;", ist man gemäß der Ansätze in früheren Leitstudien von einer Entwicklung der Güterverkehrsleistung in Deutschland von "&amp;TEXT(AD934,"0.000")&amp;" Tonnenkilometern pro Kopf im Jahr 2010 auf "&amp;TEXT(AF934,"0.000")&amp;AG934&amp;" im Jahr 2050 entsprechend "&amp;AH934&amp;AI934&amp;" ausgegangen."</f>
        <v>In der BMU Leitstudie 2011 [9.60], S.47, ist man gemäß der Ansätze in früheren Leitstudien von einer Entwicklung der Güterverkehrsleistung in Deutschland von 7.643 Tonnenkilometern pro Kopf im Jahr 2010 auf 12.075 tkm/Kopf  im Jahr 2050 entsprechend 158%  ausgegangen.</v>
      </c>
      <c r="V934" s="905" t="s">
        <v>126</v>
      </c>
      <c r="W934" s="1024"/>
      <c r="X934" s="672">
        <f>'9.Quellen'!C$60</f>
        <v>60</v>
      </c>
      <c r="Y934" s="672" t="s">
        <v>768</v>
      </c>
      <c r="Z934" s="1025"/>
      <c r="AA934" s="905"/>
      <c r="AB934" s="801"/>
      <c r="AC934" s="801"/>
      <c r="AD934" s="801">
        <v>7643</v>
      </c>
      <c r="AE934" s="801" t="s">
        <v>804</v>
      </c>
      <c r="AF934" s="801">
        <v>12075</v>
      </c>
      <c r="AG934" s="801" t="s">
        <v>804</v>
      </c>
      <c r="AH934" s="801">
        <f>ROUND(AF934/AD934%,1)</f>
        <v>158</v>
      </c>
      <c r="AI934" s="801" t="s">
        <v>835</v>
      </c>
      <c r="AJ934" s="801"/>
      <c r="AK934" s="801"/>
      <c r="AL934" s="801"/>
      <c r="AM934" s="801"/>
      <c r="AN934" s="801"/>
      <c r="AO934" s="801"/>
      <c r="AP934" s="801"/>
      <c r="AQ934" s="801"/>
      <c r="AR934" s="801"/>
      <c r="AS934" s="801"/>
      <c r="AT934" s="801"/>
      <c r="AU934" s="801"/>
      <c r="AV934" s="801"/>
      <c r="BF934" s="657"/>
      <c r="BI934" s="656" t="s">
        <v>126</v>
      </c>
      <c r="BJ934" s="666"/>
      <c r="BO934" s="656" t="s">
        <v>252</v>
      </c>
      <c r="CU934" s="663" t="str">
        <f ca="1">IF(U934="",BF934,U934)</f>
        <v>In der BMU Leitstudie 2011 [9.60], S.47, ist man gemäß der Ansätze in früheren Leitstudien von einer Entwicklung der Güterverkehrsleistung in Deutschland von 7.643 Tonnenkilometern pro Kopf im Jahr 2010 auf 12.075 tkm/Kopf  im Jahr 2050 entsprechend 158%  ausgegangen.</v>
      </c>
      <c r="CW934" s="663"/>
      <c r="DT934" s="671"/>
      <c r="EJ934" s="656" t="str">
        <f ca="1">IF(X934=0,"",EJ$1&amp;X934)</f>
        <v>9.60</v>
      </c>
      <c r="EK934" s="656" t="str">
        <f ca="1">EK$1&amp;X934</f>
        <v>[D_Python.xlsx]9.Quellen!C60</v>
      </c>
      <c r="EV934" s="819">
        <f t="shared" ca="1" si="448"/>
        <v>934</v>
      </c>
      <c r="EW934" s="819"/>
    </row>
    <row r="935" spans="1:153" s="661" customFormat="1" ht="4">
      <c r="A935" s="677" t="str">
        <f t="shared" ca="1" si="446"/>
        <v>D.1.935</v>
      </c>
      <c r="B935" s="677" t="str">
        <f t="shared" ca="1" si="447"/>
        <v>1.935</v>
      </c>
      <c r="C935" s="677" t="str">
        <f t="shared" si="500"/>
        <v>[935]</v>
      </c>
      <c r="D935" s="677">
        <f>ROW()</f>
        <v>935</v>
      </c>
      <c r="E935" s="685"/>
      <c r="F935" s="685"/>
      <c r="G935" s="685"/>
      <c r="H935" s="685"/>
      <c r="I935" s="686"/>
      <c r="J935" s="686"/>
      <c r="K935" s="686"/>
      <c r="L935" s="686"/>
      <c r="M935" s="686"/>
      <c r="N935" s="685"/>
      <c r="O935" s="871">
        <v>881</v>
      </c>
      <c r="P935" s="693"/>
      <c r="Q935" s="694"/>
      <c r="R935" s="888"/>
      <c r="S935" s="802"/>
      <c r="T935" s="882"/>
      <c r="AB935" s="675"/>
      <c r="AC935" s="675"/>
      <c r="AD935" s="675"/>
      <c r="AE935" s="675"/>
      <c r="AF935" s="675"/>
      <c r="AG935" s="675"/>
      <c r="AH935" s="675"/>
      <c r="AI935" s="675"/>
      <c r="AJ935" s="675"/>
      <c r="AK935" s="675"/>
      <c r="AL935" s="675"/>
      <c r="AM935" s="675"/>
      <c r="AN935" s="675"/>
      <c r="AO935" s="675"/>
      <c r="AP935" s="675"/>
      <c r="AQ935" s="675"/>
      <c r="AR935" s="675"/>
      <c r="AS935" s="675"/>
      <c r="AT935" s="675"/>
      <c r="AU935" s="675"/>
      <c r="AV935" s="675"/>
      <c r="AZ935" s="669"/>
      <c r="BB935" s="669"/>
      <c r="BI935" s="661" t="s">
        <v>126</v>
      </c>
      <c r="BJ935" s="665"/>
      <c r="CU935" s="662"/>
      <c r="CW935" s="662"/>
      <c r="EV935" s="818" t="str">
        <f t="shared" si="448"/>
        <v/>
      </c>
      <c r="EW935" s="818"/>
    </row>
    <row r="936" spans="1:153" s="658" customFormat="1" ht="13.5" customHeight="1">
      <c r="A936" s="654" t="str">
        <f t="shared" ca="1" si="446"/>
        <v>D.1.936</v>
      </c>
      <c r="B936" s="654" t="str">
        <f t="shared" ca="1" si="447"/>
        <v>1.936</v>
      </c>
      <c r="C936" s="654" t="str">
        <f t="shared" si="500"/>
        <v>[936]</v>
      </c>
      <c r="D936" s="654">
        <f>ROW()</f>
        <v>936</v>
      </c>
      <c r="E936" s="1129" t="str">
        <f>BP936</f>
        <v>Vorgabe: Anteil Elektrotraktion an GVk-Leistung</v>
      </c>
      <c r="F936" s="1129"/>
      <c r="G936" s="1129"/>
      <c r="H936" s="1129"/>
      <c r="I936" s="1129"/>
      <c r="J936" s="655" t="s">
        <v>38</v>
      </c>
      <c r="K936" s="605">
        <f ca="1">INDIRECT($W$1&amp;U936)</f>
        <v>4.4866264020707503</v>
      </c>
      <c r="L936" s="697" t="str">
        <f ca="1">HYPERLINK($CK$1&amp;U936,$CE$1&amp;U936&amp;$CF$1)</f>
        <v>[937]</v>
      </c>
      <c r="M936" s="683">
        <f ca="1">INDIRECT($W$1&amp;W936)</f>
        <v>88.610183354917865</v>
      </c>
      <c r="N936" s="681" t="str">
        <f ca="1">HYPERLINK($CK$1&amp;W936,$CE$1&amp;W936&amp;$CF$1)</f>
        <v>[940]</v>
      </c>
      <c r="O936" s="893" t="s">
        <v>725</v>
      </c>
      <c r="P936" s="690"/>
      <c r="Q936" s="695"/>
      <c r="R936" s="852"/>
      <c r="S936" s="784"/>
      <c r="T936" s="864"/>
      <c r="U936" s="672">
        <f>D937</f>
        <v>937</v>
      </c>
      <c r="V936" s="905" t="s">
        <v>126</v>
      </c>
      <c r="W936" s="672">
        <f>D940</f>
        <v>940</v>
      </c>
      <c r="AB936" s="801"/>
      <c r="AC936" s="801"/>
      <c r="AD936" s="674"/>
      <c r="AE936" s="674"/>
      <c r="AF936" s="674"/>
      <c r="AG936" s="674"/>
      <c r="AH936" s="674"/>
      <c r="AI936" s="674"/>
      <c r="AJ936" s="674"/>
      <c r="AK936" s="674"/>
      <c r="AL936" s="674"/>
      <c r="AM936" s="674"/>
      <c r="AN936" s="674"/>
      <c r="AO936" s="674"/>
      <c r="AP936" s="674"/>
      <c r="AQ936" s="674"/>
      <c r="AR936" s="674"/>
      <c r="AS936" s="674"/>
      <c r="AT936" s="674"/>
      <c r="AU936" s="674"/>
      <c r="AV936" s="674"/>
      <c r="AX936" s="658" t="s">
        <v>244</v>
      </c>
      <c r="AY936" s="668">
        <f ca="1">DA936</f>
        <v>10.254559182513647</v>
      </c>
      <c r="AZ936" s="670" t="str">
        <f ca="1">HYPERLINK(DN936,DC936)</f>
        <v xml:space="preserve"> 235</v>
      </c>
      <c r="BA936" s="668">
        <f ca="1">DB936</f>
        <v>35</v>
      </c>
      <c r="BB936" s="670" t="str">
        <f ca="1">HYPERLINK(DO936,DD936)</f>
        <v xml:space="preserve"> 236</v>
      </c>
      <c r="BC936" s="658" t="str">
        <f ca="1">CY936&amp;" | "&amp;CZ936</f>
        <v>Brennstoffgew.
für Prozesse | 0</v>
      </c>
      <c r="BI936" s="658" t="s">
        <v>126</v>
      </c>
      <c r="BJ936" s="667" t="str">
        <f>E936</f>
        <v>Vorgabe: Anteil Elektrotraktion an GVk-Leistung</v>
      </c>
      <c r="BK936" s="664">
        <f ca="1">K936</f>
        <v>4.4866264020707503</v>
      </c>
      <c r="BL936" s="664">
        <f ca="1">M936</f>
        <v>88.610183354917865</v>
      </c>
      <c r="BM936" s="798">
        <f>D936</f>
        <v>936</v>
      </c>
      <c r="BO936" s="658" t="s">
        <v>251</v>
      </c>
      <c r="BP936" s="676" t="s">
        <v>1063</v>
      </c>
      <c r="CU936" s="659"/>
      <c r="CW936" s="671">
        <v>61</v>
      </c>
      <c r="CY936" s="798" t="str">
        <f t="shared" ref="CY936:DO936" ca="1" si="504">INDIRECT($CX$1&amp;CY$1&amp;$CW936)</f>
        <v>Brennstoffgew.
für Prozesse</v>
      </c>
      <c r="CZ936" s="798">
        <f t="shared" ca="1" si="504"/>
        <v>0</v>
      </c>
      <c r="DA936" s="798">
        <f t="shared" ca="1" si="504"/>
        <v>10.254559182513647</v>
      </c>
      <c r="DB936" s="798">
        <f t="shared" ca="1" si="504"/>
        <v>35</v>
      </c>
      <c r="DC936" s="798" t="str">
        <f t="shared" ca="1" si="504"/>
        <v xml:space="preserve"> 235</v>
      </c>
      <c r="DD936" s="798" t="str">
        <f t="shared" ca="1" si="504"/>
        <v xml:space="preserve"> 236</v>
      </c>
      <c r="DE936" s="798" t="str">
        <f t="shared" ca="1" si="504"/>
        <v>Ho99</v>
      </c>
      <c r="DF936" s="798" t="str">
        <f t="shared" ca="1" si="504"/>
        <v>Ho36</v>
      </c>
      <c r="DG936" s="798" t="str">
        <f t="shared" ca="1" si="504"/>
        <v>Ho</v>
      </c>
      <c r="DH936" s="798" t="str">
        <f t="shared" ca="1" si="504"/>
        <v>99</v>
      </c>
      <c r="DI936" s="798" t="str">
        <f t="shared" ca="1" si="504"/>
        <v>[Ho.xls]TEXT!Z99S5</v>
      </c>
      <c r="DJ936" s="798" t="str">
        <f t="shared" ca="1" si="504"/>
        <v>Ho</v>
      </c>
      <c r="DK936" s="798" t="str">
        <f t="shared" ca="1" si="504"/>
        <v>36</v>
      </c>
      <c r="DL936" s="798" t="str">
        <f t="shared" ca="1" si="504"/>
        <v>[Ho.xls]TEXT!Z36S5</v>
      </c>
      <c r="DM936" s="798">
        <f t="shared" ca="1" si="504"/>
        <v>61</v>
      </c>
      <c r="DN936" s="798" t="str">
        <f t="shared" ca="1" si="504"/>
        <v>[Region.xls]PARAMETER!Z235S6</v>
      </c>
      <c r="DO936" s="798" t="str">
        <f t="shared" ca="1" si="504"/>
        <v>[Region.xls]PARAMETER!Z236S6</v>
      </c>
      <c r="DP936" s="798"/>
      <c r="DS936" s="798"/>
      <c r="DV936" s="798"/>
      <c r="DW936" s="798"/>
      <c r="DX936" s="798"/>
      <c r="DY936" s="798"/>
      <c r="DZ936" s="798"/>
      <c r="EA936" s="798"/>
      <c r="EB936" s="798"/>
      <c r="EC936" s="798"/>
      <c r="ED936" s="798"/>
      <c r="EE936" s="798"/>
      <c r="EF936" s="798"/>
      <c r="EG936" s="798"/>
      <c r="EH936" s="798"/>
      <c r="EI936" s="798"/>
      <c r="EJ936" s="798"/>
      <c r="EK936" s="798"/>
      <c r="EV936" s="819">
        <f t="shared" si="448"/>
        <v>936</v>
      </c>
      <c r="EW936" s="819"/>
    </row>
    <row r="937" spans="1:153" s="798" customFormat="1">
      <c r="A937" s="654" t="str">
        <f t="shared" ca="1" si="446"/>
        <v>D.1.937</v>
      </c>
      <c r="B937" s="654" t="str">
        <f t="shared" ca="1" si="447"/>
        <v>1.937</v>
      </c>
      <c r="C937" s="654" t="str">
        <f t="shared" si="500"/>
        <v>[937]</v>
      </c>
      <c r="D937" s="654">
        <f>ROW()</f>
        <v>937</v>
      </c>
      <c r="E937" s="1130" t="str">
        <f>CU937</f>
        <v>- STATUS-Ansatz: Zur Orientierung das Resultat eigener Berechnungen von [S.4.160] übernommen.</v>
      </c>
      <c r="F937" s="1130"/>
      <c r="G937" s="1130"/>
      <c r="H937" s="1130"/>
      <c r="I937" s="1130"/>
      <c r="J937" s="1130"/>
      <c r="K937" s="1130"/>
      <c r="L937" s="1130"/>
      <c r="M937" s="1130"/>
      <c r="N937" s="1131"/>
      <c r="O937" s="893" t="s">
        <v>725</v>
      </c>
      <c r="P937" s="691" t="str">
        <f ca="1">HYPERLINK(EK937,EJ937)</f>
        <v/>
      </c>
      <c r="Q937" s="692" t="str">
        <f>Y937</f>
        <v xml:space="preserve"> </v>
      </c>
      <c r="R937" s="852"/>
      <c r="S937" s="784"/>
      <c r="T937" s="864"/>
      <c r="U937" s="1023" t="str">
        <f>"Zur Orientierung das Resultat eigener Berechnungen von [S.4.160] übernommen."</f>
        <v>Zur Orientierung das Resultat eigener Berechnungen von [S.4.160] übernommen.</v>
      </c>
      <c r="V937" s="905" t="s">
        <v>126</v>
      </c>
      <c r="W937" s="1095">
        <f>AD937</f>
        <v>4.4866264020707503</v>
      </c>
      <c r="X937" s="672"/>
      <c r="Y937" s="672" t="s">
        <v>126</v>
      </c>
      <c r="Z937" s="1025"/>
      <c r="AA937" s="658"/>
      <c r="AB937" s="801"/>
      <c r="AC937" s="801"/>
      <c r="AD937" s="801">
        <v>4.4866264020707503</v>
      </c>
      <c r="AE937" s="801" t="s">
        <v>972</v>
      </c>
      <c r="AF937" s="801"/>
      <c r="AG937" s="801"/>
      <c r="AH937" s="801"/>
      <c r="AI937" s="801"/>
      <c r="AJ937" s="801"/>
      <c r="AK937" s="801"/>
      <c r="AL937" s="801"/>
      <c r="AM937" s="801"/>
      <c r="AN937" s="801"/>
      <c r="AO937" s="801"/>
      <c r="AP937" s="801"/>
      <c r="AQ937" s="801"/>
      <c r="AR937" s="801"/>
      <c r="AS937" s="801"/>
      <c r="AT937" s="801"/>
      <c r="AU937" s="801"/>
      <c r="AV937" s="801"/>
      <c r="AY937" s="798">
        <f ca="1">AY936/AY$246%</f>
        <v>14.091645358575692</v>
      </c>
      <c r="BA937" s="798">
        <f ca="1">BA936/BA$246%</f>
        <v>100</v>
      </c>
      <c r="BF937" s="657"/>
      <c r="BI937" s="798" t="s">
        <v>126</v>
      </c>
      <c r="BJ937" s="666"/>
      <c r="BO937" s="798" t="s">
        <v>259</v>
      </c>
      <c r="CU937" s="663" t="str">
        <f>CG$1&amp;IF(U937="",BF937,U937)</f>
        <v>- STATUS-Ansatz: Zur Orientierung das Resultat eigener Berechnungen von [S.4.160] übernommen.</v>
      </c>
      <c r="CW937" s="663"/>
      <c r="DT937" s="671">
        <f>I_Basisdaten!A398</f>
        <v>0</v>
      </c>
      <c r="EJ937" s="798" t="str">
        <f>IF(X937=0,"",EJ$1&amp;X937)</f>
        <v/>
      </c>
      <c r="EK937" s="798" t="str">
        <f ca="1">EK$1&amp;X937</f>
        <v>[D_Python.xlsx]9.Quellen!C</v>
      </c>
      <c r="EV937" s="819">
        <f t="shared" si="448"/>
        <v>937</v>
      </c>
      <c r="EW937" s="819"/>
    </row>
    <row r="938" spans="1:153" s="798" customFormat="1" hidden="1">
      <c r="A938" s="654" t="str">
        <f t="shared" ca="1" si="446"/>
        <v>D.1.938</v>
      </c>
      <c r="B938" s="654" t="str">
        <f t="shared" ca="1" si="447"/>
        <v>1.938</v>
      </c>
      <c r="C938" s="654" t="str">
        <f t="shared" si="500"/>
        <v>[938]</v>
      </c>
      <c r="D938" s="654">
        <f>ROW()</f>
        <v>938</v>
      </c>
      <c r="E938" s="1130">
        <f>CU938</f>
        <v>0</v>
      </c>
      <c r="F938" s="1130"/>
      <c r="G938" s="1130"/>
      <c r="H938" s="1130"/>
      <c r="I938" s="1130"/>
      <c r="J938" s="1130"/>
      <c r="K938" s="1130"/>
      <c r="L938" s="1130"/>
      <c r="M938" s="1130"/>
      <c r="N938" s="1131"/>
      <c r="O938" s="893" t="s">
        <v>725</v>
      </c>
      <c r="P938" s="691"/>
      <c r="Q938" s="692"/>
      <c r="R938" s="852"/>
      <c r="S938" s="784"/>
      <c r="T938" s="864"/>
      <c r="U938" s="1023"/>
      <c r="V938" s="905" t="s">
        <v>126</v>
      </c>
      <c r="W938" s="1025"/>
      <c r="X938" s="672">
        <f>'9.Quellen'!C$258</f>
        <v>258</v>
      </c>
      <c r="Y938" s="672" t="s">
        <v>788</v>
      </c>
      <c r="Z938" s="1025"/>
      <c r="AA938" s="905"/>
      <c r="AB938" s="801"/>
      <c r="AC938" s="801"/>
      <c r="AD938" s="801"/>
      <c r="AE938" s="801"/>
      <c r="AF938" s="801">
        <v>8.8000000000000007</v>
      </c>
      <c r="AG938" s="801" t="s">
        <v>624</v>
      </c>
      <c r="AH938" s="801" t="e">
        <f>ROUND(AF938/AD938%,1)</f>
        <v>#DIV/0!</v>
      </c>
      <c r="AI938" s="801" t="s">
        <v>835</v>
      </c>
      <c r="AJ938" s="801"/>
      <c r="AK938" s="801"/>
      <c r="AL938" s="801"/>
      <c r="AM938" s="801"/>
      <c r="AN938" s="801"/>
      <c r="AO938" s="801"/>
      <c r="AP938" s="801"/>
      <c r="AQ938" s="801"/>
      <c r="AR938" s="801"/>
      <c r="AS938" s="801"/>
      <c r="AT938" s="801"/>
      <c r="AU938" s="801"/>
      <c r="AV938" s="801"/>
      <c r="BF938" s="657"/>
      <c r="BI938" s="798" t="s">
        <v>126</v>
      </c>
      <c r="BJ938" s="666"/>
      <c r="BO938" s="798" t="s">
        <v>252</v>
      </c>
      <c r="CU938" s="663">
        <f>IF(U938="",BF938,U938)</f>
        <v>0</v>
      </c>
      <c r="CW938" s="663"/>
      <c r="DT938" s="671"/>
      <c r="EJ938" s="798" t="str">
        <f ca="1">IF(X938=0,"",EJ$1&amp;X938)</f>
        <v>9.258</v>
      </c>
      <c r="EK938" s="798" t="str">
        <f ca="1">EK$1&amp;X938</f>
        <v>[D_Python.xlsx]9.Quellen!C258</v>
      </c>
      <c r="EV938" s="819" t="str">
        <f t="shared" si="448"/>
        <v/>
      </c>
      <c r="EW938" s="819"/>
    </row>
    <row r="939" spans="1:153" s="661" customFormat="1" ht="4">
      <c r="A939" s="677" t="str">
        <f t="shared" ca="1" si="446"/>
        <v>D.1.939</v>
      </c>
      <c r="B939" s="677" t="str">
        <f t="shared" ca="1" si="447"/>
        <v>1.939</v>
      </c>
      <c r="C939" s="677" t="str">
        <f t="shared" si="500"/>
        <v>[939]</v>
      </c>
      <c r="D939" s="677">
        <f>ROW()</f>
        <v>939</v>
      </c>
      <c r="E939" s="680"/>
      <c r="F939" s="680"/>
      <c r="G939" s="680"/>
      <c r="H939" s="680"/>
      <c r="I939" s="679"/>
      <c r="J939" s="679"/>
      <c r="K939" s="679"/>
      <c r="L939" s="679"/>
      <c r="M939" s="679"/>
      <c r="N939" s="680"/>
      <c r="O939" s="894" t="s">
        <v>725</v>
      </c>
      <c r="P939" s="688"/>
      <c r="Q939" s="689"/>
      <c r="R939" s="888"/>
      <c r="S939" s="802"/>
      <c r="T939" s="882"/>
      <c r="W939" s="606"/>
      <c r="AB939" s="675"/>
      <c r="AC939" s="675"/>
      <c r="AD939" s="675"/>
      <c r="AE939" s="675"/>
      <c r="AF939" s="675"/>
      <c r="AG939" s="675"/>
      <c r="AH939" s="675"/>
      <c r="AI939" s="675"/>
      <c r="AJ939" s="675"/>
      <c r="AK939" s="675"/>
      <c r="AL939" s="675"/>
      <c r="AM939" s="675"/>
      <c r="AN939" s="675"/>
      <c r="AO939" s="675"/>
      <c r="AP939" s="675"/>
      <c r="AQ939" s="675"/>
      <c r="AR939" s="675"/>
      <c r="AS939" s="675"/>
      <c r="AT939" s="675"/>
      <c r="AU939" s="675"/>
      <c r="AV939" s="675"/>
      <c r="BI939" s="661" t="s">
        <v>126</v>
      </c>
      <c r="BJ939" s="665"/>
      <c r="CU939" s="662"/>
      <c r="CW939" s="662"/>
      <c r="EV939" s="818" t="str">
        <f t="shared" si="448"/>
        <v/>
      </c>
      <c r="EW939" s="818"/>
    </row>
    <row r="940" spans="1:153" s="798" customFormat="1" ht="91">
      <c r="A940" s="654" t="str">
        <f t="shared" ca="1" si="446"/>
        <v>D.1.940</v>
      </c>
      <c r="B940" s="654" t="str">
        <f t="shared" ca="1" si="447"/>
        <v>1.940</v>
      </c>
      <c r="C940" s="654" t="str">
        <f t="shared" si="500"/>
        <v>[940]</v>
      </c>
      <c r="D940" s="654">
        <f>ROW()</f>
        <v>940</v>
      </c>
      <c r="E940" s="1125" t="str">
        <f t="shared" ref="E940" ca="1" si="505">CU940</f>
        <v>- ZIEL-Ansatz: Abgleich-Vorgabe ist orientiert am Gutachten [9.105], Anhang D, [D.1.910]. Ein hoher Anteil Elektrotraktion im Güterverkehr wurde einmal wegen der ca. dreifach höheren Effizienz des Elektroantriebs gegenüber Verbrennungsmotoeren gewählt, zum anderen wegen des sehr begrenzten Potenzials an biogenen Kraftstoffen. Der Ansatz ist am IWES Geschäftsmodell Energiewende orientiert [943], der über den Ansatz in UBA Treibhausgasneutrales Deutschland 2050 [942] deutlich hinaus geht (dort ist der Import großer Mengen an synthetischen Kraftstoffen aus Wind-/Solarstrom vorgesehen, der durch unseren Ansatz bis auf Luftverkerhs-Kraftstoffe vermieden werden kann).</v>
      </c>
      <c r="F940" s="1125"/>
      <c r="G940" s="1125"/>
      <c r="H940" s="1125"/>
      <c r="I940" s="1125"/>
      <c r="J940" s="1125"/>
      <c r="K940" s="1125"/>
      <c r="L940" s="1125"/>
      <c r="M940" s="1125"/>
      <c r="N940" s="1132"/>
      <c r="O940" s="893" t="s">
        <v>725</v>
      </c>
      <c r="P940" s="691" t="str">
        <f ca="1">HYPERLINK(EK940,EJ940)</f>
        <v>9.105</v>
      </c>
      <c r="Q940" s="692" t="str">
        <f>Y940</f>
        <v>Anhang D, [D.1.910]</v>
      </c>
      <c r="R940" s="852"/>
      <c r="S940" s="784"/>
      <c r="T940" s="864"/>
      <c r="U940" s="1023" t="str">
        <f ca="1">"Abgleich-Vorgabe ist orientiert am Gutachten ["&amp;P940&amp;"], "&amp;Q940&amp;". Ein hoher Anteil Elektrotraktion im Güterverkehr wurde einmal wegen der ca. dreifach höheren Effizienz des Elektroantriebs gegenüber Verbrennungsmotoeren gewählt, zum anderen wegen des sehr begrenzten Potenzials an biogenen Kraftstoffen. "&amp;"Der Ansatz ist am IWES Geschäftsmodell Energiewende orientiert "&amp;C943&amp;", der über den Ansatz in UBA Treibhausgasneutrales Deutschland 2050 "&amp;C942&amp;" deutlich hinaus geht (dort ist der Import großer Mengen an synthetischen Kraftstoffen aus Wind-/Solarstrom vorgesehen, der durch unseren Ansatz bis auf Luftverkerhs-Kraftstoffe vermieden werden kann)."</f>
        <v>Abgleich-Vorgabe ist orientiert am Gutachten [9.105], Anhang D, [D.1.910]. Ein hoher Anteil Elektrotraktion im Güterverkehr wurde einmal wegen der ca. dreifach höheren Effizienz des Elektroantriebs gegenüber Verbrennungsmotoeren gewählt, zum anderen wegen des sehr begrenzten Potenzials an biogenen Kraftstoffen. Der Ansatz ist am IWES Geschäftsmodell Energiewende orientiert [943], der über den Ansatz in UBA Treibhausgasneutrales Deutschland 2050 [942] deutlich hinaus geht (dort ist der Import großer Mengen an synthetischen Kraftstoffen aus Wind-/Solarstrom vorgesehen, der durch unseren Ansatz bis auf Luftverkerhs-Kraftstoffe vermieden werden kann).</v>
      </c>
      <c r="V940" s="905" t="s">
        <v>126</v>
      </c>
      <c r="W940" s="1101">
        <f>AF940</f>
        <v>88.610183354917865</v>
      </c>
      <c r="X940" s="672">
        <f>'9.Quellen'!C105</f>
        <v>105</v>
      </c>
      <c r="Y940" s="525" t="s">
        <v>1064</v>
      </c>
      <c r="Z940" s="1025"/>
      <c r="AA940" s="905"/>
      <c r="AB940" s="801"/>
      <c r="AC940" s="1020"/>
      <c r="AD940" s="801">
        <v>87.9</v>
      </c>
      <c r="AE940" s="801"/>
      <c r="AF940" s="801">
        <v>88.610183354917865</v>
      </c>
      <c r="AG940" s="801"/>
      <c r="AH940" s="801"/>
      <c r="AI940" s="801"/>
      <c r="AJ940" s="801"/>
      <c r="AK940" s="801"/>
      <c r="AL940" s="801"/>
      <c r="AM940" s="801"/>
      <c r="AN940" s="801"/>
      <c r="AO940" s="801"/>
      <c r="AP940" s="801"/>
      <c r="AQ940" s="801"/>
      <c r="AR940" s="801"/>
      <c r="AS940" s="801"/>
      <c r="AT940" s="801"/>
      <c r="AU940" s="801"/>
      <c r="AV940" s="801"/>
      <c r="BF940" s="657"/>
      <c r="BI940" s="798" t="s">
        <v>126</v>
      </c>
      <c r="BJ940" s="666"/>
      <c r="BO940" s="798" t="s">
        <v>259</v>
      </c>
      <c r="CU940" s="663" t="str">
        <f ca="1">CH$1&amp;IF(U940="",BF940,U940)</f>
        <v>- ZIEL-Ansatz: Abgleich-Vorgabe ist orientiert am Gutachten [9.105], Anhang D, [D.1.910]. Ein hoher Anteil Elektrotraktion im Güterverkehr wurde einmal wegen der ca. dreifach höheren Effizienz des Elektroantriebs gegenüber Verbrennungsmotoeren gewählt, zum anderen wegen des sehr begrenzten Potenzials an biogenen Kraftstoffen. Der Ansatz ist am IWES Geschäftsmodell Energiewende orientiert [943], der über den Ansatz in UBA Treibhausgasneutrales Deutschland 2050 [942] deutlich hinaus geht (dort ist der Import großer Mengen an synthetischen Kraftstoffen aus Wind-/Solarstrom vorgesehen, der durch unseren Ansatz bis auf Luftverkerhs-Kraftstoffe vermieden werden kann).</v>
      </c>
      <c r="CW940" s="663"/>
      <c r="DT940" s="671">
        <v>53</v>
      </c>
      <c r="EJ940" s="798" t="str">
        <f ca="1">IF(X940=0,"",EJ$1&amp;X940)</f>
        <v>9.105</v>
      </c>
      <c r="EK940" s="798" t="str">
        <f ca="1">EK$1&amp;X940</f>
        <v>[D_Python.xlsx]9.Quellen!C105</v>
      </c>
      <c r="EV940" s="819">
        <f t="shared" ca="1" si="448"/>
        <v>940</v>
      </c>
      <c r="EW940" s="819"/>
    </row>
    <row r="941" spans="1:153" s="798" customFormat="1" ht="52">
      <c r="A941" s="654" t="str">
        <f t="shared" ca="1" si="446"/>
        <v>D.1.941</v>
      </c>
      <c r="B941" s="654" t="str">
        <f t="shared" ca="1" si="447"/>
        <v>1.941</v>
      </c>
      <c r="C941" s="654" t="str">
        <f t="shared" si="500"/>
        <v>[941]</v>
      </c>
      <c r="D941" s="654">
        <f>ROW()</f>
        <v>941</v>
      </c>
      <c r="E941" s="1125" t="str">
        <f>CU941</f>
        <v>Bei dieser Betrachtung wurde keine Änderung im Modalsplit vorgesehen, der hohe Anteil der LKW am Personenverkehr wird fortgeschrieben. Allerdings erscheint es als wahrscheinlich, dass der Anteil der Bahn am Modalsplit auch im Güterverkehr zunehmen könnte. Wegen des Effizienzvorteils der Bahnen gegenüber LKW würde dies zu einer weiteren Senkung des Energiebedarfs führen.</v>
      </c>
      <c r="F941" s="1125"/>
      <c r="G941" s="1125"/>
      <c r="H941" s="1125"/>
      <c r="I941" s="1125"/>
      <c r="J941" s="1125"/>
      <c r="K941" s="1125"/>
      <c r="L941" s="1125"/>
      <c r="M941" s="1125"/>
      <c r="N941" s="1132"/>
      <c r="O941" s="893" t="s">
        <v>725</v>
      </c>
      <c r="P941" s="691" t="str">
        <f t="shared" ref="P941:P942" ca="1" si="506">HYPERLINK(EK941,EJ941)</f>
        <v/>
      </c>
      <c r="Q941" s="692" t="str">
        <f t="shared" ref="Q941:Q942" si="507">Y941</f>
        <v xml:space="preserve"> </v>
      </c>
      <c r="R941" s="852"/>
      <c r="S941" s="784"/>
      <c r="T941" s="864"/>
      <c r="U941" s="1023" t="str">
        <f>"Bei dieser Betrachtung wurde keine Änderung im Modalsplit vorgesehen, der hohe Anteil der LKW am Personenverkehr wird fortgeschrieben. "&amp;"Allerdings erscheint es als wahrscheinlich, dass der Anteil der Bahn am Modalsplit auch im Güterverkehr zunehmen könnte. "&amp;"Wegen des Effizienzvorteils der Bahnen gegenüber LKW würde dies zu einer weiteren Senkung des Energiebedarfs führen."</f>
        <v>Bei dieser Betrachtung wurde keine Änderung im Modalsplit vorgesehen, der hohe Anteil der LKW am Personenverkehr wird fortgeschrieben. Allerdings erscheint es als wahrscheinlich, dass der Anteil der Bahn am Modalsplit auch im Güterverkehr zunehmen könnte. Wegen des Effizienzvorteils der Bahnen gegenüber LKW würde dies zu einer weiteren Senkung des Energiebedarfs führen.</v>
      </c>
      <c r="V941" s="905" t="s">
        <v>126</v>
      </c>
      <c r="W941" s="1025"/>
      <c r="X941" s="672"/>
      <c r="Y941" s="672" t="s">
        <v>126</v>
      </c>
      <c r="Z941" s="1025"/>
      <c r="AA941" s="905"/>
      <c r="AB941" s="801"/>
      <c r="AC941" s="801"/>
      <c r="AD941" s="801"/>
      <c r="AE941" s="801"/>
      <c r="AF941" s="801"/>
      <c r="AG941" s="801"/>
      <c r="AH941" s="801"/>
      <c r="AI941" s="801"/>
      <c r="AJ941" s="801"/>
      <c r="AK941" s="801"/>
      <c r="AL941" s="801"/>
      <c r="AM941" s="801"/>
      <c r="AN941" s="801"/>
      <c r="AO941" s="801"/>
      <c r="AP941" s="801"/>
      <c r="AQ941" s="801"/>
      <c r="AR941" s="801"/>
      <c r="AS941" s="801"/>
      <c r="AT941" s="801"/>
      <c r="AU941" s="801"/>
      <c r="AV941" s="801"/>
      <c r="BF941" s="657"/>
      <c r="BI941" s="798" t="s">
        <v>126</v>
      </c>
      <c r="BJ941" s="666"/>
      <c r="BO941" s="798" t="s">
        <v>252</v>
      </c>
      <c r="CU941" s="663" t="str">
        <f>IF(U941="",BF941,U941)</f>
        <v>Bei dieser Betrachtung wurde keine Änderung im Modalsplit vorgesehen, der hohe Anteil der LKW am Personenverkehr wird fortgeschrieben. Allerdings erscheint es als wahrscheinlich, dass der Anteil der Bahn am Modalsplit auch im Güterverkehr zunehmen könnte. Wegen des Effizienzvorteils der Bahnen gegenüber LKW würde dies zu einer weiteren Senkung des Energiebedarfs führen.</v>
      </c>
      <c r="CW941" s="663"/>
      <c r="DT941" s="671"/>
      <c r="EJ941" s="798" t="str">
        <f>IF(X941=0,"",EJ$1&amp;X941)</f>
        <v/>
      </c>
      <c r="EK941" s="798" t="str">
        <f ca="1">EK$1&amp;X941</f>
        <v>[D_Python.xlsx]9.Quellen!C</v>
      </c>
      <c r="EV941" s="819">
        <f t="shared" si="448"/>
        <v>941</v>
      </c>
      <c r="EW941" s="819"/>
    </row>
    <row r="942" spans="1:153" s="798" customFormat="1" ht="26">
      <c r="A942" s="654" t="str">
        <f t="shared" ca="1" si="446"/>
        <v>D.1.942</v>
      </c>
      <c r="B942" s="654" t="str">
        <f t="shared" ca="1" si="447"/>
        <v>1.942</v>
      </c>
      <c r="C942" s="654" t="str">
        <f t="shared" si="500"/>
        <v>[942]</v>
      </c>
      <c r="D942" s="654">
        <f>ROW()</f>
        <v>942</v>
      </c>
      <c r="E942" s="1125" t="str">
        <f ca="1">CU942</f>
        <v>UBA Treibhausgasneutrales Deutschland 2050 [9.249], S. 114: "(…) bei den Pkw bis zum Jahr 2050 57 % der Fahrleistung elektrisch erbracht wird (…)".</v>
      </c>
      <c r="F942" s="1125"/>
      <c r="G942" s="1125"/>
      <c r="H942" s="1125"/>
      <c r="I942" s="1125"/>
      <c r="J942" s="1125"/>
      <c r="K942" s="1125"/>
      <c r="L942" s="1125"/>
      <c r="M942" s="1125"/>
      <c r="N942" s="1132"/>
      <c r="O942" s="893" t="s">
        <v>725</v>
      </c>
      <c r="P942" s="691" t="str">
        <f t="shared" ca="1" si="506"/>
        <v>9.249</v>
      </c>
      <c r="Q942" s="692" t="str">
        <f t="shared" si="507"/>
        <v>S. 114</v>
      </c>
      <c r="R942" s="852"/>
      <c r="S942" s="784"/>
      <c r="T942" s="864"/>
      <c r="U942" s="1023" t="str">
        <f ca="1">"UBA Treibhausgasneutrales Deutschland 2050 ["&amp;P942&amp;"], "&amp;Q942&amp;": ""(…) bei den Pkw bis zum Jahr 2050 57 % der Fahrleistung elektrisch erbracht wird (…)""."</f>
        <v>UBA Treibhausgasneutrales Deutschland 2050 [9.249], S. 114: "(…) bei den Pkw bis zum Jahr 2050 57 % der Fahrleistung elektrisch erbracht wird (…)".</v>
      </c>
      <c r="V942" s="905" t="s">
        <v>126</v>
      </c>
      <c r="W942" s="1025"/>
      <c r="X942" s="672">
        <f>'9.Quellen'!C$249</f>
        <v>249</v>
      </c>
      <c r="Y942" s="672" t="s">
        <v>792</v>
      </c>
      <c r="Z942" s="1025"/>
      <c r="AA942" s="905"/>
      <c r="AB942" s="801"/>
      <c r="AC942" s="801"/>
      <c r="AD942" s="801"/>
      <c r="AE942" s="801"/>
      <c r="AF942" s="801"/>
      <c r="AG942" s="801"/>
      <c r="AH942" s="801"/>
      <c r="AI942" s="801"/>
      <c r="AJ942" s="801"/>
      <c r="AK942" s="801"/>
      <c r="AL942" s="801"/>
      <c r="AM942" s="801"/>
      <c r="AN942" s="801"/>
      <c r="AO942" s="801"/>
      <c r="AP942" s="801"/>
      <c r="AQ942" s="801"/>
      <c r="AR942" s="801"/>
      <c r="AS942" s="801"/>
      <c r="AT942" s="801"/>
      <c r="AU942" s="801"/>
      <c r="AV942" s="801"/>
      <c r="BF942" s="657"/>
      <c r="BI942" s="798" t="s">
        <v>126</v>
      </c>
      <c r="BJ942" s="666"/>
      <c r="BO942" s="798" t="s">
        <v>252</v>
      </c>
      <c r="CU942" s="663" t="str">
        <f ca="1">IF(U942="",BF942,U942)</f>
        <v>UBA Treibhausgasneutrales Deutschland 2050 [9.249], S. 114: "(…) bei den Pkw bis zum Jahr 2050 57 % der Fahrleistung elektrisch erbracht wird (…)".</v>
      </c>
      <c r="CW942" s="663"/>
      <c r="DT942" s="671"/>
      <c r="EJ942" s="798" t="str">
        <f ca="1">IF(X942=0,"",EJ$1&amp;X942)</f>
        <v>9.249</v>
      </c>
      <c r="EK942" s="798" t="str">
        <f ca="1">EK$1&amp;X942</f>
        <v>[D_Python.xlsx]9.Quellen!C249</v>
      </c>
      <c r="EV942" s="819">
        <f t="shared" ca="1" si="448"/>
        <v>942</v>
      </c>
      <c r="EW942" s="819"/>
    </row>
    <row r="943" spans="1:153" s="798" customFormat="1" ht="26">
      <c r="A943" s="654" t="str">
        <f t="shared" ca="1" si="446"/>
        <v>D.1.943</v>
      </c>
      <c r="B943" s="654" t="str">
        <f t="shared" ca="1" si="447"/>
        <v>1.943</v>
      </c>
      <c r="C943" s="654" t="str">
        <f>CE$1&amp;D943&amp;CF$1</f>
        <v>[943]</v>
      </c>
      <c r="D943" s="654">
        <f>ROW()</f>
        <v>943</v>
      </c>
      <c r="E943" s="1125" t="str">
        <f ca="1">CU943</f>
        <v>IWES Geschäftsmodell Energiewende [9.120], S. 14, sieht "100% E-Mobilität im PKW-Bereich" vor und erfasst damit den weitaus größten Teil des Personenverkehrs.</v>
      </c>
      <c r="F943" s="1125"/>
      <c r="G943" s="1125"/>
      <c r="H943" s="1125"/>
      <c r="I943" s="1125"/>
      <c r="J943" s="1125"/>
      <c r="K943" s="1125"/>
      <c r="L943" s="1125"/>
      <c r="M943" s="1125"/>
      <c r="N943" s="1132"/>
      <c r="O943" s="893" t="s">
        <v>725</v>
      </c>
      <c r="P943" s="691" t="str">
        <f ca="1">HYPERLINK(EK943,EJ943)</f>
        <v>9.120</v>
      </c>
      <c r="Q943" s="692" t="str">
        <f>Y943</f>
        <v>S. 14</v>
      </c>
      <c r="R943" s="852"/>
      <c r="S943" s="784"/>
      <c r="T943" s="864"/>
      <c r="U943" s="1023" t="str">
        <f ca="1">"IWES Geschäftsmodell Energiewende ["&amp;P943&amp;"], "&amp;Q943&amp;", sieht ""100% E-Mobilität im PKW-Bereich"" vor und erfasst damit den weitaus größten Teil des Personenverkehrs."</f>
        <v>IWES Geschäftsmodell Energiewende [9.120], S. 14, sieht "100% E-Mobilität im PKW-Bereich" vor und erfasst damit den weitaus größten Teil des Personenverkehrs.</v>
      </c>
      <c r="V943" s="905" t="s">
        <v>126</v>
      </c>
      <c r="W943" s="1025"/>
      <c r="X943" s="672">
        <f>'9.Quellen'!C$120</f>
        <v>120</v>
      </c>
      <c r="Y943" s="672" t="s">
        <v>770</v>
      </c>
      <c r="Z943" s="1025"/>
      <c r="AA943" s="905"/>
      <c r="AB943" s="801"/>
      <c r="AC943" s="801"/>
      <c r="AD943" s="801"/>
      <c r="AE943" s="801"/>
      <c r="AF943" s="801"/>
      <c r="AG943" s="801"/>
      <c r="AH943" s="801"/>
      <c r="AI943" s="801"/>
      <c r="AJ943" s="801"/>
      <c r="AK943" s="801"/>
      <c r="AL943" s="801"/>
      <c r="AM943" s="801"/>
      <c r="AN943" s="801"/>
      <c r="AO943" s="801"/>
      <c r="AP943" s="801"/>
      <c r="AQ943" s="801"/>
      <c r="AR943" s="801"/>
      <c r="AS943" s="801"/>
      <c r="AT943" s="801"/>
      <c r="AU943" s="801"/>
      <c r="AV943" s="801"/>
      <c r="BF943" s="657" t="s">
        <v>126</v>
      </c>
      <c r="BI943" s="798" t="s">
        <v>126</v>
      </c>
      <c r="BJ943" s="666"/>
      <c r="BO943" s="798" t="s">
        <v>259</v>
      </c>
      <c r="BQ943" s="678" t="s">
        <v>271</v>
      </c>
      <c r="CU943" s="663" t="str">
        <f ca="1">IF(U943="",BF943,U943)</f>
        <v>IWES Geschäftsmodell Energiewende [9.120], S. 14, sieht "100% E-Mobilität im PKW-Bereich" vor und erfasst damit den weitaus größten Teil des Personenverkehrs.</v>
      </c>
      <c r="CW943" s="663"/>
      <c r="EJ943" s="798" t="str">
        <f ca="1">IF(X943=0,"",EJ$1&amp;X943)</f>
        <v>9.120</v>
      </c>
      <c r="EK943" s="798" t="str">
        <f ca="1">EK$1&amp;X943</f>
        <v>[D_Python.xlsx]9.Quellen!C120</v>
      </c>
      <c r="EV943" s="819">
        <f t="shared" ca="1" si="448"/>
        <v>943</v>
      </c>
      <c r="EW943" s="819"/>
    </row>
    <row r="944" spans="1:153" s="661" customFormat="1" ht="4">
      <c r="A944" s="677" t="str">
        <f t="shared" ca="1" si="446"/>
        <v>D.1.944</v>
      </c>
      <c r="B944" s="677" t="str">
        <f t="shared" ca="1" si="447"/>
        <v>1.944</v>
      </c>
      <c r="C944" s="677" t="str">
        <f t="shared" si="443"/>
        <v>[944]</v>
      </c>
      <c r="D944" s="677">
        <f>ROW()</f>
        <v>944</v>
      </c>
      <c r="E944" s="685"/>
      <c r="F944" s="685"/>
      <c r="G944" s="685"/>
      <c r="H944" s="685"/>
      <c r="I944" s="686"/>
      <c r="J944" s="686"/>
      <c r="K944" s="686"/>
      <c r="L944" s="686"/>
      <c r="M944" s="686"/>
      <c r="N944" s="685"/>
      <c r="O944" s="871">
        <v>909</v>
      </c>
      <c r="P944" s="693"/>
      <c r="Q944" s="694"/>
      <c r="R944" s="888"/>
      <c r="S944" s="802"/>
      <c r="T944" s="882"/>
      <c r="AB944" s="675"/>
      <c r="AC944" s="675"/>
      <c r="AD944" s="675"/>
      <c r="AE944" s="675"/>
      <c r="AF944" s="675"/>
      <c r="AG944" s="675"/>
      <c r="AH944" s="675"/>
      <c r="AI944" s="675"/>
      <c r="AJ944" s="675"/>
      <c r="AK944" s="675"/>
      <c r="AL944" s="675"/>
      <c r="AM944" s="675"/>
      <c r="AN944" s="675"/>
      <c r="AO944" s="675"/>
      <c r="AP944" s="675"/>
      <c r="AQ944" s="675"/>
      <c r="AR944" s="675"/>
      <c r="AS944" s="675"/>
      <c r="AT944" s="675"/>
      <c r="AU944" s="675"/>
      <c r="AV944" s="675"/>
      <c r="AZ944" s="669"/>
      <c r="BB944" s="669"/>
      <c r="BI944" s="661" t="s">
        <v>126</v>
      </c>
      <c r="BJ944" s="665"/>
      <c r="CU944" s="662"/>
      <c r="CW944" s="662"/>
      <c r="EV944" s="818" t="str">
        <f t="shared" si="448"/>
        <v/>
      </c>
      <c r="EW944" s="818"/>
    </row>
    <row r="945" spans="1:153" s="658" customFormat="1" ht="13.5" customHeight="1">
      <c r="A945" s="654" t="str">
        <f t="shared" ca="1" si="446"/>
        <v>D.1.945</v>
      </c>
      <c r="B945" s="654" t="str">
        <f t="shared" ca="1" si="447"/>
        <v>1.945</v>
      </c>
      <c r="C945" s="654" t="str">
        <f t="shared" si="443"/>
        <v>[945]</v>
      </c>
      <c r="D945" s="654">
        <f>ROW()</f>
        <v>945</v>
      </c>
      <c r="E945" s="1129" t="str">
        <f>BP945</f>
        <v>Anteil Elektrotraktion am Endverbrauch im GVk</v>
      </c>
      <c r="F945" s="1129"/>
      <c r="G945" s="1129"/>
      <c r="H945" s="1129"/>
      <c r="I945" s="1129"/>
      <c r="J945" s="655" t="s">
        <v>38</v>
      </c>
      <c r="K945" s="605">
        <f ca="1">INDIRECT($W$1&amp;U945)</f>
        <v>1.6</v>
      </c>
      <c r="L945" s="697" t="str">
        <f ca="1">HYPERLINK($CK$1&amp;U945,$CE$1&amp;U945&amp;$CF$1)</f>
        <v>[946]</v>
      </c>
      <c r="M945" s="683">
        <v>74.981337391712103</v>
      </c>
      <c r="N945" s="681" t="str">
        <f ca="1">HYPERLINK($CK$1&amp;W945,$CE$1&amp;W945&amp;$CF$1)</f>
        <v>[949]</v>
      </c>
      <c r="O945" s="869">
        <v>910</v>
      </c>
      <c r="P945" s="690"/>
      <c r="Q945" s="695"/>
      <c r="R945" s="852"/>
      <c r="S945" s="784"/>
      <c r="T945" s="864"/>
      <c r="U945" s="672">
        <f>D946</f>
        <v>946</v>
      </c>
      <c r="V945" s="905" t="s">
        <v>126</v>
      </c>
      <c r="W945" s="672">
        <f>D949</f>
        <v>949</v>
      </c>
      <c r="AB945" s="801"/>
      <c r="AC945" s="801"/>
      <c r="AD945" s="674"/>
      <c r="AE945" s="674"/>
      <c r="AF945" s="674"/>
      <c r="AG945" s="674"/>
      <c r="AH945" s="674"/>
      <c r="AI945" s="674"/>
      <c r="AJ945" s="674"/>
      <c r="AK945" s="674"/>
      <c r="AL945" s="674"/>
      <c r="AM945" s="674"/>
      <c r="AN945" s="674"/>
      <c r="AO945" s="674"/>
      <c r="AP945" s="674"/>
      <c r="AQ945" s="674"/>
      <c r="AR945" s="674"/>
      <c r="AS945" s="674"/>
      <c r="AT945" s="674"/>
      <c r="AU945" s="674"/>
      <c r="AV945" s="674"/>
      <c r="AX945" s="658" t="s">
        <v>244</v>
      </c>
      <c r="AY945" s="668">
        <f ca="1">DA945</f>
        <v>10.254559182513647</v>
      </c>
      <c r="AZ945" s="670" t="str">
        <f ca="1">HYPERLINK(DN945,DC945)</f>
        <v xml:space="preserve"> 235</v>
      </c>
      <c r="BA945" s="668">
        <f ca="1">DB945</f>
        <v>35</v>
      </c>
      <c r="BB945" s="670" t="str">
        <f ca="1">HYPERLINK(DO945,DD945)</f>
        <v xml:space="preserve"> 236</v>
      </c>
      <c r="BC945" s="658" t="str">
        <f ca="1">CY945&amp;" | "&amp;CZ945</f>
        <v>Brennstoffgew.
für Prozesse | 0</v>
      </c>
      <c r="BI945" s="658" t="s">
        <v>126</v>
      </c>
      <c r="BJ945" s="667" t="str">
        <f>E945</f>
        <v>Anteil Elektrotraktion am Endverbrauch im GVk</v>
      </c>
      <c r="BK945" s="664">
        <f ca="1">K945</f>
        <v>1.6</v>
      </c>
      <c r="BL945" s="664">
        <f>M945</f>
        <v>74.981337391712103</v>
      </c>
      <c r="BM945" s="656">
        <f>D945</f>
        <v>945</v>
      </c>
      <c r="BO945" s="658" t="s">
        <v>251</v>
      </c>
      <c r="BP945" s="676" t="s">
        <v>707</v>
      </c>
      <c r="CU945" s="659"/>
      <c r="CW945" s="671">
        <v>61</v>
      </c>
      <c r="CY945" s="656" t="str">
        <f t="shared" ref="CY945:DO945" ca="1" si="508">INDIRECT($CX$1&amp;CY$1&amp;$CW945)</f>
        <v>Brennstoffgew.
für Prozesse</v>
      </c>
      <c r="CZ945" s="656">
        <f t="shared" ca="1" si="508"/>
        <v>0</v>
      </c>
      <c r="DA945" s="656">
        <f t="shared" ca="1" si="508"/>
        <v>10.254559182513647</v>
      </c>
      <c r="DB945" s="656">
        <f t="shared" ca="1" si="508"/>
        <v>35</v>
      </c>
      <c r="DC945" s="656" t="str">
        <f t="shared" ca="1" si="508"/>
        <v xml:space="preserve"> 235</v>
      </c>
      <c r="DD945" s="656" t="str">
        <f t="shared" ca="1" si="508"/>
        <v xml:space="preserve"> 236</v>
      </c>
      <c r="DE945" s="656" t="str">
        <f t="shared" ca="1" si="508"/>
        <v>Ho99</v>
      </c>
      <c r="DF945" s="656" t="str">
        <f t="shared" ca="1" si="508"/>
        <v>Ho36</v>
      </c>
      <c r="DG945" s="656" t="str">
        <f t="shared" ca="1" si="508"/>
        <v>Ho</v>
      </c>
      <c r="DH945" s="656" t="str">
        <f t="shared" ca="1" si="508"/>
        <v>99</v>
      </c>
      <c r="DI945" s="656" t="str">
        <f t="shared" ca="1" si="508"/>
        <v>[Ho.xls]TEXT!Z99S5</v>
      </c>
      <c r="DJ945" s="656" t="str">
        <f t="shared" ca="1" si="508"/>
        <v>Ho</v>
      </c>
      <c r="DK945" s="656" t="str">
        <f t="shared" ca="1" si="508"/>
        <v>36</v>
      </c>
      <c r="DL945" s="656" t="str">
        <f t="shared" ca="1" si="508"/>
        <v>[Ho.xls]TEXT!Z36S5</v>
      </c>
      <c r="DM945" s="656">
        <f t="shared" ca="1" si="508"/>
        <v>61</v>
      </c>
      <c r="DN945" s="656" t="str">
        <f t="shared" ca="1" si="508"/>
        <v>[Region.xls]PARAMETER!Z235S6</v>
      </c>
      <c r="DO945" s="656" t="str">
        <f t="shared" ca="1" si="508"/>
        <v>[Region.xls]PARAMETER!Z236S6</v>
      </c>
      <c r="DP945" s="656"/>
      <c r="DS945" s="656"/>
      <c r="DV945" s="656"/>
      <c r="DW945" s="656"/>
      <c r="DX945" s="656"/>
      <c r="DY945" s="656"/>
      <c r="DZ945" s="656"/>
      <c r="EA945" s="656"/>
      <c r="EB945" s="656"/>
      <c r="EC945" s="656"/>
      <c r="ED945" s="656"/>
      <c r="EE945" s="656"/>
      <c r="EF945" s="656"/>
      <c r="EG945" s="656"/>
      <c r="EH945" s="656"/>
      <c r="EI945" s="656"/>
      <c r="EJ945" s="656"/>
      <c r="EK945" s="656"/>
      <c r="EV945" s="819">
        <f t="shared" si="448"/>
        <v>945</v>
      </c>
      <c r="EW945" s="819"/>
    </row>
    <row r="946" spans="1:153" s="656" customFormat="1" ht="26">
      <c r="A946" s="654" t="str">
        <f t="shared" ca="1" si="446"/>
        <v>D.1.946</v>
      </c>
      <c r="B946" s="654" t="str">
        <f t="shared" ca="1" si="447"/>
        <v>1.946</v>
      </c>
      <c r="C946" s="654" t="str">
        <f t="shared" si="443"/>
        <v>[946]</v>
      </c>
      <c r="D946" s="654">
        <f>ROW()</f>
        <v>946</v>
      </c>
      <c r="E946" s="1130" t="str">
        <f>CU946</f>
        <v>- STATUS-Ansatz: Resultiert aus dem Abgleich nach der Vorgabe "Anteil Elektrotraktion an Güter-VERKEHRSLEISTUNG" gemäß [936].</v>
      </c>
      <c r="F946" s="1130"/>
      <c r="G946" s="1130"/>
      <c r="H946" s="1130"/>
      <c r="I946" s="1130"/>
      <c r="J946" s="1130"/>
      <c r="K946" s="1130"/>
      <c r="L946" s="1130"/>
      <c r="M946" s="1130"/>
      <c r="N946" s="1131"/>
      <c r="O946" s="869">
        <v>911</v>
      </c>
      <c r="P946" s="691" t="str">
        <f ca="1">HYPERLINK(EK946,EJ946)</f>
        <v/>
      </c>
      <c r="Q946" s="692" t="str">
        <f>Y946</f>
        <v xml:space="preserve"> </v>
      </c>
      <c r="R946" s="852"/>
      <c r="S946" s="784"/>
      <c r="T946" s="864"/>
      <c r="U946" s="1023" t="str">
        <f>"Resultiert aus dem Abgleich nach der Vorgabe ""Anteil Elektrotraktion an Güter-VERKEHRSLEISTUNG"" gemäß "&amp;C936&amp;"."</f>
        <v>Resultiert aus dem Abgleich nach der Vorgabe "Anteil Elektrotraktion an Güter-VERKEHRSLEISTUNG" gemäß [936].</v>
      </c>
      <c r="V946" s="905" t="s">
        <v>126</v>
      </c>
      <c r="W946" s="1095">
        <f>AH947</f>
        <v>1.6</v>
      </c>
      <c r="X946" s="672"/>
      <c r="Y946" s="672" t="s">
        <v>126</v>
      </c>
      <c r="Z946" s="1025"/>
      <c r="AA946" s="658"/>
      <c r="AB946" s="801"/>
      <c r="AC946" s="801"/>
      <c r="AD946" s="801"/>
      <c r="AE946" s="801"/>
      <c r="AF946" s="801"/>
      <c r="AG946" s="801"/>
      <c r="AH946" s="801"/>
      <c r="AI946" s="801"/>
      <c r="AJ946" s="801"/>
      <c r="AK946" s="801"/>
      <c r="AL946" s="801"/>
      <c r="AM946" s="801"/>
      <c r="AN946" s="801"/>
      <c r="AO946" s="801"/>
      <c r="AP946" s="801"/>
      <c r="AQ946" s="801"/>
      <c r="AR946" s="801"/>
      <c r="AS946" s="801"/>
      <c r="AT946" s="801"/>
      <c r="AU946" s="801"/>
      <c r="AV946" s="801"/>
      <c r="AY946" s="656">
        <f ca="1">AY945/AY$246%</f>
        <v>14.091645358575692</v>
      </c>
      <c r="BA946" s="656">
        <f ca="1">BA945/BA$246%</f>
        <v>100</v>
      </c>
      <c r="BF946" s="657"/>
      <c r="BI946" s="656" t="s">
        <v>126</v>
      </c>
      <c r="BJ946" s="666"/>
      <c r="BO946" s="656" t="s">
        <v>259</v>
      </c>
      <c r="CU946" s="663" t="str">
        <f>CG$1&amp;IF(U946="",BF946,U946)</f>
        <v>- STATUS-Ansatz: Resultiert aus dem Abgleich nach der Vorgabe "Anteil Elektrotraktion an Güter-VERKEHRSLEISTUNG" gemäß [936].</v>
      </c>
      <c r="CW946" s="663"/>
      <c r="DT946" s="671">
        <f>I_Basisdaten!A385</f>
        <v>0</v>
      </c>
      <c r="EJ946" s="656" t="str">
        <f>IF(X946=0,"",EJ$1&amp;X946)</f>
        <v/>
      </c>
      <c r="EK946" s="656" t="str">
        <f ca="1">EK$1&amp;X946</f>
        <v>[D_Python.xlsx]9.Quellen!C</v>
      </c>
      <c r="EV946" s="819">
        <f t="shared" si="448"/>
        <v>946</v>
      </c>
      <c r="EW946" s="819"/>
    </row>
    <row r="947" spans="1:153" s="656" customFormat="1" ht="65">
      <c r="A947" s="654" t="str">
        <f t="shared" ca="1" si="446"/>
        <v>D.1.947</v>
      </c>
      <c r="B947" s="654" t="str">
        <f t="shared" ca="1" si="447"/>
        <v>1.947</v>
      </c>
      <c r="C947" s="654" t="str">
        <f>CE$1&amp;D947&amp;CF$1</f>
        <v>[947]</v>
      </c>
      <c r="D947" s="654">
        <f>ROW()</f>
        <v>947</v>
      </c>
      <c r="E947" s="1130" t="str">
        <f ca="1">CU947</f>
        <v>Eigene Berechnungen auf Basis VDV-Statistik [9.258], S. 13, 10: Die aus Verkehrsleistung und spezifischem Verbrauch (Tank-to-Wheel) der verschiedenen Verkehrsmittel ermittelten Endenergie-Verbräuche für Deutschland im Jahr 2013 ergeben rund 181 TWh für den Güterverkehr auf Straße, Schiene und Binnenwasserstraßen, davon 2,9 TWh  Strom für die Bahn. Damit hatte die Elektrotraktiion einen Anteil von 1,6%  am Endenergieverbrauch des Güterverkehrs.</v>
      </c>
      <c r="F947" s="1130"/>
      <c r="G947" s="1130"/>
      <c r="H947" s="1130"/>
      <c r="I947" s="1130"/>
      <c r="J947" s="1130"/>
      <c r="K947" s="1130"/>
      <c r="L947" s="1130"/>
      <c r="M947" s="1130"/>
      <c r="N947" s="1131"/>
      <c r="O947" s="869">
        <v>912</v>
      </c>
      <c r="P947" s="691" t="str">
        <f t="shared" ref="P947" ca="1" si="509">HYPERLINK(EK947,EJ947)</f>
        <v>9.258</v>
      </c>
      <c r="Q947" s="692" t="str">
        <f t="shared" ref="Q947" si="510">Y947</f>
        <v>S. 13, 10</v>
      </c>
      <c r="R947" s="852"/>
      <c r="S947" s="784"/>
      <c r="T947" s="864"/>
      <c r="U947" s="1023" t="str">
        <f ca="1">"Eigene Berechnungen auf Basis VDV-Statistik ["&amp;P947&amp;"], "&amp;Q947&amp;": Die aus Verkehrsleistung und spezifischem Verbrauch (Tank-to-Wheel) der verschiedenen Verkehrsmittel ermittelten Endenergie-Verbräuche für Deutschland im Jahr 2013 ergeben rund "&amp;AD947&amp;AE947&amp;" für den Güterverkehr auf Straße, Schiene und Binnenwasserstraßen, davon "&amp;AF947&amp;AG947&amp;" Strom für die Bahn. Damit hatte die Elektrotraktiion einen Anteil von "&amp;TEXT(AH947,"0,0")&amp;AI947&amp;" am Endenergieverbrauch des Güterverkehrs."</f>
        <v>Eigene Berechnungen auf Basis VDV-Statistik [9.258], S. 13, 10: Die aus Verkehrsleistung und spezifischem Verbrauch (Tank-to-Wheel) der verschiedenen Verkehrsmittel ermittelten Endenergie-Verbräuche für Deutschland im Jahr 2013 ergeben rund 181 TWh für den Güterverkehr auf Straße, Schiene und Binnenwasserstraßen, davon 2,9 TWh  Strom für die Bahn. Damit hatte die Elektrotraktiion einen Anteil von 1,6%  am Endenergieverbrauch des Güterverkehrs.</v>
      </c>
      <c r="V947" s="905" t="s">
        <v>126</v>
      </c>
      <c r="W947" s="1025"/>
      <c r="X947" s="672">
        <f>'9.Quellen'!C$258</f>
        <v>258</v>
      </c>
      <c r="Y947" s="672" t="s">
        <v>788</v>
      </c>
      <c r="Z947" s="1025"/>
      <c r="AA947" s="905"/>
      <c r="AB947" s="801"/>
      <c r="AC947" s="801"/>
      <c r="AD947" s="801">
        <v>181</v>
      </c>
      <c r="AE947" s="801" t="s">
        <v>789</v>
      </c>
      <c r="AF947" s="801">
        <v>2.9</v>
      </c>
      <c r="AG947" s="801" t="s">
        <v>624</v>
      </c>
      <c r="AH947" s="801">
        <f>ROUND(AF947/AD947%,1)</f>
        <v>1.6</v>
      </c>
      <c r="AI947" s="801" t="s">
        <v>835</v>
      </c>
      <c r="AJ947" s="801"/>
      <c r="AK947" s="801"/>
      <c r="AL947" s="801"/>
      <c r="AM947" s="801"/>
      <c r="AN947" s="801"/>
      <c r="AO947" s="801"/>
      <c r="AP947" s="801"/>
      <c r="AQ947" s="801"/>
      <c r="AR947" s="801"/>
      <c r="AS947" s="801"/>
      <c r="AT947" s="801"/>
      <c r="AU947" s="801"/>
      <c r="AV947" s="801"/>
      <c r="BF947" s="657"/>
      <c r="BI947" s="656" t="s">
        <v>126</v>
      </c>
      <c r="BJ947" s="666"/>
      <c r="BO947" s="656" t="s">
        <v>252</v>
      </c>
      <c r="CU947" s="663" t="str">
        <f ca="1">IF(U947="",BF947,U947)</f>
        <v>Eigene Berechnungen auf Basis VDV-Statistik [9.258], S. 13, 10: Die aus Verkehrsleistung und spezifischem Verbrauch (Tank-to-Wheel) der verschiedenen Verkehrsmittel ermittelten Endenergie-Verbräuche für Deutschland im Jahr 2013 ergeben rund 181 TWh für den Güterverkehr auf Straße, Schiene und Binnenwasserstraßen, davon 2,9 TWh  Strom für die Bahn. Damit hatte die Elektrotraktiion einen Anteil von 1,6%  am Endenergieverbrauch des Güterverkehrs.</v>
      </c>
      <c r="CW947" s="663"/>
      <c r="DT947" s="671"/>
      <c r="EJ947" s="656" t="str">
        <f ca="1">IF(X947=0,"",EJ$1&amp;X947)</f>
        <v>9.258</v>
      </c>
      <c r="EK947" s="656" t="str">
        <f ca="1">EK$1&amp;X947</f>
        <v>[D_Python.xlsx]9.Quellen!C258</v>
      </c>
      <c r="EV947" s="819">
        <f t="shared" ca="1" si="448"/>
        <v>947</v>
      </c>
      <c r="EW947" s="819"/>
    </row>
    <row r="948" spans="1:153" s="661" customFormat="1" ht="4">
      <c r="A948" s="677" t="str">
        <f t="shared" ca="1" si="446"/>
        <v>D.1.948</v>
      </c>
      <c r="B948" s="677" t="str">
        <f t="shared" ca="1" si="447"/>
        <v>1.948</v>
      </c>
      <c r="C948" s="677" t="str">
        <f t="shared" si="443"/>
        <v>[948]</v>
      </c>
      <c r="D948" s="677">
        <f>ROW()</f>
        <v>948</v>
      </c>
      <c r="E948" s="680"/>
      <c r="F948" s="680"/>
      <c r="G948" s="680"/>
      <c r="H948" s="680"/>
      <c r="I948" s="679"/>
      <c r="J948" s="679"/>
      <c r="K948" s="679"/>
      <c r="L948" s="679"/>
      <c r="M948" s="679"/>
      <c r="N948" s="680"/>
      <c r="O948" s="871">
        <v>913</v>
      </c>
      <c r="P948" s="688"/>
      <c r="Q948" s="689"/>
      <c r="R948" s="888"/>
      <c r="S948" s="802"/>
      <c r="T948" s="882"/>
      <c r="W948" s="606"/>
      <c r="AB948" s="675"/>
      <c r="AC948" s="675"/>
      <c r="AD948" s="675"/>
      <c r="AE948" s="675"/>
      <c r="AF948" s="675"/>
      <c r="AG948" s="675"/>
      <c r="AH948" s="675"/>
      <c r="AI948" s="675"/>
      <c r="AJ948" s="675"/>
      <c r="AK948" s="675"/>
      <c r="AL948" s="675"/>
      <c r="AM948" s="675"/>
      <c r="AN948" s="675"/>
      <c r="AO948" s="675"/>
      <c r="AP948" s="675"/>
      <c r="AQ948" s="675"/>
      <c r="AR948" s="675"/>
      <c r="AS948" s="675"/>
      <c r="AT948" s="675"/>
      <c r="AU948" s="675"/>
      <c r="AV948" s="675"/>
      <c r="BI948" s="661" t="s">
        <v>126</v>
      </c>
      <c r="BJ948" s="665"/>
      <c r="CU948" s="662"/>
      <c r="CW948" s="662"/>
      <c r="EV948" s="818" t="str">
        <f t="shared" si="448"/>
        <v/>
      </c>
      <c r="EW948" s="818"/>
    </row>
    <row r="949" spans="1:153" s="656" customFormat="1" ht="23.25" customHeight="1">
      <c r="A949" s="654" t="str">
        <f t="shared" ref="A949:A2086" ca="1" si="511">BT$1&amp;D949</f>
        <v>D.1.949</v>
      </c>
      <c r="B949" s="654" t="str">
        <f t="shared" ref="B949:B2086" ca="1" si="512">BW$1&amp;D949</f>
        <v>1.949</v>
      </c>
      <c r="C949" s="654" t="str">
        <f t="shared" si="443"/>
        <v>[949]</v>
      </c>
      <c r="D949" s="654">
        <f>ROW()</f>
        <v>949</v>
      </c>
      <c r="E949" s="1125" t="str">
        <f t="shared" ref="E949" si="513">CU949</f>
        <v>- ZIEL-Ansatz: Resultiert aus dem Abgleich nach der Vorgabe "Anteil Elektrotraktion an Güter-VERKEHRSLEISTUNG" gemäß [936].</v>
      </c>
      <c r="F949" s="1125"/>
      <c r="G949" s="1125"/>
      <c r="H949" s="1125"/>
      <c r="I949" s="1125"/>
      <c r="J949" s="1125"/>
      <c r="K949" s="1125"/>
      <c r="L949" s="1125"/>
      <c r="M949" s="1125"/>
      <c r="N949" s="1132"/>
      <c r="O949" s="869">
        <v>914</v>
      </c>
      <c r="P949" s="691" t="str">
        <f ca="1">HYPERLINK(EK949,EJ949)</f>
        <v/>
      </c>
      <c r="Q949" s="692" t="str">
        <f>Y949</f>
        <v xml:space="preserve"> </v>
      </c>
      <c r="R949" s="852"/>
      <c r="S949" s="784"/>
      <c r="T949" s="864"/>
      <c r="U949" s="1023" t="str">
        <f>"Resultiert aus dem Abgleich nach der Vorgabe ""Anteil Elektrotraktion an Güter-VERKEHRSLEISTUNG"" gemäß "&amp;C936&amp;"."</f>
        <v>Resultiert aus dem Abgleich nach der Vorgabe "Anteil Elektrotraktion an Güter-VERKEHRSLEISTUNG" gemäß [936].</v>
      </c>
      <c r="V949" s="905" t="s">
        <v>126</v>
      </c>
      <c r="W949" s="824">
        <v>74.9615200488049</v>
      </c>
      <c r="X949" s="672"/>
      <c r="Y949" s="672" t="s">
        <v>126</v>
      </c>
      <c r="Z949" s="1025"/>
      <c r="AA949" s="905"/>
      <c r="AB949" s="801"/>
      <c r="AC949" s="1020"/>
      <c r="AD949" s="801">
        <v>73.690563279482859</v>
      </c>
      <c r="AE949" s="801"/>
      <c r="AF949" s="801"/>
      <c r="AG949" s="801"/>
      <c r="AH949" s="801"/>
      <c r="AI949" s="801"/>
      <c r="AJ949" s="801"/>
      <c r="AK949" s="801"/>
      <c r="AL949" s="801"/>
      <c r="AM949" s="801"/>
      <c r="AN949" s="801"/>
      <c r="AO949" s="801"/>
      <c r="AP949" s="801"/>
      <c r="AQ949" s="801"/>
      <c r="AR949" s="801"/>
      <c r="AS949" s="801"/>
      <c r="AT949" s="801"/>
      <c r="AU949" s="801"/>
      <c r="AV949" s="801"/>
      <c r="BF949" s="657"/>
      <c r="BI949" s="656" t="s">
        <v>126</v>
      </c>
      <c r="BJ949" s="666"/>
      <c r="BO949" s="656" t="s">
        <v>259</v>
      </c>
      <c r="CU949" s="663" t="str">
        <f>CH$1&amp;IF(U949="",BF949,U949)</f>
        <v>- ZIEL-Ansatz: Resultiert aus dem Abgleich nach der Vorgabe "Anteil Elektrotraktion an Güter-VERKEHRSLEISTUNG" gemäß [936].</v>
      </c>
      <c r="CW949" s="663"/>
      <c r="DT949" s="671">
        <v>53</v>
      </c>
      <c r="EJ949" s="656" t="str">
        <f>IF(X949=0,"",EJ$1&amp;X949)</f>
        <v/>
      </c>
      <c r="EK949" s="656" t="str">
        <f ca="1">EK$1&amp;X949</f>
        <v>[D_Python.xlsx]9.Quellen!C</v>
      </c>
      <c r="EV949" s="819">
        <f t="shared" ref="EV949:EV2086" si="514">IF(U949&amp;BP949="","",D949)</f>
        <v>949</v>
      </c>
      <c r="EW949" s="819"/>
    </row>
    <row r="950" spans="1:153" s="656" customFormat="1" hidden="1">
      <c r="A950" s="654" t="str">
        <f t="shared" ca="1" si="511"/>
        <v>D.1.950</v>
      </c>
      <c r="B950" s="654" t="str">
        <f t="shared" ca="1" si="512"/>
        <v>1.950</v>
      </c>
      <c r="C950" s="654" t="str">
        <f t="shared" ref="C950:C951" si="515">CE$1&amp;D950&amp;CF$1</f>
        <v>[950]</v>
      </c>
      <c r="D950" s="654">
        <f>ROW()</f>
        <v>950</v>
      </c>
      <c r="E950" s="1125" t="str">
        <f>CU950</f>
        <v xml:space="preserve"> </v>
      </c>
      <c r="F950" s="1125"/>
      <c r="G950" s="1125"/>
      <c r="H950" s="1125"/>
      <c r="I950" s="1125"/>
      <c r="J950" s="1125"/>
      <c r="K950" s="1125"/>
      <c r="L950" s="1125"/>
      <c r="M950" s="1125"/>
      <c r="N950" s="1132"/>
      <c r="O950" s="869">
        <v>915</v>
      </c>
      <c r="P950" s="691" t="str">
        <f t="shared" ref="P950:P951" ca="1" si="516">HYPERLINK(EK950,EJ950)</f>
        <v/>
      </c>
      <c r="Q950" s="692" t="str">
        <f t="shared" ref="Q950:Q951" si="517">Y950</f>
        <v xml:space="preserve"> </v>
      </c>
      <c r="R950" s="852"/>
      <c r="S950" s="784"/>
      <c r="T950" s="864"/>
      <c r="U950" s="1023" t="s">
        <v>126</v>
      </c>
      <c r="V950" s="905" t="s">
        <v>126</v>
      </c>
      <c r="W950" s="1025"/>
      <c r="X950" s="672"/>
      <c r="Y950" s="672" t="s">
        <v>126</v>
      </c>
      <c r="Z950" s="1025"/>
      <c r="AA950" s="905"/>
      <c r="AB950" s="801"/>
      <c r="AC950" s="801"/>
      <c r="AD950" s="801"/>
      <c r="AE950" s="801"/>
      <c r="AF950" s="801"/>
      <c r="AG950" s="801"/>
      <c r="AH950" s="801"/>
      <c r="AI950" s="801"/>
      <c r="AJ950" s="801"/>
      <c r="AK950" s="801"/>
      <c r="AL950" s="801"/>
      <c r="AM950" s="801"/>
      <c r="AN950" s="801"/>
      <c r="AO950" s="801"/>
      <c r="AP950" s="801"/>
      <c r="AQ950" s="801"/>
      <c r="AR950" s="801"/>
      <c r="AS950" s="801"/>
      <c r="AT950" s="801"/>
      <c r="AU950" s="801"/>
      <c r="AV950" s="801"/>
      <c r="BF950" s="657"/>
      <c r="BI950" s="656" t="s">
        <v>126</v>
      </c>
      <c r="BJ950" s="666"/>
      <c r="BO950" s="656" t="s">
        <v>252</v>
      </c>
      <c r="CU950" s="663" t="str">
        <f>IF(U950="",BF950,U950)</f>
        <v xml:space="preserve"> </v>
      </c>
      <c r="CW950" s="663"/>
      <c r="DT950" s="671"/>
      <c r="EJ950" s="656" t="str">
        <f>IF(X950=0,"",EJ$1&amp;X950)</f>
        <v/>
      </c>
      <c r="EK950" s="656" t="str">
        <f ca="1">EK$1&amp;X950</f>
        <v>[D_Python.xlsx]9.Quellen!C</v>
      </c>
      <c r="EV950" s="819">
        <f t="shared" si="514"/>
        <v>950</v>
      </c>
      <c r="EW950" s="819"/>
    </row>
    <row r="951" spans="1:153" s="656" customFormat="1" hidden="1">
      <c r="A951" s="654" t="str">
        <f t="shared" ca="1" si="511"/>
        <v>D.1.951</v>
      </c>
      <c r="B951" s="654" t="str">
        <f t="shared" ca="1" si="512"/>
        <v>1.951</v>
      </c>
      <c r="C951" s="654" t="str">
        <f t="shared" si="515"/>
        <v>[951]</v>
      </c>
      <c r="D951" s="654">
        <f>ROW()</f>
        <v>951</v>
      </c>
      <c r="E951" s="1125" t="str">
        <f>CU951</f>
        <v xml:space="preserve"> </v>
      </c>
      <c r="F951" s="1125"/>
      <c r="G951" s="1125"/>
      <c r="H951" s="1125"/>
      <c r="I951" s="1125"/>
      <c r="J951" s="1125"/>
      <c r="K951" s="1125"/>
      <c r="L951" s="1125"/>
      <c r="M951" s="1125"/>
      <c r="N951" s="1132"/>
      <c r="O951" s="869">
        <v>916</v>
      </c>
      <c r="P951" s="691" t="str">
        <f t="shared" ca="1" si="516"/>
        <v/>
      </c>
      <c r="Q951" s="692" t="str">
        <f t="shared" si="517"/>
        <v xml:space="preserve"> </v>
      </c>
      <c r="R951" s="852"/>
      <c r="S951" s="784"/>
      <c r="T951" s="864"/>
      <c r="U951" s="1023" t="s">
        <v>126</v>
      </c>
      <c r="V951" s="905" t="s">
        <v>126</v>
      </c>
      <c r="W951" s="1025"/>
      <c r="X951" s="672"/>
      <c r="Y951" s="672" t="s">
        <v>126</v>
      </c>
      <c r="Z951" s="1025"/>
      <c r="AA951" s="905"/>
      <c r="AB951" s="801"/>
      <c r="AC951" s="801"/>
      <c r="AD951" s="801"/>
      <c r="AE951" s="801"/>
      <c r="AF951" s="801"/>
      <c r="AG951" s="801"/>
      <c r="AH951" s="801"/>
      <c r="AI951" s="801"/>
      <c r="AJ951" s="801"/>
      <c r="AK951" s="801"/>
      <c r="AL951" s="801"/>
      <c r="AM951" s="801"/>
      <c r="AN951" s="801"/>
      <c r="AO951" s="801"/>
      <c r="AP951" s="801"/>
      <c r="AQ951" s="801"/>
      <c r="AR951" s="801"/>
      <c r="AS951" s="801"/>
      <c r="AT951" s="801"/>
      <c r="AU951" s="801"/>
      <c r="AV951" s="801"/>
      <c r="BF951" s="657"/>
      <c r="BI951" s="656" t="s">
        <v>126</v>
      </c>
      <c r="BJ951" s="666"/>
      <c r="BO951" s="656" t="s">
        <v>252</v>
      </c>
      <c r="CU951" s="663" t="str">
        <f>IF(U951="",BF951,U951)</f>
        <v xml:space="preserve"> </v>
      </c>
      <c r="CW951" s="663"/>
      <c r="DT951" s="671"/>
      <c r="EJ951" s="656" t="str">
        <f>IF(X951=0,"",EJ$1&amp;X951)</f>
        <v/>
      </c>
      <c r="EK951" s="656" t="str">
        <f ca="1">EK$1&amp;X951</f>
        <v>[D_Python.xlsx]9.Quellen!C</v>
      </c>
      <c r="EV951" s="819">
        <f t="shared" si="514"/>
        <v>951</v>
      </c>
      <c r="EW951" s="819"/>
    </row>
    <row r="952" spans="1:153" s="656" customFormat="1" hidden="1">
      <c r="A952" s="654" t="str">
        <f t="shared" ca="1" si="511"/>
        <v>D.1.952</v>
      </c>
      <c r="B952" s="654" t="str">
        <f t="shared" ca="1" si="512"/>
        <v>1.952</v>
      </c>
      <c r="C952" s="654" t="str">
        <f>CE$1&amp;D952&amp;CF$1</f>
        <v>[952]</v>
      </c>
      <c r="D952" s="654">
        <f>ROW()</f>
        <v>952</v>
      </c>
      <c r="E952" s="1125" t="str">
        <f>CU952</f>
        <v xml:space="preserve"> </v>
      </c>
      <c r="F952" s="1125"/>
      <c r="G952" s="1125"/>
      <c r="H952" s="1125"/>
      <c r="I952" s="1125"/>
      <c r="J952" s="1125"/>
      <c r="K952" s="1125"/>
      <c r="L952" s="1125"/>
      <c r="M952" s="1125"/>
      <c r="N952" s="1132"/>
      <c r="O952" s="869">
        <v>917</v>
      </c>
      <c r="P952" s="691" t="str">
        <f ca="1">HYPERLINK(EK952,EJ952)</f>
        <v/>
      </c>
      <c r="Q952" s="692" t="str">
        <f>Y952</f>
        <v xml:space="preserve"> </v>
      </c>
      <c r="R952" s="852"/>
      <c r="S952" s="784"/>
      <c r="T952" s="864"/>
      <c r="U952" s="1023" t="s">
        <v>126</v>
      </c>
      <c r="V952" s="905" t="s">
        <v>126</v>
      </c>
      <c r="W952" s="1025"/>
      <c r="X952" s="672"/>
      <c r="Y952" s="672" t="s">
        <v>126</v>
      </c>
      <c r="Z952" s="1025"/>
      <c r="AA952" s="905"/>
      <c r="AB952" s="801"/>
      <c r="AC952" s="801"/>
      <c r="AD952" s="801"/>
      <c r="AE952" s="801"/>
      <c r="AF952" s="801"/>
      <c r="AG952" s="801"/>
      <c r="AH952" s="801"/>
      <c r="AI952" s="801"/>
      <c r="AJ952" s="801"/>
      <c r="AK952" s="801"/>
      <c r="AL952" s="801"/>
      <c r="AM952" s="801"/>
      <c r="AN952" s="801"/>
      <c r="AO952" s="801"/>
      <c r="AP952" s="801"/>
      <c r="AQ952" s="801"/>
      <c r="AR952" s="801"/>
      <c r="AS952" s="801"/>
      <c r="AT952" s="801"/>
      <c r="AU952" s="801"/>
      <c r="AV952" s="801"/>
      <c r="BF952" s="657" t="s">
        <v>126</v>
      </c>
      <c r="BI952" s="656" t="s">
        <v>126</v>
      </c>
      <c r="BJ952" s="666"/>
      <c r="BO952" s="656" t="s">
        <v>259</v>
      </c>
      <c r="BQ952" s="678" t="s">
        <v>271</v>
      </c>
      <c r="CU952" s="663" t="str">
        <f>IF(U952="",BF952,U952)</f>
        <v xml:space="preserve"> </v>
      </c>
      <c r="CW952" s="663"/>
      <c r="EJ952" s="656" t="str">
        <f>IF(X952=0,"",EJ$1&amp;X952)</f>
        <v/>
      </c>
      <c r="EK952" s="656" t="str">
        <f ca="1">EK$1&amp;X952</f>
        <v>[D_Python.xlsx]9.Quellen!C</v>
      </c>
      <c r="EV952" s="819">
        <f t="shared" si="514"/>
        <v>952</v>
      </c>
      <c r="EW952" s="819"/>
    </row>
    <row r="953" spans="1:153" s="661" customFormat="1" ht="4">
      <c r="A953" s="677" t="str">
        <f t="shared" ca="1" si="511"/>
        <v>D.1.953</v>
      </c>
      <c r="B953" s="677" t="str">
        <f t="shared" ca="1" si="512"/>
        <v>1.953</v>
      </c>
      <c r="C953" s="677" t="str">
        <f t="shared" si="443"/>
        <v>[953]</v>
      </c>
      <c r="D953" s="677">
        <f>ROW()</f>
        <v>953</v>
      </c>
      <c r="E953" s="685"/>
      <c r="F953" s="685"/>
      <c r="G953" s="685"/>
      <c r="H953" s="685"/>
      <c r="I953" s="686"/>
      <c r="J953" s="686"/>
      <c r="K953" s="686"/>
      <c r="L953" s="686"/>
      <c r="M953" s="686"/>
      <c r="N953" s="685"/>
      <c r="O953" s="871">
        <v>918</v>
      </c>
      <c r="P953" s="693"/>
      <c r="Q953" s="694"/>
      <c r="R953" s="888"/>
      <c r="S953" s="802"/>
      <c r="T953" s="882"/>
      <c r="AB953" s="675"/>
      <c r="AC953" s="675"/>
      <c r="AD953" s="675"/>
      <c r="AE953" s="675"/>
      <c r="AF953" s="675"/>
      <c r="AG953" s="675"/>
      <c r="AH953" s="675"/>
      <c r="AI953" s="675"/>
      <c r="AJ953" s="675"/>
      <c r="AK953" s="675"/>
      <c r="AL953" s="675"/>
      <c r="AM953" s="675"/>
      <c r="AN953" s="675"/>
      <c r="AO953" s="675"/>
      <c r="AP953" s="675"/>
      <c r="AQ953" s="675"/>
      <c r="AR953" s="675"/>
      <c r="AS953" s="675"/>
      <c r="AT953" s="675"/>
      <c r="AU953" s="675"/>
      <c r="AV953" s="675"/>
      <c r="AZ953" s="669"/>
      <c r="BB953" s="669"/>
      <c r="BI953" s="661" t="s">
        <v>126</v>
      </c>
      <c r="BJ953" s="665"/>
      <c r="CU953" s="662"/>
      <c r="CW953" s="662"/>
      <c r="EV953" s="818" t="str">
        <f t="shared" si="514"/>
        <v/>
      </c>
      <c r="EW953" s="818"/>
    </row>
    <row r="954" spans="1:153" s="658" customFormat="1" ht="13.5" customHeight="1">
      <c r="A954" s="654" t="str">
        <f t="shared" ca="1" si="511"/>
        <v>D.1.954</v>
      </c>
      <c r="B954" s="654" t="str">
        <f t="shared" ca="1" si="512"/>
        <v>1.954</v>
      </c>
      <c r="C954" s="654" t="str">
        <f t="shared" si="443"/>
        <v>[954]</v>
      </c>
      <c r="D954" s="654">
        <f>ROW()</f>
        <v>954</v>
      </c>
      <c r="E954" s="1129" t="str">
        <f>BP954</f>
        <v>Nutzungsgrad Elektrotraktion GVk</v>
      </c>
      <c r="F954" s="1129"/>
      <c r="G954" s="1129"/>
      <c r="H954" s="1129"/>
      <c r="I954" s="1129"/>
      <c r="J954" s="655" t="s">
        <v>38</v>
      </c>
      <c r="K954" s="605">
        <f ca="1">INDIRECT($W$1&amp;U954)</f>
        <v>78</v>
      </c>
      <c r="L954" s="697" t="str">
        <f ca="1">HYPERLINK($CK$1&amp;U954,$CE$1&amp;U954&amp;$CF$1)</f>
        <v>[955]</v>
      </c>
      <c r="M954" s="683">
        <f ca="1">INDIRECT($W$1&amp;W954)</f>
        <v>78</v>
      </c>
      <c r="N954" s="681" t="str">
        <f ca="1">HYPERLINK($CK$1&amp;W954,$CE$1&amp;W954&amp;$CF$1)</f>
        <v>[957]</v>
      </c>
      <c r="O954" s="869">
        <v>919</v>
      </c>
      <c r="P954" s="690"/>
      <c r="Q954" s="695"/>
      <c r="R954" s="852"/>
      <c r="S954" s="784"/>
      <c r="T954" s="864"/>
      <c r="U954" s="672">
        <f>D955</f>
        <v>955</v>
      </c>
      <c r="V954" s="905" t="s">
        <v>126</v>
      </c>
      <c r="W954" s="672">
        <f>D957</f>
        <v>957</v>
      </c>
      <c r="AB954" s="801"/>
      <c r="AC954" s="801"/>
      <c r="AD954" s="674"/>
      <c r="AE954" s="674"/>
      <c r="AF954" s="674"/>
      <c r="AG954" s="674"/>
      <c r="AH954" s="674"/>
      <c r="AI954" s="674"/>
      <c r="AJ954" s="674"/>
      <c r="AK954" s="674"/>
      <c r="AL954" s="674"/>
      <c r="AM954" s="674"/>
      <c r="AN954" s="674"/>
      <c r="AO954" s="674"/>
      <c r="AP954" s="674"/>
      <c r="AQ954" s="674"/>
      <c r="AR954" s="674"/>
      <c r="AS954" s="674"/>
      <c r="AT954" s="674"/>
      <c r="AU954" s="674"/>
      <c r="AV954" s="674"/>
      <c r="AX954" s="658" t="s">
        <v>244</v>
      </c>
      <c r="AY954" s="668">
        <f ca="1">DA954</f>
        <v>10.254559182513647</v>
      </c>
      <c r="AZ954" s="670" t="str">
        <f ca="1">HYPERLINK(DN954,DC954)</f>
        <v xml:space="preserve"> 235</v>
      </c>
      <c r="BA954" s="668">
        <f ca="1">DB954</f>
        <v>35</v>
      </c>
      <c r="BB954" s="670" t="str">
        <f ca="1">HYPERLINK(DO954,DD954)</f>
        <v xml:space="preserve"> 236</v>
      </c>
      <c r="BC954" s="658" t="str">
        <f ca="1">CY954&amp;" | "&amp;CZ954</f>
        <v>Brennstoffgew.
für Prozesse | 0</v>
      </c>
      <c r="BI954" s="658" t="s">
        <v>126</v>
      </c>
      <c r="BJ954" s="667" t="str">
        <f>E954</f>
        <v>Nutzungsgrad Elektrotraktion GVk</v>
      </c>
      <c r="BK954" s="664">
        <f ca="1">K954</f>
        <v>78</v>
      </c>
      <c r="BL954" s="664">
        <f ca="1">M954</f>
        <v>78</v>
      </c>
      <c r="BM954" s="656">
        <f>D954</f>
        <v>954</v>
      </c>
      <c r="BO954" s="658" t="s">
        <v>251</v>
      </c>
      <c r="BP954" s="676" t="s">
        <v>912</v>
      </c>
      <c r="CU954" s="659"/>
      <c r="CW954" s="671">
        <v>61</v>
      </c>
      <c r="CY954" s="656" t="str">
        <f t="shared" ref="CY954:DO954" ca="1" si="518">INDIRECT($CX$1&amp;CY$1&amp;$CW954)</f>
        <v>Brennstoffgew.
für Prozesse</v>
      </c>
      <c r="CZ954" s="656">
        <f t="shared" ca="1" si="518"/>
        <v>0</v>
      </c>
      <c r="DA954" s="656">
        <f t="shared" ca="1" si="518"/>
        <v>10.254559182513647</v>
      </c>
      <c r="DB954" s="656">
        <f t="shared" ca="1" si="518"/>
        <v>35</v>
      </c>
      <c r="DC954" s="656" t="str">
        <f t="shared" ca="1" si="518"/>
        <v xml:space="preserve"> 235</v>
      </c>
      <c r="DD954" s="656" t="str">
        <f t="shared" ca="1" si="518"/>
        <v xml:space="preserve"> 236</v>
      </c>
      <c r="DE954" s="656" t="str">
        <f t="shared" ca="1" si="518"/>
        <v>Ho99</v>
      </c>
      <c r="DF954" s="656" t="str">
        <f t="shared" ca="1" si="518"/>
        <v>Ho36</v>
      </c>
      <c r="DG954" s="656" t="str">
        <f t="shared" ca="1" si="518"/>
        <v>Ho</v>
      </c>
      <c r="DH954" s="656" t="str">
        <f t="shared" ca="1" si="518"/>
        <v>99</v>
      </c>
      <c r="DI954" s="656" t="str">
        <f t="shared" ca="1" si="518"/>
        <v>[Ho.xls]TEXT!Z99S5</v>
      </c>
      <c r="DJ954" s="656" t="str">
        <f t="shared" ca="1" si="518"/>
        <v>Ho</v>
      </c>
      <c r="DK954" s="656" t="str">
        <f t="shared" ca="1" si="518"/>
        <v>36</v>
      </c>
      <c r="DL954" s="656" t="str">
        <f t="shared" ca="1" si="518"/>
        <v>[Ho.xls]TEXT!Z36S5</v>
      </c>
      <c r="DM954" s="656">
        <f t="shared" ca="1" si="518"/>
        <v>61</v>
      </c>
      <c r="DN954" s="656" t="str">
        <f t="shared" ca="1" si="518"/>
        <v>[Region.xls]PARAMETER!Z235S6</v>
      </c>
      <c r="DO954" s="656" t="str">
        <f t="shared" ca="1" si="518"/>
        <v>[Region.xls]PARAMETER!Z236S6</v>
      </c>
      <c r="DP954" s="656"/>
      <c r="DS954" s="656"/>
      <c r="DV954" s="656"/>
      <c r="DW954" s="656"/>
      <c r="DX954" s="656"/>
      <c r="DY954" s="656"/>
      <c r="DZ954" s="656"/>
      <c r="EA954" s="656"/>
      <c r="EB954" s="656"/>
      <c r="EC954" s="656"/>
      <c r="ED954" s="656"/>
      <c r="EE954" s="656"/>
      <c r="EF954" s="656"/>
      <c r="EG954" s="656"/>
      <c r="EH954" s="656"/>
      <c r="EI954" s="656"/>
      <c r="EJ954" s="656"/>
      <c r="EK954" s="656"/>
      <c r="EV954" s="819">
        <f t="shared" si="514"/>
        <v>954</v>
      </c>
      <c r="EW954" s="819"/>
    </row>
    <row r="955" spans="1:153" s="656" customFormat="1" ht="52">
      <c r="A955" s="654" t="str">
        <f t="shared" ca="1" si="511"/>
        <v>D.1.955</v>
      </c>
      <c r="B955" s="654" t="str">
        <f t="shared" ca="1" si="512"/>
        <v>1.955</v>
      </c>
      <c r="C955" s="654" t="str">
        <f t="shared" si="443"/>
        <v>[955]</v>
      </c>
      <c r="D955" s="654">
        <f>ROW()</f>
        <v>955</v>
      </c>
      <c r="E955" s="1133" t="str">
        <f>CU955</f>
        <v xml:space="preserve">- STATUS-Ansatz: Repräsentiert den Status Quo des Verhältnisses von Nutzenergie zum Endenergieverbrauch gemäß [959], wobei vereinfachend der Wert für den Personenverkehr hier auch für den Güterverkehr übernommen wird. Dient zur Ermittlung des mit dem bekannten Endenergieverbrauch erreichten Nutzenergieaufkommen als Maß für die erreichte Verkehrsleistung. </v>
      </c>
      <c r="F955" s="1133"/>
      <c r="G955" s="1133"/>
      <c r="H955" s="1133"/>
      <c r="I955" s="1133"/>
      <c r="J955" s="1133"/>
      <c r="K955" s="1133"/>
      <c r="L955" s="1133"/>
      <c r="M955" s="1133"/>
      <c r="N955" s="1134"/>
      <c r="O955" s="869">
        <v>920</v>
      </c>
      <c r="P955" s="691" t="str">
        <f ca="1">HYPERLINK(EK955,EJ955)</f>
        <v/>
      </c>
      <c r="Q955" s="692" t="str">
        <f>Y955</f>
        <v xml:space="preserve"> </v>
      </c>
      <c r="R955" s="852"/>
      <c r="S955" s="784"/>
      <c r="T955" s="864"/>
      <c r="U955" s="1023" t="str">
        <f>"Repräsentiert den Status Quo des Verhältnisses von Nutzenergie zum Endenergieverbrauch gemäß "&amp;C959&amp;", wobei vereinfachend der Wert für den Personenverkehr hier auch für den Güterverkehr übernommen wird. Dient zur Ermittlung des mit dem bekannten Endenergieverbrauch erreichten Nutzenergieaufkommen als Maß für die erreichte Verkehrsleistung. "</f>
        <v xml:space="preserve">Repräsentiert den Status Quo des Verhältnisses von Nutzenergie zum Endenergieverbrauch gemäß [959], wobei vereinfachend der Wert für den Personenverkehr hier auch für den Güterverkehr übernommen wird. Dient zur Ermittlung des mit dem bekannten Endenergieverbrauch erreichten Nutzenergieaufkommen als Maß für die erreichte Verkehrsleistung. </v>
      </c>
      <c r="V955" s="905" t="s">
        <v>126</v>
      </c>
      <c r="W955" s="1102">
        <v>78</v>
      </c>
      <c r="X955" s="672"/>
      <c r="Y955" s="672" t="s">
        <v>126</v>
      </c>
      <c r="Z955" s="1025"/>
      <c r="AA955" s="658"/>
      <c r="AB955" s="801"/>
      <c r="AC955" s="801"/>
      <c r="AD955" s="801"/>
      <c r="AE955" s="801"/>
      <c r="AF955" s="801"/>
      <c r="AG955" s="801"/>
      <c r="AH955" s="801"/>
      <c r="AI955" s="801"/>
      <c r="AJ955" s="801"/>
      <c r="AK955" s="801"/>
      <c r="AL955" s="801"/>
      <c r="AM955" s="801"/>
      <c r="AN955" s="801"/>
      <c r="AO955" s="801"/>
      <c r="AP955" s="801"/>
      <c r="AQ955" s="801"/>
      <c r="AR955" s="801"/>
      <c r="AS955" s="801"/>
      <c r="AT955" s="801"/>
      <c r="AU955" s="801"/>
      <c r="AV955" s="801"/>
      <c r="AY955" s="656">
        <f ca="1">AY954/AY$246%</f>
        <v>14.091645358575692</v>
      </c>
      <c r="BA955" s="656">
        <f ca="1">BA954/BA$246%</f>
        <v>100</v>
      </c>
      <c r="BF955" s="657"/>
      <c r="BI955" s="656" t="s">
        <v>126</v>
      </c>
      <c r="BJ955" s="666"/>
      <c r="BO955" s="656" t="s">
        <v>259</v>
      </c>
      <c r="CU955" s="663" t="str">
        <f>CG$1&amp;IF(U955="",BF955,U955)</f>
        <v xml:space="preserve">- STATUS-Ansatz: Repräsentiert den Status Quo des Verhältnisses von Nutzenergie zum Endenergieverbrauch gemäß [959], wobei vereinfachend der Wert für den Personenverkehr hier auch für den Güterverkehr übernommen wird. Dient zur Ermittlung des mit dem bekannten Endenergieverbrauch erreichten Nutzenergieaufkommen als Maß für die erreichte Verkehrsleistung. </v>
      </c>
      <c r="CW955" s="663"/>
      <c r="DT955" s="671">
        <f>I_Basisdaten!A390</f>
        <v>0</v>
      </c>
      <c r="EJ955" s="656" t="str">
        <f>IF(X955=0,"",EJ$1&amp;X955)</f>
        <v/>
      </c>
      <c r="EK955" s="656" t="str">
        <f ca="1">EK$1&amp;X955</f>
        <v>[D_Python.xlsx]9.Quellen!C</v>
      </c>
      <c r="EV955" s="819">
        <f t="shared" si="514"/>
        <v>955</v>
      </c>
      <c r="EW955" s="819"/>
    </row>
    <row r="956" spans="1:153" s="661" customFormat="1" ht="4">
      <c r="A956" s="677" t="str">
        <f t="shared" ca="1" si="511"/>
        <v>D.1.956</v>
      </c>
      <c r="B956" s="677" t="str">
        <f t="shared" ca="1" si="512"/>
        <v>1.956</v>
      </c>
      <c r="C956" s="677" t="str">
        <f t="shared" si="443"/>
        <v>[956]</v>
      </c>
      <c r="D956" s="677">
        <f>ROW()</f>
        <v>956</v>
      </c>
      <c r="E956" s="680"/>
      <c r="F956" s="680"/>
      <c r="G956" s="680"/>
      <c r="H956" s="680"/>
      <c r="I956" s="679"/>
      <c r="J956" s="679"/>
      <c r="K956" s="679"/>
      <c r="L956" s="679"/>
      <c r="M956" s="679"/>
      <c r="N956" s="680"/>
      <c r="O956" s="871">
        <v>921</v>
      </c>
      <c r="P956" s="688"/>
      <c r="Q956" s="689"/>
      <c r="R956" s="888"/>
      <c r="S956" s="802"/>
      <c r="T956" s="882"/>
      <c r="W956" s="606"/>
      <c r="Y956" s="661" t="s">
        <v>126</v>
      </c>
      <c r="AB956" s="675"/>
      <c r="AC956" s="675"/>
      <c r="AD956" s="675"/>
      <c r="AE956" s="675"/>
      <c r="AF956" s="675"/>
      <c r="AG956" s="675"/>
      <c r="AH956" s="675"/>
      <c r="AI956" s="675"/>
      <c r="AJ956" s="675"/>
      <c r="AK956" s="675"/>
      <c r="AL956" s="675"/>
      <c r="AM956" s="675"/>
      <c r="AN956" s="675"/>
      <c r="AO956" s="675"/>
      <c r="AP956" s="675"/>
      <c r="AQ956" s="675"/>
      <c r="AR956" s="675"/>
      <c r="AS956" s="675"/>
      <c r="AT956" s="675"/>
      <c r="AU956" s="675"/>
      <c r="AV956" s="675"/>
      <c r="BI956" s="661" t="s">
        <v>126</v>
      </c>
      <c r="BJ956" s="665"/>
      <c r="CU956" s="662"/>
      <c r="CW956" s="662"/>
      <c r="EV956" s="818" t="str">
        <f t="shared" si="514"/>
        <v/>
      </c>
      <c r="EW956" s="818"/>
    </row>
    <row r="957" spans="1:153" s="656" customFormat="1" ht="91">
      <c r="A957" s="654" t="str">
        <f t="shared" ca="1" si="511"/>
        <v>D.1.957</v>
      </c>
      <c r="B957" s="654" t="str">
        <f t="shared" ca="1" si="512"/>
        <v>1.957</v>
      </c>
      <c r="C957" s="654" t="str">
        <f t="shared" ref="C957" si="519">CE$1&amp;D957&amp;CF$1</f>
        <v>[957]</v>
      </c>
      <c r="D957" s="654">
        <f>ROW()</f>
        <v>957</v>
      </c>
      <c r="E957" s="1135" t="str">
        <f t="shared" ref="E957" si="520">CU957</f>
        <v>- ZIEL-Ansatz: Repräsentiert das für den Zielzeitpunkt anzunehmende Verhältnis von Nutzenergie zum Endenergieverbrauch gemäß [959], wobei vereinfachend der Wert für den Personenverkehr hier auch für den Güterverkehr übernommen wird. Dient zur Ermittlung des mit dem angenommenen Endenergieverbrauch erreichbaren Nutzenergieaufkommens als Maß für die erreichbare Verkehrsleistung. Es wird davon ausgegangen, dass keine nennenswerten Potenziale zu einer weiteren Steigerung des bereits hohen Eiffizienzniveaus gegeben sind. Außerdem wird vereinfachend angenommen, dass der Nutzungsgrad für oberleitungsgetriebene Elektrofahrzeuge auf Schiene und Straße auf gleichem Niveau liegen.</v>
      </c>
      <c r="F957" s="1135"/>
      <c r="G957" s="1135"/>
      <c r="H957" s="1135"/>
      <c r="I957" s="1135"/>
      <c r="J957" s="1135"/>
      <c r="K957" s="1135"/>
      <c r="L957" s="1135"/>
      <c r="M957" s="1135"/>
      <c r="N957" s="1136"/>
      <c r="O957" s="869">
        <v>922</v>
      </c>
      <c r="P957" s="691" t="str">
        <f ca="1">HYPERLINK(EK957,EJ957)</f>
        <v/>
      </c>
      <c r="Q957" s="692" t="str">
        <f>Y957</f>
        <v xml:space="preserve"> </v>
      </c>
      <c r="R957" s="852"/>
      <c r="S957" s="784"/>
      <c r="T957" s="864"/>
      <c r="U957" s="1023" t="str">
        <f>"Repräsentiert das für den Zielzeitpunkt anzunehmende Verhältnis von Nutzenergie zum Endenergieverbrauch gemäß "&amp;C959&amp;", wobei vereinfachend der Wert für den Personenverkehr hier auch für den Güterverkehr übernommen wird. "&amp;"Dient zur Ermittlung des mit dem angenommenen Endenergieverbrauch erreichbaren Nutzenergieaufkommens als Maß für die erreichbare Verkehrsleistung. "&amp;"Es wird davon ausgegangen, dass keine nennenswerten Potenziale zu einer weiteren Steigerung des bereits hohen Eiffizienzniveaus gegeben sind. "&amp;"Außerdem wird vereinfachend angenommen, dass der Nutzungsgrad für oberleitungsgetriebene Elektrofahrzeuge auf Schiene und Straße auf gleichem Niveau liegen."</f>
        <v>Repräsentiert das für den Zielzeitpunkt anzunehmende Verhältnis von Nutzenergie zum Endenergieverbrauch gemäß [959], wobei vereinfachend der Wert für den Personenverkehr hier auch für den Güterverkehr übernommen wird. Dient zur Ermittlung des mit dem angenommenen Endenergieverbrauch erreichbaren Nutzenergieaufkommens als Maß für die erreichbare Verkehrsleistung. Es wird davon ausgegangen, dass keine nennenswerten Potenziale zu einer weiteren Steigerung des bereits hohen Eiffizienzniveaus gegeben sind. Außerdem wird vereinfachend angenommen, dass der Nutzungsgrad für oberleitungsgetriebene Elektrofahrzeuge auf Schiene und Straße auf gleichem Niveau liegen.</v>
      </c>
      <c r="V957" s="905" t="s">
        <v>126</v>
      </c>
      <c r="W957" s="1095">
        <v>78</v>
      </c>
      <c r="X957" s="672"/>
      <c r="Y957" s="672" t="s">
        <v>126</v>
      </c>
      <c r="Z957" s="1025"/>
      <c r="AA957" s="905"/>
      <c r="AB957" s="801"/>
      <c r="AC957" s="801"/>
      <c r="AD957" s="801">
        <f>AH958</f>
        <v>-65.400000000000006</v>
      </c>
      <c r="AE957" s="801" t="str">
        <f>AI958</f>
        <v xml:space="preserve">% </v>
      </c>
      <c r="AF957" s="774">
        <f>W946</f>
        <v>1.6</v>
      </c>
      <c r="AG957" s="801" t="s">
        <v>835</v>
      </c>
      <c r="AH957" s="801">
        <f>ROUND(AH958*(100-AF957)%,1)</f>
        <v>-64.400000000000006</v>
      </c>
      <c r="AI957" s="801" t="s">
        <v>835</v>
      </c>
      <c r="AJ957" s="801"/>
      <c r="AK957" s="801"/>
      <c r="AL957" s="801"/>
      <c r="AM957" s="801"/>
      <c r="AN957" s="801"/>
      <c r="AO957" s="801"/>
      <c r="AP957" s="801"/>
      <c r="AQ957" s="801"/>
      <c r="AR957" s="801"/>
      <c r="AS957" s="801"/>
      <c r="AT957" s="801"/>
      <c r="AU957" s="801"/>
      <c r="AV957" s="801"/>
      <c r="BF957" s="657"/>
      <c r="BI957" s="656" t="s">
        <v>126</v>
      </c>
      <c r="BJ957" s="666"/>
      <c r="BO957" s="656" t="s">
        <v>259</v>
      </c>
      <c r="CU957" s="663" t="str">
        <f>CH$1&amp;IF(U957="",BF957,U957)</f>
        <v>- ZIEL-Ansatz: Repräsentiert das für den Zielzeitpunkt anzunehmende Verhältnis von Nutzenergie zum Endenergieverbrauch gemäß [959], wobei vereinfachend der Wert für den Personenverkehr hier auch für den Güterverkehr übernommen wird. Dient zur Ermittlung des mit dem angenommenen Endenergieverbrauch erreichbaren Nutzenergieaufkommens als Maß für die erreichbare Verkehrsleistung. Es wird davon ausgegangen, dass keine nennenswerten Potenziale zu einer weiteren Steigerung des bereits hohen Eiffizienzniveaus gegeben sind. Außerdem wird vereinfachend angenommen, dass der Nutzungsgrad für oberleitungsgetriebene Elektrofahrzeuge auf Schiene und Straße auf gleichem Niveau liegen.</v>
      </c>
      <c r="CW957" s="663"/>
      <c r="DT957" s="671">
        <v>53</v>
      </c>
      <c r="EJ957" s="656" t="str">
        <f>IF(X957=0,"",EJ$1&amp;X957)</f>
        <v/>
      </c>
      <c r="EK957" s="656" t="str">
        <f ca="1">EK$1&amp;X957</f>
        <v>[D_Python.xlsx]9.Quellen!C</v>
      </c>
      <c r="EV957" s="819">
        <f t="shared" si="514"/>
        <v>957</v>
      </c>
      <c r="EW957" s="819"/>
    </row>
    <row r="958" spans="1:153" s="656" customFormat="1" hidden="1">
      <c r="A958" s="654" t="str">
        <f t="shared" ca="1" si="511"/>
        <v>D.1.958</v>
      </c>
      <c r="B958" s="654" t="str">
        <f t="shared" ca="1" si="512"/>
        <v>1.958</v>
      </c>
      <c r="C958" s="654" t="str">
        <f t="shared" ref="C958:C959" si="521">CE$1&amp;D958&amp;CF$1</f>
        <v>[958]</v>
      </c>
      <c r="D958" s="654">
        <f>ROW()</f>
        <v>958</v>
      </c>
      <c r="E958" s="1135" t="str">
        <f>CU958</f>
        <v xml:space="preserve"> </v>
      </c>
      <c r="F958" s="1135"/>
      <c r="G958" s="1135"/>
      <c r="H958" s="1135"/>
      <c r="I958" s="1135"/>
      <c r="J958" s="1135"/>
      <c r="K958" s="1135"/>
      <c r="L958" s="1135"/>
      <c r="M958" s="1135"/>
      <c r="N958" s="1136"/>
      <c r="O958" s="869">
        <v>923</v>
      </c>
      <c r="P958" s="691" t="str">
        <f t="shared" ref="P958:P959" ca="1" si="522">HYPERLINK(EK958,EJ958)</f>
        <v/>
      </c>
      <c r="Q958" s="692" t="str">
        <f t="shared" ref="Q958:Q959" si="523">Y958</f>
        <v xml:space="preserve"> </v>
      </c>
      <c r="R958" s="852"/>
      <c r="S958" s="784"/>
      <c r="T958" s="864"/>
      <c r="U958" s="1023" t="s">
        <v>126</v>
      </c>
      <c r="V958" s="905" t="s">
        <v>126</v>
      </c>
      <c r="W958" s="1025"/>
      <c r="X958" s="672"/>
      <c r="Y958" s="672" t="s">
        <v>126</v>
      </c>
      <c r="Z958" s="1025"/>
      <c r="AA958" s="905"/>
      <c r="AB958" s="801"/>
      <c r="AC958" s="801"/>
      <c r="AD958" s="801">
        <f>AF959</f>
        <v>27</v>
      </c>
      <c r="AE958" s="801" t="str">
        <f>AG959</f>
        <v xml:space="preserve">% </v>
      </c>
      <c r="AF958" s="801">
        <f>AH959</f>
        <v>78</v>
      </c>
      <c r="AG958" s="801" t="str">
        <f>AI959</f>
        <v xml:space="preserve">% </v>
      </c>
      <c r="AH958" s="801">
        <f>ROUND(AD958*100/78-100,1)</f>
        <v>-65.400000000000006</v>
      </c>
      <c r="AI958" s="801" t="s">
        <v>835</v>
      </c>
      <c r="AJ958" s="801"/>
      <c r="AK958" s="801"/>
      <c r="AL958" s="801"/>
      <c r="AM958" s="801"/>
      <c r="AN958" s="801"/>
      <c r="AO958" s="801"/>
      <c r="AP958" s="801"/>
      <c r="AQ958" s="801"/>
      <c r="AR958" s="801"/>
      <c r="AS958" s="801"/>
      <c r="AT958" s="801"/>
      <c r="AU958" s="801"/>
      <c r="AV958" s="801"/>
      <c r="BF958" s="657"/>
      <c r="BI958" s="656" t="s">
        <v>126</v>
      </c>
      <c r="BJ958" s="666"/>
      <c r="BO958" s="656" t="s">
        <v>252</v>
      </c>
      <c r="CU958" s="663" t="str">
        <f>IF(U958="",BF958,U958)</f>
        <v xml:space="preserve"> </v>
      </c>
      <c r="CW958" s="663"/>
      <c r="DT958" s="671"/>
      <c r="EJ958" s="656" t="str">
        <f>IF(X958=0,"",EJ$1&amp;X958)</f>
        <v/>
      </c>
      <c r="EK958" s="656" t="str">
        <f ca="1">EK$1&amp;X958</f>
        <v>[D_Python.xlsx]9.Quellen!C</v>
      </c>
      <c r="EV958" s="819">
        <f t="shared" si="514"/>
        <v>958</v>
      </c>
      <c r="EW958" s="819"/>
    </row>
    <row r="959" spans="1:153" s="656" customFormat="1" ht="39">
      <c r="A959" s="654" t="str">
        <f t="shared" ca="1" si="511"/>
        <v>D.1.959</v>
      </c>
      <c r="B959" s="654" t="str">
        <f t="shared" ca="1" si="512"/>
        <v>1.959</v>
      </c>
      <c r="C959" s="654" t="str">
        <f t="shared" si="521"/>
        <v>[959]</v>
      </c>
      <c r="D959" s="654">
        <f>ROW()</f>
        <v>959</v>
      </c>
      <c r="E959" s="1125" t="str">
        <f ca="1">CU959</f>
        <v>In einer Betrachtung der TU München zur Energieeffizienz durch Elektromobilität [9.261], S. 17, werden Fahrzeug-Nutzungsgrade (Verhältnis Nutzenergie zu der als Kraftstoff getankten bzw. zur Batterielandung aufgenommenen Endenergie) abhängig vom Antriebstyp gegenübergestellt: Dieselmotor 27% , Elektromotor mit Batterie 78% .</v>
      </c>
      <c r="F959" s="1125"/>
      <c r="G959" s="1125"/>
      <c r="H959" s="1125"/>
      <c r="I959" s="1125"/>
      <c r="J959" s="1125"/>
      <c r="K959" s="1125"/>
      <c r="L959" s="1125"/>
      <c r="M959" s="1125"/>
      <c r="N959" s="1132"/>
      <c r="O959" s="869">
        <v>924</v>
      </c>
      <c r="P959" s="691" t="str">
        <f t="shared" ca="1" si="522"/>
        <v>9.261</v>
      </c>
      <c r="Q959" s="692" t="str">
        <f t="shared" si="523"/>
        <v>S. 17</v>
      </c>
      <c r="R959" s="852"/>
      <c r="S959" s="784"/>
      <c r="T959" s="864"/>
      <c r="U959" s="1023" t="str">
        <f ca="1">"In einer Betrachtung der TU München zur Energieeffizienz durch Elektromobilität ["&amp;P959&amp;"], "&amp;Q959&amp;", werden Fahrzeug-Nutzungsgrade (Verhältnis Nutzenergie zu der als Kraftstoff getankten bzw. zur Batterielandung aufgenommenen Endenergie) abhängig vom Antriebstyp gegenübergestellt: Dieselmotor "&amp;AF959&amp;AG959&amp;", Elektromotor mit Batterie "&amp;AH959&amp;AI959&amp;"."</f>
        <v>In einer Betrachtung der TU München zur Energieeffizienz durch Elektromobilität [9.261], S. 17, werden Fahrzeug-Nutzungsgrade (Verhältnis Nutzenergie zu der als Kraftstoff getankten bzw. zur Batterielandung aufgenommenen Endenergie) abhängig vom Antriebstyp gegenübergestellt: Dieselmotor 27% , Elektromotor mit Batterie 78% .</v>
      </c>
      <c r="V959" s="905" t="s">
        <v>126</v>
      </c>
      <c r="W959" s="1025"/>
      <c r="X959" s="672">
        <f>'9.Quellen'!C$261</f>
        <v>261</v>
      </c>
      <c r="Y959" s="672" t="s">
        <v>540</v>
      </c>
      <c r="Z959" s="1025"/>
      <c r="AA959" s="905"/>
      <c r="AB959" s="801"/>
      <c r="AC959" s="801"/>
      <c r="AD959" s="801">
        <v>24</v>
      </c>
      <c r="AE959" s="801" t="s">
        <v>835</v>
      </c>
      <c r="AF959" s="801">
        <v>27</v>
      </c>
      <c r="AG959" s="801" t="s">
        <v>835</v>
      </c>
      <c r="AH959" s="801">
        <v>78</v>
      </c>
      <c r="AI959" s="801" t="s">
        <v>835</v>
      </c>
      <c r="AJ959" s="801"/>
      <c r="AK959" s="801"/>
      <c r="AL959" s="801"/>
      <c r="AM959" s="801"/>
      <c r="AN959" s="801"/>
      <c r="AO959" s="801"/>
      <c r="AP959" s="801"/>
      <c r="AQ959" s="801"/>
      <c r="AR959" s="801"/>
      <c r="AS959" s="801"/>
      <c r="AT959" s="801"/>
      <c r="AU959" s="801"/>
      <c r="AV959" s="801"/>
      <c r="BF959" s="657"/>
      <c r="BI959" s="656" t="s">
        <v>126</v>
      </c>
      <c r="BJ959" s="666"/>
      <c r="BO959" s="656" t="s">
        <v>252</v>
      </c>
      <c r="CU959" s="663" t="str">
        <f ca="1">IF(U959="",BF959,U959)</f>
        <v>In einer Betrachtung der TU München zur Energieeffizienz durch Elektromobilität [9.261], S. 17, werden Fahrzeug-Nutzungsgrade (Verhältnis Nutzenergie zu der als Kraftstoff getankten bzw. zur Batterielandung aufgenommenen Endenergie) abhängig vom Antriebstyp gegenübergestellt: Dieselmotor 27% , Elektromotor mit Batterie 78% .</v>
      </c>
      <c r="CW959" s="663"/>
      <c r="DT959" s="671"/>
      <c r="EJ959" s="656" t="str">
        <f ca="1">IF(X959=0,"",EJ$1&amp;X959)</f>
        <v>9.261</v>
      </c>
      <c r="EK959" s="656" t="str">
        <f ca="1">EK$1&amp;X959</f>
        <v>[D_Python.xlsx]9.Quellen!C261</v>
      </c>
      <c r="EV959" s="819">
        <f t="shared" ca="1" si="514"/>
        <v>959</v>
      </c>
      <c r="EW959" s="819"/>
    </row>
    <row r="960" spans="1:153" s="661" customFormat="1" ht="4">
      <c r="A960" s="677" t="str">
        <f t="shared" ca="1" si="511"/>
        <v>D.1.960</v>
      </c>
      <c r="B960" s="677" t="str">
        <f t="shared" ca="1" si="512"/>
        <v>1.960</v>
      </c>
      <c r="C960" s="677" t="str">
        <f t="shared" si="443"/>
        <v>[960]</v>
      </c>
      <c r="D960" s="677">
        <f>ROW()</f>
        <v>960</v>
      </c>
      <c r="E960" s="685"/>
      <c r="F960" s="685"/>
      <c r="G960" s="685"/>
      <c r="H960" s="685"/>
      <c r="I960" s="686"/>
      <c r="J960" s="686"/>
      <c r="K960" s="686"/>
      <c r="L960" s="686"/>
      <c r="M960" s="686"/>
      <c r="N960" s="685"/>
      <c r="O960" s="871">
        <v>925</v>
      </c>
      <c r="P960" s="693"/>
      <c r="Q960" s="694"/>
      <c r="R960" s="888"/>
      <c r="S960" s="802"/>
      <c r="T960" s="882"/>
      <c r="AB960" s="675"/>
      <c r="AC960" s="675"/>
      <c r="AD960" s="675"/>
      <c r="AE960" s="675"/>
      <c r="AF960" s="675"/>
      <c r="AG960" s="675"/>
      <c r="AH960" s="675"/>
      <c r="AI960" s="675"/>
      <c r="AJ960" s="675"/>
      <c r="AK960" s="675"/>
      <c r="AL960" s="675"/>
      <c r="AM960" s="675"/>
      <c r="AN960" s="675"/>
      <c r="AO960" s="675"/>
      <c r="AP960" s="675"/>
      <c r="AQ960" s="675"/>
      <c r="AR960" s="675"/>
      <c r="AS960" s="675"/>
      <c r="AT960" s="675"/>
      <c r="AU960" s="675"/>
      <c r="AV960" s="675"/>
      <c r="AZ960" s="669"/>
      <c r="BB960" s="669"/>
      <c r="BI960" s="661" t="s">
        <v>126</v>
      </c>
      <c r="BJ960" s="665"/>
      <c r="CU960" s="662"/>
      <c r="CW960" s="662"/>
      <c r="EV960" s="818" t="str">
        <f t="shared" si="514"/>
        <v/>
      </c>
      <c r="EW960" s="818"/>
    </row>
    <row r="961" spans="1:153" s="658" customFormat="1" ht="13.5" customHeight="1">
      <c r="A961" s="654" t="str">
        <f t="shared" ca="1" si="511"/>
        <v>D.1.961</v>
      </c>
      <c r="B961" s="654" t="str">
        <f t="shared" ca="1" si="512"/>
        <v>1.961</v>
      </c>
      <c r="C961" s="654" t="str">
        <f t="shared" si="443"/>
        <v>[961]</v>
      </c>
      <c r="D961" s="654">
        <f>ROW()</f>
        <v>961</v>
      </c>
      <c r="E961" s="1129" t="str">
        <f>BP961</f>
        <v>Nutzungsgrad Kraftstofftraktion GVk</v>
      </c>
      <c r="F961" s="1129"/>
      <c r="G961" s="1129"/>
      <c r="H961" s="1129"/>
      <c r="I961" s="1129"/>
      <c r="J961" s="655" t="s">
        <v>38</v>
      </c>
      <c r="K961" s="605">
        <f ca="1">INDIRECT($W$1&amp;U961)</f>
        <v>27</v>
      </c>
      <c r="L961" s="697" t="str">
        <f ca="1">HYPERLINK($CK$1&amp;U961,$CE$1&amp;U961&amp;$CF$1)</f>
        <v>[962]</v>
      </c>
      <c r="M961" s="683">
        <f ca="1">INDIRECT($W$1&amp;W961)</f>
        <v>30.078000000000003</v>
      </c>
      <c r="N961" s="681" t="str">
        <f ca="1">HYPERLINK($CK$1&amp;W961,$CE$1&amp;W961&amp;$CF$1)</f>
        <v>[964]</v>
      </c>
      <c r="O961" s="869">
        <v>926</v>
      </c>
      <c r="P961" s="690"/>
      <c r="Q961" s="695"/>
      <c r="R961" s="852"/>
      <c r="S961" s="784"/>
      <c r="T961" s="864"/>
      <c r="U961" s="672">
        <f>D962</f>
        <v>962</v>
      </c>
      <c r="V961" s="905" t="s">
        <v>126</v>
      </c>
      <c r="W961" s="672">
        <f>D964</f>
        <v>964</v>
      </c>
      <c r="AB961" s="801"/>
      <c r="AC961" s="801"/>
      <c r="AD961" s="674"/>
      <c r="AE961" s="674"/>
      <c r="AF961" s="674"/>
      <c r="AG961" s="674"/>
      <c r="AH961" s="674"/>
      <c r="AI961" s="674"/>
      <c r="AJ961" s="674"/>
      <c r="AK961" s="674"/>
      <c r="AL961" s="674"/>
      <c r="AM961" s="674"/>
      <c r="AN961" s="674"/>
      <c r="AO961" s="674"/>
      <c r="AP961" s="674"/>
      <c r="AQ961" s="674"/>
      <c r="AR961" s="674"/>
      <c r="AS961" s="674"/>
      <c r="AT961" s="674"/>
      <c r="AU961" s="674"/>
      <c r="AV961" s="674"/>
      <c r="AX961" s="658" t="s">
        <v>244</v>
      </c>
      <c r="AY961" s="668">
        <f ca="1">DA961</f>
        <v>10.254559182513647</v>
      </c>
      <c r="AZ961" s="670" t="str">
        <f ca="1">HYPERLINK(DN961,DC961)</f>
        <v xml:space="preserve"> 235</v>
      </c>
      <c r="BA961" s="668">
        <f ca="1">DB961</f>
        <v>35</v>
      </c>
      <c r="BB961" s="670" t="str">
        <f ca="1">HYPERLINK(DO961,DD961)</f>
        <v xml:space="preserve"> 236</v>
      </c>
      <c r="BC961" s="658" t="str">
        <f ca="1">CY961&amp;" | "&amp;CZ961</f>
        <v>Brennstoffgew.
für Prozesse | 0</v>
      </c>
      <c r="BI961" s="658" t="s">
        <v>126</v>
      </c>
      <c r="BJ961" s="667" t="str">
        <f>E961</f>
        <v>Nutzungsgrad Kraftstofftraktion GVk</v>
      </c>
      <c r="BK961" s="664">
        <f ca="1">K961</f>
        <v>27</v>
      </c>
      <c r="BL961" s="664">
        <f ca="1">M961</f>
        <v>30.078000000000003</v>
      </c>
      <c r="BM961" s="656">
        <f>D961</f>
        <v>961</v>
      </c>
      <c r="BO961" s="658" t="s">
        <v>251</v>
      </c>
      <c r="BP961" s="676" t="s">
        <v>913</v>
      </c>
      <c r="CU961" s="659"/>
      <c r="CW961" s="671">
        <v>61</v>
      </c>
      <c r="CY961" s="656" t="str">
        <f t="shared" ref="CY961:DO961" ca="1" si="524">INDIRECT($CX$1&amp;CY$1&amp;$CW961)</f>
        <v>Brennstoffgew.
für Prozesse</v>
      </c>
      <c r="CZ961" s="656">
        <f t="shared" ca="1" si="524"/>
        <v>0</v>
      </c>
      <c r="DA961" s="656">
        <f t="shared" ca="1" si="524"/>
        <v>10.254559182513647</v>
      </c>
      <c r="DB961" s="656">
        <f t="shared" ca="1" si="524"/>
        <v>35</v>
      </c>
      <c r="DC961" s="656" t="str">
        <f t="shared" ca="1" si="524"/>
        <v xml:space="preserve"> 235</v>
      </c>
      <c r="DD961" s="656" t="str">
        <f t="shared" ca="1" si="524"/>
        <v xml:space="preserve"> 236</v>
      </c>
      <c r="DE961" s="656" t="str">
        <f t="shared" ca="1" si="524"/>
        <v>Ho99</v>
      </c>
      <c r="DF961" s="656" t="str">
        <f t="shared" ca="1" si="524"/>
        <v>Ho36</v>
      </c>
      <c r="DG961" s="656" t="str">
        <f t="shared" ca="1" si="524"/>
        <v>Ho</v>
      </c>
      <c r="DH961" s="656" t="str">
        <f t="shared" ca="1" si="524"/>
        <v>99</v>
      </c>
      <c r="DI961" s="656" t="str">
        <f t="shared" ca="1" si="524"/>
        <v>[Ho.xls]TEXT!Z99S5</v>
      </c>
      <c r="DJ961" s="656" t="str">
        <f t="shared" ca="1" si="524"/>
        <v>Ho</v>
      </c>
      <c r="DK961" s="656" t="str">
        <f t="shared" ca="1" si="524"/>
        <v>36</v>
      </c>
      <c r="DL961" s="656" t="str">
        <f t="shared" ca="1" si="524"/>
        <v>[Ho.xls]TEXT!Z36S5</v>
      </c>
      <c r="DM961" s="656">
        <f t="shared" ca="1" si="524"/>
        <v>61</v>
      </c>
      <c r="DN961" s="656" t="str">
        <f t="shared" ca="1" si="524"/>
        <v>[Region.xls]PARAMETER!Z235S6</v>
      </c>
      <c r="DO961" s="656" t="str">
        <f t="shared" ca="1" si="524"/>
        <v>[Region.xls]PARAMETER!Z236S6</v>
      </c>
      <c r="DP961" s="656"/>
      <c r="DS961" s="656"/>
      <c r="DV961" s="656"/>
      <c r="DW961" s="656"/>
      <c r="DX961" s="656"/>
      <c r="DY961" s="656"/>
      <c r="DZ961" s="656"/>
      <c r="EA961" s="656"/>
      <c r="EB961" s="656"/>
      <c r="EC961" s="656"/>
      <c r="ED961" s="656"/>
      <c r="EE961" s="656"/>
      <c r="EF961" s="656"/>
      <c r="EG961" s="656"/>
      <c r="EH961" s="656"/>
      <c r="EI961" s="656"/>
      <c r="EJ961" s="656"/>
      <c r="EK961" s="656"/>
      <c r="EV961" s="819">
        <f t="shared" si="514"/>
        <v>961</v>
      </c>
      <c r="EW961" s="819"/>
    </row>
    <row r="962" spans="1:153" s="656" customFormat="1" ht="52">
      <c r="A962" s="654" t="str">
        <f t="shared" ca="1" si="511"/>
        <v>D.1.962</v>
      </c>
      <c r="B962" s="654" t="str">
        <f t="shared" ca="1" si="512"/>
        <v>1.962</v>
      </c>
      <c r="C962" s="654" t="str">
        <f t="shared" si="443"/>
        <v>[962]</v>
      </c>
      <c r="D962" s="654">
        <f>ROW()</f>
        <v>962</v>
      </c>
      <c r="E962" s="1133" t="str">
        <f>CU962</f>
        <v xml:space="preserve">- STATUS-Ansatz: Repräsentiert den Status Quo des Verhältnisses von Nutzenergie zum Endenergieverbrauch gemäß [959], wobei wegen der Dominanz von Dieselantrieben dieser Wert angesetzt wird. Dient zur Ermittlung des mit dem bekannten Endenergieverbrauch erreichten Nutzenergieaufkommen als Maß für die erreichte Verkehrsleistung. </v>
      </c>
      <c r="F962" s="1133"/>
      <c r="G962" s="1133"/>
      <c r="H962" s="1133"/>
      <c r="I962" s="1133"/>
      <c r="J962" s="1133"/>
      <c r="K962" s="1133"/>
      <c r="L962" s="1133"/>
      <c r="M962" s="1133"/>
      <c r="N962" s="1134"/>
      <c r="O962" s="869">
        <v>927</v>
      </c>
      <c r="P962" s="691" t="str">
        <f ca="1">HYPERLINK(EK962,EJ962)</f>
        <v/>
      </c>
      <c r="Q962" s="692" t="str">
        <f>Y962</f>
        <v xml:space="preserve"> </v>
      </c>
      <c r="R962" s="852"/>
      <c r="S962" s="784"/>
      <c r="T962" s="864"/>
      <c r="U962" s="1023" t="str">
        <f>"Repräsentiert den Status Quo des Verhältnisses von Nutzenergie zum Endenergieverbrauch gemäß "&amp;C959&amp;", wobei wegen der Dominanz von Dieselantrieben dieser Wert angesetzt wird. "&amp;"Dient zur Ermittlung des mit dem bekannten Endenergieverbrauch erreichten Nutzenergieaufkommen als Maß für die erreichte Verkehrsleistung. "</f>
        <v xml:space="preserve">Repräsentiert den Status Quo des Verhältnisses von Nutzenergie zum Endenergieverbrauch gemäß [959], wobei wegen der Dominanz von Dieselantrieben dieser Wert angesetzt wird. Dient zur Ermittlung des mit dem bekannten Endenergieverbrauch erreichten Nutzenergieaufkommen als Maß für die erreichte Verkehrsleistung. </v>
      </c>
      <c r="V962" s="905" t="s">
        <v>126</v>
      </c>
      <c r="W962" s="1102">
        <v>27</v>
      </c>
      <c r="X962" s="672"/>
      <c r="Y962" s="672" t="s">
        <v>126</v>
      </c>
      <c r="Z962" s="1025"/>
      <c r="AA962" s="658"/>
      <c r="AB962" s="801"/>
      <c r="AC962" s="801"/>
      <c r="AD962" s="801"/>
      <c r="AE962" s="801"/>
      <c r="AF962" s="801"/>
      <c r="AG962" s="801"/>
      <c r="AH962" s="801"/>
      <c r="AI962" s="801"/>
      <c r="AJ962" s="801"/>
      <c r="AK962" s="801"/>
      <c r="AL962" s="801"/>
      <c r="AM962" s="801"/>
      <c r="AN962" s="801"/>
      <c r="AO962" s="801"/>
      <c r="AP962" s="801"/>
      <c r="AQ962" s="801"/>
      <c r="AR962" s="801"/>
      <c r="AS962" s="801"/>
      <c r="AT962" s="801"/>
      <c r="AU962" s="801"/>
      <c r="AV962" s="801"/>
      <c r="AY962" s="656">
        <f ca="1">AY961/AY$246%</f>
        <v>14.091645358575692</v>
      </c>
      <c r="BA962" s="656">
        <f ca="1">BA961/BA$246%</f>
        <v>100</v>
      </c>
      <c r="BF962" s="657"/>
      <c r="BI962" s="656" t="s">
        <v>126</v>
      </c>
      <c r="BJ962" s="666"/>
      <c r="BO962" s="656" t="s">
        <v>259</v>
      </c>
      <c r="CU962" s="663" t="str">
        <f>CG$1&amp;IF(U962="",BF962,U962)</f>
        <v xml:space="preserve">- STATUS-Ansatz: Repräsentiert den Status Quo des Verhältnisses von Nutzenergie zum Endenergieverbrauch gemäß [959], wobei wegen der Dominanz von Dieselantrieben dieser Wert angesetzt wird. Dient zur Ermittlung des mit dem bekannten Endenergieverbrauch erreichten Nutzenergieaufkommen als Maß für die erreichte Verkehrsleistung. </v>
      </c>
      <c r="CW962" s="663"/>
      <c r="DT962" s="671">
        <f>I_Basisdaten!A395</f>
        <v>0</v>
      </c>
      <c r="EJ962" s="656" t="str">
        <f>IF(X962=0,"",EJ$1&amp;X962)</f>
        <v/>
      </c>
      <c r="EK962" s="656" t="str">
        <f ca="1">EK$1&amp;X962</f>
        <v>[D_Python.xlsx]9.Quellen!C</v>
      </c>
      <c r="EV962" s="819">
        <f t="shared" si="514"/>
        <v>962</v>
      </c>
      <c r="EW962" s="819"/>
    </row>
    <row r="963" spans="1:153" s="661" customFormat="1" ht="4">
      <c r="A963" s="677" t="str">
        <f t="shared" ca="1" si="511"/>
        <v>D.1.963</v>
      </c>
      <c r="B963" s="677" t="str">
        <f t="shared" ca="1" si="512"/>
        <v>1.963</v>
      </c>
      <c r="C963" s="677" t="str">
        <f t="shared" si="443"/>
        <v>[963]</v>
      </c>
      <c r="D963" s="677">
        <f>ROW()</f>
        <v>963</v>
      </c>
      <c r="E963" s="680"/>
      <c r="F963" s="680"/>
      <c r="G963" s="680"/>
      <c r="H963" s="680"/>
      <c r="I963" s="679"/>
      <c r="J963" s="679"/>
      <c r="K963" s="679"/>
      <c r="L963" s="679"/>
      <c r="M963" s="679"/>
      <c r="N963" s="680"/>
      <c r="O963" s="871">
        <v>928</v>
      </c>
      <c r="P963" s="688"/>
      <c r="Q963" s="689"/>
      <c r="R963" s="888"/>
      <c r="S963" s="802"/>
      <c r="T963" s="882"/>
      <c r="W963" s="606"/>
      <c r="AB963" s="675"/>
      <c r="AC963" s="675"/>
      <c r="AD963" s="675"/>
      <c r="AE963" s="675"/>
      <c r="AF963" s="675"/>
      <c r="AG963" s="675"/>
      <c r="AH963" s="675"/>
      <c r="AI963" s="675"/>
      <c r="AJ963" s="675"/>
      <c r="AK963" s="675"/>
      <c r="AL963" s="675"/>
      <c r="AM963" s="675"/>
      <c r="AN963" s="675"/>
      <c r="AO963" s="675"/>
      <c r="AP963" s="675"/>
      <c r="AQ963" s="675"/>
      <c r="AR963" s="675"/>
      <c r="AS963" s="675"/>
      <c r="AT963" s="675"/>
      <c r="AU963" s="675"/>
      <c r="AV963" s="675"/>
      <c r="BI963" s="661" t="s">
        <v>126</v>
      </c>
      <c r="BJ963" s="665"/>
      <c r="CU963" s="662"/>
      <c r="CW963" s="662"/>
      <c r="EV963" s="818" t="str">
        <f t="shared" si="514"/>
        <v/>
      </c>
      <c r="EW963" s="818"/>
    </row>
    <row r="964" spans="1:153" s="656" customFormat="1" ht="26">
      <c r="A964" s="654" t="str">
        <f t="shared" ca="1" si="511"/>
        <v>D.1.964</v>
      </c>
      <c r="B964" s="654" t="str">
        <f t="shared" ca="1" si="512"/>
        <v>1.964</v>
      </c>
      <c r="C964" s="654" t="str">
        <f t="shared" si="443"/>
        <v>[964]</v>
      </c>
      <c r="D964" s="654">
        <f>ROW()</f>
        <v>964</v>
      </c>
      <c r="E964" s="1135" t="str">
        <f t="shared" ref="E964" si="525">CU964</f>
        <v>- ZIEL-Ansatz: Die Senkung des Kraftstoffverbrauchs im Güterverkehrsbereich durch Effizienzsteigerung der Verbrennungsmotoren, vor allem bei LKW, wird hier von der Effizienzsteigerung um 11,4%  bei PKW [917] abgeleitet.</v>
      </c>
      <c r="F964" s="1135"/>
      <c r="G964" s="1135"/>
      <c r="H964" s="1135"/>
      <c r="I964" s="1135"/>
      <c r="J964" s="1135"/>
      <c r="K964" s="1135"/>
      <c r="L964" s="1135"/>
      <c r="M964" s="1135"/>
      <c r="N964" s="1136"/>
      <c r="O964" s="869">
        <v>929</v>
      </c>
      <c r="P964" s="691" t="str">
        <f ca="1">HYPERLINK(EK964,EJ964)</f>
        <v/>
      </c>
      <c r="Q964" s="692" t="str">
        <f>Y964</f>
        <v xml:space="preserve"> </v>
      </c>
      <c r="R964" s="852"/>
      <c r="S964" s="784"/>
      <c r="T964" s="864"/>
      <c r="U964" s="1023" t="str">
        <f>"Die Senkung des Kraftstoffverbrauchs im Güterverkehrsbereich durch Effizienzsteigerung der Verbrennungsmotoren, vor allem bei LKW, wird hier von der Effizienzsteigerung um "&amp;AD964&amp;AE964&amp;" bei PKW "&amp;C917&amp;" abgeleitet."</f>
        <v>Die Senkung des Kraftstoffverbrauchs im Güterverkehrsbereich durch Effizienzsteigerung der Verbrennungsmotoren, vor allem bei LKW, wird hier von der Effizienzsteigerung um 11,4%  bei PKW [917] abgeleitet.</v>
      </c>
      <c r="V964" s="905" t="s">
        <v>126</v>
      </c>
      <c r="W964" s="1095">
        <f>W962*111.4%</f>
        <v>30.078000000000003</v>
      </c>
      <c r="X964" s="672"/>
      <c r="Y964" s="672" t="s">
        <v>126</v>
      </c>
      <c r="Z964" s="1025"/>
      <c r="AA964" s="905"/>
      <c r="AB964" s="801"/>
      <c r="AC964" s="801"/>
      <c r="AD964" s="801">
        <f>AN917</f>
        <v>11.4</v>
      </c>
      <c r="AE964" s="801" t="str">
        <f>AO917</f>
        <v xml:space="preserve">% </v>
      </c>
      <c r="AF964" s="801">
        <f>100-AD964</f>
        <v>88.6</v>
      </c>
      <c r="AG964" s="801" t="s">
        <v>835</v>
      </c>
      <c r="AH964" s="801"/>
      <c r="AI964" s="801"/>
      <c r="AJ964" s="801"/>
      <c r="AK964" s="801"/>
      <c r="AL964" s="801"/>
      <c r="AM964" s="801"/>
      <c r="AN964" s="801"/>
      <c r="AO964" s="801"/>
      <c r="AP964" s="801"/>
      <c r="AQ964" s="801"/>
      <c r="AR964" s="801"/>
      <c r="AS964" s="801"/>
      <c r="AT964" s="801"/>
      <c r="AU964" s="801"/>
      <c r="AV964" s="801"/>
      <c r="BF964" s="657"/>
      <c r="BI964" s="656" t="s">
        <v>126</v>
      </c>
      <c r="BJ964" s="666"/>
      <c r="BO964" s="656" t="s">
        <v>259</v>
      </c>
      <c r="CU964" s="663" t="str">
        <f>CH$1&amp;IF(U964="",BF964,U964)</f>
        <v>- ZIEL-Ansatz: Die Senkung des Kraftstoffverbrauchs im Güterverkehrsbereich durch Effizienzsteigerung der Verbrennungsmotoren, vor allem bei LKW, wird hier von der Effizienzsteigerung um 11,4%  bei PKW [917] abgeleitet.</v>
      </c>
      <c r="CW964" s="663"/>
      <c r="DT964" s="671">
        <v>53</v>
      </c>
      <c r="EJ964" s="656" t="str">
        <f>IF(X964=0,"",EJ$1&amp;X964)</f>
        <v/>
      </c>
      <c r="EK964" s="656" t="str">
        <f ca="1">EK$1&amp;X964</f>
        <v>[D_Python.xlsx]9.Quellen!C</v>
      </c>
      <c r="EV964" s="819">
        <f t="shared" si="514"/>
        <v>964</v>
      </c>
      <c r="EW964" s="819"/>
    </row>
    <row r="965" spans="1:153" s="661" customFormat="1" ht="4">
      <c r="A965" s="677" t="str">
        <f t="shared" ca="1" si="511"/>
        <v>D.1.965</v>
      </c>
      <c r="B965" s="677" t="str">
        <f t="shared" ca="1" si="512"/>
        <v>1.965</v>
      </c>
      <c r="C965" s="677" t="str">
        <f t="shared" si="443"/>
        <v>[965]</v>
      </c>
      <c r="D965" s="677">
        <f>ROW()</f>
        <v>965</v>
      </c>
      <c r="E965" s="680"/>
      <c r="F965" s="680"/>
      <c r="G965" s="680"/>
      <c r="H965" s="680"/>
      <c r="I965" s="679"/>
      <c r="J965" s="679"/>
      <c r="K965" s="679"/>
      <c r="L965" s="679"/>
      <c r="M965" s="679"/>
      <c r="N965" s="680"/>
      <c r="O965" s="871">
        <v>930</v>
      </c>
      <c r="P965" s="688"/>
      <c r="Q965" s="689"/>
      <c r="R965" s="888"/>
      <c r="S965" s="802"/>
      <c r="T965" s="882"/>
      <c r="AB965" s="675"/>
      <c r="AC965" s="675"/>
      <c r="AD965" s="675"/>
      <c r="AE965" s="675"/>
      <c r="AF965" s="675"/>
      <c r="AG965" s="675"/>
      <c r="AH965" s="675"/>
      <c r="AI965" s="675"/>
      <c r="AJ965" s="675"/>
      <c r="AK965" s="675"/>
      <c r="AL965" s="675"/>
      <c r="AM965" s="675"/>
      <c r="AN965" s="675"/>
      <c r="AO965" s="675"/>
      <c r="AP965" s="675"/>
      <c r="AQ965" s="675"/>
      <c r="AR965" s="675"/>
      <c r="AS965" s="675"/>
      <c r="AT965" s="675"/>
      <c r="AU965" s="675"/>
      <c r="AV965" s="675"/>
      <c r="BI965" s="661" t="s">
        <v>126</v>
      </c>
      <c r="BJ965" s="665"/>
      <c r="CU965" s="662"/>
      <c r="CW965" s="662"/>
      <c r="EV965" s="818" t="str">
        <f t="shared" si="514"/>
        <v/>
      </c>
      <c r="EW965" s="818"/>
    </row>
    <row r="966" spans="1:153" s="656" customFormat="1" ht="13">
      <c r="A966" s="654" t="str">
        <f t="shared" ca="1" si="511"/>
        <v>D.1.966</v>
      </c>
      <c r="B966" s="654" t="str">
        <f t="shared" ca="1" si="512"/>
        <v>1.966</v>
      </c>
      <c r="C966" s="654" t="str">
        <f t="shared" si="443"/>
        <v>[966]</v>
      </c>
      <c r="D966" s="654">
        <f>ROW()</f>
        <v>966</v>
      </c>
      <c r="E966" s="481" t="str">
        <f>BP966</f>
        <v>MA Luftverkehr</v>
      </c>
      <c r="F966" s="482"/>
      <c r="G966" s="482"/>
      <c r="H966" s="482"/>
      <c r="I966" s="483"/>
      <c r="J966" s="484"/>
      <c r="K966" s="484"/>
      <c r="L966" s="484"/>
      <c r="M966" s="484"/>
      <c r="N966" s="532"/>
      <c r="O966" s="869">
        <v>931</v>
      </c>
      <c r="P966" s="568"/>
      <c r="Q966" s="569"/>
      <c r="R966" s="852"/>
      <c r="S966" s="804"/>
      <c r="T966" s="864"/>
      <c r="U966" s="905"/>
      <c r="V966" s="905"/>
      <c r="W966" s="905"/>
      <c r="X966" s="905"/>
      <c r="Y966" s="905"/>
      <c r="Z966" s="905"/>
      <c r="AA966" s="905"/>
      <c r="AB966" s="801"/>
      <c r="AC966" s="801"/>
      <c r="AD966" s="801"/>
      <c r="AE966" s="801"/>
      <c r="AF966" s="801"/>
      <c r="AG966" s="801"/>
      <c r="AH966" s="801"/>
      <c r="AI966" s="801"/>
      <c r="AJ966" s="801"/>
      <c r="AK966" s="801"/>
      <c r="AL966" s="801"/>
      <c r="AM966" s="801"/>
      <c r="AN966" s="801"/>
      <c r="AO966" s="801"/>
      <c r="AP966" s="801"/>
      <c r="AQ966" s="801"/>
      <c r="AR966" s="801"/>
      <c r="AS966" s="801"/>
      <c r="AT966" s="801"/>
      <c r="AU966" s="801"/>
      <c r="AV966" s="801"/>
      <c r="AZ966" s="504"/>
      <c r="BB966" s="506"/>
      <c r="BI966" s="656" t="s">
        <v>126</v>
      </c>
      <c r="BJ966" s="666"/>
      <c r="BO966" s="656" t="s">
        <v>250</v>
      </c>
      <c r="BP966" s="671" t="s">
        <v>710</v>
      </c>
      <c r="CU966" s="663"/>
      <c r="CW966" s="663"/>
      <c r="EV966" s="819">
        <f t="shared" si="514"/>
        <v>966</v>
      </c>
      <c r="EW966" s="819"/>
    </row>
    <row r="967" spans="1:153" s="661" customFormat="1" ht="4">
      <c r="A967" s="677" t="str">
        <f t="shared" ca="1" si="511"/>
        <v>D.1.967</v>
      </c>
      <c r="B967" s="677" t="str">
        <f t="shared" ca="1" si="512"/>
        <v>1.967</v>
      </c>
      <c r="C967" s="677" t="str">
        <f t="shared" si="443"/>
        <v>[967]</v>
      </c>
      <c r="D967" s="677">
        <f>ROW()</f>
        <v>967</v>
      </c>
      <c r="E967" s="680"/>
      <c r="F967" s="680"/>
      <c r="G967" s="680"/>
      <c r="H967" s="680"/>
      <c r="I967" s="679"/>
      <c r="J967" s="679"/>
      <c r="K967" s="679"/>
      <c r="L967" s="679"/>
      <c r="M967" s="679"/>
      <c r="N967" s="680"/>
      <c r="O967" s="871">
        <v>932</v>
      </c>
      <c r="P967" s="688"/>
      <c r="Q967" s="689"/>
      <c r="R967" s="888"/>
      <c r="S967" s="802"/>
      <c r="T967" s="882"/>
      <c r="AB967" s="675"/>
      <c r="AC967" s="675"/>
      <c r="AD967" s="675"/>
      <c r="AE967" s="675"/>
      <c r="AF967" s="675"/>
      <c r="AG967" s="675"/>
      <c r="AH967" s="675"/>
      <c r="AI967" s="675"/>
      <c r="AJ967" s="675"/>
      <c r="AK967" s="675"/>
      <c r="AL967" s="675"/>
      <c r="AM967" s="675"/>
      <c r="AN967" s="675"/>
      <c r="AO967" s="675"/>
      <c r="AP967" s="675"/>
      <c r="AQ967" s="675"/>
      <c r="AR967" s="675"/>
      <c r="AS967" s="675"/>
      <c r="AT967" s="675"/>
      <c r="AU967" s="675"/>
      <c r="AV967" s="675"/>
      <c r="BI967" s="661" t="s">
        <v>126</v>
      </c>
      <c r="BJ967" s="665"/>
      <c r="CU967" s="662"/>
      <c r="CW967" s="662"/>
      <c r="EV967" s="818" t="str">
        <f t="shared" si="514"/>
        <v/>
      </c>
      <c r="EW967" s="818"/>
    </row>
    <row r="968" spans="1:153" s="658" customFormat="1" ht="13.5" customHeight="1">
      <c r="A968" s="654" t="str">
        <f t="shared" ca="1" si="511"/>
        <v>D.1.968</v>
      </c>
      <c r="B968" s="654" t="str">
        <f t="shared" ca="1" si="512"/>
        <v>1.968</v>
      </c>
      <c r="C968" s="654" t="str">
        <f t="shared" ref="C968:C2086" si="526">CE$1&amp;D968&amp;CF$1</f>
        <v>[968]</v>
      </c>
      <c r="D968" s="654">
        <f>ROW()</f>
        <v>968</v>
      </c>
      <c r="E968" s="1129" t="str">
        <f>BP968</f>
        <v>Zieleinfluss Luftverkehrs-Entwicklung</v>
      </c>
      <c r="F968" s="1129"/>
      <c r="G968" s="1129"/>
      <c r="H968" s="1129"/>
      <c r="I968" s="1129"/>
      <c r="J968" s="655" t="s">
        <v>38</v>
      </c>
      <c r="K968" s="605">
        <f ca="1">INDIRECT($W$1&amp;U968)</f>
        <v>100</v>
      </c>
      <c r="L968" s="697" t="str">
        <f ca="1">HYPERLINK($CK$1&amp;U968,$CE$1&amp;U968&amp;$CF$1)</f>
        <v>[969]</v>
      </c>
      <c r="M968" s="683">
        <f ca="1">INDIRECT($W$1&amp;W968)</f>
        <v>100</v>
      </c>
      <c r="N968" s="681" t="str">
        <f ca="1">HYPERLINK($CK$1&amp;W968,$CE$1&amp;W968&amp;$CF$1)</f>
        <v>[971]</v>
      </c>
      <c r="O968" s="869">
        <v>933</v>
      </c>
      <c r="P968" s="690"/>
      <c r="Q968" s="695"/>
      <c r="R968" s="852"/>
      <c r="S968" s="784"/>
      <c r="T968" s="864"/>
      <c r="U968" s="672">
        <f>D969</f>
        <v>969</v>
      </c>
      <c r="V968" s="905" t="s">
        <v>126</v>
      </c>
      <c r="W968" s="672">
        <f>D971</f>
        <v>971</v>
      </c>
      <c r="AB968" s="801"/>
      <c r="AC968" s="801"/>
      <c r="AD968" s="674"/>
      <c r="AE968" s="674"/>
      <c r="AF968" s="674"/>
      <c r="AG968" s="674"/>
      <c r="AH968" s="674"/>
      <c r="AI968" s="674"/>
      <c r="AJ968" s="674"/>
      <c r="AK968" s="674"/>
      <c r="AL968" s="674"/>
      <c r="AM968" s="674"/>
      <c r="AN968" s="674"/>
      <c r="AO968" s="674"/>
      <c r="AP968" s="674"/>
      <c r="AQ968" s="674"/>
      <c r="AR968" s="674"/>
      <c r="AS968" s="674"/>
      <c r="AT968" s="674"/>
      <c r="AU968" s="674"/>
      <c r="AV968" s="674"/>
      <c r="AX968" s="658" t="s">
        <v>244</v>
      </c>
      <c r="AY968" s="668">
        <f ca="1">DA968</f>
        <v>10.254559182513647</v>
      </c>
      <c r="AZ968" s="670" t="str">
        <f ca="1">HYPERLINK(DN968,DC968)</f>
        <v xml:space="preserve"> 235</v>
      </c>
      <c r="BA968" s="668">
        <f ca="1">DB968</f>
        <v>35</v>
      </c>
      <c r="BB968" s="670" t="str">
        <f ca="1">HYPERLINK(DO968,DD968)</f>
        <v xml:space="preserve"> 236</v>
      </c>
      <c r="BC968" s="658" t="str">
        <f ca="1">CY968&amp;" | "&amp;CZ968</f>
        <v>Brennstoffgew.
für Prozesse | 0</v>
      </c>
      <c r="BI968" s="658" t="s">
        <v>126</v>
      </c>
      <c r="BJ968" s="667" t="str">
        <f>E968</f>
        <v>Zieleinfluss Luftverkehrs-Entwicklung</v>
      </c>
      <c r="BK968" s="664">
        <f ca="1">K968</f>
        <v>100</v>
      </c>
      <c r="BL968" s="664">
        <f ca="1">M968</f>
        <v>100</v>
      </c>
      <c r="BM968" s="656">
        <f>D968</f>
        <v>968</v>
      </c>
      <c r="BO968" s="658" t="s">
        <v>251</v>
      </c>
      <c r="BP968" s="676" t="s">
        <v>708</v>
      </c>
      <c r="CU968" s="659"/>
      <c r="CW968" s="671">
        <v>61</v>
      </c>
      <c r="CY968" s="656" t="str">
        <f t="shared" ref="CY968:DO968" ca="1" si="527">INDIRECT($CX$1&amp;CY$1&amp;$CW968)</f>
        <v>Brennstoffgew.
für Prozesse</v>
      </c>
      <c r="CZ968" s="656">
        <f t="shared" ca="1" si="527"/>
        <v>0</v>
      </c>
      <c r="DA968" s="656">
        <f t="shared" ca="1" si="527"/>
        <v>10.254559182513647</v>
      </c>
      <c r="DB968" s="656">
        <f t="shared" ca="1" si="527"/>
        <v>35</v>
      </c>
      <c r="DC968" s="656" t="str">
        <f t="shared" ca="1" si="527"/>
        <v xml:space="preserve"> 235</v>
      </c>
      <c r="DD968" s="656" t="str">
        <f t="shared" ca="1" si="527"/>
        <v xml:space="preserve"> 236</v>
      </c>
      <c r="DE968" s="656" t="str">
        <f t="shared" ca="1" si="527"/>
        <v>Ho99</v>
      </c>
      <c r="DF968" s="656" t="str">
        <f t="shared" ca="1" si="527"/>
        <v>Ho36</v>
      </c>
      <c r="DG968" s="656" t="str">
        <f t="shared" ca="1" si="527"/>
        <v>Ho</v>
      </c>
      <c r="DH968" s="656" t="str">
        <f t="shared" ca="1" si="527"/>
        <v>99</v>
      </c>
      <c r="DI968" s="656" t="str">
        <f t="shared" ca="1" si="527"/>
        <v>[Ho.xls]TEXT!Z99S5</v>
      </c>
      <c r="DJ968" s="656" t="str">
        <f t="shared" ca="1" si="527"/>
        <v>Ho</v>
      </c>
      <c r="DK968" s="656" t="str">
        <f t="shared" ca="1" si="527"/>
        <v>36</v>
      </c>
      <c r="DL968" s="656" t="str">
        <f t="shared" ca="1" si="527"/>
        <v>[Ho.xls]TEXT!Z36S5</v>
      </c>
      <c r="DM968" s="656">
        <f t="shared" ca="1" si="527"/>
        <v>61</v>
      </c>
      <c r="DN968" s="656" t="str">
        <f t="shared" ca="1" si="527"/>
        <v>[Region.xls]PARAMETER!Z235S6</v>
      </c>
      <c r="DO968" s="656" t="str">
        <f t="shared" ca="1" si="527"/>
        <v>[Region.xls]PARAMETER!Z236S6</v>
      </c>
      <c r="DP968" s="656"/>
      <c r="DS968" s="656"/>
      <c r="DV968" s="656"/>
      <c r="DW968" s="656"/>
      <c r="DX968" s="656"/>
      <c r="DY968" s="656"/>
      <c r="DZ968" s="656"/>
      <c r="EA968" s="656"/>
      <c r="EB968" s="656"/>
      <c r="EC968" s="656"/>
      <c r="ED968" s="656"/>
      <c r="EE968" s="656"/>
      <c r="EF968" s="656"/>
      <c r="EG968" s="656"/>
      <c r="EH968" s="656"/>
      <c r="EI968" s="656"/>
      <c r="EJ968" s="656"/>
      <c r="EK968" s="656"/>
      <c r="EV968" s="819">
        <f t="shared" si="514"/>
        <v>968</v>
      </c>
      <c r="EW968" s="819"/>
    </row>
    <row r="969" spans="1:153" s="656" customFormat="1" ht="26">
      <c r="A969" s="654" t="str">
        <f t="shared" ca="1" si="511"/>
        <v>D.1.969</v>
      </c>
      <c r="B969" s="654" t="str">
        <f t="shared" ca="1" si="512"/>
        <v>1.969</v>
      </c>
      <c r="C969" s="654" t="str">
        <f t="shared" si="526"/>
        <v>[969]</v>
      </c>
      <c r="D969" s="654">
        <f>ROW()</f>
        <v>969</v>
      </c>
      <c r="E969" s="1130" t="str">
        <f>CU969</f>
        <v>- STATUS-Ansatz: Repräsentiert den Status der Güterverkehrsleistung (Personenkilometer pro Einwohner) im Durchschnitt der Luftfahrzeuge. Dient als Referenz für Veränderung der Luftverkehrsleistung zum Zieljahr.</v>
      </c>
      <c r="F969" s="1130"/>
      <c r="G969" s="1130"/>
      <c r="H969" s="1130"/>
      <c r="I969" s="1130"/>
      <c r="J969" s="1130"/>
      <c r="K969" s="1130"/>
      <c r="L969" s="1130"/>
      <c r="M969" s="1130"/>
      <c r="N969" s="1131"/>
      <c r="O969" s="869">
        <v>934</v>
      </c>
      <c r="P969" s="691" t="str">
        <f ca="1">HYPERLINK(EK969,EJ969)</f>
        <v/>
      </c>
      <c r="Q969" s="692" t="str">
        <f>Y969</f>
        <v xml:space="preserve"> </v>
      </c>
      <c r="R969" s="852"/>
      <c r="S969" s="784"/>
      <c r="T969" s="864"/>
      <c r="U969" s="1023" t="s">
        <v>1043</v>
      </c>
      <c r="V969" s="905" t="s">
        <v>126</v>
      </c>
      <c r="W969" s="1096">
        <v>100</v>
      </c>
      <c r="X969" s="672"/>
      <c r="Y969" s="672" t="s">
        <v>126</v>
      </c>
      <c r="Z969" s="1025"/>
      <c r="AA969" s="658"/>
      <c r="AB969" s="801"/>
      <c r="AC969" s="801"/>
      <c r="AD969" s="801"/>
      <c r="AE969" s="801"/>
      <c r="AF969" s="801"/>
      <c r="AG969" s="801"/>
      <c r="AH969" s="801"/>
      <c r="AI969" s="801"/>
      <c r="AJ969" s="801"/>
      <c r="AK969" s="801"/>
      <c r="AL969" s="801"/>
      <c r="AM969" s="801"/>
      <c r="AN969" s="801"/>
      <c r="AO969" s="801"/>
      <c r="AP969" s="801"/>
      <c r="AQ969" s="801"/>
      <c r="AR969" s="801"/>
      <c r="AS969" s="801"/>
      <c r="AT969" s="801"/>
      <c r="AU969" s="801"/>
      <c r="AV969" s="801"/>
      <c r="AY969" s="656">
        <f ca="1">AY968/AY$246%</f>
        <v>14.091645358575692</v>
      </c>
      <c r="BA969" s="656">
        <f ca="1">BA968/BA$246%</f>
        <v>100</v>
      </c>
      <c r="BF969" s="657"/>
      <c r="BI969" s="656" t="s">
        <v>126</v>
      </c>
      <c r="BJ969" s="666"/>
      <c r="BO969" s="656" t="s">
        <v>259</v>
      </c>
      <c r="CU969" s="663" t="str">
        <f>CG$1&amp;IF(U969="",BF969,U969)</f>
        <v>- STATUS-Ansatz: Repräsentiert den Status der Güterverkehrsleistung (Personenkilometer pro Einwohner) im Durchschnitt der Luftfahrzeuge. Dient als Referenz für Veränderung der Luftverkehrsleistung zum Zieljahr.</v>
      </c>
      <c r="CW969" s="663"/>
      <c r="DT969" s="671">
        <f>I_Basisdaten!A400</f>
        <v>0</v>
      </c>
      <c r="EJ969" s="656" t="str">
        <f>IF(X969=0,"",EJ$1&amp;X969)</f>
        <v/>
      </c>
      <c r="EK969" s="656" t="str">
        <f ca="1">EK$1&amp;X969</f>
        <v>[D_Python.xlsx]9.Quellen!C</v>
      </c>
      <c r="EV969" s="819">
        <f t="shared" si="514"/>
        <v>969</v>
      </c>
      <c r="EW969" s="819"/>
    </row>
    <row r="970" spans="1:153" s="661" customFormat="1" ht="4">
      <c r="A970" s="677" t="str">
        <f t="shared" ca="1" si="511"/>
        <v>D.1.970</v>
      </c>
      <c r="B970" s="677" t="str">
        <f t="shared" ca="1" si="512"/>
        <v>1.970</v>
      </c>
      <c r="C970" s="677" t="str">
        <f t="shared" si="526"/>
        <v>[970]</v>
      </c>
      <c r="D970" s="677">
        <f>ROW()</f>
        <v>970</v>
      </c>
      <c r="E970" s="680"/>
      <c r="F970" s="680"/>
      <c r="G970" s="680"/>
      <c r="H970" s="680"/>
      <c r="I970" s="679"/>
      <c r="J970" s="679"/>
      <c r="K970" s="679"/>
      <c r="L970" s="679"/>
      <c r="M970" s="679"/>
      <c r="N970" s="680"/>
      <c r="O970" s="871">
        <v>935</v>
      </c>
      <c r="P970" s="688"/>
      <c r="Q970" s="689"/>
      <c r="R970" s="888"/>
      <c r="S970" s="802"/>
      <c r="T970" s="882"/>
      <c r="W970" s="606"/>
      <c r="AB970" s="675"/>
      <c r="AC970" s="675"/>
      <c r="AD970" s="675"/>
      <c r="AE970" s="675"/>
      <c r="AF970" s="675"/>
      <c r="AG970" s="675"/>
      <c r="AH970" s="675"/>
      <c r="AI970" s="675"/>
      <c r="AJ970" s="675"/>
      <c r="AK970" s="675"/>
      <c r="AL970" s="675"/>
      <c r="AM970" s="675"/>
      <c r="AN970" s="675"/>
      <c r="AO970" s="675"/>
      <c r="AP970" s="675"/>
      <c r="AQ970" s="675"/>
      <c r="AR970" s="675"/>
      <c r="AS970" s="675"/>
      <c r="AT970" s="675"/>
      <c r="AU970" s="675"/>
      <c r="AV970" s="675"/>
      <c r="BI970" s="661" t="s">
        <v>126</v>
      </c>
      <c r="BJ970" s="665"/>
      <c r="CU970" s="662"/>
      <c r="CW970" s="662"/>
      <c r="EV970" s="818" t="str">
        <f t="shared" si="514"/>
        <v/>
      </c>
      <c r="EW970" s="818"/>
    </row>
    <row r="971" spans="1:153" s="656" customFormat="1" ht="52">
      <c r="A971" s="654" t="str">
        <f t="shared" ca="1" si="511"/>
        <v>D.1.971</v>
      </c>
      <c r="B971" s="654" t="str">
        <f t="shared" ca="1" si="512"/>
        <v>1.971</v>
      </c>
      <c r="C971" s="654" t="str">
        <f t="shared" si="526"/>
        <v>[971]</v>
      </c>
      <c r="D971" s="654">
        <f>ROW()</f>
        <v>971</v>
      </c>
      <c r="E971" s="1125" t="str">
        <f t="shared" ref="E971" si="528">CU971</f>
        <v>- ZIEL-Ansatz: Abweichend vom Niedersachsen-Szenario wird hier von einer künftigen Verkehrsleistung  auf heutigem Niveau ausgegangen.
Dort wurde für die weitere Entwicklung des Luftverkehrs (größtenteils Personenverkehr) analog zur  Entwicklung des Personenverkehrs allgemein [886] eine geringfügige Abnahme zugrunde gelegt.</v>
      </c>
      <c r="F971" s="1125"/>
      <c r="G971" s="1125"/>
      <c r="H971" s="1125"/>
      <c r="I971" s="1125"/>
      <c r="J971" s="1125"/>
      <c r="K971" s="1125"/>
      <c r="L971" s="1125"/>
      <c r="M971" s="1125"/>
      <c r="N971" s="1132"/>
      <c r="O971" s="869">
        <v>936</v>
      </c>
      <c r="P971" s="691" t="str">
        <f ca="1">HYPERLINK(EK971,EJ971)</f>
        <v/>
      </c>
      <c r="Q971" s="692" t="str">
        <f>Y971</f>
        <v xml:space="preserve"> </v>
      </c>
      <c r="R971" s="852"/>
      <c r="S971" s="784"/>
      <c r="T971" s="864"/>
      <c r="U971" s="1023" t="str">
        <f>"Abweichend vom Niedersachsen-Szenario wird hier von einer künftigen Verkehrsleistung  auf heutigem Niveau ausgegangen."&amp;"
Dort wurde für die weitere Entwicklung des Luftverkehrs (größtenteils Personenverkehr) analog zur  Entwicklung des Personenverkehrs allgemein "&amp;C886&amp;" eine geringfügige Abnahme zugrunde gelegt."</f>
        <v>Abweichend vom Niedersachsen-Szenario wird hier von einer künftigen Verkehrsleistung  auf heutigem Niveau ausgegangen.
Dort wurde für die weitere Entwicklung des Luftverkehrs (größtenteils Personenverkehr) analog zur  Entwicklung des Personenverkehrs allgemein [886] eine geringfügige Abnahme zugrunde gelegt.</v>
      </c>
      <c r="V971" s="905" t="s">
        <v>126</v>
      </c>
      <c r="W971" s="778">
        <v>100</v>
      </c>
      <c r="X971" s="672"/>
      <c r="Y971" s="672" t="s">
        <v>126</v>
      </c>
      <c r="Z971" s="1025"/>
      <c r="AA971" s="905"/>
      <c r="AB971" s="801"/>
      <c r="AC971" s="1020"/>
      <c r="AD971" s="801">
        <f>AH886</f>
        <v>99.3</v>
      </c>
      <c r="AE971" s="801" t="str">
        <f>AI886</f>
        <v xml:space="preserve">% </v>
      </c>
      <c r="AF971" s="801"/>
      <c r="AG971" s="801"/>
      <c r="AH971" s="801"/>
      <c r="AI971" s="801"/>
      <c r="AJ971" s="801"/>
      <c r="AK971" s="801"/>
      <c r="AL971" s="801"/>
      <c r="AM971" s="801"/>
      <c r="AN971" s="801"/>
      <c r="AO971" s="801"/>
      <c r="AP971" s="801"/>
      <c r="AQ971" s="801"/>
      <c r="AR971" s="801"/>
      <c r="AS971" s="801"/>
      <c r="AT971" s="801"/>
      <c r="AU971" s="801"/>
      <c r="AV971" s="801"/>
      <c r="BF971" s="657"/>
      <c r="BI971" s="656" t="s">
        <v>126</v>
      </c>
      <c r="BJ971" s="666"/>
      <c r="BO971" s="656" t="s">
        <v>259</v>
      </c>
      <c r="CU971" s="663" t="str">
        <f>CH$1&amp;IF(U971="",BF971,U971)</f>
        <v>- ZIEL-Ansatz: Abweichend vom Niedersachsen-Szenario wird hier von einer künftigen Verkehrsleistung  auf heutigem Niveau ausgegangen.
Dort wurde für die weitere Entwicklung des Luftverkehrs (größtenteils Personenverkehr) analog zur  Entwicklung des Personenverkehrs allgemein [886] eine geringfügige Abnahme zugrunde gelegt.</v>
      </c>
      <c r="CW971" s="663"/>
      <c r="DT971" s="671">
        <v>53</v>
      </c>
      <c r="EJ971" s="656" t="str">
        <f>IF(X971=0,"",EJ$1&amp;X971)</f>
        <v/>
      </c>
      <c r="EK971" s="656" t="str">
        <f ca="1">EK$1&amp;X971</f>
        <v>[D_Python.xlsx]9.Quellen!C</v>
      </c>
      <c r="EV971" s="819">
        <f t="shared" si="514"/>
        <v>971</v>
      </c>
      <c r="EW971" s="819"/>
    </row>
    <row r="972" spans="1:153" s="661" customFormat="1" ht="4">
      <c r="A972" s="677" t="str">
        <f t="shared" ca="1" si="511"/>
        <v>D.1.972</v>
      </c>
      <c r="B972" s="677" t="str">
        <f t="shared" ca="1" si="512"/>
        <v>1.972</v>
      </c>
      <c r="C972" s="677" t="str">
        <f t="shared" si="526"/>
        <v>[972]</v>
      </c>
      <c r="D972" s="677">
        <f>ROW()</f>
        <v>972</v>
      </c>
      <c r="E972" s="685"/>
      <c r="F972" s="685"/>
      <c r="G972" s="685"/>
      <c r="H972" s="685"/>
      <c r="I972" s="686"/>
      <c r="J972" s="686"/>
      <c r="K972" s="686"/>
      <c r="L972" s="686"/>
      <c r="M972" s="686"/>
      <c r="N972" s="685"/>
      <c r="O972" s="871">
        <v>937</v>
      </c>
      <c r="P972" s="693"/>
      <c r="Q972" s="694"/>
      <c r="R972" s="888"/>
      <c r="S972" s="802"/>
      <c r="T972" s="882"/>
      <c r="AB972" s="675"/>
      <c r="AC972" s="675"/>
      <c r="AD972" s="675"/>
      <c r="AE972" s="675"/>
      <c r="AF972" s="675"/>
      <c r="AG972" s="675"/>
      <c r="AH972" s="675"/>
      <c r="AI972" s="675"/>
      <c r="AJ972" s="675"/>
      <c r="AK972" s="675"/>
      <c r="AL972" s="675"/>
      <c r="AM972" s="675"/>
      <c r="AN972" s="675"/>
      <c r="AO972" s="675"/>
      <c r="AP972" s="675"/>
      <c r="AQ972" s="675"/>
      <c r="AR972" s="675"/>
      <c r="AS972" s="675"/>
      <c r="AT972" s="675"/>
      <c r="AU972" s="675"/>
      <c r="AV972" s="675"/>
      <c r="AZ972" s="669"/>
      <c r="BB972" s="669"/>
      <c r="BI972" s="661" t="s">
        <v>126</v>
      </c>
      <c r="BJ972" s="665"/>
      <c r="CU972" s="662"/>
      <c r="CW972" s="662"/>
      <c r="EV972" s="818" t="str">
        <f t="shared" si="514"/>
        <v/>
      </c>
      <c r="EW972" s="818"/>
    </row>
    <row r="973" spans="1:153" s="658" customFormat="1" ht="13.5" customHeight="1">
      <c r="A973" s="654" t="str">
        <f t="shared" ca="1" si="511"/>
        <v>D.1.973</v>
      </c>
      <c r="B973" s="654" t="str">
        <f t="shared" ca="1" si="512"/>
        <v>1.973</v>
      </c>
      <c r="C973" s="654" t="str">
        <f t="shared" si="526"/>
        <v>[973]</v>
      </c>
      <c r="D973" s="654">
        <f>ROW()</f>
        <v>973</v>
      </c>
      <c r="E973" s="1129" t="str">
        <f>BP973</f>
        <v>Zieleinfl.Luftverkehrs-Effizienz auf Krafstoffverbr.</v>
      </c>
      <c r="F973" s="1129"/>
      <c r="G973" s="1129"/>
      <c r="H973" s="1129"/>
      <c r="I973" s="1129"/>
      <c r="J973" s="655" t="s">
        <v>38</v>
      </c>
      <c r="K973" s="605">
        <f ca="1">INDIRECT($W$1&amp;U973)</f>
        <v>100</v>
      </c>
      <c r="L973" s="697" t="str">
        <f ca="1">HYPERLINK($CK$1&amp;U973,$CE$1&amp;U973&amp;$CF$1)</f>
        <v>[974]</v>
      </c>
      <c r="M973" s="683">
        <f ca="1">INDIRECT($W$1&amp;W973)</f>
        <v>71.900000000000006</v>
      </c>
      <c r="N973" s="681" t="str">
        <f ca="1">HYPERLINK($CK$1&amp;W973,$CE$1&amp;W973&amp;$CF$1)</f>
        <v>[976]</v>
      </c>
      <c r="O973" s="869">
        <v>938</v>
      </c>
      <c r="P973" s="690"/>
      <c r="Q973" s="695"/>
      <c r="R973" s="852"/>
      <c r="S973" s="784"/>
      <c r="T973" s="864"/>
      <c r="U973" s="672">
        <f>D974</f>
        <v>974</v>
      </c>
      <c r="V973" s="905" t="s">
        <v>126</v>
      </c>
      <c r="W973" s="672">
        <f>D976</f>
        <v>976</v>
      </c>
      <c r="AB973" s="801"/>
      <c r="AC973" s="801"/>
      <c r="AD973" s="674"/>
      <c r="AE973" s="674"/>
      <c r="AF973" s="674"/>
      <c r="AG973" s="674"/>
      <c r="AH973" s="674"/>
      <c r="AI973" s="674"/>
      <c r="AJ973" s="674"/>
      <c r="AK973" s="674"/>
      <c r="AL973" s="674"/>
      <c r="AM973" s="674"/>
      <c r="AN973" s="674"/>
      <c r="AO973" s="674"/>
      <c r="AP973" s="674"/>
      <c r="AQ973" s="674"/>
      <c r="AR973" s="674"/>
      <c r="AS973" s="674"/>
      <c r="AT973" s="674"/>
      <c r="AU973" s="674"/>
      <c r="AV973" s="674"/>
      <c r="AX973" s="658" t="s">
        <v>244</v>
      </c>
      <c r="AY973" s="668">
        <f ca="1">DA973</f>
        <v>10.254559182513647</v>
      </c>
      <c r="AZ973" s="670" t="str">
        <f ca="1">HYPERLINK(DN973,DC973)</f>
        <v xml:space="preserve"> 235</v>
      </c>
      <c r="BA973" s="668">
        <f ca="1">DB973</f>
        <v>35</v>
      </c>
      <c r="BB973" s="670" t="str">
        <f ca="1">HYPERLINK(DO973,DD973)</f>
        <v xml:space="preserve"> 236</v>
      </c>
      <c r="BC973" s="658" t="str">
        <f ca="1">CY973&amp;" | "&amp;CZ973</f>
        <v>Brennstoffgew.
für Prozesse | 0</v>
      </c>
      <c r="BI973" s="658" t="s">
        <v>126</v>
      </c>
      <c r="BJ973" s="667" t="str">
        <f>E973</f>
        <v>Zieleinfl.Luftverkehrs-Effizienz auf Krafstoffverbr.</v>
      </c>
      <c r="BK973" s="664">
        <f ca="1">K973</f>
        <v>100</v>
      </c>
      <c r="BL973" s="664">
        <f ca="1">M973</f>
        <v>71.900000000000006</v>
      </c>
      <c r="BM973" s="656">
        <f>D973</f>
        <v>973</v>
      </c>
      <c r="BO973" s="658" t="s">
        <v>251</v>
      </c>
      <c r="BP973" s="676" t="s">
        <v>709</v>
      </c>
      <c r="CU973" s="659"/>
      <c r="CW973" s="671">
        <v>61</v>
      </c>
      <c r="CY973" s="656" t="str">
        <f t="shared" ref="CY973:DO973" ca="1" si="529">INDIRECT($CX$1&amp;CY$1&amp;$CW973)</f>
        <v>Brennstoffgew.
für Prozesse</v>
      </c>
      <c r="CZ973" s="656">
        <f t="shared" ca="1" si="529"/>
        <v>0</v>
      </c>
      <c r="DA973" s="656">
        <f t="shared" ca="1" si="529"/>
        <v>10.254559182513647</v>
      </c>
      <c r="DB973" s="656">
        <f t="shared" ca="1" si="529"/>
        <v>35</v>
      </c>
      <c r="DC973" s="656" t="str">
        <f t="shared" ca="1" si="529"/>
        <v xml:space="preserve"> 235</v>
      </c>
      <c r="DD973" s="656" t="str">
        <f t="shared" ca="1" si="529"/>
        <v xml:space="preserve"> 236</v>
      </c>
      <c r="DE973" s="656" t="str">
        <f t="shared" ca="1" si="529"/>
        <v>Ho99</v>
      </c>
      <c r="DF973" s="656" t="str">
        <f t="shared" ca="1" si="529"/>
        <v>Ho36</v>
      </c>
      <c r="DG973" s="656" t="str">
        <f t="shared" ca="1" si="529"/>
        <v>Ho</v>
      </c>
      <c r="DH973" s="656" t="str">
        <f t="shared" ca="1" si="529"/>
        <v>99</v>
      </c>
      <c r="DI973" s="656" t="str">
        <f t="shared" ca="1" si="529"/>
        <v>[Ho.xls]TEXT!Z99S5</v>
      </c>
      <c r="DJ973" s="656" t="str">
        <f t="shared" ca="1" si="529"/>
        <v>Ho</v>
      </c>
      <c r="DK973" s="656" t="str">
        <f t="shared" ca="1" si="529"/>
        <v>36</v>
      </c>
      <c r="DL973" s="656" t="str">
        <f t="shared" ca="1" si="529"/>
        <v>[Ho.xls]TEXT!Z36S5</v>
      </c>
      <c r="DM973" s="656">
        <f t="shared" ca="1" si="529"/>
        <v>61</v>
      </c>
      <c r="DN973" s="656" t="str">
        <f t="shared" ca="1" si="529"/>
        <v>[Region.xls]PARAMETER!Z235S6</v>
      </c>
      <c r="DO973" s="656" t="str">
        <f t="shared" ca="1" si="529"/>
        <v>[Region.xls]PARAMETER!Z236S6</v>
      </c>
      <c r="DP973" s="656"/>
      <c r="DS973" s="656"/>
      <c r="DV973" s="656"/>
      <c r="DW973" s="656"/>
      <c r="DX973" s="656"/>
      <c r="DY973" s="656"/>
      <c r="DZ973" s="656"/>
      <c r="EA973" s="656"/>
      <c r="EB973" s="656"/>
      <c r="EC973" s="656"/>
      <c r="ED973" s="656"/>
      <c r="EE973" s="656"/>
      <c r="EF973" s="656"/>
      <c r="EG973" s="656"/>
      <c r="EH973" s="656"/>
      <c r="EI973" s="656"/>
      <c r="EJ973" s="656"/>
      <c r="EK973" s="656"/>
      <c r="EV973" s="819">
        <f t="shared" si="514"/>
        <v>973</v>
      </c>
      <c r="EW973" s="819"/>
    </row>
    <row r="974" spans="1:153" s="656" customFormat="1" ht="39">
      <c r="A974" s="654" t="str">
        <f t="shared" ca="1" si="511"/>
        <v>D.1.974</v>
      </c>
      <c r="B974" s="654" t="str">
        <f t="shared" ca="1" si="512"/>
        <v>1.974</v>
      </c>
      <c r="C974" s="654" t="str">
        <f t="shared" si="526"/>
        <v>[974]</v>
      </c>
      <c r="D974" s="654">
        <f>ROW()</f>
        <v>974</v>
      </c>
      <c r="E974" s="1130" t="str">
        <f>CU974</f>
        <v>- STATUS-Ansatz: Repräsentiert den Status der Energieintensität (Energiebedarf pro Personenkilometer) im Durchschnitt über die Luftfahrzeuge. Dient als Referenz für den im Ziel durch Effizienzsteigerung gesenkten Energiebedarf.</v>
      </c>
      <c r="F974" s="1130"/>
      <c r="G974" s="1130"/>
      <c r="H974" s="1130"/>
      <c r="I974" s="1130"/>
      <c r="J974" s="1130"/>
      <c r="K974" s="1130"/>
      <c r="L974" s="1130"/>
      <c r="M974" s="1130"/>
      <c r="N974" s="1131"/>
      <c r="O974" s="869">
        <v>939</v>
      </c>
      <c r="P974" s="691" t="str">
        <f ca="1">HYPERLINK(EK974,EJ974)</f>
        <v/>
      </c>
      <c r="Q974" s="692" t="str">
        <f>Y974</f>
        <v xml:space="preserve"> </v>
      </c>
      <c r="R974" s="852"/>
      <c r="S974" s="784"/>
      <c r="T974" s="864"/>
      <c r="U974" s="1023" t="s">
        <v>796</v>
      </c>
      <c r="V974" s="905" t="s">
        <v>126</v>
      </c>
      <c r="W974" s="1096">
        <v>100</v>
      </c>
      <c r="X974" s="672"/>
      <c r="Y974" s="672" t="s">
        <v>126</v>
      </c>
      <c r="Z974" s="1025"/>
      <c r="AA974" s="658"/>
      <c r="AB974" s="801"/>
      <c r="AC974" s="801"/>
      <c r="AD974" s="801"/>
      <c r="AE974" s="801"/>
      <c r="AF974" s="801"/>
      <c r="AG974" s="801"/>
      <c r="AH974" s="801"/>
      <c r="AI974" s="801"/>
      <c r="AJ974" s="801"/>
      <c r="AK974" s="801"/>
      <c r="AL974" s="801"/>
      <c r="AM974" s="801"/>
      <c r="AN974" s="801"/>
      <c r="AO974" s="801"/>
      <c r="AP974" s="801"/>
      <c r="AQ974" s="801"/>
      <c r="AR974" s="801"/>
      <c r="AS974" s="801"/>
      <c r="AT974" s="801"/>
      <c r="AU974" s="801"/>
      <c r="AV974" s="801"/>
      <c r="AY974" s="656">
        <f ca="1">AY973/AY$246%</f>
        <v>14.091645358575692</v>
      </c>
      <c r="BA974" s="656">
        <f ca="1">BA973/BA$246%</f>
        <v>100</v>
      </c>
      <c r="BF974" s="657"/>
      <c r="BI974" s="656" t="s">
        <v>126</v>
      </c>
      <c r="BJ974" s="666"/>
      <c r="BO974" s="656" t="s">
        <v>259</v>
      </c>
      <c r="CU974" s="663" t="str">
        <f>CG$1&amp;IF(U974="",BF974,U974)</f>
        <v>- STATUS-Ansatz: Repräsentiert den Status der Energieintensität (Energiebedarf pro Personenkilometer) im Durchschnitt über die Luftfahrzeuge. Dient als Referenz für den im Ziel durch Effizienzsteigerung gesenkten Energiebedarf.</v>
      </c>
      <c r="CW974" s="663"/>
      <c r="DT974" s="671">
        <f>I_Basisdaten!A406</f>
        <v>0</v>
      </c>
      <c r="EJ974" s="656" t="str">
        <f>IF(X974=0,"",EJ$1&amp;X974)</f>
        <v/>
      </c>
      <c r="EK974" s="656" t="str">
        <f ca="1">EK$1&amp;X974</f>
        <v>[D_Python.xlsx]9.Quellen!C</v>
      </c>
      <c r="EV974" s="819">
        <f t="shared" si="514"/>
        <v>974</v>
      </c>
      <c r="EW974" s="819"/>
    </row>
    <row r="975" spans="1:153" s="661" customFormat="1" ht="4">
      <c r="A975" s="677" t="str">
        <f t="shared" ca="1" si="511"/>
        <v>D.1.975</v>
      </c>
      <c r="B975" s="677" t="str">
        <f t="shared" ca="1" si="512"/>
        <v>1.975</v>
      </c>
      <c r="C975" s="677" t="str">
        <f t="shared" si="526"/>
        <v>[975]</v>
      </c>
      <c r="D975" s="677">
        <f>ROW()</f>
        <v>975</v>
      </c>
      <c r="E975" s="680"/>
      <c r="F975" s="680"/>
      <c r="G975" s="680"/>
      <c r="H975" s="680"/>
      <c r="I975" s="679"/>
      <c r="J975" s="679"/>
      <c r="K975" s="679"/>
      <c r="L975" s="679"/>
      <c r="M975" s="679"/>
      <c r="N975" s="680"/>
      <c r="O975" s="871">
        <v>940</v>
      </c>
      <c r="P975" s="688"/>
      <c r="Q975" s="689"/>
      <c r="R975" s="888"/>
      <c r="S975" s="802"/>
      <c r="T975" s="882"/>
      <c r="W975" s="606"/>
      <c r="AB975" s="675"/>
      <c r="AC975" s="675"/>
      <c r="AD975" s="675"/>
      <c r="AE975" s="675"/>
      <c r="AF975" s="675"/>
      <c r="AG975" s="675"/>
      <c r="AH975" s="675"/>
      <c r="AI975" s="675"/>
      <c r="AJ975" s="675"/>
      <c r="AK975" s="675"/>
      <c r="AL975" s="675"/>
      <c r="AM975" s="675"/>
      <c r="AN975" s="675"/>
      <c r="AO975" s="675"/>
      <c r="AP975" s="675"/>
      <c r="AQ975" s="675"/>
      <c r="AR975" s="675"/>
      <c r="AS975" s="675"/>
      <c r="AT975" s="675"/>
      <c r="AU975" s="675"/>
      <c r="AV975" s="675"/>
      <c r="BI975" s="661" t="s">
        <v>126</v>
      </c>
      <c r="BJ975" s="665"/>
      <c r="CU975" s="662"/>
      <c r="CW975" s="662"/>
      <c r="EV975" s="818" t="str">
        <f t="shared" si="514"/>
        <v/>
      </c>
      <c r="EW975" s="818"/>
    </row>
    <row r="976" spans="1:153" s="656" customFormat="1">
      <c r="A976" s="654" t="str">
        <f t="shared" ca="1" si="511"/>
        <v>D.1.976</v>
      </c>
      <c r="B976" s="654" t="str">
        <f t="shared" ca="1" si="512"/>
        <v>1.976</v>
      </c>
      <c r="C976" s="654" t="str">
        <f t="shared" si="526"/>
        <v>[976]</v>
      </c>
      <c r="D976" s="654">
        <f>ROW()</f>
        <v>976</v>
      </c>
      <c r="E976" s="1125" t="str">
        <f t="shared" ref="E976" si="530">CU976</f>
        <v>- ZIEL-Ansatz: Orientiert sich an einer vom BMU beauftragten Studie [977].</v>
      </c>
      <c r="F976" s="1125"/>
      <c r="G976" s="1125"/>
      <c r="H976" s="1125"/>
      <c r="I976" s="1125"/>
      <c r="J976" s="1125"/>
      <c r="K976" s="1125"/>
      <c r="L976" s="1125"/>
      <c r="M976" s="1125"/>
      <c r="N976" s="1132"/>
      <c r="O976" s="869">
        <v>941</v>
      </c>
      <c r="P976" s="691" t="str">
        <f ca="1">HYPERLINK(EK976,EJ976)</f>
        <v/>
      </c>
      <c r="Q976" s="692" t="str">
        <f>Y976</f>
        <v xml:space="preserve"> </v>
      </c>
      <c r="R976" s="852"/>
      <c r="S976" s="784"/>
      <c r="T976" s="864"/>
      <c r="U976" s="1023" t="str">
        <f>"Orientiert sich an einer vom BMU beauftragten Studie "&amp;C977&amp;"."</f>
        <v>Orientiert sich an einer vom BMU beauftragten Studie [977].</v>
      </c>
      <c r="V976" s="905" t="s">
        <v>126</v>
      </c>
      <c r="W976" s="1095">
        <f>AL977</f>
        <v>71.900000000000006</v>
      </c>
      <c r="X976" s="672"/>
      <c r="Y976" s="672" t="s">
        <v>126</v>
      </c>
      <c r="Z976" s="1025"/>
      <c r="AA976" s="905"/>
      <c r="AB976" s="801"/>
      <c r="AC976" s="801"/>
      <c r="AD976" s="801"/>
      <c r="AE976" s="801"/>
      <c r="AF976" s="801"/>
      <c r="AG976" s="801"/>
      <c r="AH976" s="801"/>
      <c r="AI976" s="801"/>
      <c r="AJ976" s="801"/>
      <c r="AK976" s="801"/>
      <c r="AL976" s="801"/>
      <c r="AM976" s="801"/>
      <c r="AN976" s="801"/>
      <c r="AO976" s="801"/>
      <c r="AP976" s="801"/>
      <c r="AQ976" s="801"/>
      <c r="AR976" s="801"/>
      <c r="AS976" s="801"/>
      <c r="AT976" s="801"/>
      <c r="AU976" s="801"/>
      <c r="AV976" s="801"/>
      <c r="BF976" s="657"/>
      <c r="BI976" s="656" t="s">
        <v>126</v>
      </c>
      <c r="BJ976" s="666"/>
      <c r="BO976" s="656" t="s">
        <v>259</v>
      </c>
      <c r="CU976" s="663" t="str">
        <f>CH$1&amp;IF(U976="",BF976,U976)</f>
        <v>- ZIEL-Ansatz: Orientiert sich an einer vom BMU beauftragten Studie [977].</v>
      </c>
      <c r="CW976" s="663"/>
      <c r="DT976" s="671">
        <v>53</v>
      </c>
      <c r="EJ976" s="656" t="str">
        <f>IF(X976=0,"",EJ$1&amp;X976)</f>
        <v/>
      </c>
      <c r="EK976" s="656" t="str">
        <f ca="1">EK$1&amp;X976</f>
        <v>[D_Python.xlsx]9.Quellen!C</v>
      </c>
      <c r="EV976" s="819">
        <f t="shared" si="514"/>
        <v>976</v>
      </c>
      <c r="EW976" s="819"/>
    </row>
    <row r="977" spans="1:153" s="656" customFormat="1" ht="65">
      <c r="A977" s="654" t="str">
        <f t="shared" ca="1" si="511"/>
        <v>D.1.977</v>
      </c>
      <c r="B977" s="654" t="str">
        <f t="shared" ca="1" si="512"/>
        <v>1.977</v>
      </c>
      <c r="C977" s="654" t="str">
        <f>CE$1&amp;D977&amp;CF$1</f>
        <v>[977]</v>
      </c>
      <c r="D977" s="654">
        <f>ROW()</f>
        <v>977</v>
      </c>
      <c r="E977" s="1125" t="str">
        <f ca="1">CU977</f>
        <v>Vom BMU beauftragte Studie zu den Effizienzpotenzialen bei Flugzeugen [9.123], S. 57: "Kurz- und mittelfristig könnte sich der spezifische Kraftstoffverbrauch der weltweiten Flotte von 4,8 Liter pro 100 Pkm heute auf 3,8 Liter pro 100 Pkm im Jahr 2015 reduzieren. Bis zum Jahr 2026 könnte der spezifische Kraftstoffverbrauch auf 3 Liter pro 100 Pkm sinken (Airbus 2007)". Bezogen auf den linear für 2012 interpolierten Verbrauchswert von 4,2 l/100km resultiert ein auf 71,9% verminderter Energieverbrauch.</v>
      </c>
      <c r="F977" s="1125"/>
      <c r="G977" s="1125"/>
      <c r="H977" s="1125"/>
      <c r="I977" s="1125"/>
      <c r="J977" s="1125"/>
      <c r="K977" s="1125"/>
      <c r="L977" s="1125"/>
      <c r="M977" s="1125"/>
      <c r="N977" s="1132"/>
      <c r="O977" s="869">
        <v>942</v>
      </c>
      <c r="P977" s="691" t="str">
        <f ca="1">HYPERLINK(EK977,EJ977)</f>
        <v>9.123</v>
      </c>
      <c r="Q977" s="692" t="str">
        <f>Y977</f>
        <v>S. 57</v>
      </c>
      <c r="R977" s="852"/>
      <c r="S977" s="784"/>
      <c r="T977" s="864"/>
      <c r="U977" s="1023" t="str">
        <f ca="1">"Vom BMU beauftragte Studie zu den Effizienzpotenzialen bei Flugzeugen ["&amp;P977&amp;"], "&amp;Q977&amp;": ""Kurz- und mittelfristig könnte sich der spezifische Kraftstoffverbrauch der weltweiten Flotte von "&amp;AD977&amp;" Liter pro 100 Pkm heute auf 3,8 Liter pro 100 Pkm im Jahr 2015 reduzieren. Bis zum Jahr 2026 könnte der spezifische Kraftstoffverbrauch auf "&amp;AH977&amp;" Liter pro 100 Pkm sinken (Airbus 2007)"". Bezogen auf den linear für 2012 interpolierten Verbrauchswert von "&amp;TEXT(AJ977,"0,0")&amp;" l/100km resultiert ein auf "&amp;AL977&amp;AM977&amp;" verminderter Energieverbrauch."</f>
        <v>Vom BMU beauftragte Studie zu den Effizienzpotenzialen bei Flugzeugen [9.123], S. 57: "Kurz- und mittelfristig könnte sich der spezifische Kraftstoffverbrauch der weltweiten Flotte von 4,8 Liter pro 100 Pkm heute auf 3,8 Liter pro 100 Pkm im Jahr 2015 reduzieren. Bis zum Jahr 2026 könnte der spezifische Kraftstoffverbrauch auf 3 Liter pro 100 Pkm sinken (Airbus 2007)". Bezogen auf den linear für 2012 interpolierten Verbrauchswert von 4,2 l/100km resultiert ein auf 71,9% verminderter Energieverbrauch.</v>
      </c>
      <c r="V977" s="905" t="s">
        <v>126</v>
      </c>
      <c r="W977" s="1025"/>
      <c r="X977" s="672">
        <f>'9.Quellen'!C$123</f>
        <v>123</v>
      </c>
      <c r="Y977" s="672" t="s">
        <v>797</v>
      </c>
      <c r="Z977" s="1025"/>
      <c r="AA977" s="905"/>
      <c r="AB977" s="801"/>
      <c r="AC977" s="801"/>
      <c r="AD977" s="801">
        <v>4.8</v>
      </c>
      <c r="AE977" s="801" t="s">
        <v>798</v>
      </c>
      <c r="AF977" s="801">
        <v>3.8</v>
      </c>
      <c r="AG977" s="801" t="s">
        <v>799</v>
      </c>
      <c r="AH977" s="801">
        <v>3</v>
      </c>
      <c r="AI977" s="801" t="s">
        <v>800</v>
      </c>
      <c r="AJ977" s="801">
        <f>AD977-(AD977-AF977)/(2015-2007)*(2012-2007)</f>
        <v>4.1749999999999998</v>
      </c>
      <c r="AK977" s="801" t="s">
        <v>801</v>
      </c>
      <c r="AL977" s="801">
        <f>ROUND(AH977/AJ977%,1)</f>
        <v>71.900000000000006</v>
      </c>
      <c r="AM977" s="801" t="s">
        <v>38</v>
      </c>
      <c r="AN977" s="801"/>
      <c r="AO977" s="801"/>
      <c r="AP977" s="801"/>
      <c r="AQ977" s="801"/>
      <c r="AR977" s="801"/>
      <c r="AS977" s="801"/>
      <c r="AT977" s="801"/>
      <c r="AU977" s="801"/>
      <c r="AV977" s="801"/>
      <c r="BF977" s="657" t="s">
        <v>126</v>
      </c>
      <c r="BI977" s="656" t="s">
        <v>126</v>
      </c>
      <c r="BJ977" s="666"/>
      <c r="BO977" s="656" t="s">
        <v>259</v>
      </c>
      <c r="BQ977" s="678" t="s">
        <v>271</v>
      </c>
      <c r="CU977" s="663" t="str">
        <f ca="1">IF(U977="",BF977,U977)</f>
        <v>Vom BMU beauftragte Studie zu den Effizienzpotenzialen bei Flugzeugen [9.123], S. 57: "Kurz- und mittelfristig könnte sich der spezifische Kraftstoffverbrauch der weltweiten Flotte von 4,8 Liter pro 100 Pkm heute auf 3,8 Liter pro 100 Pkm im Jahr 2015 reduzieren. Bis zum Jahr 2026 könnte der spezifische Kraftstoffverbrauch auf 3 Liter pro 100 Pkm sinken (Airbus 2007)". Bezogen auf den linear für 2012 interpolierten Verbrauchswert von 4,2 l/100km resultiert ein auf 71,9% verminderter Energieverbrauch.</v>
      </c>
      <c r="CW977" s="663"/>
      <c r="EJ977" s="656" t="str">
        <f ca="1">IF(X977=0,"",EJ$1&amp;X977)</f>
        <v>9.123</v>
      </c>
      <c r="EK977" s="656" t="str">
        <f ca="1">EK$1&amp;X977</f>
        <v>[D_Python.xlsx]9.Quellen!C123</v>
      </c>
      <c r="EV977" s="819">
        <f t="shared" ca="1" si="514"/>
        <v>977</v>
      </c>
      <c r="EW977" s="819"/>
    </row>
    <row r="978" spans="1:153" s="661" customFormat="1" ht="3.5" customHeight="1">
      <c r="A978" s="677" t="str">
        <f t="shared" ca="1" si="511"/>
        <v>D.1.978</v>
      </c>
      <c r="B978" s="677" t="str">
        <f t="shared" ca="1" si="512"/>
        <v>1.978</v>
      </c>
      <c r="C978" s="677" t="str">
        <f t="shared" ref="C978:C986" si="531">CE$1&amp;D978&amp;CF$1</f>
        <v>[978]</v>
      </c>
      <c r="D978" s="677">
        <f>ROW()</f>
        <v>978</v>
      </c>
      <c r="E978" s="685"/>
      <c r="F978" s="685"/>
      <c r="G978" s="685"/>
      <c r="H978" s="685"/>
      <c r="I978" s="686"/>
      <c r="J978" s="686"/>
      <c r="K978" s="686"/>
      <c r="L978" s="686"/>
      <c r="M978" s="686"/>
      <c r="N978" s="685"/>
      <c r="O978" s="871">
        <v>588</v>
      </c>
      <c r="P978" s="693"/>
      <c r="Q978" s="694"/>
      <c r="R978" s="1019"/>
      <c r="S978" s="802"/>
      <c r="T978" s="1019"/>
      <c r="AB978" s="675"/>
      <c r="AC978" s="675"/>
      <c r="AD978" s="675"/>
      <c r="AE978" s="675"/>
      <c r="AF978" s="675"/>
      <c r="AG978" s="675"/>
      <c r="AH978" s="675"/>
      <c r="AI978" s="675"/>
      <c r="AJ978" s="675"/>
      <c r="AK978" s="675"/>
      <c r="AL978" s="675"/>
      <c r="AM978" s="675"/>
      <c r="AN978" s="675"/>
      <c r="AO978" s="675"/>
      <c r="AP978" s="675"/>
      <c r="AQ978" s="675"/>
      <c r="AR978" s="675"/>
      <c r="AS978" s="675"/>
      <c r="AT978" s="675"/>
      <c r="AU978" s="675"/>
      <c r="AV978" s="675"/>
      <c r="AZ978" s="669"/>
      <c r="BB978" s="669"/>
      <c r="BI978" s="661" t="s">
        <v>126</v>
      </c>
      <c r="BJ978" s="665"/>
      <c r="CU978" s="662"/>
      <c r="CW978" s="662"/>
      <c r="EV978" s="818" t="str">
        <f t="shared" si="514"/>
        <v/>
      </c>
      <c r="EW978" s="818"/>
    </row>
    <row r="979" spans="1:153" s="905" customFormat="1" ht="13">
      <c r="A979" s="654" t="str">
        <f t="shared" ca="1" si="511"/>
        <v>D.1.979</v>
      </c>
      <c r="B979" s="654" t="str">
        <f t="shared" ca="1" si="512"/>
        <v>1.979</v>
      </c>
      <c r="C979" s="654" t="str">
        <f t="shared" si="531"/>
        <v>[979]</v>
      </c>
      <c r="D979" s="654">
        <f>ROW()</f>
        <v>979</v>
      </c>
      <c r="E979" s="481" t="str">
        <f>BP979</f>
        <v>Wasserstofferzeugung (Ergänzung zur Grundstoffsynthese)</v>
      </c>
      <c r="F979" s="482"/>
      <c r="G979" s="482"/>
      <c r="H979" s="482"/>
      <c r="I979" s="483"/>
      <c r="J979" s="484"/>
      <c r="K979" s="484"/>
      <c r="L979" s="484"/>
      <c r="M979" s="484"/>
      <c r="N979" s="483"/>
      <c r="O979" s="869">
        <v>582</v>
      </c>
      <c r="P979" s="568"/>
      <c r="Q979" s="569"/>
      <c r="R979" s="826"/>
      <c r="S979" s="804"/>
      <c r="T979" s="826"/>
      <c r="AB979" s="801"/>
      <c r="AC979" s="1020">
        <v>43928</v>
      </c>
      <c r="AD979" s="801"/>
      <c r="AE979" s="801"/>
      <c r="AF979" s="801"/>
      <c r="AG979" s="801"/>
      <c r="AH979" s="801"/>
      <c r="AI979" s="801"/>
      <c r="AJ979" s="801"/>
      <c r="AK979" s="801"/>
      <c r="AL979" s="801"/>
      <c r="AM979" s="801"/>
      <c r="AN979" s="801"/>
      <c r="AO979" s="801"/>
      <c r="AP979" s="801"/>
      <c r="AQ979" s="801"/>
      <c r="AR979" s="801"/>
      <c r="AS979" s="801"/>
      <c r="AT979" s="801"/>
      <c r="AU979" s="801"/>
      <c r="AV979" s="801"/>
      <c r="AZ979" s="504"/>
      <c r="BB979" s="506"/>
      <c r="BI979" s="905" t="s">
        <v>126</v>
      </c>
      <c r="BJ979" s="666"/>
      <c r="BO979" s="905" t="s">
        <v>250</v>
      </c>
      <c r="BP979" s="671" t="s">
        <v>1881</v>
      </c>
      <c r="CU979" s="663"/>
      <c r="CW979" s="663"/>
      <c r="EV979" s="819">
        <f t="shared" si="514"/>
        <v>979</v>
      </c>
      <c r="EW979" s="819"/>
    </row>
    <row r="980" spans="1:153" s="661" customFormat="1" ht="4">
      <c r="A980" s="677" t="str">
        <f t="shared" ca="1" si="511"/>
        <v>D.1.980</v>
      </c>
      <c r="B980" s="677" t="str">
        <f t="shared" ca="1" si="512"/>
        <v>1.980</v>
      </c>
      <c r="C980" s="677" t="str">
        <f t="shared" si="531"/>
        <v>[980]</v>
      </c>
      <c r="D980" s="677">
        <f>ROW()</f>
        <v>980</v>
      </c>
      <c r="I980" s="1021"/>
      <c r="J980" s="1021"/>
      <c r="K980" s="1021"/>
      <c r="L980" s="1021"/>
      <c r="M980" s="1021"/>
      <c r="O980" s="871">
        <v>932</v>
      </c>
      <c r="P980" s="688"/>
      <c r="Q980" s="689"/>
      <c r="R980" s="1019"/>
      <c r="S980" s="802"/>
      <c r="T980" s="1019"/>
      <c r="AB980" s="675"/>
      <c r="AC980" s="675"/>
      <c r="AD980" s="675"/>
      <c r="AE980" s="675"/>
      <c r="AF980" s="675"/>
      <c r="AG980" s="675"/>
      <c r="AH980" s="675"/>
      <c r="AI980" s="675"/>
      <c r="AJ980" s="675"/>
      <c r="AK980" s="675"/>
      <c r="AL980" s="675"/>
      <c r="AM980" s="675"/>
      <c r="AN980" s="675"/>
      <c r="AO980" s="675"/>
      <c r="AP980" s="675"/>
      <c r="AQ980" s="675"/>
      <c r="AR980" s="675"/>
      <c r="AS980" s="675"/>
      <c r="AT980" s="675"/>
      <c r="AU980" s="675"/>
      <c r="AV980" s="675"/>
      <c r="BI980" s="661" t="s">
        <v>126</v>
      </c>
      <c r="BJ980" s="665"/>
      <c r="CU980" s="662"/>
      <c r="CW980" s="662"/>
      <c r="EV980" s="818" t="str">
        <f t="shared" si="514"/>
        <v/>
      </c>
      <c r="EW980" s="818"/>
    </row>
    <row r="981" spans="1:153" s="658" customFormat="1" ht="13.5" customHeight="1">
      <c r="A981" s="654" t="str">
        <f t="shared" ca="1" si="511"/>
        <v>D.1.981</v>
      </c>
      <c r="B981" s="654" t="str">
        <f t="shared" ca="1" si="512"/>
        <v>1.981</v>
      </c>
      <c r="C981" s="654" t="str">
        <f t="shared" si="531"/>
        <v>[981]</v>
      </c>
      <c r="D981" s="654">
        <f>ROW()</f>
        <v>981</v>
      </c>
      <c r="E981" s="1129" t="str">
        <f>BP981</f>
        <v>Anteil aus Wasserstoff synthetisierter Grundstoffe</v>
      </c>
      <c r="F981" s="1129"/>
      <c r="G981" s="1129"/>
      <c r="H981" s="1129"/>
      <c r="I981" s="1129"/>
      <c r="J981" s="559" t="s">
        <v>38</v>
      </c>
      <c r="K981" s="557" t="str">
        <f ca="1">INDIRECT($W$1&amp;U981)</f>
        <v>-</v>
      </c>
      <c r="L981" s="485" t="str">
        <f ca="1">HYPERLINK($CK$1&amp;U981,$CE$1&amp;U981&amp;$CF$1)</f>
        <v>[982]</v>
      </c>
      <c r="M981" s="558">
        <f ca="1">INDIRECT($W$1&amp;W981)</f>
        <v>73</v>
      </c>
      <c r="N981" s="485" t="str">
        <f ca="1">HYPERLINK($CK$1&amp;W981,$CE$1&amp;W981&amp;$CF$1)</f>
        <v>[984]</v>
      </c>
      <c r="O981" s="869">
        <v>589</v>
      </c>
      <c r="P981" s="690"/>
      <c r="Q981" s="695"/>
      <c r="R981" s="826"/>
      <c r="S981" s="784"/>
      <c r="T981" s="826"/>
      <c r="U981" s="672">
        <f>D982</f>
        <v>982</v>
      </c>
      <c r="V981" s="905" t="s">
        <v>126</v>
      </c>
      <c r="W981" s="672">
        <f>D984</f>
        <v>984</v>
      </c>
      <c r="AB981" s="801"/>
      <c r="AC981" s="1020">
        <v>43928</v>
      </c>
      <c r="AD981" s="674"/>
      <c r="AE981" s="674"/>
      <c r="AF981" s="674"/>
      <c r="AG981" s="674"/>
      <c r="AH981" s="674"/>
      <c r="AI981" s="674"/>
      <c r="AJ981" s="674"/>
      <c r="AK981" s="674"/>
      <c r="AL981" s="674"/>
      <c r="AM981" s="674"/>
      <c r="AN981" s="674"/>
      <c r="AO981" s="674"/>
      <c r="AP981" s="801" t="s">
        <v>385</v>
      </c>
      <c r="AQ981" s="674"/>
      <c r="AR981" s="674"/>
      <c r="AS981" s="674"/>
      <c r="AT981" s="674"/>
      <c r="AU981" s="674"/>
      <c r="AV981" s="674"/>
      <c r="AX981" s="658" t="s">
        <v>244</v>
      </c>
      <c r="AY981" s="1022">
        <f ca="1">DA981</f>
        <v>2.3178959999999997</v>
      </c>
      <c r="AZ981" s="670" t="str">
        <f ca="1">HYPERLINK(DN981,DC981)</f>
        <v xml:space="preserve"> 414</v>
      </c>
      <c r="BA981" s="1022">
        <f ca="1">DB981</f>
        <v>2.7042119999999996</v>
      </c>
      <c r="BB981" s="670" t="str">
        <f ca="1">HYPERLINK(DO981,DD981)</f>
        <v xml:space="preserve"> 415</v>
      </c>
      <c r="BC981" s="658" t="str">
        <f ca="1">CY981&amp;" | "&amp;CZ981</f>
        <v>Wärme | 2.2.2 Energieertrag Abwärme aus Verstromung von Tiefen-Geothermie</v>
      </c>
      <c r="BI981" s="658" t="s">
        <v>126</v>
      </c>
      <c r="BJ981" s="667" t="str">
        <f>E981</f>
        <v>Anteil aus Wasserstoff synthetisierter Grundstoffe</v>
      </c>
      <c r="BK981" s="664" t="str">
        <f ca="1">K981</f>
        <v>-</v>
      </c>
      <c r="BL981" s="664">
        <f ca="1">M981</f>
        <v>73</v>
      </c>
      <c r="BM981" s="905">
        <f>D981</f>
        <v>981</v>
      </c>
      <c r="BO981" s="658" t="s">
        <v>251</v>
      </c>
      <c r="BP981" s="676" t="s">
        <v>1225</v>
      </c>
      <c r="CU981" s="659"/>
      <c r="CW981" s="671">
        <v>107</v>
      </c>
      <c r="CY981" s="905" t="str">
        <f t="shared" ref="CY981:DO981" ca="1" si="532">INDIRECT($CX$1&amp;CY$1&amp;$CW981)</f>
        <v>Wärme</v>
      </c>
      <c r="CZ981" s="905" t="str">
        <f t="shared" ca="1" si="532"/>
        <v>2.2.2 Energieertrag Abwärme aus Verstromung von Tiefen-Geothermie</v>
      </c>
      <c r="DA981" s="905">
        <f t="shared" ca="1" si="532"/>
        <v>2.3178959999999997</v>
      </c>
      <c r="DB981" s="905">
        <f t="shared" ca="1" si="532"/>
        <v>2.7042119999999996</v>
      </c>
      <c r="DC981" s="905" t="str">
        <f t="shared" ca="1" si="532"/>
        <v xml:space="preserve"> 414</v>
      </c>
      <c r="DD981" s="905" t="str">
        <f t="shared" ca="1" si="532"/>
        <v xml:space="preserve"> 415</v>
      </c>
      <c r="DE981" s="905" t="str">
        <f t="shared" ca="1" si="532"/>
        <v>UG99</v>
      </c>
      <c r="DF981" s="905" t="str">
        <f t="shared" ca="1" si="532"/>
        <v>UG99</v>
      </c>
      <c r="DG981" s="905" t="str">
        <f t="shared" ca="1" si="532"/>
        <v>UG</v>
      </c>
      <c r="DH981" s="905" t="str">
        <f t="shared" ca="1" si="532"/>
        <v>99</v>
      </c>
      <c r="DI981" s="905" t="str">
        <f t="shared" ca="1" si="532"/>
        <v>[UG.xls]TEXT!Z99S5</v>
      </c>
      <c r="DJ981" s="905" t="str">
        <f t="shared" ca="1" si="532"/>
        <v>UG</v>
      </c>
      <c r="DK981" s="905" t="str">
        <f t="shared" ca="1" si="532"/>
        <v>99</v>
      </c>
      <c r="DL981" s="905" t="str">
        <f t="shared" ca="1" si="532"/>
        <v>[UG.xls]TEXT!Z99S5</v>
      </c>
      <c r="DM981" s="905">
        <f t="shared" ca="1" si="532"/>
        <v>107</v>
      </c>
      <c r="DN981" s="905" t="str">
        <f t="shared" ca="1" si="532"/>
        <v>[Region.xls]PARAMETER!Z414S6</v>
      </c>
      <c r="DO981" s="905" t="str">
        <f t="shared" ca="1" si="532"/>
        <v>[Region.xls]PARAMETER!Z415S6</v>
      </c>
      <c r="DP981" s="905"/>
      <c r="DS981" s="905"/>
      <c r="DV981" s="905"/>
      <c r="DW981" s="905"/>
      <c r="DX981" s="905"/>
      <c r="DY981" s="905"/>
      <c r="DZ981" s="905"/>
      <c r="EA981" s="905"/>
      <c r="EB981" s="905"/>
      <c r="EC981" s="905"/>
      <c r="ED981" s="905"/>
      <c r="EE981" s="905"/>
      <c r="EF981" s="905"/>
      <c r="EG981" s="905"/>
      <c r="EH981" s="905"/>
      <c r="EI981" s="905"/>
      <c r="EJ981" s="905"/>
      <c r="EK981" s="905"/>
      <c r="EV981" s="819">
        <f t="shared" si="514"/>
        <v>981</v>
      </c>
      <c r="EW981" s="819"/>
    </row>
    <row r="982" spans="1:153" s="905" customFormat="1" ht="26">
      <c r="A982" s="654" t="str">
        <f t="shared" ca="1" si="511"/>
        <v>D.1.982</v>
      </c>
      <c r="B982" s="654" t="str">
        <f t="shared" ca="1" si="512"/>
        <v>1.982</v>
      </c>
      <c r="C982" s="654" t="str">
        <f t="shared" si="531"/>
        <v>[982]</v>
      </c>
      <c r="D982" s="654">
        <f>ROW()</f>
        <v>982</v>
      </c>
      <c r="E982" s="1130" t="str">
        <f>CU982</f>
        <v>- STATUS-Ansatz: Die elektrolytische Erzeugung von Wasserstoff aus Wind- und Solarstrom ist eine Zukunftsoption zur Substitution der heute verwendeten fossilen Brennstoffe.</v>
      </c>
      <c r="F982" s="1130"/>
      <c r="G982" s="1130"/>
      <c r="H982" s="1130"/>
      <c r="I982" s="1130"/>
      <c r="J982" s="1130"/>
      <c r="K982" s="1130"/>
      <c r="L982" s="1130"/>
      <c r="M982" s="1130"/>
      <c r="N982" s="1130"/>
      <c r="O982" s="869">
        <v>590</v>
      </c>
      <c r="P982" s="691" t="str">
        <f ca="1">HYPERLINK(EK982,EJ982)</f>
        <v/>
      </c>
      <c r="Q982" s="692" t="str">
        <f>Y982</f>
        <v xml:space="preserve"> </v>
      </c>
      <c r="R982" s="826"/>
      <c r="S982" s="784"/>
      <c r="T982" s="826"/>
      <c r="U982" s="1023" t="s">
        <v>915</v>
      </c>
      <c r="V982" s="905" t="s">
        <v>126</v>
      </c>
      <c r="W982" s="1024" t="s">
        <v>49</v>
      </c>
      <c r="X982" s="672">
        <f>'9.Quellen'!C545</f>
        <v>0</v>
      </c>
      <c r="Y982" s="672" t="s">
        <v>126</v>
      </c>
      <c r="Z982" s="1025"/>
      <c r="AA982" s="658"/>
      <c r="AB982" s="801"/>
      <c r="AC982" s="1020">
        <v>43928</v>
      </c>
      <c r="AD982" s="801"/>
      <c r="AE982" s="801"/>
      <c r="AF982" s="801"/>
      <c r="AG982" s="801"/>
      <c r="AH982" s="801"/>
      <c r="AI982" s="801"/>
      <c r="AJ982" s="801"/>
      <c r="AK982" s="801"/>
      <c r="AL982" s="801"/>
      <c r="AM982" s="801"/>
      <c r="AN982" s="801"/>
      <c r="AO982" s="801"/>
      <c r="AP982" s="801"/>
      <c r="AQ982" s="801"/>
      <c r="AR982" s="801"/>
      <c r="AS982" s="801"/>
      <c r="AT982" s="801"/>
      <c r="AU982" s="801"/>
      <c r="AV982" s="801"/>
      <c r="BF982" s="657"/>
      <c r="BI982" s="905" t="s">
        <v>126</v>
      </c>
      <c r="BJ982" s="666"/>
      <c r="BO982" s="905" t="s">
        <v>259</v>
      </c>
      <c r="CU982" s="663" t="str">
        <f>CG$1&amp;IF(U982="",BF982,U982)</f>
        <v>- STATUS-Ansatz: Die elektrolytische Erzeugung von Wasserstoff aus Wind- und Solarstrom ist eine Zukunftsoption zur Substitution der heute verwendeten fossilen Brennstoffe.</v>
      </c>
      <c r="CW982" s="663"/>
      <c r="DT982" s="671">
        <f>I_Basisdaten!A651</f>
        <v>0</v>
      </c>
      <c r="EJ982" s="905" t="str">
        <f>IF(X982=0,"",EJ$1&amp;X982)</f>
        <v/>
      </c>
      <c r="EK982" s="905" t="str">
        <f ca="1">EK$1&amp;X982</f>
        <v>[D_Python.xlsx]9.Quellen!C0</v>
      </c>
      <c r="EV982" s="819">
        <f t="shared" si="514"/>
        <v>982</v>
      </c>
      <c r="EW982" s="819"/>
    </row>
    <row r="983" spans="1:153" s="661" customFormat="1" ht="4">
      <c r="A983" s="677" t="str">
        <f t="shared" ca="1" si="511"/>
        <v>D.1.983</v>
      </c>
      <c r="B983" s="677" t="str">
        <f t="shared" ca="1" si="512"/>
        <v>1.983</v>
      </c>
      <c r="C983" s="677" t="str">
        <f t="shared" si="531"/>
        <v>[983]</v>
      </c>
      <c r="D983" s="677">
        <f>ROW()</f>
        <v>983</v>
      </c>
      <c r="I983" s="1021"/>
      <c r="J983" s="1021"/>
      <c r="K983" s="1021"/>
      <c r="L983" s="1021"/>
      <c r="M983" s="1021"/>
      <c r="O983" s="871">
        <v>591</v>
      </c>
      <c r="P983" s="688"/>
      <c r="Q983" s="689"/>
      <c r="R983" s="1019"/>
      <c r="S983" s="810"/>
      <c r="T983" s="1019"/>
      <c r="AB983" s="675"/>
      <c r="AC983" s="675"/>
      <c r="AD983" s="675"/>
      <c r="AE983" s="675"/>
      <c r="AF983" s="675"/>
      <c r="AG983" s="675"/>
      <c r="AH983" s="675"/>
      <c r="AI983" s="675"/>
      <c r="AJ983" s="675"/>
      <c r="AK983" s="675"/>
      <c r="AL983" s="675"/>
      <c r="AM983" s="675"/>
      <c r="AN983" s="675"/>
      <c r="AO983" s="675"/>
      <c r="AP983" s="675"/>
      <c r="AQ983" s="675"/>
      <c r="AR983" s="675"/>
      <c r="AS983" s="675"/>
      <c r="AT983" s="675"/>
      <c r="AU983" s="675"/>
      <c r="AV983" s="675"/>
      <c r="BI983" s="661" t="s">
        <v>126</v>
      </c>
      <c r="BJ983" s="665"/>
      <c r="CU983" s="662"/>
      <c r="CW983" s="662"/>
      <c r="EV983" s="818" t="str">
        <f t="shared" si="514"/>
        <v/>
      </c>
      <c r="EW983" s="818"/>
    </row>
    <row r="984" spans="1:153" s="905" customFormat="1" ht="39">
      <c r="A984" s="654" t="str">
        <f t="shared" ca="1" si="511"/>
        <v>D.1.984</v>
      </c>
      <c r="B984" s="654" t="str">
        <f t="shared" ca="1" si="512"/>
        <v>1.984</v>
      </c>
      <c r="C984" s="654" t="str">
        <f t="shared" si="531"/>
        <v>[984]</v>
      </c>
      <c r="D984" s="654">
        <f>ROW()</f>
        <v>984</v>
      </c>
      <c r="E984" s="1125" t="str">
        <f t="shared" ref="E984" ca="1" si="533">CU984</f>
        <v>- ZIEL-Ansatz: Der Ansatz von 73 % Anteil Wind-/Solarwasserstoff an der künftigen  Grundstofferzeugung resultiert aus der Annahme, dass 27 % aus dem Kunststoff-Recycling abgedeckt werden können. Siehe Abschätzung gemäß [9.220].</v>
      </c>
      <c r="F984" s="1125"/>
      <c r="G984" s="1125"/>
      <c r="H984" s="1125"/>
      <c r="I984" s="1125"/>
      <c r="J984" s="1125"/>
      <c r="K984" s="1125"/>
      <c r="L984" s="1125"/>
      <c r="M984" s="1125"/>
      <c r="N984" s="1125"/>
      <c r="O984" s="869">
        <v>592</v>
      </c>
      <c r="P984" s="691" t="str">
        <f ca="1">HYPERLINK(EK984,EJ984)</f>
        <v>9.220</v>
      </c>
      <c r="Q984" s="692" t="str">
        <f>Y984</f>
        <v>Ergebnisse</v>
      </c>
      <c r="R984" s="826"/>
      <c r="S984" s="784"/>
      <c r="T984" s="826"/>
      <c r="U984" s="1023" t="str">
        <f ca="1">"Der Ansatz von "&amp;W984&amp;" % Anteil Wind-/Solarwasserstoff an der künftigen  Grundstofferzeugung resultiert aus der Annahme, dass "&amp;100-W984&amp;" % aus dem Kunststoff-Recycling abgedeckt werden können. Siehe Abschätzung gemäß ["&amp;P984&amp;"]."</f>
        <v>Der Ansatz von 73 % Anteil Wind-/Solarwasserstoff an der künftigen  Grundstofferzeugung resultiert aus der Annahme, dass 27 % aus dem Kunststoff-Recycling abgedeckt werden können. Siehe Abschätzung gemäß [9.220].</v>
      </c>
      <c r="V984" s="905" t="s">
        <v>126</v>
      </c>
      <c r="W984" s="1024">
        <v>73</v>
      </c>
      <c r="X984" s="672">
        <f>'9.Quellen'!C220</f>
        <v>220</v>
      </c>
      <c r="Y984" s="672" t="s">
        <v>1890</v>
      </c>
      <c r="Z984" s="1025"/>
      <c r="AB984" s="801"/>
      <c r="AC984" s="1020">
        <v>44065</v>
      </c>
      <c r="AD984" s="801"/>
      <c r="AE984" s="801">
        <v>15.6</v>
      </c>
      <c r="AF984" s="801" t="s">
        <v>972</v>
      </c>
      <c r="AG984" s="801">
        <f>100-AE984</f>
        <v>84.4</v>
      </c>
      <c r="AH984" s="801" t="s">
        <v>531</v>
      </c>
      <c r="AI984" s="801"/>
      <c r="AJ984" s="801"/>
      <c r="AK984" s="801"/>
      <c r="AL984" s="801"/>
      <c r="AM984" s="801"/>
      <c r="AN984" s="801"/>
      <c r="AO984" s="801"/>
      <c r="AP984" s="801"/>
      <c r="AQ984" s="801"/>
      <c r="AR984" s="801"/>
      <c r="AS984" s="801"/>
      <c r="AT984" s="801"/>
      <c r="AU984" s="801"/>
      <c r="AV984" s="801"/>
      <c r="BF984" s="657"/>
      <c r="BI984" s="905" t="s">
        <v>126</v>
      </c>
      <c r="BJ984" s="666"/>
      <c r="BO984" s="905" t="s">
        <v>259</v>
      </c>
      <c r="CU984" s="663" t="str">
        <f ca="1">CH$1&amp;IF(U984="",BF984,U984)</f>
        <v>- ZIEL-Ansatz: Der Ansatz von 73 % Anteil Wind-/Solarwasserstoff an der künftigen  Grundstofferzeugung resultiert aus der Annahme, dass 27 % aus dem Kunststoff-Recycling abgedeckt werden können. Siehe Abschätzung gemäß [9.220].</v>
      </c>
      <c r="CW984" s="663"/>
      <c r="DT984" s="671">
        <v>53</v>
      </c>
      <c r="EJ984" s="905" t="str">
        <f ca="1">IF(X984=0,"",EJ$1&amp;X984)</f>
        <v>9.220</v>
      </c>
      <c r="EK984" s="905" t="str">
        <f ca="1">EK$1&amp;X984</f>
        <v>[D_Python.xlsx]9.Quellen!C220</v>
      </c>
      <c r="EV984" s="819">
        <f t="shared" ca="1" si="514"/>
        <v>984</v>
      </c>
      <c r="EW984" s="819"/>
    </row>
    <row r="985" spans="1:153" s="905" customFormat="1" ht="12.5" customHeight="1">
      <c r="A985" s="654" t="str">
        <f t="shared" ca="1" si="511"/>
        <v>D.1.985</v>
      </c>
      <c r="B985" s="654" t="str">
        <f t="shared" ca="1" si="512"/>
        <v>1.985</v>
      </c>
      <c r="C985" s="654" t="str">
        <f t="shared" si="531"/>
        <v>[985]</v>
      </c>
      <c r="D985" s="654">
        <f>ROW()</f>
        <v>985</v>
      </c>
      <c r="E985" s="1125"/>
      <c r="F985" s="1125"/>
      <c r="G985" s="1125"/>
      <c r="H985" s="1125"/>
      <c r="I985" s="1125"/>
      <c r="J985" s="1125"/>
      <c r="K985" s="1125"/>
      <c r="L985" s="1125"/>
      <c r="M985" s="1125"/>
      <c r="N985" s="1125"/>
      <c r="O985" s="869">
        <v>593</v>
      </c>
      <c r="P985" s="691"/>
      <c r="Q985" s="692"/>
      <c r="R985" s="826"/>
      <c r="S985" s="784"/>
      <c r="T985" s="826"/>
      <c r="U985" s="1025"/>
      <c r="V985" s="1025"/>
      <c r="W985" s="1025"/>
      <c r="X985" s="1025"/>
      <c r="Y985" s="1025"/>
      <c r="Z985" s="1025"/>
      <c r="AB985" s="801"/>
      <c r="AC985" s="801"/>
      <c r="AD985" s="801"/>
      <c r="AE985" s="801"/>
      <c r="AF985" s="801"/>
      <c r="AG985" s="801"/>
      <c r="AH985" s="801"/>
      <c r="AI985" s="801"/>
      <c r="AJ985" s="801"/>
      <c r="AK985" s="801"/>
      <c r="AL985" s="801"/>
      <c r="AM985" s="801"/>
      <c r="AN985" s="801"/>
      <c r="AO985" s="801"/>
      <c r="AP985" s="801"/>
      <c r="AQ985" s="801"/>
      <c r="AR985" s="801"/>
      <c r="AS985" s="801"/>
      <c r="AT985" s="801"/>
      <c r="AU985" s="801"/>
      <c r="AV985" s="801"/>
      <c r="BF985" s="657"/>
      <c r="BI985" s="905" t="s">
        <v>126</v>
      </c>
      <c r="BJ985" s="666"/>
      <c r="BO985" s="905" t="s">
        <v>252</v>
      </c>
      <c r="CU985" s="663">
        <f>IF(U985="",BF985,U985)</f>
        <v>0</v>
      </c>
      <c r="CW985" s="663"/>
      <c r="DT985" s="671"/>
      <c r="EJ985" s="905" t="str">
        <f>IF(X985=0,"",EJ$1&amp;X985)</f>
        <v/>
      </c>
      <c r="EK985" s="905" t="str">
        <f ca="1">EK$1&amp;X985</f>
        <v>[D_Python.xlsx]9.Quellen!C</v>
      </c>
      <c r="EV985" s="819" t="str">
        <f t="shared" si="514"/>
        <v/>
      </c>
      <c r="EW985" s="819"/>
    </row>
    <row r="986" spans="1:153" s="661" customFormat="1" ht="4">
      <c r="A986" s="660" t="str">
        <f t="shared" ca="1" si="511"/>
        <v>D.1.986</v>
      </c>
      <c r="B986" s="660" t="str">
        <f t="shared" ca="1" si="512"/>
        <v>1.986</v>
      </c>
      <c r="C986" s="660" t="str">
        <f t="shared" si="531"/>
        <v>[986]</v>
      </c>
      <c r="D986" s="660">
        <f>ROW()</f>
        <v>986</v>
      </c>
      <c r="E986" s="685"/>
      <c r="F986" s="685"/>
      <c r="G986" s="685"/>
      <c r="H986" s="685"/>
      <c r="I986" s="686"/>
      <c r="J986" s="686"/>
      <c r="K986" s="686"/>
      <c r="L986" s="686"/>
      <c r="M986" s="686"/>
      <c r="N986" s="685"/>
      <c r="O986" s="871" t="s">
        <v>859</v>
      </c>
      <c r="P986" s="693"/>
      <c r="Q986" s="694"/>
      <c r="R986" s="1019"/>
      <c r="S986" s="802"/>
      <c r="T986" s="1019"/>
      <c r="AB986" s="675"/>
      <c r="AC986" s="675"/>
      <c r="AD986" s="675"/>
      <c r="AE986" s="675"/>
      <c r="AF986" s="675"/>
      <c r="AG986" s="675"/>
      <c r="AH986" s="675"/>
      <c r="AI986" s="675"/>
      <c r="AJ986" s="675"/>
      <c r="AK986" s="675"/>
      <c r="AL986" s="675"/>
      <c r="AM986" s="675"/>
      <c r="AN986" s="675"/>
      <c r="AO986" s="675"/>
      <c r="AP986" s="675"/>
      <c r="AQ986" s="675"/>
      <c r="AR986" s="675"/>
      <c r="AS986" s="675"/>
      <c r="AT986" s="675"/>
      <c r="AU986" s="675"/>
      <c r="AV986" s="675"/>
      <c r="AZ986" s="669"/>
      <c r="BB986" s="669"/>
      <c r="BI986" s="661" t="s">
        <v>126</v>
      </c>
      <c r="BJ986" s="665"/>
      <c r="CU986" s="662"/>
      <c r="CW986" s="662"/>
      <c r="EV986" s="818" t="str">
        <f t="shared" si="514"/>
        <v/>
      </c>
      <c r="EW986" s="818"/>
    </row>
    <row r="987" spans="1:153" s="757" customFormat="1" hidden="1">
      <c r="A987" s="487"/>
      <c r="B987" s="487"/>
      <c r="C987" s="487"/>
      <c r="D987" s="487"/>
      <c r="I987" s="487"/>
      <c r="J987" s="487"/>
      <c r="K987" s="487"/>
      <c r="L987" s="487"/>
      <c r="M987" s="487"/>
      <c r="N987" s="487"/>
      <c r="O987" s="875"/>
      <c r="P987" s="577"/>
      <c r="Q987" s="578"/>
      <c r="R987" s="1026"/>
      <c r="S987" s="813"/>
      <c r="T987" s="1026"/>
      <c r="AB987" s="520"/>
      <c r="AC987" s="520"/>
      <c r="AD987" s="520"/>
      <c r="AE987" s="520"/>
      <c r="AF987" s="520"/>
      <c r="AG987" s="520"/>
      <c r="AH987" s="520"/>
      <c r="AI987" s="520"/>
      <c r="AJ987" s="520"/>
      <c r="AK987" s="520"/>
      <c r="AL987" s="520"/>
      <c r="AM987" s="520"/>
      <c r="AN987" s="520"/>
      <c r="AO987" s="520"/>
      <c r="AP987" s="520"/>
      <c r="AQ987" s="520"/>
      <c r="AR987" s="520"/>
      <c r="AS987" s="520"/>
      <c r="AT987" s="520"/>
      <c r="AU987" s="520"/>
      <c r="AV987" s="520"/>
      <c r="AY987" s="507"/>
      <c r="BA987" s="507"/>
      <c r="BJ987" s="493"/>
      <c r="CU987" s="488"/>
      <c r="CW987" s="488"/>
      <c r="EV987" s="821"/>
      <c r="EW987" s="821"/>
    </row>
    <row r="988" spans="1:153" s="757" customFormat="1" hidden="1">
      <c r="A988" s="487"/>
      <c r="B988" s="487"/>
      <c r="C988" s="487"/>
      <c r="D988" s="487"/>
      <c r="I988" s="487"/>
      <c r="J988" s="487"/>
      <c r="K988" s="487"/>
      <c r="L988" s="487"/>
      <c r="M988" s="487"/>
      <c r="N988" s="487"/>
      <c r="O988" s="875"/>
      <c r="Q988" s="704"/>
      <c r="R988" s="1026"/>
      <c r="S988" s="704"/>
      <c r="T988" s="1026"/>
      <c r="U988" s="704"/>
      <c r="AB988" s="520"/>
      <c r="AC988" s="520"/>
      <c r="AD988" s="520"/>
      <c r="AE988" s="520"/>
      <c r="AF988" s="520"/>
      <c r="AG988" s="520"/>
      <c r="AH988" s="520"/>
      <c r="AI988" s="520"/>
      <c r="AJ988" s="520"/>
      <c r="AK988" s="520"/>
      <c r="AL988" s="520"/>
      <c r="AM988" s="520"/>
      <c r="AN988" s="520"/>
      <c r="AO988" s="520"/>
      <c r="AP988" s="520"/>
      <c r="AQ988" s="520"/>
      <c r="AR988" s="520"/>
      <c r="AS988" s="520"/>
      <c r="AT988" s="520"/>
      <c r="AU988" s="520"/>
      <c r="AV988" s="520"/>
      <c r="AY988" s="507"/>
      <c r="BA988" s="507"/>
      <c r="BJ988" s="493"/>
      <c r="CU988" s="488"/>
      <c r="CW988" s="488"/>
      <c r="EV988" s="821"/>
      <c r="EW988" s="821"/>
    </row>
    <row r="989" spans="1:153" s="757" customFormat="1" hidden="1">
      <c r="A989" s="487"/>
      <c r="B989" s="487"/>
      <c r="C989" s="487"/>
      <c r="D989" s="487"/>
      <c r="I989" s="487"/>
      <c r="J989" s="487"/>
      <c r="K989" s="487"/>
      <c r="L989" s="487"/>
      <c r="M989" s="487"/>
      <c r="N989" s="487"/>
      <c r="O989" s="875"/>
      <c r="Q989" s="1018"/>
      <c r="R989" s="1026"/>
      <c r="S989" s="704"/>
      <c r="T989" s="1026"/>
      <c r="AB989" s="520"/>
      <c r="AC989" s="520"/>
      <c r="AD989" s="520"/>
      <c r="AE989" s="520"/>
      <c r="AF989" s="520"/>
      <c r="AG989" s="520"/>
      <c r="AH989" s="520"/>
      <c r="AI989" s="520"/>
      <c r="AJ989" s="520"/>
      <c r="AK989" s="520"/>
      <c r="AL989" s="520"/>
      <c r="AM989" s="520"/>
      <c r="AN989" s="520"/>
      <c r="AO989" s="520"/>
      <c r="AP989" s="520"/>
      <c r="AQ989" s="520"/>
      <c r="AR989" s="520"/>
      <c r="AS989" s="520"/>
      <c r="AT989" s="520"/>
      <c r="AU989" s="520"/>
      <c r="AV989" s="520"/>
      <c r="AY989" s="507"/>
      <c r="BA989" s="507"/>
      <c r="BJ989" s="493"/>
      <c r="CU989" s="488"/>
      <c r="CW989" s="488"/>
      <c r="EV989" s="821"/>
      <c r="EW989" s="821"/>
    </row>
    <row r="990" spans="1:153" s="757" customFormat="1" hidden="1">
      <c r="O990" s="875"/>
      <c r="Q990" s="1018"/>
      <c r="R990" s="1026"/>
      <c r="T990" s="1026"/>
      <c r="AB990" s="520"/>
      <c r="AC990" s="520"/>
      <c r="AD990" s="520"/>
      <c r="AE990" s="520"/>
      <c r="AF990" s="520"/>
      <c r="AG990" s="520"/>
      <c r="AH990" s="520"/>
      <c r="AI990" s="520"/>
      <c r="AJ990" s="520"/>
      <c r="AK990" s="520"/>
      <c r="AL990" s="520"/>
      <c r="AM990" s="520"/>
      <c r="AN990" s="520"/>
      <c r="AO990" s="520"/>
      <c r="AP990" s="520"/>
      <c r="AQ990" s="520"/>
      <c r="AR990" s="520"/>
      <c r="AS990" s="520"/>
      <c r="AT990" s="520"/>
      <c r="AU990" s="520"/>
      <c r="AV990" s="520"/>
      <c r="EV990" s="817"/>
      <c r="EW990" s="817"/>
    </row>
    <row r="991" spans="1:153" s="757" customFormat="1" hidden="1">
      <c r="O991" s="875"/>
      <c r="Q991" s="1018"/>
      <c r="R991" s="1026"/>
      <c r="T991" s="1026"/>
      <c r="AB991" s="520"/>
      <c r="AC991" s="520"/>
      <c r="AD991" s="520"/>
      <c r="AE991" s="520"/>
      <c r="AF991" s="520"/>
      <c r="AG991" s="520"/>
      <c r="AH991" s="520"/>
      <c r="AI991" s="520"/>
      <c r="AJ991" s="520"/>
      <c r="AK991" s="520"/>
      <c r="AL991" s="520"/>
      <c r="AM991" s="520"/>
      <c r="AN991" s="520"/>
      <c r="AO991" s="520"/>
      <c r="AP991" s="520"/>
      <c r="AQ991" s="520"/>
      <c r="AR991" s="520"/>
      <c r="AS991" s="520"/>
      <c r="AT991" s="520"/>
      <c r="AU991" s="520"/>
      <c r="AV991" s="520"/>
      <c r="EV991" s="817"/>
      <c r="EW991" s="817"/>
    </row>
    <row r="992" spans="1:153" s="757" customFormat="1" hidden="1">
      <c r="O992" s="875"/>
      <c r="R992" s="1026"/>
      <c r="T992" s="1026"/>
      <c r="AB992" s="520"/>
      <c r="AC992" s="520"/>
      <c r="AD992" s="520"/>
      <c r="AE992" s="520"/>
      <c r="AF992" s="520"/>
      <c r="AG992" s="520"/>
      <c r="AH992" s="520"/>
      <c r="AI992" s="520"/>
      <c r="AJ992" s="520"/>
      <c r="AK992" s="520"/>
      <c r="AL992" s="520"/>
      <c r="AM992" s="520"/>
      <c r="AN992" s="520"/>
      <c r="AO992" s="520"/>
      <c r="AP992" s="520"/>
      <c r="AQ992" s="520"/>
      <c r="AR992" s="520"/>
      <c r="AS992" s="520"/>
      <c r="AT992" s="520"/>
      <c r="AU992" s="520"/>
      <c r="AV992" s="520"/>
      <c r="EV992" s="817"/>
      <c r="EW992" s="817"/>
    </row>
    <row r="993" spans="15:153" s="757" customFormat="1" hidden="1">
      <c r="O993" s="875"/>
      <c r="R993" s="1026"/>
      <c r="T993" s="1026"/>
      <c r="AB993" s="520"/>
      <c r="AC993" s="520"/>
      <c r="AD993" s="520"/>
      <c r="AE993" s="520"/>
      <c r="AF993" s="520"/>
      <c r="AG993" s="520"/>
      <c r="AH993" s="520"/>
      <c r="AI993" s="520"/>
      <c r="AJ993" s="520"/>
      <c r="AK993" s="520"/>
      <c r="AL993" s="520"/>
      <c r="AM993" s="520"/>
      <c r="AN993" s="520"/>
      <c r="AO993" s="520"/>
      <c r="AP993" s="520"/>
      <c r="AQ993" s="520"/>
      <c r="AR993" s="520"/>
      <c r="AS993" s="520"/>
      <c r="AT993" s="520"/>
      <c r="AU993" s="520"/>
      <c r="AV993" s="520"/>
      <c r="EV993" s="817"/>
      <c r="EW993" s="817"/>
    </row>
    <row r="994" spans="15:153" s="757" customFormat="1" hidden="1">
      <c r="O994" s="875"/>
      <c r="R994" s="1026"/>
      <c r="T994" s="1026"/>
      <c r="AB994" s="520"/>
      <c r="AC994" s="520"/>
      <c r="AD994" s="520"/>
      <c r="AE994" s="520"/>
      <c r="AF994" s="520"/>
      <c r="AG994" s="520"/>
      <c r="AH994" s="520"/>
      <c r="AI994" s="520"/>
      <c r="AJ994" s="520"/>
      <c r="AK994" s="520"/>
      <c r="AL994" s="520"/>
      <c r="AM994" s="520"/>
      <c r="AN994" s="520"/>
      <c r="AO994" s="520"/>
      <c r="AP994" s="520"/>
      <c r="AQ994" s="520"/>
      <c r="AR994" s="520"/>
      <c r="AS994" s="520"/>
      <c r="AT994" s="520"/>
      <c r="AU994" s="520"/>
      <c r="AV994" s="520"/>
      <c r="EV994" s="817"/>
      <c r="EW994" s="817"/>
    </row>
    <row r="995" spans="15:153" s="757" customFormat="1" hidden="1">
      <c r="O995" s="875"/>
      <c r="R995" s="1026"/>
      <c r="T995" s="1026"/>
      <c r="AB995" s="520"/>
      <c r="AC995" s="520"/>
      <c r="AD995" s="520"/>
      <c r="AE995" s="520"/>
      <c r="AF995" s="520"/>
      <c r="AG995" s="520"/>
      <c r="AH995" s="520"/>
      <c r="AI995" s="520"/>
      <c r="AJ995" s="520"/>
      <c r="AK995" s="520"/>
      <c r="AL995" s="520"/>
      <c r="AM995" s="520"/>
      <c r="AN995" s="520"/>
      <c r="AO995" s="520"/>
      <c r="AP995" s="520"/>
      <c r="AQ995" s="520"/>
      <c r="AR995" s="520"/>
      <c r="AS995" s="520"/>
      <c r="AT995" s="520"/>
      <c r="AU995" s="520"/>
      <c r="AV995" s="520"/>
      <c r="EV995" s="817"/>
      <c r="EW995" s="817"/>
    </row>
    <row r="996" spans="15:153" s="757" customFormat="1" hidden="1">
      <c r="O996" s="875"/>
      <c r="R996" s="1026"/>
      <c r="T996" s="1026"/>
      <c r="AB996" s="520"/>
      <c r="AC996" s="520"/>
      <c r="AD996" s="520"/>
      <c r="AE996" s="520"/>
      <c r="AF996" s="520"/>
      <c r="AG996" s="520"/>
      <c r="AH996" s="520"/>
      <c r="AI996" s="520"/>
      <c r="AJ996" s="520"/>
      <c r="AK996" s="520"/>
      <c r="AL996" s="520"/>
      <c r="AM996" s="520"/>
      <c r="AN996" s="520"/>
      <c r="AO996" s="520"/>
      <c r="AP996" s="520"/>
      <c r="AQ996" s="520"/>
      <c r="AR996" s="520"/>
      <c r="AS996" s="520"/>
      <c r="AT996" s="520"/>
      <c r="AU996" s="520"/>
      <c r="AV996" s="520"/>
      <c r="EV996" s="817"/>
      <c r="EW996" s="817"/>
    </row>
    <row r="997" spans="15:153" s="757" customFormat="1" hidden="1">
      <c r="O997" s="875"/>
      <c r="R997" s="1026"/>
      <c r="T997" s="1026"/>
      <c r="AB997" s="520"/>
      <c r="AC997" s="520"/>
      <c r="AD997" s="520"/>
      <c r="AE997" s="520"/>
      <c r="AF997" s="520"/>
      <c r="AG997" s="520"/>
      <c r="AH997" s="520"/>
      <c r="AI997" s="520"/>
      <c r="AJ997" s="520"/>
      <c r="AK997" s="520"/>
      <c r="AL997" s="520"/>
      <c r="AM997" s="520"/>
      <c r="AN997" s="520"/>
      <c r="AO997" s="520"/>
      <c r="AP997" s="520"/>
      <c r="AQ997" s="520"/>
      <c r="AR997" s="520"/>
      <c r="AS997" s="520"/>
      <c r="AT997" s="520"/>
      <c r="AU997" s="520"/>
      <c r="AV997" s="520"/>
      <c r="EV997" s="817"/>
      <c r="EW997" s="817"/>
    </row>
    <row r="998" spans="15:153" s="757" customFormat="1" hidden="1">
      <c r="O998" s="875"/>
      <c r="R998" s="1026"/>
      <c r="T998" s="1026"/>
      <c r="AB998" s="520"/>
      <c r="AC998" s="520"/>
      <c r="AD998" s="520"/>
      <c r="AE998" s="520"/>
      <c r="AF998" s="520"/>
      <c r="AG998" s="520"/>
      <c r="AH998" s="520"/>
      <c r="AI998" s="520"/>
      <c r="AJ998" s="520"/>
      <c r="AK998" s="520"/>
      <c r="AL998" s="520"/>
      <c r="AM998" s="520"/>
      <c r="AN998" s="520"/>
      <c r="AO998" s="520"/>
      <c r="AP998" s="520"/>
      <c r="AQ998" s="520"/>
      <c r="AR998" s="520"/>
      <c r="AS998" s="520"/>
      <c r="AT998" s="520"/>
      <c r="AU998" s="520"/>
      <c r="AV998" s="520"/>
      <c r="EV998" s="817"/>
      <c r="EW998" s="817"/>
    </row>
    <row r="999" spans="15:153" s="757" customFormat="1" hidden="1">
      <c r="O999" s="875"/>
      <c r="R999" s="1026"/>
      <c r="T999" s="1026"/>
      <c r="AB999" s="520"/>
      <c r="AC999" s="520"/>
      <c r="AD999" s="520"/>
      <c r="AE999" s="520"/>
      <c r="AF999" s="520"/>
      <c r="AG999" s="520"/>
      <c r="AH999" s="520"/>
      <c r="AI999" s="520"/>
      <c r="AJ999" s="520"/>
      <c r="AK999" s="520"/>
      <c r="AL999" s="520"/>
      <c r="AM999" s="520"/>
      <c r="AN999" s="520"/>
      <c r="AO999" s="520"/>
      <c r="AP999" s="520"/>
      <c r="AQ999" s="520"/>
      <c r="AR999" s="520"/>
      <c r="AS999" s="520"/>
      <c r="AT999" s="520"/>
      <c r="AU999" s="520"/>
      <c r="AV999" s="520"/>
      <c r="EV999" s="817"/>
      <c r="EW999" s="817"/>
    </row>
    <row r="1000" spans="15:153" s="757" customFormat="1" hidden="1">
      <c r="O1000" s="875"/>
      <c r="R1000" s="1026"/>
      <c r="T1000" s="1026"/>
      <c r="AB1000" s="520"/>
      <c r="AC1000" s="520"/>
      <c r="AD1000" s="520"/>
      <c r="AE1000" s="520"/>
      <c r="AF1000" s="520"/>
      <c r="AG1000" s="520"/>
      <c r="AH1000" s="520"/>
      <c r="AI1000" s="520"/>
      <c r="AJ1000" s="520"/>
      <c r="AK1000" s="520"/>
      <c r="AL1000" s="520"/>
      <c r="AM1000" s="520"/>
      <c r="AN1000" s="520"/>
      <c r="AO1000" s="520"/>
      <c r="AP1000" s="520"/>
      <c r="AQ1000" s="520"/>
      <c r="AR1000" s="520"/>
      <c r="AS1000" s="520"/>
      <c r="AT1000" s="520"/>
      <c r="AU1000" s="520"/>
      <c r="AV1000" s="520"/>
      <c r="EV1000" s="817"/>
      <c r="EW1000" s="817"/>
    </row>
    <row r="1001" spans="15:153" s="757" customFormat="1" hidden="1">
      <c r="O1001" s="875"/>
      <c r="R1001" s="1026"/>
      <c r="T1001" s="1026"/>
      <c r="AB1001" s="520"/>
      <c r="AC1001" s="520"/>
      <c r="AD1001" s="520"/>
      <c r="AE1001" s="520"/>
      <c r="AF1001" s="520"/>
      <c r="AG1001" s="520"/>
      <c r="AH1001" s="520"/>
      <c r="AI1001" s="520"/>
      <c r="AJ1001" s="520"/>
      <c r="AK1001" s="520"/>
      <c r="AL1001" s="520"/>
      <c r="AM1001" s="520"/>
      <c r="AN1001" s="520"/>
      <c r="AO1001" s="520"/>
      <c r="AP1001" s="520"/>
      <c r="AQ1001" s="520"/>
      <c r="AR1001" s="520"/>
      <c r="AS1001" s="520"/>
      <c r="AT1001" s="520"/>
      <c r="AU1001" s="520"/>
      <c r="AV1001" s="520"/>
      <c r="EV1001" s="817"/>
      <c r="EW1001" s="817"/>
    </row>
    <row r="1002" spans="15:153" s="757" customFormat="1" hidden="1">
      <c r="O1002" s="875"/>
      <c r="R1002" s="1026"/>
      <c r="T1002" s="1026"/>
      <c r="AB1002" s="520"/>
      <c r="AC1002" s="520"/>
      <c r="AD1002" s="520"/>
      <c r="AE1002" s="520"/>
      <c r="AF1002" s="520"/>
      <c r="AG1002" s="520"/>
      <c r="AH1002" s="520"/>
      <c r="AI1002" s="520"/>
      <c r="AJ1002" s="520"/>
      <c r="AK1002" s="520"/>
      <c r="AL1002" s="520"/>
      <c r="AM1002" s="520"/>
      <c r="AN1002" s="520"/>
      <c r="AO1002" s="520"/>
      <c r="AP1002" s="520"/>
      <c r="AQ1002" s="520"/>
      <c r="AR1002" s="520"/>
      <c r="AS1002" s="520"/>
      <c r="AT1002" s="520"/>
      <c r="AU1002" s="520"/>
      <c r="AV1002" s="520"/>
      <c r="EV1002" s="817"/>
      <c r="EW1002" s="817"/>
    </row>
    <row r="1003" spans="15:153" s="757" customFormat="1" hidden="1">
      <c r="O1003" s="875"/>
      <c r="R1003" s="1026"/>
      <c r="T1003" s="1026"/>
      <c r="AB1003" s="520"/>
      <c r="AC1003" s="520"/>
      <c r="AD1003" s="520"/>
      <c r="AE1003" s="520"/>
      <c r="AF1003" s="520"/>
      <c r="AG1003" s="520"/>
      <c r="AH1003" s="520"/>
      <c r="AI1003" s="520"/>
      <c r="AJ1003" s="520"/>
      <c r="AK1003" s="520"/>
      <c r="AL1003" s="520"/>
      <c r="AM1003" s="520"/>
      <c r="AN1003" s="520"/>
      <c r="AO1003" s="520"/>
      <c r="AP1003" s="520"/>
      <c r="AQ1003" s="520"/>
      <c r="AR1003" s="520"/>
      <c r="AS1003" s="520"/>
      <c r="AT1003" s="520"/>
      <c r="AU1003" s="520"/>
      <c r="AV1003" s="520"/>
      <c r="EV1003" s="817"/>
      <c r="EW1003" s="817"/>
    </row>
    <row r="1004" spans="15:153" s="757" customFormat="1" hidden="1">
      <c r="O1004" s="875"/>
      <c r="R1004" s="1026"/>
      <c r="T1004" s="1026"/>
      <c r="AB1004" s="520"/>
      <c r="AC1004" s="520"/>
      <c r="AD1004" s="520"/>
      <c r="AE1004" s="520"/>
      <c r="AF1004" s="520"/>
      <c r="AG1004" s="520"/>
      <c r="AH1004" s="520"/>
      <c r="AI1004" s="520"/>
      <c r="AJ1004" s="520"/>
      <c r="AK1004" s="520"/>
      <c r="AL1004" s="520"/>
      <c r="AM1004" s="520"/>
      <c r="AN1004" s="520"/>
      <c r="AO1004" s="520"/>
      <c r="AP1004" s="520"/>
      <c r="AQ1004" s="520"/>
      <c r="AR1004" s="520"/>
      <c r="AS1004" s="520"/>
      <c r="AT1004" s="520"/>
      <c r="AU1004" s="520"/>
      <c r="AV1004" s="520"/>
      <c r="EV1004" s="817"/>
      <c r="EW1004" s="817"/>
    </row>
    <row r="1005" spans="15:153" s="757" customFormat="1" hidden="1">
      <c r="O1005" s="875"/>
      <c r="R1005" s="1026"/>
      <c r="T1005" s="1026"/>
      <c r="AB1005" s="520"/>
      <c r="AC1005" s="520"/>
      <c r="AD1005" s="520"/>
      <c r="AE1005" s="520"/>
      <c r="AF1005" s="520"/>
      <c r="AG1005" s="520"/>
      <c r="AH1005" s="520"/>
      <c r="AI1005" s="520"/>
      <c r="AJ1005" s="520"/>
      <c r="AK1005" s="520"/>
      <c r="AL1005" s="520"/>
      <c r="AM1005" s="520"/>
      <c r="AN1005" s="520"/>
      <c r="AO1005" s="520"/>
      <c r="AP1005" s="520"/>
      <c r="AQ1005" s="520"/>
      <c r="AR1005" s="520"/>
      <c r="AS1005" s="520"/>
      <c r="AT1005" s="520"/>
      <c r="AU1005" s="520"/>
      <c r="AV1005" s="520"/>
      <c r="EV1005" s="817"/>
      <c r="EW1005" s="817"/>
    </row>
    <row r="1006" spans="15:153" s="757" customFormat="1" hidden="1">
      <c r="O1006" s="875"/>
      <c r="R1006" s="1026"/>
      <c r="T1006" s="1026"/>
      <c r="AB1006" s="520"/>
      <c r="AC1006" s="520"/>
      <c r="AD1006" s="520"/>
      <c r="AE1006" s="520"/>
      <c r="AF1006" s="520"/>
      <c r="AG1006" s="520"/>
      <c r="AH1006" s="520"/>
      <c r="AI1006" s="520"/>
      <c r="AJ1006" s="520"/>
      <c r="AK1006" s="520"/>
      <c r="AL1006" s="520"/>
      <c r="AM1006" s="520"/>
      <c r="AN1006" s="520"/>
      <c r="AO1006" s="520"/>
      <c r="AP1006" s="520"/>
      <c r="AQ1006" s="520"/>
      <c r="AR1006" s="520"/>
      <c r="AS1006" s="520"/>
      <c r="AT1006" s="520"/>
      <c r="AU1006" s="520"/>
      <c r="AV1006" s="520"/>
      <c r="EV1006" s="817"/>
      <c r="EW1006" s="817"/>
    </row>
    <row r="1007" spans="15:153" s="757" customFormat="1" hidden="1">
      <c r="O1007" s="875"/>
      <c r="R1007" s="1026"/>
      <c r="T1007" s="1026"/>
      <c r="AB1007" s="520"/>
      <c r="AC1007" s="520"/>
      <c r="AD1007" s="520"/>
      <c r="AE1007" s="520"/>
      <c r="AF1007" s="520"/>
      <c r="AG1007" s="520"/>
      <c r="AH1007" s="520"/>
      <c r="AI1007" s="520"/>
      <c r="AJ1007" s="520"/>
      <c r="AK1007" s="520"/>
      <c r="AL1007" s="520"/>
      <c r="AM1007" s="520"/>
      <c r="AN1007" s="520"/>
      <c r="AO1007" s="520"/>
      <c r="AP1007" s="520"/>
      <c r="AQ1007" s="520"/>
      <c r="AR1007" s="520"/>
      <c r="AS1007" s="520"/>
      <c r="AT1007" s="520"/>
      <c r="AU1007" s="520"/>
      <c r="AV1007" s="520"/>
      <c r="EV1007" s="817"/>
      <c r="EW1007" s="817"/>
    </row>
    <row r="1008" spans="15:153" s="757" customFormat="1" hidden="1">
      <c r="O1008" s="875"/>
      <c r="R1008" s="1026"/>
      <c r="T1008" s="1026"/>
      <c r="AB1008" s="520"/>
      <c r="AC1008" s="520"/>
      <c r="AD1008" s="520"/>
      <c r="AE1008" s="520"/>
      <c r="AF1008" s="520"/>
      <c r="AG1008" s="520"/>
      <c r="AH1008" s="520"/>
      <c r="AI1008" s="520"/>
      <c r="AJ1008" s="520"/>
      <c r="AK1008" s="520"/>
      <c r="AL1008" s="520"/>
      <c r="AM1008" s="520"/>
      <c r="AN1008" s="520"/>
      <c r="AO1008" s="520"/>
      <c r="AP1008" s="520"/>
      <c r="AQ1008" s="520"/>
      <c r="AR1008" s="520"/>
      <c r="AS1008" s="520"/>
      <c r="AT1008" s="520"/>
      <c r="AU1008" s="520"/>
      <c r="AV1008" s="520"/>
      <c r="EV1008" s="817"/>
      <c r="EW1008" s="817"/>
    </row>
    <row r="1009" spans="15:153" s="757" customFormat="1" hidden="1">
      <c r="O1009" s="875"/>
      <c r="R1009" s="1026"/>
      <c r="T1009" s="1026"/>
      <c r="AB1009" s="520"/>
      <c r="AC1009" s="520"/>
      <c r="AD1009" s="520"/>
      <c r="AE1009" s="520"/>
      <c r="AF1009" s="520"/>
      <c r="AG1009" s="520"/>
      <c r="AH1009" s="520"/>
      <c r="AI1009" s="520"/>
      <c r="AJ1009" s="520"/>
      <c r="AK1009" s="520"/>
      <c r="AL1009" s="520"/>
      <c r="AM1009" s="520"/>
      <c r="AN1009" s="520"/>
      <c r="AO1009" s="520"/>
      <c r="AP1009" s="520"/>
      <c r="AQ1009" s="520"/>
      <c r="AR1009" s="520"/>
      <c r="AS1009" s="520"/>
      <c r="AT1009" s="520"/>
      <c r="AU1009" s="520"/>
      <c r="AV1009" s="520"/>
      <c r="EV1009" s="817"/>
      <c r="EW1009" s="817"/>
    </row>
    <row r="1010" spans="15:153" s="757" customFormat="1" hidden="1">
      <c r="O1010" s="875"/>
      <c r="R1010" s="1026"/>
      <c r="T1010" s="1026"/>
      <c r="AB1010" s="520"/>
      <c r="AC1010" s="520"/>
      <c r="AD1010" s="520"/>
      <c r="AE1010" s="520"/>
      <c r="AF1010" s="520"/>
      <c r="AG1010" s="520"/>
      <c r="AH1010" s="520"/>
      <c r="AI1010" s="520"/>
      <c r="AJ1010" s="520"/>
      <c r="AK1010" s="520"/>
      <c r="AL1010" s="520"/>
      <c r="AM1010" s="520"/>
      <c r="AN1010" s="520"/>
      <c r="AO1010" s="520"/>
      <c r="AP1010" s="520"/>
      <c r="AQ1010" s="520"/>
      <c r="AR1010" s="520"/>
      <c r="AS1010" s="520"/>
      <c r="AT1010" s="520"/>
      <c r="AU1010" s="520"/>
      <c r="AV1010" s="520"/>
      <c r="EV1010" s="817"/>
      <c r="EW1010" s="817"/>
    </row>
    <row r="1011" spans="15:153" s="757" customFormat="1" hidden="1">
      <c r="O1011" s="875"/>
      <c r="R1011" s="1026"/>
      <c r="T1011" s="1026"/>
      <c r="AB1011" s="520"/>
      <c r="AC1011" s="520"/>
      <c r="AD1011" s="520"/>
      <c r="AE1011" s="520"/>
      <c r="AF1011" s="520"/>
      <c r="AG1011" s="520"/>
      <c r="AH1011" s="520"/>
      <c r="AI1011" s="520"/>
      <c r="AJ1011" s="520"/>
      <c r="AK1011" s="520"/>
      <c r="AL1011" s="520"/>
      <c r="AM1011" s="520"/>
      <c r="AN1011" s="520"/>
      <c r="AO1011" s="520"/>
      <c r="AP1011" s="520"/>
      <c r="AQ1011" s="520"/>
      <c r="AR1011" s="520"/>
      <c r="AS1011" s="520"/>
      <c r="AT1011" s="520"/>
      <c r="AU1011" s="520"/>
      <c r="AV1011" s="520"/>
      <c r="EV1011" s="817"/>
      <c r="EW1011" s="817"/>
    </row>
    <row r="1012" spans="15:153" s="757" customFormat="1" hidden="1">
      <c r="O1012" s="875"/>
      <c r="R1012" s="1026"/>
      <c r="T1012" s="1026"/>
      <c r="AB1012" s="520"/>
      <c r="AC1012" s="520"/>
      <c r="AD1012" s="520"/>
      <c r="AE1012" s="520"/>
      <c r="AF1012" s="520"/>
      <c r="AG1012" s="520"/>
      <c r="AH1012" s="520"/>
      <c r="AI1012" s="520"/>
      <c r="AJ1012" s="520"/>
      <c r="AK1012" s="520"/>
      <c r="AL1012" s="520"/>
      <c r="AM1012" s="520"/>
      <c r="AN1012" s="520"/>
      <c r="AO1012" s="520"/>
      <c r="AP1012" s="520"/>
      <c r="AQ1012" s="520"/>
      <c r="AR1012" s="520"/>
      <c r="AS1012" s="520"/>
      <c r="AT1012" s="520"/>
      <c r="AU1012" s="520"/>
      <c r="AV1012" s="520"/>
      <c r="EV1012" s="817"/>
      <c r="EW1012" s="817"/>
    </row>
    <row r="1013" spans="15:153" s="757" customFormat="1" hidden="1">
      <c r="O1013" s="875"/>
      <c r="R1013" s="1026"/>
      <c r="T1013" s="1026"/>
      <c r="AB1013" s="520"/>
      <c r="AC1013" s="520"/>
      <c r="AD1013" s="520"/>
      <c r="AE1013" s="520"/>
      <c r="AF1013" s="520"/>
      <c r="AG1013" s="520"/>
      <c r="AH1013" s="520"/>
      <c r="AI1013" s="520"/>
      <c r="AJ1013" s="520"/>
      <c r="AK1013" s="520"/>
      <c r="AL1013" s="520"/>
      <c r="AM1013" s="520"/>
      <c r="AN1013" s="520"/>
      <c r="AO1013" s="520"/>
      <c r="AP1013" s="520"/>
      <c r="AQ1013" s="520"/>
      <c r="AR1013" s="520"/>
      <c r="AS1013" s="520"/>
      <c r="AT1013" s="520"/>
      <c r="AU1013" s="520"/>
      <c r="AV1013" s="520"/>
      <c r="EV1013" s="817"/>
      <c r="EW1013" s="817"/>
    </row>
    <row r="1014" spans="15:153" s="757" customFormat="1" hidden="1">
      <c r="O1014" s="875"/>
      <c r="R1014" s="1026"/>
      <c r="T1014" s="1026"/>
      <c r="AB1014" s="520"/>
      <c r="AC1014" s="520"/>
      <c r="AD1014" s="520"/>
      <c r="AE1014" s="520"/>
      <c r="AF1014" s="520"/>
      <c r="AG1014" s="520"/>
      <c r="AH1014" s="520"/>
      <c r="AI1014" s="520"/>
      <c r="AJ1014" s="520"/>
      <c r="AK1014" s="520"/>
      <c r="AL1014" s="520"/>
      <c r="AM1014" s="520"/>
      <c r="AN1014" s="520"/>
      <c r="AO1014" s="520"/>
      <c r="AP1014" s="520"/>
      <c r="AQ1014" s="520"/>
      <c r="AR1014" s="520"/>
      <c r="AS1014" s="520"/>
      <c r="AT1014" s="520"/>
      <c r="AU1014" s="520"/>
      <c r="AV1014" s="520"/>
      <c r="EV1014" s="817"/>
      <c r="EW1014" s="817"/>
    </row>
    <row r="1015" spans="15:153" s="757" customFormat="1" hidden="1">
      <c r="O1015" s="875"/>
      <c r="R1015" s="1026"/>
      <c r="T1015" s="1026"/>
      <c r="AB1015" s="520"/>
      <c r="AC1015" s="520"/>
      <c r="AD1015" s="520"/>
      <c r="AE1015" s="520"/>
      <c r="AF1015" s="520"/>
      <c r="AG1015" s="520"/>
      <c r="AH1015" s="520"/>
      <c r="AI1015" s="520"/>
      <c r="AJ1015" s="520"/>
      <c r="AK1015" s="520"/>
      <c r="AL1015" s="520"/>
      <c r="AM1015" s="520"/>
      <c r="AN1015" s="520"/>
      <c r="AO1015" s="520"/>
      <c r="AP1015" s="520"/>
      <c r="AQ1015" s="520"/>
      <c r="AR1015" s="520"/>
      <c r="AS1015" s="520"/>
      <c r="AT1015" s="520"/>
      <c r="AU1015" s="520"/>
      <c r="AV1015" s="520"/>
      <c r="EV1015" s="817"/>
      <c r="EW1015" s="817"/>
    </row>
    <row r="1016" spans="15:153" s="757" customFormat="1" hidden="1">
      <c r="O1016" s="875"/>
      <c r="R1016" s="1026"/>
      <c r="T1016" s="1026"/>
      <c r="AB1016" s="520"/>
      <c r="AC1016" s="520"/>
      <c r="AD1016" s="520"/>
      <c r="AE1016" s="520"/>
      <c r="AF1016" s="520"/>
      <c r="AG1016" s="520"/>
      <c r="AH1016" s="520"/>
      <c r="AI1016" s="520"/>
      <c r="AJ1016" s="520"/>
      <c r="AK1016" s="520"/>
      <c r="AL1016" s="520"/>
      <c r="AM1016" s="520"/>
      <c r="AN1016" s="520"/>
      <c r="AO1016" s="520"/>
      <c r="AP1016" s="520"/>
      <c r="AQ1016" s="520"/>
      <c r="AR1016" s="520"/>
      <c r="AS1016" s="520"/>
      <c r="AT1016" s="520"/>
      <c r="AU1016" s="520"/>
      <c r="AV1016" s="520"/>
      <c r="EV1016" s="817"/>
      <c r="EW1016" s="817"/>
    </row>
    <row r="1017" spans="15:153" s="757" customFormat="1" hidden="1">
      <c r="O1017" s="875"/>
      <c r="R1017" s="1026"/>
      <c r="T1017" s="1026"/>
      <c r="AB1017" s="520"/>
      <c r="AC1017" s="520"/>
      <c r="AD1017" s="520"/>
      <c r="AE1017" s="520"/>
      <c r="AF1017" s="520"/>
      <c r="AG1017" s="520"/>
      <c r="AH1017" s="520"/>
      <c r="AI1017" s="520"/>
      <c r="AJ1017" s="520"/>
      <c r="AK1017" s="520"/>
      <c r="AL1017" s="520"/>
      <c r="AM1017" s="520"/>
      <c r="AN1017" s="520"/>
      <c r="AO1017" s="520"/>
      <c r="AP1017" s="520"/>
      <c r="AQ1017" s="520"/>
      <c r="AR1017" s="520"/>
      <c r="AS1017" s="520"/>
      <c r="AT1017" s="520"/>
      <c r="AU1017" s="520"/>
      <c r="AV1017" s="520"/>
      <c r="EV1017" s="817"/>
      <c r="EW1017" s="817"/>
    </row>
    <row r="1018" spans="15:153" s="757" customFormat="1" hidden="1">
      <c r="O1018" s="875"/>
      <c r="R1018" s="1026"/>
      <c r="T1018" s="1026"/>
      <c r="AB1018" s="520"/>
      <c r="AC1018" s="520"/>
      <c r="AD1018" s="520"/>
      <c r="AE1018" s="520"/>
      <c r="AF1018" s="520"/>
      <c r="AG1018" s="520"/>
      <c r="AH1018" s="520"/>
      <c r="AI1018" s="520"/>
      <c r="AJ1018" s="520"/>
      <c r="AK1018" s="520"/>
      <c r="AL1018" s="520"/>
      <c r="AM1018" s="520"/>
      <c r="AN1018" s="520"/>
      <c r="AO1018" s="520"/>
      <c r="AP1018" s="520"/>
      <c r="AQ1018" s="520"/>
      <c r="AR1018" s="520"/>
      <c r="AS1018" s="520"/>
      <c r="AT1018" s="520"/>
      <c r="AU1018" s="520"/>
      <c r="AV1018" s="520"/>
      <c r="EV1018" s="817"/>
      <c r="EW1018" s="817"/>
    </row>
    <row r="1019" spans="15:153" s="757" customFormat="1" hidden="1">
      <c r="O1019" s="875"/>
      <c r="R1019" s="1026"/>
      <c r="T1019" s="1026"/>
      <c r="AB1019" s="520"/>
      <c r="AC1019" s="520"/>
      <c r="AD1019" s="520"/>
      <c r="AE1019" s="520"/>
      <c r="AF1019" s="520"/>
      <c r="AG1019" s="520"/>
      <c r="AH1019" s="520"/>
      <c r="AI1019" s="520"/>
      <c r="AJ1019" s="520"/>
      <c r="AK1019" s="520"/>
      <c r="AL1019" s="520"/>
      <c r="AM1019" s="520"/>
      <c r="AN1019" s="520"/>
      <c r="AO1019" s="520"/>
      <c r="AP1019" s="520"/>
      <c r="AQ1019" s="520"/>
      <c r="AR1019" s="520"/>
      <c r="AS1019" s="520"/>
      <c r="AT1019" s="520"/>
      <c r="AU1019" s="520"/>
      <c r="AV1019" s="520"/>
      <c r="EV1019" s="817"/>
      <c r="EW1019" s="817"/>
    </row>
    <row r="1020" spans="15:153" s="757" customFormat="1" hidden="1">
      <c r="O1020" s="875"/>
      <c r="R1020" s="1026"/>
      <c r="T1020" s="1026"/>
      <c r="AB1020" s="520"/>
      <c r="AC1020" s="520"/>
      <c r="AD1020" s="520"/>
      <c r="AE1020" s="520"/>
      <c r="AF1020" s="520"/>
      <c r="AG1020" s="520"/>
      <c r="AH1020" s="520"/>
      <c r="AI1020" s="520"/>
      <c r="AJ1020" s="520"/>
      <c r="AK1020" s="520"/>
      <c r="AL1020" s="520"/>
      <c r="AM1020" s="520"/>
      <c r="AN1020" s="520"/>
      <c r="AO1020" s="520"/>
      <c r="AP1020" s="520"/>
      <c r="AQ1020" s="520"/>
      <c r="AR1020" s="520"/>
      <c r="AS1020" s="520"/>
      <c r="AT1020" s="520"/>
      <c r="AU1020" s="520"/>
      <c r="AV1020" s="520"/>
      <c r="EV1020" s="817"/>
      <c r="EW1020" s="817"/>
    </row>
    <row r="1021" spans="15:153" s="757" customFormat="1" hidden="1">
      <c r="O1021" s="875"/>
      <c r="R1021" s="1026"/>
      <c r="T1021" s="1026"/>
      <c r="AB1021" s="520"/>
      <c r="AC1021" s="520"/>
      <c r="AD1021" s="520"/>
      <c r="AE1021" s="520"/>
      <c r="AF1021" s="520"/>
      <c r="AG1021" s="520"/>
      <c r="AH1021" s="520"/>
      <c r="AI1021" s="520"/>
      <c r="AJ1021" s="520"/>
      <c r="AK1021" s="520"/>
      <c r="AL1021" s="520"/>
      <c r="AM1021" s="520"/>
      <c r="AN1021" s="520"/>
      <c r="AO1021" s="520"/>
      <c r="AP1021" s="520"/>
      <c r="AQ1021" s="520"/>
      <c r="AR1021" s="520"/>
      <c r="AS1021" s="520"/>
      <c r="AT1021" s="520"/>
      <c r="AU1021" s="520"/>
      <c r="AV1021" s="520"/>
      <c r="EV1021" s="817"/>
      <c r="EW1021" s="817"/>
    </row>
    <row r="1022" spans="15:153" s="757" customFormat="1" hidden="1">
      <c r="O1022" s="875"/>
      <c r="R1022" s="1026"/>
      <c r="T1022" s="1026"/>
      <c r="AB1022" s="520"/>
      <c r="AC1022" s="520"/>
      <c r="AD1022" s="520"/>
      <c r="AE1022" s="520"/>
      <c r="AF1022" s="520"/>
      <c r="AG1022" s="520"/>
      <c r="AH1022" s="520"/>
      <c r="AI1022" s="520"/>
      <c r="AJ1022" s="520"/>
      <c r="AK1022" s="520"/>
      <c r="AL1022" s="520"/>
      <c r="AM1022" s="520"/>
      <c r="AN1022" s="520"/>
      <c r="AO1022" s="520"/>
      <c r="AP1022" s="520"/>
      <c r="AQ1022" s="520"/>
      <c r="AR1022" s="520"/>
      <c r="AS1022" s="520"/>
      <c r="AT1022" s="520"/>
      <c r="AU1022" s="520"/>
      <c r="AV1022" s="520"/>
      <c r="EV1022" s="817"/>
      <c r="EW1022" s="817"/>
    </row>
    <row r="1023" spans="15:153" s="757" customFormat="1" hidden="1">
      <c r="O1023" s="875"/>
      <c r="R1023" s="1026"/>
      <c r="T1023" s="1026"/>
      <c r="AB1023" s="520"/>
      <c r="AC1023" s="520"/>
      <c r="AD1023" s="520"/>
      <c r="AE1023" s="520"/>
      <c r="AF1023" s="520"/>
      <c r="AG1023" s="520"/>
      <c r="AH1023" s="520"/>
      <c r="AI1023" s="520"/>
      <c r="AJ1023" s="520"/>
      <c r="AK1023" s="520"/>
      <c r="AL1023" s="520"/>
      <c r="AM1023" s="520"/>
      <c r="AN1023" s="520"/>
      <c r="AO1023" s="520"/>
      <c r="AP1023" s="520"/>
      <c r="AQ1023" s="520"/>
      <c r="AR1023" s="520"/>
      <c r="AS1023" s="520"/>
      <c r="AT1023" s="520"/>
      <c r="AU1023" s="520"/>
      <c r="AV1023" s="520"/>
      <c r="EV1023" s="817"/>
      <c r="EW1023" s="817"/>
    </row>
    <row r="1024" spans="15:153" s="757" customFormat="1" hidden="1">
      <c r="O1024" s="875"/>
      <c r="R1024" s="1026"/>
      <c r="T1024" s="1026"/>
      <c r="AB1024" s="520"/>
      <c r="AC1024" s="520"/>
      <c r="AD1024" s="520"/>
      <c r="AE1024" s="520"/>
      <c r="AF1024" s="520"/>
      <c r="AG1024" s="520"/>
      <c r="AH1024" s="520"/>
      <c r="AI1024" s="520"/>
      <c r="AJ1024" s="520"/>
      <c r="AK1024" s="520"/>
      <c r="AL1024" s="520"/>
      <c r="AM1024" s="520"/>
      <c r="AN1024" s="520"/>
      <c r="AO1024" s="520"/>
      <c r="AP1024" s="520"/>
      <c r="AQ1024" s="520"/>
      <c r="AR1024" s="520"/>
      <c r="AS1024" s="520"/>
      <c r="AT1024" s="520"/>
      <c r="AU1024" s="520"/>
      <c r="AV1024" s="520"/>
      <c r="EV1024" s="817"/>
      <c r="EW1024" s="817"/>
    </row>
    <row r="1025" spans="1:153" s="757" customFormat="1" hidden="1">
      <c r="O1025" s="875"/>
      <c r="R1025" s="1026"/>
      <c r="T1025" s="1026"/>
      <c r="AB1025" s="520"/>
      <c r="AC1025" s="520"/>
      <c r="AD1025" s="520"/>
      <c r="AE1025" s="520"/>
      <c r="AF1025" s="520"/>
      <c r="AG1025" s="520"/>
      <c r="AH1025" s="520"/>
      <c r="AI1025" s="520"/>
      <c r="AJ1025" s="520"/>
      <c r="AK1025" s="520"/>
      <c r="AL1025" s="520"/>
      <c r="AM1025" s="520"/>
      <c r="AN1025" s="520"/>
      <c r="AO1025" s="520"/>
      <c r="AP1025" s="520"/>
      <c r="AQ1025" s="520"/>
      <c r="AR1025" s="520"/>
      <c r="AS1025" s="520"/>
      <c r="AT1025" s="520"/>
      <c r="AU1025" s="520"/>
      <c r="AV1025" s="520"/>
      <c r="EV1025" s="817"/>
      <c r="EW1025" s="817"/>
    </row>
    <row r="1026" spans="1:153" s="757" customFormat="1" hidden="1">
      <c r="O1026" s="875"/>
      <c r="R1026" s="1026"/>
      <c r="T1026" s="1026"/>
      <c r="AB1026" s="520"/>
      <c r="AC1026" s="520"/>
      <c r="AD1026" s="520"/>
      <c r="AE1026" s="520"/>
      <c r="AF1026" s="520"/>
      <c r="AG1026" s="520"/>
      <c r="AH1026" s="520"/>
      <c r="AI1026" s="520"/>
      <c r="AJ1026" s="520"/>
      <c r="AK1026" s="520"/>
      <c r="AL1026" s="520"/>
      <c r="AM1026" s="520"/>
      <c r="AN1026" s="520"/>
      <c r="AO1026" s="520"/>
      <c r="AP1026" s="520"/>
      <c r="AQ1026" s="520"/>
      <c r="AR1026" s="520"/>
      <c r="AS1026" s="520"/>
      <c r="AT1026" s="520"/>
      <c r="AU1026" s="520"/>
      <c r="AV1026" s="520"/>
      <c r="EV1026" s="817"/>
      <c r="EW1026" s="817"/>
    </row>
    <row r="1027" spans="1:153" s="757" customFormat="1" hidden="1">
      <c r="O1027" s="875"/>
      <c r="R1027" s="1026"/>
      <c r="T1027" s="1026"/>
      <c r="AB1027" s="520"/>
      <c r="AC1027" s="520"/>
      <c r="AD1027" s="520"/>
      <c r="AE1027" s="520"/>
      <c r="AF1027" s="520"/>
      <c r="AG1027" s="520"/>
      <c r="AH1027" s="520"/>
      <c r="AI1027" s="520"/>
      <c r="AJ1027" s="520"/>
      <c r="AK1027" s="520"/>
      <c r="AL1027" s="520"/>
      <c r="AM1027" s="520"/>
      <c r="AN1027" s="520"/>
      <c r="AO1027" s="520"/>
      <c r="AP1027" s="520"/>
      <c r="AQ1027" s="520"/>
      <c r="AR1027" s="520"/>
      <c r="AS1027" s="520"/>
      <c r="AT1027" s="520"/>
      <c r="AU1027" s="520"/>
      <c r="AV1027" s="520"/>
      <c r="EV1027" s="817"/>
      <c r="EW1027" s="817"/>
    </row>
    <row r="1028" spans="1:153" s="757" customFormat="1" hidden="1">
      <c r="O1028" s="875"/>
      <c r="R1028" s="1026"/>
      <c r="T1028" s="1026"/>
      <c r="AB1028" s="520"/>
      <c r="AC1028" s="520"/>
      <c r="AD1028" s="520"/>
      <c r="AE1028" s="520"/>
      <c r="AF1028" s="520"/>
      <c r="AG1028" s="520"/>
      <c r="AH1028" s="520"/>
      <c r="AI1028" s="520"/>
      <c r="AJ1028" s="520"/>
      <c r="AK1028" s="520"/>
      <c r="AL1028" s="520"/>
      <c r="AM1028" s="520"/>
      <c r="AN1028" s="520"/>
      <c r="AO1028" s="520"/>
      <c r="AP1028" s="520"/>
      <c r="AQ1028" s="520"/>
      <c r="AR1028" s="520"/>
      <c r="AS1028" s="520"/>
      <c r="AT1028" s="520"/>
      <c r="AU1028" s="520"/>
      <c r="AV1028" s="520"/>
      <c r="EV1028" s="817"/>
      <c r="EW1028" s="817"/>
    </row>
    <row r="1029" spans="1:153" s="757" customFormat="1" hidden="1">
      <c r="O1029" s="875"/>
      <c r="R1029" s="1026"/>
      <c r="T1029" s="1026"/>
      <c r="AB1029" s="520"/>
      <c r="AC1029" s="520"/>
      <c r="AD1029" s="520"/>
      <c r="AE1029" s="520"/>
      <c r="AF1029" s="520"/>
      <c r="AG1029" s="520"/>
      <c r="AH1029" s="520"/>
      <c r="AI1029" s="520"/>
      <c r="AJ1029" s="520"/>
      <c r="AK1029" s="520"/>
      <c r="AL1029" s="520"/>
      <c r="AM1029" s="520"/>
      <c r="AN1029" s="520"/>
      <c r="AO1029" s="520"/>
      <c r="AP1029" s="520"/>
      <c r="AQ1029" s="520"/>
      <c r="AR1029" s="520"/>
      <c r="AS1029" s="520"/>
      <c r="AT1029" s="520"/>
      <c r="AU1029" s="520"/>
      <c r="AV1029" s="520"/>
      <c r="EV1029" s="817"/>
      <c r="EW1029" s="817"/>
    </row>
    <row r="1030" spans="1:153" s="757" customFormat="1" hidden="1">
      <c r="O1030" s="875"/>
      <c r="R1030" s="1026"/>
      <c r="T1030" s="1026"/>
      <c r="AB1030" s="520"/>
      <c r="AC1030" s="520"/>
      <c r="AD1030" s="520"/>
      <c r="AE1030" s="520"/>
      <c r="AF1030" s="520"/>
      <c r="AG1030" s="520"/>
      <c r="AH1030" s="520"/>
      <c r="AI1030" s="520"/>
      <c r="AJ1030" s="520"/>
      <c r="AK1030" s="520"/>
      <c r="AL1030" s="520"/>
      <c r="AM1030" s="520"/>
      <c r="AN1030" s="520"/>
      <c r="AO1030" s="520"/>
      <c r="AP1030" s="520"/>
      <c r="AQ1030" s="520"/>
      <c r="AR1030" s="520"/>
      <c r="AS1030" s="520"/>
      <c r="AT1030" s="520"/>
      <c r="AU1030" s="520"/>
      <c r="AV1030" s="520"/>
      <c r="EV1030" s="817"/>
      <c r="EW1030" s="817"/>
    </row>
    <row r="1031" spans="1:153" s="757" customFormat="1" hidden="1">
      <c r="O1031" s="875"/>
      <c r="R1031" s="1026"/>
      <c r="T1031" s="1026"/>
      <c r="AB1031" s="520"/>
      <c r="AC1031" s="520"/>
      <c r="AD1031" s="520"/>
      <c r="AE1031" s="520"/>
      <c r="AF1031" s="520"/>
      <c r="AG1031" s="520"/>
      <c r="AH1031" s="520"/>
      <c r="AI1031" s="520"/>
      <c r="AJ1031" s="520"/>
      <c r="AK1031" s="520"/>
      <c r="AL1031" s="520"/>
      <c r="AM1031" s="520"/>
      <c r="AN1031" s="520"/>
      <c r="AO1031" s="520"/>
      <c r="AP1031" s="520"/>
      <c r="AQ1031" s="520"/>
      <c r="AR1031" s="520"/>
      <c r="AS1031" s="520"/>
      <c r="AT1031" s="520"/>
      <c r="AU1031" s="520"/>
      <c r="AV1031" s="520"/>
      <c r="EV1031" s="817"/>
      <c r="EW1031" s="817"/>
    </row>
    <row r="1032" spans="1:153" s="757" customFormat="1" hidden="1">
      <c r="O1032" s="875"/>
      <c r="R1032" s="1026"/>
      <c r="T1032" s="1026"/>
      <c r="AB1032" s="520"/>
      <c r="AC1032" s="520"/>
      <c r="AD1032" s="520"/>
      <c r="AE1032" s="520"/>
      <c r="AF1032" s="520"/>
      <c r="AG1032" s="520"/>
      <c r="AH1032" s="520"/>
      <c r="AI1032" s="520"/>
      <c r="AJ1032" s="520"/>
      <c r="AK1032" s="520"/>
      <c r="AL1032" s="520"/>
      <c r="AM1032" s="520"/>
      <c r="AN1032" s="520"/>
      <c r="AO1032" s="520"/>
      <c r="AP1032" s="520"/>
      <c r="AQ1032" s="520"/>
      <c r="AR1032" s="520"/>
      <c r="AS1032" s="520"/>
      <c r="AT1032" s="520"/>
      <c r="AU1032" s="520"/>
      <c r="AV1032" s="520"/>
      <c r="EV1032" s="817"/>
      <c r="EW1032" s="817"/>
    </row>
    <row r="1033" spans="1:153" s="757" customFormat="1" hidden="1">
      <c r="O1033" s="875"/>
      <c r="R1033" s="1026"/>
      <c r="T1033" s="1026"/>
      <c r="AB1033" s="520"/>
      <c r="AC1033" s="520"/>
      <c r="AD1033" s="520"/>
      <c r="AE1033" s="520"/>
      <c r="AF1033" s="520"/>
      <c r="AG1033" s="520"/>
      <c r="AH1033" s="520"/>
      <c r="AI1033" s="520"/>
      <c r="AJ1033" s="520"/>
      <c r="AK1033" s="520"/>
      <c r="AL1033" s="520"/>
      <c r="AM1033" s="520"/>
      <c r="AN1033" s="520"/>
      <c r="AO1033" s="520"/>
      <c r="AP1033" s="520"/>
      <c r="AQ1033" s="520"/>
      <c r="AR1033" s="520"/>
      <c r="AS1033" s="520"/>
      <c r="AT1033" s="520"/>
      <c r="AU1033" s="520"/>
      <c r="AV1033" s="520"/>
      <c r="EV1033" s="817"/>
      <c r="EW1033" s="817"/>
    </row>
    <row r="1034" spans="1:153" s="757" customFormat="1" hidden="1">
      <c r="A1034" s="487"/>
      <c r="B1034" s="487"/>
      <c r="C1034" s="487"/>
      <c r="D1034" s="487"/>
      <c r="I1034" s="487"/>
      <c r="J1034" s="487"/>
      <c r="K1034" s="487"/>
      <c r="L1034" s="487"/>
      <c r="M1034" s="487"/>
      <c r="N1034" s="487"/>
      <c r="O1034" s="875"/>
      <c r="Q1034" s="704"/>
      <c r="R1034" s="1026"/>
      <c r="S1034" s="704"/>
      <c r="T1034" s="1026"/>
      <c r="AB1034" s="520"/>
      <c r="AC1034" s="520"/>
      <c r="AD1034" s="520"/>
      <c r="AE1034" s="520"/>
      <c r="AF1034" s="520"/>
      <c r="AG1034" s="520"/>
      <c r="AH1034" s="520"/>
      <c r="AI1034" s="520"/>
      <c r="AJ1034" s="520"/>
      <c r="AK1034" s="520"/>
      <c r="AL1034" s="520"/>
      <c r="AM1034" s="520"/>
      <c r="AN1034" s="520"/>
      <c r="AO1034" s="520"/>
      <c r="AP1034" s="520"/>
      <c r="AQ1034" s="520"/>
      <c r="AR1034" s="520"/>
      <c r="AS1034" s="520"/>
      <c r="AT1034" s="520"/>
      <c r="AU1034" s="520"/>
      <c r="AV1034" s="520"/>
      <c r="AY1034" s="507"/>
      <c r="BA1034" s="507"/>
      <c r="BJ1034" s="493"/>
      <c r="CU1034" s="488"/>
      <c r="CW1034" s="488"/>
      <c r="EV1034" s="821"/>
      <c r="EW1034" s="821"/>
    </row>
    <row r="1035" spans="1:153" s="757" customFormat="1" hidden="1">
      <c r="A1035" s="487"/>
      <c r="B1035" s="487"/>
      <c r="C1035" s="487"/>
      <c r="D1035" s="487"/>
      <c r="I1035" s="487"/>
      <c r="J1035" s="487"/>
      <c r="K1035" s="487"/>
      <c r="L1035" s="487"/>
      <c r="M1035" s="487"/>
      <c r="N1035" s="487"/>
      <c r="O1035" s="875"/>
      <c r="Q1035" s="704"/>
      <c r="R1035" s="1026"/>
      <c r="S1035" s="704"/>
      <c r="T1035" s="1026"/>
      <c r="AB1035" s="520"/>
      <c r="AC1035" s="520"/>
      <c r="AD1035" s="520"/>
      <c r="AE1035" s="520"/>
      <c r="AF1035" s="520"/>
      <c r="AG1035" s="520"/>
      <c r="AH1035" s="520"/>
      <c r="AI1035" s="520"/>
      <c r="AJ1035" s="520"/>
      <c r="AK1035" s="520"/>
      <c r="AL1035" s="520"/>
      <c r="AM1035" s="520"/>
      <c r="AN1035" s="520"/>
      <c r="AO1035" s="520"/>
      <c r="AP1035" s="520"/>
      <c r="AQ1035" s="520"/>
      <c r="AR1035" s="520"/>
      <c r="AS1035" s="520"/>
      <c r="AT1035" s="520"/>
      <c r="AU1035" s="520"/>
      <c r="AV1035" s="520"/>
      <c r="AY1035" s="507"/>
      <c r="BA1035" s="507"/>
      <c r="BJ1035" s="493"/>
      <c r="CU1035" s="488"/>
      <c r="CW1035" s="488"/>
      <c r="EV1035" s="821"/>
      <c r="EW1035" s="821"/>
    </row>
    <row r="1036" spans="1:153" s="757" customFormat="1" hidden="1">
      <c r="A1036" s="487"/>
      <c r="B1036" s="487"/>
      <c r="C1036" s="487"/>
      <c r="D1036" s="487"/>
      <c r="I1036" s="487"/>
      <c r="J1036" s="487"/>
      <c r="K1036" s="487"/>
      <c r="L1036" s="487"/>
      <c r="M1036" s="487"/>
      <c r="N1036" s="487"/>
      <c r="O1036" s="875"/>
      <c r="Q1036" s="704"/>
      <c r="R1036" s="1026"/>
      <c r="S1036" s="704"/>
      <c r="T1036" s="1026"/>
      <c r="AB1036" s="520"/>
      <c r="AC1036" s="520"/>
      <c r="AD1036" s="520"/>
      <c r="AE1036" s="520"/>
      <c r="AF1036" s="520"/>
      <c r="AG1036" s="520"/>
      <c r="AH1036" s="520"/>
      <c r="AI1036" s="520"/>
      <c r="AJ1036" s="520"/>
      <c r="AK1036" s="520"/>
      <c r="AL1036" s="520"/>
      <c r="AM1036" s="520"/>
      <c r="AN1036" s="520"/>
      <c r="AO1036" s="520"/>
      <c r="AP1036" s="520"/>
      <c r="AQ1036" s="520"/>
      <c r="AR1036" s="520"/>
      <c r="AS1036" s="520"/>
      <c r="AT1036" s="520"/>
      <c r="AU1036" s="520"/>
      <c r="AV1036" s="520"/>
      <c r="AY1036" s="507"/>
      <c r="BA1036" s="507"/>
      <c r="BJ1036" s="493"/>
      <c r="CU1036" s="488"/>
      <c r="CW1036" s="488"/>
      <c r="EV1036" s="821"/>
      <c r="EW1036" s="821"/>
    </row>
    <row r="1037" spans="1:153" s="757" customFormat="1" hidden="1">
      <c r="A1037" s="487"/>
      <c r="B1037" s="487"/>
      <c r="C1037" s="487"/>
      <c r="D1037" s="487"/>
      <c r="I1037" s="487"/>
      <c r="J1037" s="487"/>
      <c r="K1037" s="487"/>
      <c r="L1037" s="487"/>
      <c r="M1037" s="487"/>
      <c r="N1037" s="487"/>
      <c r="O1037" s="875"/>
      <c r="Q1037" s="704"/>
      <c r="R1037" s="1026"/>
      <c r="S1037" s="704"/>
      <c r="T1037" s="1026"/>
      <c r="AB1037" s="520"/>
      <c r="AC1037" s="520"/>
      <c r="AD1037" s="520"/>
      <c r="AE1037" s="520"/>
      <c r="AF1037" s="520"/>
      <c r="AG1037" s="520"/>
      <c r="AH1037" s="520"/>
      <c r="AI1037" s="520"/>
      <c r="AJ1037" s="520"/>
      <c r="AK1037" s="520"/>
      <c r="AL1037" s="520"/>
      <c r="AM1037" s="520"/>
      <c r="AN1037" s="520"/>
      <c r="AO1037" s="520"/>
      <c r="AP1037" s="520"/>
      <c r="AQ1037" s="520"/>
      <c r="AR1037" s="520"/>
      <c r="AS1037" s="520"/>
      <c r="AT1037" s="520"/>
      <c r="AU1037" s="520"/>
      <c r="AV1037" s="520"/>
      <c r="AY1037" s="507"/>
      <c r="BA1037" s="507"/>
      <c r="BJ1037" s="493"/>
      <c r="CU1037" s="488"/>
      <c r="CW1037" s="488"/>
      <c r="EV1037" s="821"/>
      <c r="EW1037" s="821"/>
    </row>
    <row r="1038" spans="1:153" s="757" customFormat="1" hidden="1">
      <c r="A1038" s="487"/>
      <c r="B1038" s="487"/>
      <c r="C1038" s="487"/>
      <c r="D1038" s="487"/>
      <c r="I1038" s="487"/>
      <c r="J1038" s="487"/>
      <c r="K1038" s="487"/>
      <c r="L1038" s="487"/>
      <c r="M1038" s="487"/>
      <c r="N1038" s="487"/>
      <c r="O1038" s="875"/>
      <c r="Q1038" s="704"/>
      <c r="R1038" s="1026"/>
      <c r="S1038" s="704"/>
      <c r="T1038" s="1026"/>
      <c r="AB1038" s="520"/>
      <c r="AC1038" s="520"/>
      <c r="AD1038" s="520"/>
      <c r="AE1038" s="520"/>
      <c r="AF1038" s="520"/>
      <c r="AG1038" s="520"/>
      <c r="AH1038" s="520"/>
      <c r="AI1038" s="520"/>
      <c r="AJ1038" s="520"/>
      <c r="AK1038" s="520"/>
      <c r="AL1038" s="520"/>
      <c r="AM1038" s="520"/>
      <c r="AN1038" s="520"/>
      <c r="AO1038" s="520"/>
      <c r="AP1038" s="520"/>
      <c r="AQ1038" s="520"/>
      <c r="AR1038" s="520"/>
      <c r="AS1038" s="520"/>
      <c r="AT1038" s="520"/>
      <c r="AU1038" s="520"/>
      <c r="AV1038" s="520"/>
      <c r="AY1038" s="507"/>
      <c r="BA1038" s="507"/>
      <c r="BJ1038" s="493"/>
      <c r="CU1038" s="488"/>
      <c r="CW1038" s="488"/>
      <c r="EV1038" s="821"/>
      <c r="EW1038" s="821"/>
    </row>
    <row r="1039" spans="1:153" s="757" customFormat="1" hidden="1">
      <c r="A1039" s="487"/>
      <c r="B1039" s="487"/>
      <c r="C1039" s="487"/>
      <c r="D1039" s="487"/>
      <c r="I1039" s="487"/>
      <c r="J1039" s="487"/>
      <c r="K1039" s="487"/>
      <c r="L1039" s="487"/>
      <c r="M1039" s="487"/>
      <c r="N1039" s="487"/>
      <c r="O1039" s="875"/>
      <c r="Q1039" s="704"/>
      <c r="R1039" s="1026"/>
      <c r="S1039" s="704"/>
      <c r="T1039" s="1026"/>
      <c r="AB1039" s="520"/>
      <c r="AC1039" s="520"/>
      <c r="AD1039" s="520"/>
      <c r="AE1039" s="520"/>
      <c r="AF1039" s="520"/>
      <c r="AG1039" s="520"/>
      <c r="AH1039" s="520"/>
      <c r="AI1039" s="520"/>
      <c r="AJ1039" s="520"/>
      <c r="AK1039" s="520"/>
      <c r="AL1039" s="520"/>
      <c r="AM1039" s="520"/>
      <c r="AN1039" s="520"/>
      <c r="AO1039" s="520"/>
      <c r="AP1039" s="520"/>
      <c r="AQ1039" s="520"/>
      <c r="AR1039" s="520"/>
      <c r="AS1039" s="520"/>
      <c r="AT1039" s="520"/>
      <c r="AU1039" s="520"/>
      <c r="AV1039" s="520"/>
      <c r="AY1039" s="507"/>
      <c r="BA1039" s="507"/>
      <c r="BJ1039" s="493"/>
      <c r="CU1039" s="488"/>
      <c r="CW1039" s="488"/>
      <c r="EV1039" s="821"/>
      <c r="EW1039" s="821"/>
    </row>
    <row r="1040" spans="1:153" s="757" customFormat="1" hidden="1">
      <c r="A1040" s="487"/>
      <c r="B1040" s="487"/>
      <c r="C1040" s="487"/>
      <c r="D1040" s="487"/>
      <c r="I1040" s="487"/>
      <c r="J1040" s="487"/>
      <c r="K1040" s="487"/>
      <c r="L1040" s="487"/>
      <c r="M1040" s="487"/>
      <c r="N1040" s="487"/>
      <c r="O1040" s="875"/>
      <c r="Q1040" s="704"/>
      <c r="R1040" s="1026"/>
      <c r="S1040" s="704"/>
      <c r="T1040" s="1026"/>
      <c r="AB1040" s="520"/>
      <c r="AC1040" s="520"/>
      <c r="AD1040" s="520"/>
      <c r="AE1040" s="520"/>
      <c r="AF1040" s="520"/>
      <c r="AG1040" s="520"/>
      <c r="AH1040" s="520"/>
      <c r="AI1040" s="520"/>
      <c r="AJ1040" s="520"/>
      <c r="AK1040" s="520"/>
      <c r="AL1040" s="520"/>
      <c r="AM1040" s="520"/>
      <c r="AN1040" s="520"/>
      <c r="AO1040" s="520"/>
      <c r="AP1040" s="520"/>
      <c r="AQ1040" s="520"/>
      <c r="AR1040" s="520"/>
      <c r="AS1040" s="520"/>
      <c r="AT1040" s="520"/>
      <c r="AU1040" s="520"/>
      <c r="AV1040" s="520"/>
      <c r="AY1040" s="507"/>
      <c r="BA1040" s="507"/>
      <c r="BJ1040" s="493"/>
      <c r="CU1040" s="488"/>
      <c r="CW1040" s="488"/>
      <c r="EV1040" s="821"/>
      <c r="EW1040" s="821"/>
    </row>
    <row r="1041" spans="1:153" s="757" customFormat="1" hidden="1">
      <c r="A1041" s="487"/>
      <c r="B1041" s="487"/>
      <c r="C1041" s="487"/>
      <c r="D1041" s="487"/>
      <c r="I1041" s="487"/>
      <c r="J1041" s="487"/>
      <c r="K1041" s="487"/>
      <c r="L1041" s="487"/>
      <c r="M1041" s="487"/>
      <c r="N1041" s="487"/>
      <c r="O1041" s="875"/>
      <c r="Q1041" s="704"/>
      <c r="R1041" s="1026"/>
      <c r="S1041" s="704"/>
      <c r="T1041" s="1026"/>
      <c r="AB1041" s="520"/>
      <c r="AC1041" s="520"/>
      <c r="AD1041" s="520"/>
      <c r="AE1041" s="520"/>
      <c r="AF1041" s="520"/>
      <c r="AG1041" s="520"/>
      <c r="AH1041" s="520"/>
      <c r="AI1041" s="520"/>
      <c r="AJ1041" s="520"/>
      <c r="AK1041" s="520"/>
      <c r="AL1041" s="520"/>
      <c r="AM1041" s="520"/>
      <c r="AN1041" s="520"/>
      <c r="AO1041" s="520"/>
      <c r="AP1041" s="520"/>
      <c r="AQ1041" s="520"/>
      <c r="AR1041" s="520"/>
      <c r="AS1041" s="520"/>
      <c r="AT1041" s="520"/>
      <c r="AU1041" s="520"/>
      <c r="AV1041" s="520"/>
      <c r="AY1041" s="507"/>
      <c r="BA1041" s="507"/>
      <c r="BJ1041" s="493"/>
      <c r="CU1041" s="488"/>
      <c r="CW1041" s="488"/>
      <c r="EV1041" s="821"/>
      <c r="EW1041" s="821"/>
    </row>
    <row r="1042" spans="1:153" s="757" customFormat="1" hidden="1">
      <c r="A1042" s="487"/>
      <c r="B1042" s="487"/>
      <c r="C1042" s="487"/>
      <c r="D1042" s="487"/>
      <c r="I1042" s="487"/>
      <c r="J1042" s="487"/>
      <c r="K1042" s="487"/>
      <c r="L1042" s="487"/>
      <c r="M1042" s="487"/>
      <c r="N1042" s="487"/>
      <c r="O1042" s="875"/>
      <c r="Q1042" s="704"/>
      <c r="R1042" s="1026"/>
      <c r="S1042" s="704"/>
      <c r="T1042" s="1026"/>
      <c r="AB1042" s="520"/>
      <c r="AC1042" s="520"/>
      <c r="AD1042" s="520"/>
      <c r="AE1042" s="520"/>
      <c r="AF1042" s="520"/>
      <c r="AG1042" s="520"/>
      <c r="AH1042" s="520"/>
      <c r="AI1042" s="520"/>
      <c r="AJ1042" s="520"/>
      <c r="AK1042" s="520"/>
      <c r="AL1042" s="520"/>
      <c r="AM1042" s="520"/>
      <c r="AN1042" s="520"/>
      <c r="AO1042" s="520"/>
      <c r="AP1042" s="520"/>
      <c r="AQ1042" s="520"/>
      <c r="AR1042" s="520"/>
      <c r="AS1042" s="520"/>
      <c r="AT1042" s="520"/>
      <c r="AU1042" s="520"/>
      <c r="AV1042" s="520"/>
      <c r="AY1042" s="507"/>
      <c r="BA1042" s="507"/>
      <c r="BJ1042" s="493"/>
      <c r="CU1042" s="488"/>
      <c r="CW1042" s="488"/>
      <c r="EV1042" s="821"/>
      <c r="EW1042" s="821"/>
    </row>
    <row r="1043" spans="1:153" s="757" customFormat="1" hidden="1">
      <c r="A1043" s="487"/>
      <c r="B1043" s="487"/>
      <c r="C1043" s="487"/>
      <c r="D1043" s="487"/>
      <c r="I1043" s="487"/>
      <c r="J1043" s="487"/>
      <c r="K1043" s="487"/>
      <c r="L1043" s="487"/>
      <c r="M1043" s="487"/>
      <c r="N1043" s="487"/>
      <c r="O1043" s="875"/>
      <c r="Q1043" s="704"/>
      <c r="R1043" s="1026"/>
      <c r="S1043" s="704"/>
      <c r="T1043" s="1026"/>
      <c r="AB1043" s="520"/>
      <c r="AC1043" s="520"/>
      <c r="AD1043" s="520"/>
      <c r="AE1043" s="520"/>
      <c r="AF1043" s="520"/>
      <c r="AG1043" s="520"/>
      <c r="AH1043" s="520"/>
      <c r="AI1043" s="520"/>
      <c r="AJ1043" s="520"/>
      <c r="AK1043" s="520"/>
      <c r="AL1043" s="520"/>
      <c r="AM1043" s="520"/>
      <c r="AN1043" s="520"/>
      <c r="AO1043" s="520"/>
      <c r="AP1043" s="520"/>
      <c r="AQ1043" s="520"/>
      <c r="AR1043" s="520"/>
      <c r="AS1043" s="520"/>
      <c r="AT1043" s="520"/>
      <c r="AU1043" s="520"/>
      <c r="AV1043" s="520"/>
      <c r="AY1043" s="507"/>
      <c r="BA1043" s="507"/>
      <c r="BJ1043" s="493"/>
      <c r="CU1043" s="488"/>
      <c r="CW1043" s="488"/>
      <c r="EV1043" s="821"/>
      <c r="EW1043" s="821"/>
    </row>
    <row r="1044" spans="1:153" s="757" customFormat="1" hidden="1">
      <c r="A1044" s="487"/>
      <c r="B1044" s="487"/>
      <c r="C1044" s="487"/>
      <c r="D1044" s="487"/>
      <c r="I1044" s="487"/>
      <c r="J1044" s="487"/>
      <c r="K1044" s="487"/>
      <c r="L1044" s="487"/>
      <c r="M1044" s="487"/>
      <c r="N1044" s="487"/>
      <c r="O1044" s="875"/>
      <c r="Q1044" s="704"/>
      <c r="R1044" s="1026"/>
      <c r="S1044" s="704"/>
      <c r="T1044" s="1026"/>
      <c r="AB1044" s="520"/>
      <c r="AC1044" s="520"/>
      <c r="AD1044" s="520"/>
      <c r="AE1044" s="520"/>
      <c r="AF1044" s="520"/>
      <c r="AG1044" s="520"/>
      <c r="AH1044" s="520"/>
      <c r="AI1044" s="520"/>
      <c r="AJ1044" s="520"/>
      <c r="AK1044" s="520"/>
      <c r="AL1044" s="520"/>
      <c r="AM1044" s="520"/>
      <c r="AN1044" s="520"/>
      <c r="AO1044" s="520"/>
      <c r="AP1044" s="520"/>
      <c r="AQ1044" s="520"/>
      <c r="AR1044" s="520"/>
      <c r="AS1044" s="520"/>
      <c r="AT1044" s="520"/>
      <c r="AU1044" s="520"/>
      <c r="AV1044" s="520"/>
      <c r="AY1044" s="507"/>
      <c r="BA1044" s="507"/>
      <c r="BJ1044" s="493"/>
      <c r="CU1044" s="488"/>
      <c r="CW1044" s="488"/>
      <c r="EV1044" s="821"/>
      <c r="EW1044" s="821"/>
    </row>
    <row r="1045" spans="1:153" s="757" customFormat="1" hidden="1">
      <c r="A1045" s="487"/>
      <c r="B1045" s="487"/>
      <c r="C1045" s="487"/>
      <c r="D1045" s="487"/>
      <c r="I1045" s="487"/>
      <c r="J1045" s="487"/>
      <c r="K1045" s="487"/>
      <c r="L1045" s="487"/>
      <c r="M1045" s="487"/>
      <c r="N1045" s="487"/>
      <c r="O1045" s="875"/>
      <c r="Q1045" s="704"/>
      <c r="R1045" s="1026"/>
      <c r="S1045" s="704"/>
      <c r="T1045" s="1026"/>
      <c r="AB1045" s="520"/>
      <c r="AC1045" s="520"/>
      <c r="AD1045" s="520"/>
      <c r="AE1045" s="520"/>
      <c r="AF1045" s="520"/>
      <c r="AG1045" s="520"/>
      <c r="AH1045" s="520"/>
      <c r="AI1045" s="520"/>
      <c r="AJ1045" s="520"/>
      <c r="AK1045" s="520"/>
      <c r="AL1045" s="520"/>
      <c r="AM1045" s="520"/>
      <c r="AN1045" s="520"/>
      <c r="AO1045" s="520"/>
      <c r="AP1045" s="520"/>
      <c r="AQ1045" s="520"/>
      <c r="AR1045" s="520"/>
      <c r="AS1045" s="520"/>
      <c r="AT1045" s="520"/>
      <c r="AU1045" s="520"/>
      <c r="AV1045" s="520"/>
      <c r="AY1045" s="507"/>
      <c r="BA1045" s="507"/>
      <c r="BJ1045" s="493"/>
      <c r="CU1045" s="488"/>
      <c r="CW1045" s="488"/>
      <c r="EV1045" s="821"/>
      <c r="EW1045" s="821"/>
    </row>
    <row r="1046" spans="1:153" s="757" customFormat="1" hidden="1">
      <c r="A1046" s="487"/>
      <c r="B1046" s="487"/>
      <c r="C1046" s="487"/>
      <c r="D1046" s="487"/>
      <c r="I1046" s="487"/>
      <c r="J1046" s="487"/>
      <c r="K1046" s="487"/>
      <c r="L1046" s="487"/>
      <c r="M1046" s="487"/>
      <c r="N1046" s="487"/>
      <c r="O1046" s="875"/>
      <c r="Q1046" s="704"/>
      <c r="R1046" s="1026"/>
      <c r="S1046" s="704"/>
      <c r="T1046" s="1026"/>
      <c r="AB1046" s="520"/>
      <c r="AC1046" s="520"/>
      <c r="AD1046" s="520"/>
      <c r="AE1046" s="520"/>
      <c r="AF1046" s="520"/>
      <c r="AG1046" s="520"/>
      <c r="AH1046" s="520"/>
      <c r="AI1046" s="520"/>
      <c r="AJ1046" s="520"/>
      <c r="AK1046" s="520"/>
      <c r="AL1046" s="520"/>
      <c r="AM1046" s="520"/>
      <c r="AN1046" s="520"/>
      <c r="AO1046" s="520"/>
      <c r="AP1046" s="520"/>
      <c r="AQ1046" s="520"/>
      <c r="AR1046" s="520"/>
      <c r="AS1046" s="520"/>
      <c r="AT1046" s="520"/>
      <c r="AU1046" s="520"/>
      <c r="AV1046" s="520"/>
      <c r="AY1046" s="507"/>
      <c r="BA1046" s="507"/>
      <c r="BJ1046" s="493"/>
      <c r="CU1046" s="488"/>
      <c r="CW1046" s="488"/>
      <c r="EV1046" s="821"/>
      <c r="EW1046" s="821"/>
    </row>
    <row r="1047" spans="1:153" s="757" customFormat="1" hidden="1">
      <c r="A1047" s="487"/>
      <c r="B1047" s="487"/>
      <c r="C1047" s="487"/>
      <c r="D1047" s="487"/>
      <c r="I1047" s="487"/>
      <c r="J1047" s="487"/>
      <c r="K1047" s="487"/>
      <c r="L1047" s="487"/>
      <c r="M1047" s="487"/>
      <c r="N1047" s="487"/>
      <c r="O1047" s="875"/>
      <c r="Q1047" s="704"/>
      <c r="R1047" s="1026"/>
      <c r="S1047" s="704"/>
      <c r="T1047" s="1026"/>
      <c r="AB1047" s="520"/>
      <c r="AC1047" s="520"/>
      <c r="AD1047" s="520"/>
      <c r="AE1047" s="520"/>
      <c r="AF1047" s="520"/>
      <c r="AG1047" s="520"/>
      <c r="AH1047" s="520"/>
      <c r="AI1047" s="520"/>
      <c r="AJ1047" s="520"/>
      <c r="AK1047" s="520"/>
      <c r="AL1047" s="520"/>
      <c r="AM1047" s="520"/>
      <c r="AN1047" s="520"/>
      <c r="AO1047" s="520"/>
      <c r="AP1047" s="520"/>
      <c r="AQ1047" s="520"/>
      <c r="AR1047" s="520"/>
      <c r="AS1047" s="520"/>
      <c r="AT1047" s="520"/>
      <c r="AU1047" s="520"/>
      <c r="AV1047" s="520"/>
      <c r="AY1047" s="507"/>
      <c r="BA1047" s="507"/>
      <c r="BJ1047" s="493"/>
      <c r="CU1047" s="488"/>
      <c r="CW1047" s="488"/>
      <c r="EV1047" s="821"/>
      <c r="EW1047" s="821"/>
    </row>
    <row r="1048" spans="1:153" s="757" customFormat="1" hidden="1">
      <c r="A1048" s="487"/>
      <c r="B1048" s="487"/>
      <c r="C1048" s="487"/>
      <c r="D1048" s="487"/>
      <c r="I1048" s="487"/>
      <c r="J1048" s="487"/>
      <c r="K1048" s="487"/>
      <c r="L1048" s="487"/>
      <c r="M1048" s="487"/>
      <c r="N1048" s="487"/>
      <c r="O1048" s="875"/>
      <c r="Q1048" s="704"/>
      <c r="R1048" s="1026"/>
      <c r="S1048" s="704"/>
      <c r="T1048" s="1026"/>
      <c r="AB1048" s="520"/>
      <c r="AC1048" s="520"/>
      <c r="AD1048" s="520"/>
      <c r="AE1048" s="520"/>
      <c r="AF1048" s="520"/>
      <c r="AG1048" s="520"/>
      <c r="AH1048" s="520"/>
      <c r="AI1048" s="520"/>
      <c r="AJ1048" s="520"/>
      <c r="AK1048" s="520"/>
      <c r="AL1048" s="520"/>
      <c r="AM1048" s="520"/>
      <c r="AN1048" s="520"/>
      <c r="AO1048" s="520"/>
      <c r="AP1048" s="520"/>
      <c r="AQ1048" s="520"/>
      <c r="AR1048" s="520"/>
      <c r="AS1048" s="520"/>
      <c r="AT1048" s="520"/>
      <c r="AU1048" s="520"/>
      <c r="AV1048" s="520"/>
      <c r="AY1048" s="507"/>
      <c r="BA1048" s="507"/>
      <c r="BJ1048" s="493"/>
      <c r="CU1048" s="488"/>
      <c r="CW1048" s="488"/>
      <c r="EV1048" s="821"/>
      <c r="EW1048" s="821"/>
    </row>
    <row r="1049" spans="1:153" s="757" customFormat="1" hidden="1">
      <c r="A1049" s="487"/>
      <c r="B1049" s="487"/>
      <c r="C1049" s="487"/>
      <c r="D1049" s="487"/>
      <c r="I1049" s="487"/>
      <c r="J1049" s="487"/>
      <c r="K1049" s="487"/>
      <c r="L1049" s="487"/>
      <c r="M1049" s="487"/>
      <c r="N1049" s="487"/>
      <c r="O1049" s="875"/>
      <c r="Q1049" s="704"/>
      <c r="R1049" s="1026"/>
      <c r="S1049" s="704"/>
      <c r="T1049" s="1026"/>
      <c r="AB1049" s="520"/>
      <c r="AC1049" s="520"/>
      <c r="AD1049" s="520"/>
      <c r="AE1049" s="520"/>
      <c r="AF1049" s="520"/>
      <c r="AG1049" s="520"/>
      <c r="AH1049" s="520"/>
      <c r="AI1049" s="520"/>
      <c r="AJ1049" s="520"/>
      <c r="AK1049" s="520"/>
      <c r="AL1049" s="520"/>
      <c r="AM1049" s="520"/>
      <c r="AN1049" s="520"/>
      <c r="AO1049" s="520"/>
      <c r="AP1049" s="520"/>
      <c r="AQ1049" s="520"/>
      <c r="AR1049" s="520"/>
      <c r="AS1049" s="520"/>
      <c r="AT1049" s="520"/>
      <c r="AU1049" s="520"/>
      <c r="AV1049" s="520"/>
      <c r="AY1049" s="507"/>
      <c r="BA1049" s="507"/>
      <c r="BJ1049" s="493"/>
      <c r="CU1049" s="488"/>
      <c r="CW1049" s="488"/>
      <c r="EV1049" s="821"/>
      <c r="EW1049" s="821"/>
    </row>
    <row r="1050" spans="1:153" s="757" customFormat="1" hidden="1">
      <c r="A1050" s="487"/>
      <c r="B1050" s="487"/>
      <c r="C1050" s="487"/>
      <c r="D1050" s="487"/>
      <c r="I1050" s="487"/>
      <c r="J1050" s="487"/>
      <c r="K1050" s="487"/>
      <c r="L1050" s="487"/>
      <c r="M1050" s="487"/>
      <c r="N1050" s="487"/>
      <c r="O1050" s="875"/>
      <c r="Q1050" s="704"/>
      <c r="R1050" s="1026"/>
      <c r="S1050" s="704"/>
      <c r="T1050" s="1026"/>
      <c r="AB1050" s="520"/>
      <c r="AC1050" s="520"/>
      <c r="AD1050" s="520"/>
      <c r="AE1050" s="520"/>
      <c r="AF1050" s="520"/>
      <c r="AG1050" s="520"/>
      <c r="AH1050" s="520"/>
      <c r="AI1050" s="520"/>
      <c r="AJ1050" s="520"/>
      <c r="AK1050" s="520"/>
      <c r="AL1050" s="520"/>
      <c r="AM1050" s="520"/>
      <c r="AN1050" s="520"/>
      <c r="AO1050" s="520"/>
      <c r="AP1050" s="520"/>
      <c r="AQ1050" s="520"/>
      <c r="AR1050" s="520"/>
      <c r="AS1050" s="520"/>
      <c r="AT1050" s="520"/>
      <c r="AU1050" s="520"/>
      <c r="AV1050" s="520"/>
      <c r="AY1050" s="507"/>
      <c r="BA1050" s="507"/>
      <c r="BJ1050" s="493"/>
      <c r="CU1050" s="488"/>
      <c r="CW1050" s="488"/>
      <c r="EV1050" s="821"/>
      <c r="EW1050" s="821"/>
    </row>
    <row r="1051" spans="1:153" s="757" customFormat="1" hidden="1">
      <c r="A1051" s="487"/>
      <c r="B1051" s="487"/>
      <c r="C1051" s="487"/>
      <c r="D1051" s="487"/>
      <c r="I1051" s="487"/>
      <c r="J1051" s="487"/>
      <c r="K1051" s="487"/>
      <c r="L1051" s="487"/>
      <c r="M1051" s="487"/>
      <c r="N1051" s="487"/>
      <c r="O1051" s="875"/>
      <c r="Q1051" s="704"/>
      <c r="R1051" s="1026"/>
      <c r="S1051" s="704"/>
      <c r="T1051" s="1026"/>
      <c r="AB1051" s="520"/>
      <c r="AC1051" s="520"/>
      <c r="AD1051" s="520"/>
      <c r="AE1051" s="520"/>
      <c r="AF1051" s="520"/>
      <c r="AG1051" s="520"/>
      <c r="AH1051" s="520"/>
      <c r="AI1051" s="520"/>
      <c r="AJ1051" s="520"/>
      <c r="AK1051" s="520"/>
      <c r="AL1051" s="520"/>
      <c r="AM1051" s="520"/>
      <c r="AN1051" s="520"/>
      <c r="AO1051" s="520"/>
      <c r="AP1051" s="520"/>
      <c r="AQ1051" s="520"/>
      <c r="AR1051" s="520"/>
      <c r="AS1051" s="520"/>
      <c r="AT1051" s="520"/>
      <c r="AU1051" s="520"/>
      <c r="AV1051" s="520"/>
      <c r="AY1051" s="507"/>
      <c r="BA1051" s="507"/>
      <c r="BJ1051" s="493"/>
      <c r="CU1051" s="488"/>
      <c r="CW1051" s="488"/>
      <c r="EV1051" s="821"/>
      <c r="EW1051" s="821"/>
    </row>
    <row r="1052" spans="1:153" s="757" customFormat="1" hidden="1">
      <c r="A1052" s="487"/>
      <c r="B1052" s="487"/>
      <c r="C1052" s="487"/>
      <c r="D1052" s="487"/>
      <c r="I1052" s="487"/>
      <c r="J1052" s="487"/>
      <c r="K1052" s="487"/>
      <c r="L1052" s="487"/>
      <c r="M1052" s="487"/>
      <c r="N1052" s="487"/>
      <c r="O1052" s="875"/>
      <c r="Q1052" s="704"/>
      <c r="R1052" s="1026"/>
      <c r="S1052" s="704"/>
      <c r="T1052" s="1026"/>
      <c r="AB1052" s="520"/>
      <c r="AC1052" s="520"/>
      <c r="AD1052" s="520"/>
      <c r="AE1052" s="520"/>
      <c r="AF1052" s="520"/>
      <c r="AG1052" s="520"/>
      <c r="AH1052" s="520"/>
      <c r="AI1052" s="520"/>
      <c r="AJ1052" s="520"/>
      <c r="AK1052" s="520"/>
      <c r="AL1052" s="520"/>
      <c r="AM1052" s="520"/>
      <c r="AN1052" s="520"/>
      <c r="AO1052" s="520"/>
      <c r="AP1052" s="520"/>
      <c r="AQ1052" s="520"/>
      <c r="AR1052" s="520"/>
      <c r="AS1052" s="520"/>
      <c r="AT1052" s="520"/>
      <c r="AU1052" s="520"/>
      <c r="AV1052" s="520"/>
      <c r="AY1052" s="507"/>
      <c r="BA1052" s="507"/>
      <c r="BJ1052" s="493"/>
      <c r="CU1052" s="488"/>
      <c r="CW1052" s="488"/>
      <c r="EV1052" s="821"/>
      <c r="EW1052" s="821"/>
    </row>
    <row r="1053" spans="1:153" s="757" customFormat="1" hidden="1">
      <c r="A1053" s="487"/>
      <c r="B1053" s="487"/>
      <c r="C1053" s="487"/>
      <c r="D1053" s="487"/>
      <c r="I1053" s="487"/>
      <c r="J1053" s="487"/>
      <c r="K1053" s="487"/>
      <c r="L1053" s="487"/>
      <c r="M1053" s="487"/>
      <c r="N1053" s="487"/>
      <c r="O1053" s="875"/>
      <c r="Q1053" s="704"/>
      <c r="R1053" s="1026"/>
      <c r="S1053" s="704"/>
      <c r="T1053" s="1026"/>
      <c r="AB1053" s="520"/>
      <c r="AC1053" s="520"/>
      <c r="AD1053" s="520"/>
      <c r="AE1053" s="520"/>
      <c r="AF1053" s="520"/>
      <c r="AG1053" s="520"/>
      <c r="AH1053" s="520"/>
      <c r="AI1053" s="520"/>
      <c r="AJ1053" s="520"/>
      <c r="AK1053" s="520"/>
      <c r="AL1053" s="520"/>
      <c r="AM1053" s="520"/>
      <c r="AN1053" s="520"/>
      <c r="AO1053" s="520"/>
      <c r="AP1053" s="520"/>
      <c r="AQ1053" s="520"/>
      <c r="AR1053" s="520"/>
      <c r="AS1053" s="520"/>
      <c r="AT1053" s="520"/>
      <c r="AU1053" s="520"/>
      <c r="AV1053" s="520"/>
      <c r="AY1053" s="507"/>
      <c r="BA1053" s="507"/>
      <c r="BJ1053" s="493"/>
      <c r="CU1053" s="488"/>
      <c r="CW1053" s="488"/>
      <c r="EV1053" s="821"/>
      <c r="EW1053" s="821"/>
    </row>
    <row r="1054" spans="1:153" s="757" customFormat="1" hidden="1">
      <c r="A1054" s="487"/>
      <c r="B1054" s="487"/>
      <c r="C1054" s="487"/>
      <c r="D1054" s="487"/>
      <c r="I1054" s="487"/>
      <c r="J1054" s="487"/>
      <c r="K1054" s="487"/>
      <c r="L1054" s="487"/>
      <c r="M1054" s="487"/>
      <c r="N1054" s="487"/>
      <c r="O1054" s="875"/>
      <c r="Q1054" s="704"/>
      <c r="R1054" s="1026"/>
      <c r="S1054" s="704"/>
      <c r="T1054" s="1026"/>
      <c r="AB1054" s="520"/>
      <c r="AC1054" s="520"/>
      <c r="AD1054" s="520"/>
      <c r="AE1054" s="520"/>
      <c r="AF1054" s="520"/>
      <c r="AG1054" s="520"/>
      <c r="AH1054" s="520"/>
      <c r="AI1054" s="520"/>
      <c r="AJ1054" s="520"/>
      <c r="AK1054" s="520"/>
      <c r="AL1054" s="520"/>
      <c r="AM1054" s="520"/>
      <c r="AN1054" s="520"/>
      <c r="AO1054" s="520"/>
      <c r="AP1054" s="520"/>
      <c r="AQ1054" s="520"/>
      <c r="AR1054" s="520"/>
      <c r="AS1054" s="520"/>
      <c r="AT1054" s="520"/>
      <c r="AU1054" s="520"/>
      <c r="AV1054" s="520"/>
      <c r="AY1054" s="507"/>
      <c r="BA1054" s="507"/>
      <c r="BJ1054" s="493"/>
      <c r="CU1054" s="488"/>
      <c r="CW1054" s="488"/>
      <c r="EV1054" s="821"/>
      <c r="EW1054" s="821"/>
    </row>
    <row r="1055" spans="1:153" s="757" customFormat="1" hidden="1">
      <c r="A1055" s="487"/>
      <c r="B1055" s="487"/>
      <c r="C1055" s="487"/>
      <c r="D1055" s="487"/>
      <c r="I1055" s="487"/>
      <c r="J1055" s="487"/>
      <c r="K1055" s="487"/>
      <c r="L1055" s="487"/>
      <c r="M1055" s="487"/>
      <c r="N1055" s="487"/>
      <c r="O1055" s="875"/>
      <c r="Q1055" s="704"/>
      <c r="R1055" s="1026"/>
      <c r="S1055" s="704"/>
      <c r="T1055" s="1026"/>
      <c r="AB1055" s="520"/>
      <c r="AC1055" s="520"/>
      <c r="AD1055" s="520"/>
      <c r="AE1055" s="520"/>
      <c r="AF1055" s="520"/>
      <c r="AG1055" s="520"/>
      <c r="AH1055" s="520"/>
      <c r="AI1055" s="520"/>
      <c r="AJ1055" s="520"/>
      <c r="AK1055" s="520"/>
      <c r="AL1055" s="520"/>
      <c r="AM1055" s="520"/>
      <c r="AN1055" s="520"/>
      <c r="AO1055" s="520"/>
      <c r="AP1055" s="520"/>
      <c r="AQ1055" s="520"/>
      <c r="AR1055" s="520"/>
      <c r="AS1055" s="520"/>
      <c r="AT1055" s="520"/>
      <c r="AU1055" s="520"/>
      <c r="AV1055" s="520"/>
      <c r="AY1055" s="507"/>
      <c r="BA1055" s="507"/>
      <c r="BJ1055" s="493"/>
      <c r="CU1055" s="488"/>
      <c r="CW1055" s="488"/>
      <c r="EV1055" s="821"/>
      <c r="EW1055" s="821"/>
    </row>
    <row r="1056" spans="1:153" s="757" customFormat="1" hidden="1">
      <c r="A1056" s="487"/>
      <c r="B1056" s="487"/>
      <c r="C1056" s="487"/>
      <c r="D1056" s="487"/>
      <c r="I1056" s="487"/>
      <c r="J1056" s="487"/>
      <c r="K1056" s="487"/>
      <c r="L1056" s="487"/>
      <c r="M1056" s="487"/>
      <c r="N1056" s="487"/>
      <c r="O1056" s="875"/>
      <c r="Q1056" s="704"/>
      <c r="R1056" s="1026"/>
      <c r="S1056" s="704"/>
      <c r="T1056" s="1026"/>
      <c r="AB1056" s="520"/>
      <c r="AC1056" s="520"/>
      <c r="AD1056" s="520"/>
      <c r="AE1056" s="520"/>
      <c r="AF1056" s="520"/>
      <c r="AG1056" s="520"/>
      <c r="AH1056" s="520"/>
      <c r="AI1056" s="520"/>
      <c r="AJ1056" s="520"/>
      <c r="AK1056" s="520"/>
      <c r="AL1056" s="520"/>
      <c r="AM1056" s="520"/>
      <c r="AN1056" s="520"/>
      <c r="AO1056" s="520"/>
      <c r="AP1056" s="520"/>
      <c r="AQ1056" s="520"/>
      <c r="AR1056" s="520"/>
      <c r="AS1056" s="520"/>
      <c r="AT1056" s="520"/>
      <c r="AU1056" s="520"/>
      <c r="AV1056" s="520"/>
      <c r="AY1056" s="507"/>
      <c r="BA1056" s="507"/>
      <c r="BJ1056" s="493"/>
      <c r="CU1056" s="488"/>
      <c r="CW1056" s="488"/>
      <c r="EV1056" s="821"/>
      <c r="EW1056" s="821"/>
    </row>
    <row r="1057" spans="1:153" s="757" customFormat="1" hidden="1">
      <c r="A1057" s="487"/>
      <c r="B1057" s="487"/>
      <c r="C1057" s="487"/>
      <c r="D1057" s="487"/>
      <c r="I1057" s="487"/>
      <c r="J1057" s="487"/>
      <c r="K1057" s="487"/>
      <c r="L1057" s="487"/>
      <c r="M1057" s="487"/>
      <c r="N1057" s="487"/>
      <c r="O1057" s="875"/>
      <c r="Q1057" s="704"/>
      <c r="R1057" s="1026"/>
      <c r="S1057" s="704"/>
      <c r="T1057" s="1026"/>
      <c r="AB1057" s="520"/>
      <c r="AC1057" s="520"/>
      <c r="AD1057" s="520"/>
      <c r="AE1057" s="520"/>
      <c r="AF1057" s="520"/>
      <c r="AG1057" s="520"/>
      <c r="AH1057" s="520"/>
      <c r="AI1057" s="520"/>
      <c r="AJ1057" s="520"/>
      <c r="AK1057" s="520"/>
      <c r="AL1057" s="520"/>
      <c r="AM1057" s="520"/>
      <c r="AN1057" s="520"/>
      <c r="AO1057" s="520"/>
      <c r="AP1057" s="520"/>
      <c r="AQ1057" s="520"/>
      <c r="AR1057" s="520"/>
      <c r="AS1057" s="520"/>
      <c r="AT1057" s="520"/>
      <c r="AU1057" s="520"/>
      <c r="AV1057" s="520"/>
      <c r="AY1057" s="507"/>
      <c r="BA1057" s="507"/>
      <c r="BJ1057" s="493"/>
      <c r="CU1057" s="488"/>
      <c r="CW1057" s="488"/>
      <c r="EV1057" s="821"/>
      <c r="EW1057" s="821"/>
    </row>
    <row r="1058" spans="1:153" s="757" customFormat="1" hidden="1">
      <c r="A1058" s="487"/>
      <c r="B1058" s="487"/>
      <c r="C1058" s="487"/>
      <c r="D1058" s="487"/>
      <c r="I1058" s="487"/>
      <c r="J1058" s="487"/>
      <c r="K1058" s="487"/>
      <c r="L1058" s="487"/>
      <c r="M1058" s="487"/>
      <c r="N1058" s="487"/>
      <c r="O1058" s="875"/>
      <c r="Q1058" s="704"/>
      <c r="R1058" s="1026"/>
      <c r="S1058" s="704"/>
      <c r="T1058" s="1026"/>
      <c r="AB1058" s="520"/>
      <c r="AC1058" s="520"/>
      <c r="AD1058" s="520"/>
      <c r="AE1058" s="520"/>
      <c r="AF1058" s="520"/>
      <c r="AG1058" s="520"/>
      <c r="AH1058" s="520"/>
      <c r="AI1058" s="520"/>
      <c r="AJ1058" s="520"/>
      <c r="AK1058" s="520"/>
      <c r="AL1058" s="520"/>
      <c r="AM1058" s="520"/>
      <c r="AN1058" s="520"/>
      <c r="AO1058" s="520"/>
      <c r="AP1058" s="520"/>
      <c r="AQ1058" s="520"/>
      <c r="AR1058" s="520"/>
      <c r="AS1058" s="520"/>
      <c r="AT1058" s="520"/>
      <c r="AU1058" s="520"/>
      <c r="AV1058" s="520"/>
      <c r="AY1058" s="507"/>
      <c r="BA1058" s="507"/>
      <c r="BJ1058" s="493"/>
      <c r="CU1058" s="488"/>
      <c r="CW1058" s="488"/>
      <c r="EV1058" s="821"/>
      <c r="EW1058" s="821"/>
    </row>
    <row r="1059" spans="1:153" s="757" customFormat="1" hidden="1">
      <c r="A1059" s="487"/>
      <c r="B1059" s="487"/>
      <c r="C1059" s="487"/>
      <c r="D1059" s="487"/>
      <c r="I1059" s="487"/>
      <c r="J1059" s="487"/>
      <c r="K1059" s="487"/>
      <c r="L1059" s="487"/>
      <c r="M1059" s="487"/>
      <c r="N1059" s="487"/>
      <c r="O1059" s="875"/>
      <c r="Q1059" s="704"/>
      <c r="R1059" s="1026"/>
      <c r="S1059" s="704"/>
      <c r="T1059" s="1026"/>
      <c r="AB1059" s="520"/>
      <c r="AC1059" s="520"/>
      <c r="AD1059" s="520"/>
      <c r="AE1059" s="520"/>
      <c r="AF1059" s="520"/>
      <c r="AG1059" s="520"/>
      <c r="AH1059" s="520"/>
      <c r="AI1059" s="520"/>
      <c r="AJ1059" s="520"/>
      <c r="AK1059" s="520"/>
      <c r="AL1059" s="520"/>
      <c r="AM1059" s="520"/>
      <c r="AN1059" s="520"/>
      <c r="AO1059" s="520"/>
      <c r="AP1059" s="520"/>
      <c r="AQ1059" s="520"/>
      <c r="AR1059" s="520"/>
      <c r="AS1059" s="520"/>
      <c r="AT1059" s="520"/>
      <c r="AU1059" s="520"/>
      <c r="AV1059" s="520"/>
      <c r="AY1059" s="507"/>
      <c r="BA1059" s="507"/>
      <c r="BJ1059" s="493"/>
      <c r="CU1059" s="488"/>
      <c r="CW1059" s="488"/>
      <c r="EV1059" s="821"/>
      <c r="EW1059" s="821"/>
    </row>
    <row r="1060" spans="1:153" s="757" customFormat="1" hidden="1">
      <c r="A1060" s="487"/>
      <c r="B1060" s="487"/>
      <c r="C1060" s="487"/>
      <c r="D1060" s="487"/>
      <c r="I1060" s="487"/>
      <c r="J1060" s="487"/>
      <c r="K1060" s="487"/>
      <c r="L1060" s="487"/>
      <c r="M1060" s="487"/>
      <c r="N1060" s="487"/>
      <c r="O1060" s="875"/>
      <c r="Q1060" s="704"/>
      <c r="R1060" s="1026"/>
      <c r="S1060" s="704"/>
      <c r="T1060" s="1026"/>
      <c r="AB1060" s="520"/>
      <c r="AC1060" s="520"/>
      <c r="AD1060" s="520"/>
      <c r="AE1060" s="520"/>
      <c r="AF1060" s="520"/>
      <c r="AG1060" s="520"/>
      <c r="AH1060" s="520"/>
      <c r="AI1060" s="520"/>
      <c r="AJ1060" s="520"/>
      <c r="AK1060" s="520"/>
      <c r="AL1060" s="520"/>
      <c r="AM1060" s="520"/>
      <c r="AN1060" s="520"/>
      <c r="AO1060" s="520"/>
      <c r="AP1060" s="520"/>
      <c r="AQ1060" s="520"/>
      <c r="AR1060" s="520"/>
      <c r="AS1060" s="520"/>
      <c r="AT1060" s="520"/>
      <c r="AU1060" s="520"/>
      <c r="AV1060" s="520"/>
      <c r="AY1060" s="507"/>
      <c r="BA1060" s="507"/>
      <c r="BJ1060" s="493"/>
      <c r="CU1060" s="488"/>
      <c r="CW1060" s="488"/>
      <c r="EV1060" s="821"/>
      <c r="EW1060" s="821"/>
    </row>
    <row r="1061" spans="1:153" s="757" customFormat="1" hidden="1">
      <c r="A1061" s="487"/>
      <c r="B1061" s="487"/>
      <c r="C1061" s="487"/>
      <c r="D1061" s="487"/>
      <c r="I1061" s="487"/>
      <c r="J1061" s="487"/>
      <c r="K1061" s="487"/>
      <c r="L1061" s="487"/>
      <c r="M1061" s="487"/>
      <c r="N1061" s="487"/>
      <c r="O1061" s="875"/>
      <c r="Q1061" s="704"/>
      <c r="R1061" s="1026"/>
      <c r="S1061" s="704"/>
      <c r="T1061" s="1026"/>
      <c r="AB1061" s="520"/>
      <c r="AC1061" s="520"/>
      <c r="AD1061" s="520"/>
      <c r="AE1061" s="520"/>
      <c r="AF1061" s="520"/>
      <c r="AG1061" s="520"/>
      <c r="AH1061" s="520"/>
      <c r="AI1061" s="520"/>
      <c r="AJ1061" s="520"/>
      <c r="AK1061" s="520"/>
      <c r="AL1061" s="520"/>
      <c r="AM1061" s="520"/>
      <c r="AN1061" s="520"/>
      <c r="AO1061" s="520"/>
      <c r="AP1061" s="520"/>
      <c r="AQ1061" s="520"/>
      <c r="AR1061" s="520"/>
      <c r="AS1061" s="520"/>
      <c r="AT1061" s="520"/>
      <c r="AU1061" s="520"/>
      <c r="AV1061" s="520"/>
      <c r="AY1061" s="507"/>
      <c r="BA1061" s="507"/>
      <c r="BJ1061" s="493"/>
      <c r="CU1061" s="488"/>
      <c r="CW1061" s="488"/>
      <c r="EV1061" s="821"/>
      <c r="EW1061" s="821"/>
    </row>
    <row r="1062" spans="1:153" s="757" customFormat="1" hidden="1">
      <c r="A1062" s="487"/>
      <c r="B1062" s="487"/>
      <c r="C1062" s="487"/>
      <c r="D1062" s="487"/>
      <c r="I1062" s="487"/>
      <c r="J1062" s="487"/>
      <c r="K1062" s="487"/>
      <c r="L1062" s="487"/>
      <c r="M1062" s="487"/>
      <c r="N1062" s="487"/>
      <c r="O1062" s="875"/>
      <c r="Q1062" s="704"/>
      <c r="R1062" s="1026"/>
      <c r="S1062" s="704"/>
      <c r="T1062" s="1026"/>
      <c r="AB1062" s="520"/>
      <c r="AC1062" s="520"/>
      <c r="AD1062" s="520"/>
      <c r="AE1062" s="520"/>
      <c r="AF1062" s="520"/>
      <c r="AG1062" s="520"/>
      <c r="AH1062" s="520"/>
      <c r="AI1062" s="520"/>
      <c r="AJ1062" s="520"/>
      <c r="AK1062" s="520"/>
      <c r="AL1062" s="520"/>
      <c r="AM1062" s="520"/>
      <c r="AN1062" s="520"/>
      <c r="AO1062" s="520"/>
      <c r="AP1062" s="520"/>
      <c r="AQ1062" s="520"/>
      <c r="AR1062" s="520"/>
      <c r="AS1062" s="520"/>
      <c r="AT1062" s="520"/>
      <c r="AU1062" s="520"/>
      <c r="AV1062" s="520"/>
      <c r="AY1062" s="507"/>
      <c r="BA1062" s="507"/>
      <c r="BJ1062" s="493"/>
      <c r="CU1062" s="488"/>
      <c r="CW1062" s="488"/>
      <c r="EV1062" s="821"/>
      <c r="EW1062" s="821"/>
    </row>
    <row r="1063" spans="1:153" s="757" customFormat="1" hidden="1">
      <c r="A1063" s="487"/>
      <c r="B1063" s="487"/>
      <c r="C1063" s="487"/>
      <c r="D1063" s="487"/>
      <c r="I1063" s="487"/>
      <c r="J1063" s="487"/>
      <c r="K1063" s="487"/>
      <c r="L1063" s="487"/>
      <c r="M1063" s="487"/>
      <c r="N1063" s="487"/>
      <c r="O1063" s="875"/>
      <c r="Q1063" s="704"/>
      <c r="R1063" s="1026"/>
      <c r="S1063" s="704"/>
      <c r="T1063" s="1026"/>
      <c r="AB1063" s="520"/>
      <c r="AC1063" s="520"/>
      <c r="AD1063" s="520"/>
      <c r="AE1063" s="520"/>
      <c r="AF1063" s="520"/>
      <c r="AG1063" s="520"/>
      <c r="AH1063" s="520"/>
      <c r="AI1063" s="520"/>
      <c r="AJ1063" s="520"/>
      <c r="AK1063" s="520"/>
      <c r="AL1063" s="520"/>
      <c r="AM1063" s="520"/>
      <c r="AN1063" s="520"/>
      <c r="AO1063" s="520"/>
      <c r="AP1063" s="520"/>
      <c r="AQ1063" s="520"/>
      <c r="AR1063" s="520"/>
      <c r="AS1063" s="520"/>
      <c r="AT1063" s="520"/>
      <c r="AU1063" s="520"/>
      <c r="AV1063" s="520"/>
      <c r="AY1063" s="507"/>
      <c r="BA1063" s="507"/>
      <c r="BJ1063" s="493"/>
      <c r="CU1063" s="488"/>
      <c r="CW1063" s="488"/>
      <c r="EV1063" s="821"/>
      <c r="EW1063" s="821"/>
    </row>
    <row r="1064" spans="1:153" s="757" customFormat="1" hidden="1">
      <c r="A1064" s="487"/>
      <c r="B1064" s="487"/>
      <c r="C1064" s="487"/>
      <c r="D1064" s="487"/>
      <c r="I1064" s="487"/>
      <c r="J1064" s="487"/>
      <c r="K1064" s="487"/>
      <c r="L1064" s="487"/>
      <c r="M1064" s="487"/>
      <c r="N1064" s="487"/>
      <c r="O1064" s="875"/>
      <c r="Q1064" s="704"/>
      <c r="R1064" s="1026"/>
      <c r="S1064" s="704"/>
      <c r="T1064" s="1026"/>
      <c r="AB1064" s="520"/>
      <c r="AC1064" s="520"/>
      <c r="AD1064" s="520"/>
      <c r="AE1064" s="520"/>
      <c r="AF1064" s="520"/>
      <c r="AG1064" s="520"/>
      <c r="AH1064" s="520"/>
      <c r="AI1064" s="520"/>
      <c r="AJ1064" s="520"/>
      <c r="AK1064" s="520"/>
      <c r="AL1064" s="520"/>
      <c r="AM1064" s="520"/>
      <c r="AN1064" s="520"/>
      <c r="AO1064" s="520"/>
      <c r="AP1064" s="520"/>
      <c r="AQ1064" s="520"/>
      <c r="AR1064" s="520"/>
      <c r="AS1064" s="520"/>
      <c r="AT1064" s="520"/>
      <c r="AU1064" s="520"/>
      <c r="AV1064" s="520"/>
      <c r="AY1064" s="507"/>
      <c r="BA1064" s="507"/>
      <c r="BJ1064" s="493"/>
      <c r="CU1064" s="488"/>
      <c r="CW1064" s="488"/>
      <c r="EV1064" s="821"/>
      <c r="EW1064" s="821"/>
    </row>
    <row r="1065" spans="1:153" s="757" customFormat="1" hidden="1">
      <c r="A1065" s="487"/>
      <c r="B1065" s="487"/>
      <c r="C1065" s="487"/>
      <c r="D1065" s="487"/>
      <c r="I1065" s="487"/>
      <c r="J1065" s="487"/>
      <c r="K1065" s="487"/>
      <c r="L1065" s="487"/>
      <c r="M1065" s="487"/>
      <c r="N1065" s="487"/>
      <c r="O1065" s="875"/>
      <c r="Q1065" s="704"/>
      <c r="R1065" s="1026"/>
      <c r="S1065" s="704"/>
      <c r="T1065" s="1026"/>
      <c r="AB1065" s="520"/>
      <c r="AC1065" s="520"/>
      <c r="AD1065" s="520"/>
      <c r="AE1065" s="520"/>
      <c r="AF1065" s="520"/>
      <c r="AG1065" s="520"/>
      <c r="AH1065" s="520"/>
      <c r="AI1065" s="520"/>
      <c r="AJ1065" s="520"/>
      <c r="AK1065" s="520"/>
      <c r="AL1065" s="520"/>
      <c r="AM1065" s="520"/>
      <c r="AN1065" s="520"/>
      <c r="AO1065" s="520"/>
      <c r="AP1065" s="520"/>
      <c r="AQ1065" s="520"/>
      <c r="AR1065" s="520"/>
      <c r="AS1065" s="520"/>
      <c r="AT1065" s="520"/>
      <c r="AU1065" s="520"/>
      <c r="AV1065" s="520"/>
      <c r="AY1065" s="507"/>
      <c r="BA1065" s="507"/>
      <c r="BJ1065" s="493"/>
      <c r="CU1065" s="488"/>
      <c r="CW1065" s="488"/>
      <c r="EV1065" s="821"/>
      <c r="EW1065" s="821"/>
    </row>
    <row r="1066" spans="1:153" s="757" customFormat="1" hidden="1">
      <c r="A1066" s="487"/>
      <c r="B1066" s="487"/>
      <c r="C1066" s="487"/>
      <c r="D1066" s="487"/>
      <c r="I1066" s="487"/>
      <c r="J1066" s="487"/>
      <c r="K1066" s="487"/>
      <c r="L1066" s="487"/>
      <c r="M1066" s="487"/>
      <c r="N1066" s="487"/>
      <c r="O1066" s="875"/>
      <c r="Q1066" s="704"/>
      <c r="R1066" s="1026"/>
      <c r="S1066" s="704"/>
      <c r="T1066" s="1026"/>
      <c r="AB1066" s="520"/>
      <c r="AC1066" s="520"/>
      <c r="AD1066" s="520"/>
      <c r="AE1066" s="520"/>
      <c r="AF1066" s="520"/>
      <c r="AG1066" s="520"/>
      <c r="AH1066" s="520"/>
      <c r="AI1066" s="520"/>
      <c r="AJ1066" s="520"/>
      <c r="AK1066" s="520"/>
      <c r="AL1066" s="520"/>
      <c r="AM1066" s="520"/>
      <c r="AN1066" s="520"/>
      <c r="AO1066" s="520"/>
      <c r="AP1066" s="520"/>
      <c r="AQ1066" s="520"/>
      <c r="AR1066" s="520"/>
      <c r="AS1066" s="520"/>
      <c r="AT1066" s="520"/>
      <c r="AU1066" s="520"/>
      <c r="AV1066" s="520"/>
      <c r="AY1066" s="507"/>
      <c r="BA1066" s="507"/>
      <c r="BJ1066" s="493"/>
      <c r="CU1066" s="488"/>
      <c r="CW1066" s="488"/>
      <c r="EV1066" s="821"/>
      <c r="EW1066" s="821"/>
    </row>
    <row r="1067" spans="1:153" s="757" customFormat="1" hidden="1">
      <c r="A1067" s="487"/>
      <c r="B1067" s="487"/>
      <c r="C1067" s="487"/>
      <c r="D1067" s="487"/>
      <c r="I1067" s="487"/>
      <c r="J1067" s="487"/>
      <c r="K1067" s="487"/>
      <c r="L1067" s="487"/>
      <c r="M1067" s="487"/>
      <c r="N1067" s="487"/>
      <c r="O1067" s="875"/>
      <c r="Q1067" s="704"/>
      <c r="R1067" s="1026"/>
      <c r="S1067" s="704"/>
      <c r="T1067" s="1026"/>
      <c r="AB1067" s="520"/>
      <c r="AC1067" s="520"/>
      <c r="AD1067" s="520"/>
      <c r="AE1067" s="520"/>
      <c r="AF1067" s="520"/>
      <c r="AG1067" s="520"/>
      <c r="AH1067" s="520"/>
      <c r="AI1067" s="520"/>
      <c r="AJ1067" s="520"/>
      <c r="AK1067" s="520"/>
      <c r="AL1067" s="520"/>
      <c r="AM1067" s="520"/>
      <c r="AN1067" s="520"/>
      <c r="AO1067" s="520"/>
      <c r="AP1067" s="520"/>
      <c r="AQ1067" s="520"/>
      <c r="AR1067" s="520"/>
      <c r="AS1067" s="520"/>
      <c r="AT1067" s="520"/>
      <c r="AU1067" s="520"/>
      <c r="AV1067" s="520"/>
      <c r="AY1067" s="507"/>
      <c r="BA1067" s="507"/>
      <c r="BJ1067" s="493"/>
      <c r="CU1067" s="488"/>
      <c r="CW1067" s="488"/>
      <c r="EV1067" s="821"/>
      <c r="EW1067" s="821"/>
    </row>
    <row r="1068" spans="1:153" s="757" customFormat="1" hidden="1">
      <c r="A1068" s="487"/>
      <c r="B1068" s="487"/>
      <c r="C1068" s="487"/>
      <c r="D1068" s="487"/>
      <c r="I1068" s="487"/>
      <c r="J1068" s="487"/>
      <c r="K1068" s="487"/>
      <c r="L1068" s="487"/>
      <c r="M1068" s="487"/>
      <c r="N1068" s="487"/>
      <c r="O1068" s="875"/>
      <c r="Q1068" s="704"/>
      <c r="R1068" s="1026"/>
      <c r="S1068" s="704"/>
      <c r="T1068" s="1026"/>
      <c r="AB1068" s="520"/>
      <c r="AC1068" s="520"/>
      <c r="AD1068" s="520"/>
      <c r="AE1068" s="520"/>
      <c r="AF1068" s="520"/>
      <c r="AG1068" s="520"/>
      <c r="AH1068" s="520"/>
      <c r="AI1068" s="520"/>
      <c r="AJ1068" s="520"/>
      <c r="AK1068" s="520"/>
      <c r="AL1068" s="520"/>
      <c r="AM1068" s="520"/>
      <c r="AN1068" s="520"/>
      <c r="AO1068" s="520"/>
      <c r="AP1068" s="520"/>
      <c r="AQ1068" s="520"/>
      <c r="AR1068" s="520"/>
      <c r="AS1068" s="520"/>
      <c r="AT1068" s="520"/>
      <c r="AU1068" s="520"/>
      <c r="AV1068" s="520"/>
      <c r="AY1068" s="507"/>
      <c r="BA1068" s="507"/>
      <c r="BJ1068" s="493"/>
      <c r="CU1068" s="488"/>
      <c r="CW1068" s="488"/>
      <c r="EV1068" s="821"/>
      <c r="EW1068" s="821"/>
    </row>
    <row r="1069" spans="1:153" s="757" customFormat="1" hidden="1">
      <c r="A1069" s="487"/>
      <c r="B1069" s="487"/>
      <c r="C1069" s="487"/>
      <c r="D1069" s="487"/>
      <c r="I1069" s="487"/>
      <c r="J1069" s="487"/>
      <c r="K1069" s="487"/>
      <c r="L1069" s="487"/>
      <c r="M1069" s="487"/>
      <c r="N1069" s="487"/>
      <c r="O1069" s="875"/>
      <c r="Q1069" s="704"/>
      <c r="R1069" s="1026"/>
      <c r="S1069" s="704"/>
      <c r="T1069" s="1026"/>
      <c r="AB1069" s="520"/>
      <c r="AC1069" s="520"/>
      <c r="AD1069" s="520"/>
      <c r="AE1069" s="520"/>
      <c r="AF1069" s="520"/>
      <c r="AG1069" s="520"/>
      <c r="AH1069" s="520"/>
      <c r="AI1069" s="520"/>
      <c r="AJ1069" s="520"/>
      <c r="AK1069" s="520"/>
      <c r="AL1069" s="520"/>
      <c r="AM1069" s="520"/>
      <c r="AN1069" s="520"/>
      <c r="AO1069" s="520"/>
      <c r="AP1069" s="520"/>
      <c r="AQ1069" s="520"/>
      <c r="AR1069" s="520"/>
      <c r="AS1069" s="520"/>
      <c r="AT1069" s="520"/>
      <c r="AU1069" s="520"/>
      <c r="AV1069" s="520"/>
      <c r="AY1069" s="507"/>
      <c r="BA1069" s="507"/>
      <c r="BJ1069" s="493"/>
      <c r="CU1069" s="488"/>
      <c r="CW1069" s="488"/>
      <c r="EV1069" s="821"/>
      <c r="EW1069" s="821"/>
    </row>
    <row r="1070" spans="1:153" s="757" customFormat="1" hidden="1">
      <c r="A1070" s="487"/>
      <c r="B1070" s="487"/>
      <c r="C1070" s="487"/>
      <c r="D1070" s="487"/>
      <c r="I1070" s="487"/>
      <c r="J1070" s="487"/>
      <c r="K1070" s="487"/>
      <c r="L1070" s="487"/>
      <c r="M1070" s="487"/>
      <c r="N1070" s="487"/>
      <c r="O1070" s="875"/>
      <c r="Q1070" s="704"/>
      <c r="R1070" s="1026"/>
      <c r="S1070" s="704"/>
      <c r="T1070" s="1026"/>
      <c r="AB1070" s="520"/>
      <c r="AC1070" s="520"/>
      <c r="AD1070" s="520"/>
      <c r="AE1070" s="520"/>
      <c r="AF1070" s="520"/>
      <c r="AG1070" s="520"/>
      <c r="AH1070" s="520"/>
      <c r="AI1070" s="520"/>
      <c r="AJ1070" s="520"/>
      <c r="AK1070" s="520"/>
      <c r="AL1070" s="520"/>
      <c r="AM1070" s="520"/>
      <c r="AN1070" s="520"/>
      <c r="AO1070" s="520"/>
      <c r="AP1070" s="520"/>
      <c r="AQ1070" s="520"/>
      <c r="AR1070" s="520"/>
      <c r="AS1070" s="520"/>
      <c r="AT1070" s="520"/>
      <c r="AU1070" s="520"/>
      <c r="AV1070" s="520"/>
      <c r="AY1070" s="507"/>
      <c r="BA1070" s="507"/>
      <c r="BJ1070" s="493"/>
      <c r="CU1070" s="488"/>
      <c r="CW1070" s="488"/>
      <c r="EV1070" s="821"/>
      <c r="EW1070" s="821"/>
    </row>
    <row r="1071" spans="1:153" s="757" customFormat="1" hidden="1">
      <c r="A1071" s="487"/>
      <c r="B1071" s="487"/>
      <c r="C1071" s="487"/>
      <c r="D1071" s="487"/>
      <c r="I1071" s="487"/>
      <c r="J1071" s="487"/>
      <c r="K1071" s="487"/>
      <c r="L1071" s="487"/>
      <c r="M1071" s="487"/>
      <c r="N1071" s="487"/>
      <c r="O1071" s="875"/>
      <c r="Q1071" s="704"/>
      <c r="R1071" s="1026"/>
      <c r="S1071" s="704"/>
      <c r="T1071" s="1026"/>
      <c r="AB1071" s="520"/>
      <c r="AC1071" s="520"/>
      <c r="AD1071" s="520"/>
      <c r="AE1071" s="520"/>
      <c r="AF1071" s="520"/>
      <c r="AG1071" s="520"/>
      <c r="AH1071" s="520"/>
      <c r="AI1071" s="520"/>
      <c r="AJ1071" s="520"/>
      <c r="AK1071" s="520"/>
      <c r="AL1071" s="520"/>
      <c r="AM1071" s="520"/>
      <c r="AN1071" s="520"/>
      <c r="AO1071" s="520"/>
      <c r="AP1071" s="520"/>
      <c r="AQ1071" s="520"/>
      <c r="AR1071" s="520"/>
      <c r="AS1071" s="520"/>
      <c r="AT1071" s="520"/>
      <c r="AU1071" s="520"/>
      <c r="AV1071" s="520"/>
      <c r="AY1071" s="507"/>
      <c r="BA1071" s="507"/>
      <c r="BJ1071" s="493"/>
      <c r="CU1071" s="488"/>
      <c r="CW1071" s="488"/>
      <c r="EV1071" s="821"/>
      <c r="EW1071" s="821"/>
    </row>
    <row r="1072" spans="1:153" s="757" customFormat="1" hidden="1">
      <c r="A1072" s="487"/>
      <c r="B1072" s="487"/>
      <c r="C1072" s="487"/>
      <c r="D1072" s="487"/>
      <c r="I1072" s="487"/>
      <c r="J1072" s="487"/>
      <c r="K1072" s="487"/>
      <c r="L1072" s="487"/>
      <c r="M1072" s="487"/>
      <c r="N1072" s="487"/>
      <c r="O1072" s="875"/>
      <c r="Q1072" s="704"/>
      <c r="R1072" s="1026"/>
      <c r="S1072" s="704"/>
      <c r="T1072" s="1026"/>
      <c r="AB1072" s="520"/>
      <c r="AC1072" s="520"/>
      <c r="AD1072" s="520"/>
      <c r="AE1072" s="520"/>
      <c r="AF1072" s="520"/>
      <c r="AG1072" s="520"/>
      <c r="AH1072" s="520"/>
      <c r="AI1072" s="520"/>
      <c r="AJ1072" s="520"/>
      <c r="AK1072" s="520"/>
      <c r="AL1072" s="520"/>
      <c r="AM1072" s="520"/>
      <c r="AN1072" s="520"/>
      <c r="AO1072" s="520"/>
      <c r="AP1072" s="520"/>
      <c r="AQ1072" s="520"/>
      <c r="AR1072" s="520"/>
      <c r="AS1072" s="520"/>
      <c r="AT1072" s="520"/>
      <c r="AU1072" s="520"/>
      <c r="AV1072" s="520"/>
      <c r="AY1072" s="507"/>
      <c r="BA1072" s="507"/>
      <c r="BJ1072" s="493"/>
      <c r="CU1072" s="488"/>
      <c r="CW1072" s="488"/>
      <c r="EV1072" s="821"/>
      <c r="EW1072" s="821"/>
    </row>
    <row r="1073" spans="1:153" s="757" customFormat="1" hidden="1">
      <c r="A1073" s="487"/>
      <c r="B1073" s="487"/>
      <c r="C1073" s="487"/>
      <c r="D1073" s="487"/>
      <c r="I1073" s="487"/>
      <c r="J1073" s="487"/>
      <c r="K1073" s="487"/>
      <c r="L1073" s="487"/>
      <c r="M1073" s="487"/>
      <c r="N1073" s="487"/>
      <c r="O1073" s="875"/>
      <c r="Q1073" s="704"/>
      <c r="R1073" s="1026"/>
      <c r="S1073" s="704"/>
      <c r="T1073" s="1026"/>
      <c r="AB1073" s="520"/>
      <c r="AC1073" s="520"/>
      <c r="AD1073" s="520"/>
      <c r="AE1073" s="520"/>
      <c r="AF1073" s="520"/>
      <c r="AG1073" s="520"/>
      <c r="AH1073" s="520"/>
      <c r="AI1073" s="520"/>
      <c r="AJ1073" s="520"/>
      <c r="AK1073" s="520"/>
      <c r="AL1073" s="520"/>
      <c r="AM1073" s="520"/>
      <c r="AN1073" s="520"/>
      <c r="AO1073" s="520"/>
      <c r="AP1073" s="520"/>
      <c r="AQ1073" s="520"/>
      <c r="AR1073" s="520"/>
      <c r="AS1073" s="520"/>
      <c r="AT1073" s="520"/>
      <c r="AU1073" s="520"/>
      <c r="AV1073" s="520"/>
      <c r="AY1073" s="507"/>
      <c r="BA1073" s="507"/>
      <c r="BJ1073" s="493"/>
      <c r="CU1073" s="488"/>
      <c r="CW1073" s="488"/>
      <c r="EV1073" s="821"/>
      <c r="EW1073" s="821"/>
    </row>
    <row r="1074" spans="1:153" s="757" customFormat="1" hidden="1">
      <c r="A1074" s="487"/>
      <c r="B1074" s="487"/>
      <c r="C1074" s="487"/>
      <c r="D1074" s="487"/>
      <c r="I1074" s="487"/>
      <c r="J1074" s="487"/>
      <c r="K1074" s="487"/>
      <c r="L1074" s="487"/>
      <c r="M1074" s="487"/>
      <c r="N1074" s="487"/>
      <c r="O1074" s="875"/>
      <c r="Q1074" s="704"/>
      <c r="R1074" s="1026"/>
      <c r="S1074" s="704"/>
      <c r="T1074" s="1026"/>
      <c r="AB1074" s="520"/>
      <c r="AC1074" s="520"/>
      <c r="AD1074" s="520"/>
      <c r="AE1074" s="520"/>
      <c r="AF1074" s="520"/>
      <c r="AG1074" s="520"/>
      <c r="AH1074" s="520"/>
      <c r="AI1074" s="520"/>
      <c r="AJ1074" s="520"/>
      <c r="AK1074" s="520"/>
      <c r="AL1074" s="520"/>
      <c r="AM1074" s="520"/>
      <c r="AN1074" s="520"/>
      <c r="AO1074" s="520"/>
      <c r="AP1074" s="520"/>
      <c r="AQ1074" s="520"/>
      <c r="AR1074" s="520"/>
      <c r="AS1074" s="520"/>
      <c r="AT1074" s="520"/>
      <c r="AU1074" s="520"/>
      <c r="AV1074" s="520"/>
      <c r="AY1074" s="507"/>
      <c r="BA1074" s="507"/>
      <c r="BJ1074" s="493"/>
      <c r="CU1074" s="488"/>
      <c r="CW1074" s="488"/>
      <c r="EV1074" s="821"/>
      <c r="EW1074" s="821"/>
    </row>
    <row r="1075" spans="1:153" s="757" customFormat="1" hidden="1">
      <c r="A1075" s="487"/>
      <c r="B1075" s="487"/>
      <c r="C1075" s="487"/>
      <c r="D1075" s="487"/>
      <c r="I1075" s="487"/>
      <c r="J1075" s="487"/>
      <c r="K1075" s="487"/>
      <c r="L1075" s="487"/>
      <c r="M1075" s="487"/>
      <c r="N1075" s="487"/>
      <c r="O1075" s="875"/>
      <c r="Q1075" s="704"/>
      <c r="R1075" s="1026"/>
      <c r="S1075" s="704"/>
      <c r="T1075" s="1026"/>
      <c r="AB1075" s="520"/>
      <c r="AC1075" s="520"/>
      <c r="AD1075" s="520"/>
      <c r="AE1075" s="520"/>
      <c r="AF1075" s="520"/>
      <c r="AG1075" s="520"/>
      <c r="AH1075" s="520"/>
      <c r="AI1075" s="520"/>
      <c r="AJ1075" s="520"/>
      <c r="AK1075" s="520"/>
      <c r="AL1075" s="520"/>
      <c r="AM1075" s="520"/>
      <c r="AN1075" s="520"/>
      <c r="AO1075" s="520"/>
      <c r="AP1075" s="520"/>
      <c r="AQ1075" s="520"/>
      <c r="AR1075" s="520"/>
      <c r="AS1075" s="520"/>
      <c r="AT1075" s="520"/>
      <c r="AU1075" s="520"/>
      <c r="AV1075" s="520"/>
      <c r="AY1075" s="507"/>
      <c r="BA1075" s="507"/>
      <c r="BJ1075" s="493"/>
      <c r="CU1075" s="488"/>
      <c r="CW1075" s="488"/>
      <c r="EV1075" s="821"/>
      <c r="EW1075" s="821"/>
    </row>
    <row r="1076" spans="1:153" s="757" customFormat="1" hidden="1">
      <c r="A1076" s="487"/>
      <c r="B1076" s="487"/>
      <c r="C1076" s="487"/>
      <c r="D1076" s="487"/>
      <c r="I1076" s="487"/>
      <c r="J1076" s="487"/>
      <c r="K1076" s="487"/>
      <c r="L1076" s="487"/>
      <c r="M1076" s="487"/>
      <c r="N1076" s="487"/>
      <c r="O1076" s="875"/>
      <c r="Q1076" s="704"/>
      <c r="R1076" s="1026"/>
      <c r="S1076" s="704"/>
      <c r="T1076" s="1026"/>
      <c r="AB1076" s="520"/>
      <c r="AC1076" s="520"/>
      <c r="AD1076" s="520"/>
      <c r="AE1076" s="520"/>
      <c r="AF1076" s="520"/>
      <c r="AG1076" s="520"/>
      <c r="AH1076" s="520"/>
      <c r="AI1076" s="520"/>
      <c r="AJ1076" s="520"/>
      <c r="AK1076" s="520"/>
      <c r="AL1076" s="520"/>
      <c r="AM1076" s="520"/>
      <c r="AN1076" s="520"/>
      <c r="AO1076" s="520"/>
      <c r="AP1076" s="520"/>
      <c r="AQ1076" s="520"/>
      <c r="AR1076" s="520"/>
      <c r="AS1076" s="520"/>
      <c r="AT1076" s="520"/>
      <c r="AU1076" s="520"/>
      <c r="AV1076" s="520"/>
      <c r="AY1076" s="507"/>
      <c r="BA1076" s="507"/>
      <c r="BJ1076" s="493"/>
      <c r="CU1076" s="488"/>
      <c r="CW1076" s="488"/>
      <c r="EV1076" s="821"/>
      <c r="EW1076" s="821"/>
    </row>
    <row r="1077" spans="1:153" s="757" customFormat="1" hidden="1">
      <c r="A1077" s="487"/>
      <c r="B1077" s="487"/>
      <c r="C1077" s="487"/>
      <c r="D1077" s="487"/>
      <c r="I1077" s="487"/>
      <c r="J1077" s="487"/>
      <c r="K1077" s="487"/>
      <c r="L1077" s="487"/>
      <c r="M1077" s="487"/>
      <c r="N1077" s="487"/>
      <c r="O1077" s="875"/>
      <c r="Q1077" s="704"/>
      <c r="R1077" s="1026"/>
      <c r="S1077" s="704"/>
      <c r="T1077" s="1026"/>
      <c r="AB1077" s="520"/>
      <c r="AC1077" s="520"/>
      <c r="AD1077" s="520"/>
      <c r="AE1077" s="520"/>
      <c r="AF1077" s="520"/>
      <c r="AG1077" s="520"/>
      <c r="AH1077" s="520"/>
      <c r="AI1077" s="520"/>
      <c r="AJ1077" s="520"/>
      <c r="AK1077" s="520"/>
      <c r="AL1077" s="520"/>
      <c r="AM1077" s="520"/>
      <c r="AN1077" s="520"/>
      <c r="AO1077" s="520"/>
      <c r="AP1077" s="520"/>
      <c r="AQ1077" s="520"/>
      <c r="AR1077" s="520"/>
      <c r="AS1077" s="520"/>
      <c r="AT1077" s="520"/>
      <c r="AU1077" s="520"/>
      <c r="AV1077" s="520"/>
      <c r="AY1077" s="507"/>
      <c r="BA1077" s="507"/>
      <c r="BJ1077" s="493"/>
      <c r="CU1077" s="488"/>
      <c r="CW1077" s="488"/>
      <c r="EV1077" s="821"/>
      <c r="EW1077" s="821"/>
    </row>
    <row r="1078" spans="1:153" s="757" customFormat="1" hidden="1">
      <c r="A1078" s="487"/>
      <c r="B1078" s="487"/>
      <c r="C1078" s="487"/>
      <c r="D1078" s="487"/>
      <c r="I1078" s="487"/>
      <c r="J1078" s="487"/>
      <c r="K1078" s="487"/>
      <c r="L1078" s="487"/>
      <c r="M1078" s="487"/>
      <c r="N1078" s="487"/>
      <c r="O1078" s="875"/>
      <c r="Q1078" s="704"/>
      <c r="R1078" s="1026"/>
      <c r="S1078" s="704"/>
      <c r="T1078" s="1026"/>
      <c r="AB1078" s="520"/>
      <c r="AC1078" s="520"/>
      <c r="AD1078" s="520"/>
      <c r="AE1078" s="520"/>
      <c r="AF1078" s="520"/>
      <c r="AG1078" s="520"/>
      <c r="AH1078" s="520"/>
      <c r="AI1078" s="520"/>
      <c r="AJ1078" s="520"/>
      <c r="AK1078" s="520"/>
      <c r="AL1078" s="520"/>
      <c r="AM1078" s="520"/>
      <c r="AN1078" s="520"/>
      <c r="AO1078" s="520"/>
      <c r="AP1078" s="520"/>
      <c r="AQ1078" s="520"/>
      <c r="AR1078" s="520"/>
      <c r="AS1078" s="520"/>
      <c r="AT1078" s="520"/>
      <c r="AU1078" s="520"/>
      <c r="AV1078" s="520"/>
      <c r="AY1078" s="507"/>
      <c r="BA1078" s="507"/>
      <c r="BJ1078" s="493"/>
      <c r="CU1078" s="488"/>
      <c r="CW1078" s="488"/>
      <c r="EV1078" s="821"/>
      <c r="EW1078" s="821"/>
    </row>
    <row r="1079" spans="1:153" s="757" customFormat="1" hidden="1">
      <c r="A1079" s="487"/>
      <c r="B1079" s="487"/>
      <c r="C1079" s="487"/>
      <c r="D1079" s="487"/>
      <c r="I1079" s="487"/>
      <c r="J1079" s="487"/>
      <c r="K1079" s="487"/>
      <c r="L1079" s="487"/>
      <c r="M1079" s="487"/>
      <c r="N1079" s="487"/>
      <c r="O1079" s="875"/>
      <c r="Q1079" s="704"/>
      <c r="R1079" s="1026"/>
      <c r="S1079" s="704"/>
      <c r="T1079" s="1026"/>
      <c r="AB1079" s="520"/>
      <c r="AC1079" s="520"/>
      <c r="AD1079" s="520"/>
      <c r="AE1079" s="520"/>
      <c r="AF1079" s="520"/>
      <c r="AG1079" s="520"/>
      <c r="AH1079" s="520"/>
      <c r="AI1079" s="520"/>
      <c r="AJ1079" s="520"/>
      <c r="AK1079" s="520"/>
      <c r="AL1079" s="520"/>
      <c r="AM1079" s="520"/>
      <c r="AN1079" s="520"/>
      <c r="AO1079" s="520"/>
      <c r="AP1079" s="520"/>
      <c r="AQ1079" s="520"/>
      <c r="AR1079" s="520"/>
      <c r="AS1079" s="520"/>
      <c r="AT1079" s="520"/>
      <c r="AU1079" s="520"/>
      <c r="AV1079" s="520"/>
      <c r="AY1079" s="507"/>
      <c r="BA1079" s="507"/>
      <c r="BJ1079" s="493"/>
      <c r="CU1079" s="488"/>
      <c r="CW1079" s="488"/>
      <c r="EV1079" s="821"/>
      <c r="EW1079" s="821"/>
    </row>
    <row r="1080" spans="1:153" s="757" customFormat="1" hidden="1">
      <c r="A1080" s="487"/>
      <c r="B1080" s="487"/>
      <c r="C1080" s="487"/>
      <c r="D1080" s="487"/>
      <c r="I1080" s="487"/>
      <c r="J1080" s="487"/>
      <c r="K1080" s="487"/>
      <c r="L1080" s="487"/>
      <c r="M1080" s="487"/>
      <c r="N1080" s="487"/>
      <c r="O1080" s="875"/>
      <c r="Q1080" s="704"/>
      <c r="R1080" s="1026"/>
      <c r="S1080" s="704"/>
      <c r="T1080" s="1026"/>
      <c r="AB1080" s="520"/>
      <c r="AC1080" s="520"/>
      <c r="AD1080" s="520"/>
      <c r="AE1080" s="520"/>
      <c r="AF1080" s="520"/>
      <c r="AG1080" s="520"/>
      <c r="AH1080" s="520"/>
      <c r="AI1080" s="520"/>
      <c r="AJ1080" s="520"/>
      <c r="AK1080" s="520"/>
      <c r="AL1080" s="520"/>
      <c r="AM1080" s="520"/>
      <c r="AN1080" s="520"/>
      <c r="AO1080" s="520"/>
      <c r="AP1080" s="520"/>
      <c r="AQ1080" s="520"/>
      <c r="AR1080" s="520"/>
      <c r="AS1080" s="520"/>
      <c r="AT1080" s="520"/>
      <c r="AU1080" s="520"/>
      <c r="AV1080" s="520"/>
      <c r="AY1080" s="507"/>
      <c r="BA1080" s="507"/>
      <c r="BJ1080" s="493"/>
      <c r="CU1080" s="488"/>
      <c r="CW1080" s="488"/>
      <c r="EV1080" s="821"/>
      <c r="EW1080" s="821"/>
    </row>
    <row r="1081" spans="1:153" s="757" customFormat="1" hidden="1">
      <c r="A1081" s="487"/>
      <c r="B1081" s="487"/>
      <c r="C1081" s="487"/>
      <c r="D1081" s="487"/>
      <c r="I1081" s="487"/>
      <c r="J1081" s="487"/>
      <c r="K1081" s="487"/>
      <c r="L1081" s="487"/>
      <c r="M1081" s="487"/>
      <c r="N1081" s="487"/>
      <c r="O1081" s="875"/>
      <c r="Q1081" s="704"/>
      <c r="R1081" s="1026"/>
      <c r="S1081" s="704"/>
      <c r="T1081" s="1026"/>
      <c r="AB1081" s="520"/>
      <c r="AC1081" s="520"/>
      <c r="AD1081" s="520"/>
      <c r="AE1081" s="520"/>
      <c r="AF1081" s="520"/>
      <c r="AG1081" s="520"/>
      <c r="AH1081" s="520"/>
      <c r="AI1081" s="520"/>
      <c r="AJ1081" s="520"/>
      <c r="AK1081" s="520"/>
      <c r="AL1081" s="520"/>
      <c r="AM1081" s="520"/>
      <c r="AN1081" s="520"/>
      <c r="AO1081" s="520"/>
      <c r="AP1081" s="520"/>
      <c r="AQ1081" s="520"/>
      <c r="AR1081" s="520"/>
      <c r="AS1081" s="520"/>
      <c r="AT1081" s="520"/>
      <c r="AU1081" s="520"/>
      <c r="AV1081" s="520"/>
      <c r="AY1081" s="507"/>
      <c r="BA1081" s="507"/>
      <c r="BJ1081" s="493"/>
      <c r="CU1081" s="488"/>
      <c r="CW1081" s="488"/>
      <c r="EV1081" s="821"/>
      <c r="EW1081" s="821"/>
    </row>
    <row r="1082" spans="1:153" s="757" customFormat="1" hidden="1">
      <c r="A1082" s="487"/>
      <c r="B1082" s="487"/>
      <c r="C1082" s="487"/>
      <c r="D1082" s="487"/>
      <c r="I1082" s="487"/>
      <c r="J1082" s="487"/>
      <c r="K1082" s="487"/>
      <c r="L1082" s="487"/>
      <c r="M1082" s="487"/>
      <c r="N1082" s="487"/>
      <c r="O1082" s="875"/>
      <c r="Q1082" s="704"/>
      <c r="R1082" s="1026"/>
      <c r="S1082" s="704"/>
      <c r="T1082" s="1026"/>
      <c r="AB1082" s="520"/>
      <c r="AC1082" s="520"/>
      <c r="AD1082" s="520"/>
      <c r="AE1082" s="520"/>
      <c r="AF1082" s="520"/>
      <c r="AG1082" s="520"/>
      <c r="AH1082" s="520"/>
      <c r="AI1082" s="520"/>
      <c r="AJ1082" s="520"/>
      <c r="AK1082" s="520"/>
      <c r="AL1082" s="520"/>
      <c r="AM1082" s="520"/>
      <c r="AN1082" s="520"/>
      <c r="AO1082" s="520"/>
      <c r="AP1082" s="520"/>
      <c r="AQ1082" s="520"/>
      <c r="AR1082" s="520"/>
      <c r="AS1082" s="520"/>
      <c r="AT1082" s="520"/>
      <c r="AU1082" s="520"/>
      <c r="AV1082" s="520"/>
      <c r="AY1082" s="507"/>
      <c r="BA1082" s="507"/>
      <c r="BJ1082" s="493"/>
      <c r="CU1082" s="488"/>
      <c r="CW1082" s="488"/>
      <c r="EV1082" s="821"/>
      <c r="EW1082" s="821"/>
    </row>
    <row r="1083" spans="1:153" s="757" customFormat="1" hidden="1">
      <c r="A1083" s="487"/>
      <c r="B1083" s="487"/>
      <c r="C1083" s="487"/>
      <c r="D1083" s="487"/>
      <c r="I1083" s="487"/>
      <c r="J1083" s="487"/>
      <c r="K1083" s="487"/>
      <c r="L1083" s="487"/>
      <c r="M1083" s="487"/>
      <c r="N1083" s="487"/>
      <c r="O1083" s="875"/>
      <c r="Q1083" s="704"/>
      <c r="R1083" s="1026"/>
      <c r="S1083" s="704"/>
      <c r="T1083" s="1026"/>
      <c r="AB1083" s="520"/>
      <c r="AC1083" s="520"/>
      <c r="AD1083" s="520"/>
      <c r="AE1083" s="520"/>
      <c r="AF1083" s="520"/>
      <c r="AG1083" s="520"/>
      <c r="AH1083" s="520"/>
      <c r="AI1083" s="520"/>
      <c r="AJ1083" s="520"/>
      <c r="AK1083" s="520"/>
      <c r="AL1083" s="520"/>
      <c r="AM1083" s="520"/>
      <c r="AN1083" s="520"/>
      <c r="AO1083" s="520"/>
      <c r="AP1083" s="520"/>
      <c r="AQ1083" s="520"/>
      <c r="AR1083" s="520"/>
      <c r="AS1083" s="520"/>
      <c r="AT1083" s="520"/>
      <c r="AU1083" s="520"/>
      <c r="AV1083" s="520"/>
      <c r="AY1083" s="507"/>
      <c r="BA1083" s="507"/>
      <c r="BJ1083" s="493"/>
      <c r="CU1083" s="488"/>
      <c r="CW1083" s="488"/>
      <c r="EV1083" s="821"/>
      <c r="EW1083" s="821"/>
    </row>
    <row r="1084" spans="1:153" s="757" customFormat="1" hidden="1">
      <c r="A1084" s="487"/>
      <c r="B1084" s="487"/>
      <c r="C1084" s="487"/>
      <c r="D1084" s="487"/>
      <c r="I1084" s="487"/>
      <c r="J1084" s="487"/>
      <c r="K1084" s="487"/>
      <c r="L1084" s="487"/>
      <c r="M1084" s="487"/>
      <c r="N1084" s="487"/>
      <c r="O1084" s="875"/>
      <c r="Q1084" s="704"/>
      <c r="R1084" s="1026"/>
      <c r="S1084" s="704"/>
      <c r="T1084" s="1026"/>
      <c r="AB1084" s="520"/>
      <c r="AC1084" s="520"/>
      <c r="AD1084" s="520"/>
      <c r="AE1084" s="520"/>
      <c r="AF1084" s="520"/>
      <c r="AG1084" s="520"/>
      <c r="AH1084" s="520"/>
      <c r="AI1084" s="520"/>
      <c r="AJ1084" s="520"/>
      <c r="AK1084" s="520"/>
      <c r="AL1084" s="520"/>
      <c r="AM1084" s="520"/>
      <c r="AN1084" s="520"/>
      <c r="AO1084" s="520"/>
      <c r="AP1084" s="520"/>
      <c r="AQ1084" s="520"/>
      <c r="AR1084" s="520"/>
      <c r="AS1084" s="520"/>
      <c r="AT1084" s="520"/>
      <c r="AU1084" s="520"/>
      <c r="AV1084" s="520"/>
      <c r="AY1084" s="507"/>
      <c r="BA1084" s="507"/>
      <c r="BJ1084" s="493"/>
      <c r="CU1084" s="488"/>
      <c r="CW1084" s="488"/>
      <c r="EV1084" s="821"/>
      <c r="EW1084" s="821"/>
    </row>
    <row r="1085" spans="1:153" s="757" customFormat="1" hidden="1">
      <c r="A1085" s="487"/>
      <c r="B1085" s="487"/>
      <c r="C1085" s="487"/>
      <c r="D1085" s="487"/>
      <c r="I1085" s="487"/>
      <c r="J1085" s="487"/>
      <c r="K1085" s="487"/>
      <c r="L1085" s="487"/>
      <c r="M1085" s="487"/>
      <c r="N1085" s="487"/>
      <c r="O1085" s="875"/>
      <c r="Q1085" s="704"/>
      <c r="R1085" s="1026"/>
      <c r="S1085" s="704"/>
      <c r="T1085" s="1026"/>
      <c r="AB1085" s="520"/>
      <c r="AC1085" s="520"/>
      <c r="AD1085" s="520"/>
      <c r="AE1085" s="520"/>
      <c r="AF1085" s="520"/>
      <c r="AG1085" s="520"/>
      <c r="AH1085" s="520"/>
      <c r="AI1085" s="520"/>
      <c r="AJ1085" s="520"/>
      <c r="AK1085" s="520"/>
      <c r="AL1085" s="520"/>
      <c r="AM1085" s="520"/>
      <c r="AN1085" s="520"/>
      <c r="AO1085" s="520"/>
      <c r="AP1085" s="520"/>
      <c r="AQ1085" s="520"/>
      <c r="AR1085" s="520"/>
      <c r="AS1085" s="520"/>
      <c r="AT1085" s="520"/>
      <c r="AU1085" s="520"/>
      <c r="AV1085" s="520"/>
      <c r="AY1085" s="507"/>
      <c r="BA1085" s="507"/>
      <c r="BJ1085" s="493"/>
      <c r="CU1085" s="488"/>
      <c r="CW1085" s="488"/>
      <c r="EV1085" s="821"/>
      <c r="EW1085" s="821"/>
    </row>
    <row r="1086" spans="1:153" s="757" customFormat="1" hidden="1">
      <c r="A1086" s="487"/>
      <c r="B1086" s="487"/>
      <c r="C1086" s="487"/>
      <c r="D1086" s="487"/>
      <c r="I1086" s="487"/>
      <c r="J1086" s="487"/>
      <c r="K1086" s="487"/>
      <c r="L1086" s="487"/>
      <c r="M1086" s="487"/>
      <c r="N1086" s="487"/>
      <c r="O1086" s="875"/>
      <c r="Q1086" s="704"/>
      <c r="R1086" s="1026"/>
      <c r="S1086" s="704"/>
      <c r="T1086" s="1026"/>
      <c r="AB1086" s="520"/>
      <c r="AC1086" s="520"/>
      <c r="AD1086" s="520"/>
      <c r="AE1086" s="520"/>
      <c r="AF1086" s="520"/>
      <c r="AG1086" s="520"/>
      <c r="AH1086" s="520"/>
      <c r="AI1086" s="520"/>
      <c r="AJ1086" s="520"/>
      <c r="AK1086" s="520"/>
      <c r="AL1086" s="520"/>
      <c r="AM1086" s="520"/>
      <c r="AN1086" s="520"/>
      <c r="AO1086" s="520"/>
      <c r="AP1086" s="520"/>
      <c r="AQ1086" s="520"/>
      <c r="AR1086" s="520"/>
      <c r="AS1086" s="520"/>
      <c r="AT1086" s="520"/>
      <c r="AU1086" s="520"/>
      <c r="AV1086" s="520"/>
      <c r="AY1086" s="507"/>
      <c r="BA1086" s="507"/>
      <c r="BJ1086" s="493"/>
      <c r="CU1086" s="488"/>
      <c r="CW1086" s="488"/>
      <c r="EV1086" s="821"/>
      <c r="EW1086" s="821"/>
    </row>
    <row r="1087" spans="1:153" s="757" customFormat="1" hidden="1">
      <c r="A1087" s="487"/>
      <c r="B1087" s="487"/>
      <c r="C1087" s="487"/>
      <c r="D1087" s="487"/>
      <c r="I1087" s="487"/>
      <c r="J1087" s="487"/>
      <c r="K1087" s="487"/>
      <c r="L1087" s="487"/>
      <c r="M1087" s="487"/>
      <c r="N1087" s="487"/>
      <c r="O1087" s="875"/>
      <c r="Q1087" s="704"/>
      <c r="R1087" s="1026"/>
      <c r="S1087" s="704"/>
      <c r="T1087" s="1026"/>
      <c r="AB1087" s="520"/>
      <c r="AC1087" s="520"/>
      <c r="AD1087" s="520"/>
      <c r="AE1087" s="520"/>
      <c r="AF1087" s="520"/>
      <c r="AG1087" s="520"/>
      <c r="AH1087" s="520"/>
      <c r="AI1087" s="520"/>
      <c r="AJ1087" s="520"/>
      <c r="AK1087" s="520"/>
      <c r="AL1087" s="520"/>
      <c r="AM1087" s="520"/>
      <c r="AN1087" s="520"/>
      <c r="AO1087" s="520"/>
      <c r="AP1087" s="520"/>
      <c r="AQ1087" s="520"/>
      <c r="AR1087" s="520"/>
      <c r="AS1087" s="520"/>
      <c r="AT1087" s="520"/>
      <c r="AU1087" s="520"/>
      <c r="AV1087" s="520"/>
      <c r="AY1087" s="507"/>
      <c r="BA1087" s="507"/>
      <c r="BJ1087" s="493"/>
      <c r="CU1087" s="488"/>
      <c r="CW1087" s="488"/>
      <c r="EV1087" s="821"/>
      <c r="EW1087" s="821"/>
    </row>
    <row r="1088" spans="1:153" s="757" customFormat="1" hidden="1">
      <c r="A1088" s="487"/>
      <c r="B1088" s="487"/>
      <c r="C1088" s="487"/>
      <c r="D1088" s="487"/>
      <c r="I1088" s="487"/>
      <c r="J1088" s="487"/>
      <c r="K1088" s="487"/>
      <c r="L1088" s="487"/>
      <c r="M1088" s="487"/>
      <c r="N1088" s="487"/>
      <c r="O1088" s="875"/>
      <c r="Q1088" s="704"/>
      <c r="R1088" s="1026"/>
      <c r="S1088" s="704"/>
      <c r="T1088" s="1026"/>
      <c r="AB1088" s="520"/>
      <c r="AC1088" s="520"/>
      <c r="AD1088" s="520"/>
      <c r="AE1088" s="520"/>
      <c r="AF1088" s="520"/>
      <c r="AG1088" s="520"/>
      <c r="AH1088" s="520"/>
      <c r="AI1088" s="520"/>
      <c r="AJ1088" s="520"/>
      <c r="AK1088" s="520"/>
      <c r="AL1088" s="520"/>
      <c r="AM1088" s="520"/>
      <c r="AN1088" s="520"/>
      <c r="AO1088" s="520"/>
      <c r="AP1088" s="520"/>
      <c r="AQ1088" s="520"/>
      <c r="AR1088" s="520"/>
      <c r="AS1088" s="520"/>
      <c r="AT1088" s="520"/>
      <c r="AU1088" s="520"/>
      <c r="AV1088" s="520"/>
      <c r="AY1088" s="507"/>
      <c r="BA1088" s="507"/>
      <c r="BJ1088" s="493"/>
      <c r="CU1088" s="488"/>
      <c r="CW1088" s="488"/>
      <c r="EV1088" s="821"/>
      <c r="EW1088" s="821"/>
    </row>
    <row r="1089" spans="1:153" s="757" customFormat="1" hidden="1">
      <c r="A1089" s="487"/>
      <c r="B1089" s="487"/>
      <c r="C1089" s="487"/>
      <c r="D1089" s="487"/>
      <c r="I1089" s="487"/>
      <c r="J1089" s="487"/>
      <c r="K1089" s="487"/>
      <c r="L1089" s="487"/>
      <c r="M1089" s="487"/>
      <c r="N1089" s="487"/>
      <c r="O1089" s="875"/>
      <c r="Q1089" s="704"/>
      <c r="R1089" s="1026"/>
      <c r="S1089" s="704"/>
      <c r="T1089" s="1026"/>
      <c r="AB1089" s="520"/>
      <c r="AC1089" s="520"/>
      <c r="AD1089" s="520"/>
      <c r="AE1089" s="520"/>
      <c r="AF1089" s="520"/>
      <c r="AG1089" s="520"/>
      <c r="AH1089" s="520"/>
      <c r="AI1089" s="520"/>
      <c r="AJ1089" s="520"/>
      <c r="AK1089" s="520"/>
      <c r="AL1089" s="520"/>
      <c r="AM1089" s="520"/>
      <c r="AN1089" s="520"/>
      <c r="AO1089" s="520"/>
      <c r="AP1089" s="520"/>
      <c r="AQ1089" s="520"/>
      <c r="AR1089" s="520"/>
      <c r="AS1089" s="520"/>
      <c r="AT1089" s="520"/>
      <c r="AU1089" s="520"/>
      <c r="AV1089" s="520"/>
      <c r="AY1089" s="507"/>
      <c r="BA1089" s="507"/>
      <c r="BJ1089" s="493"/>
      <c r="CU1089" s="488"/>
      <c r="CW1089" s="488"/>
      <c r="EV1089" s="821"/>
      <c r="EW1089" s="821"/>
    </row>
    <row r="1090" spans="1:153" s="757" customFormat="1" hidden="1">
      <c r="A1090" s="487"/>
      <c r="B1090" s="487"/>
      <c r="C1090" s="487"/>
      <c r="D1090" s="487"/>
      <c r="I1090" s="487"/>
      <c r="J1090" s="487"/>
      <c r="K1090" s="487"/>
      <c r="L1090" s="487"/>
      <c r="M1090" s="487"/>
      <c r="N1090" s="487"/>
      <c r="O1090" s="875"/>
      <c r="Q1090" s="704"/>
      <c r="R1090" s="1026"/>
      <c r="S1090" s="704"/>
      <c r="T1090" s="1026"/>
      <c r="AB1090" s="520"/>
      <c r="AC1090" s="520"/>
      <c r="AD1090" s="520"/>
      <c r="AE1090" s="520"/>
      <c r="AF1090" s="520"/>
      <c r="AG1090" s="520"/>
      <c r="AH1090" s="520"/>
      <c r="AI1090" s="520"/>
      <c r="AJ1090" s="520"/>
      <c r="AK1090" s="520"/>
      <c r="AL1090" s="520"/>
      <c r="AM1090" s="520"/>
      <c r="AN1090" s="520"/>
      <c r="AO1090" s="520"/>
      <c r="AP1090" s="520"/>
      <c r="AQ1090" s="520"/>
      <c r="AR1090" s="520"/>
      <c r="AS1090" s="520"/>
      <c r="AT1090" s="520"/>
      <c r="AU1090" s="520"/>
      <c r="AV1090" s="520"/>
      <c r="AY1090" s="507"/>
      <c r="BA1090" s="507"/>
      <c r="BJ1090" s="493"/>
      <c r="CU1090" s="488"/>
      <c r="CW1090" s="488"/>
      <c r="EV1090" s="821"/>
      <c r="EW1090" s="821"/>
    </row>
    <row r="1091" spans="1:153" s="757" customFormat="1" hidden="1">
      <c r="A1091" s="487"/>
      <c r="B1091" s="487"/>
      <c r="C1091" s="487"/>
      <c r="D1091" s="487"/>
      <c r="I1091" s="487"/>
      <c r="J1091" s="487"/>
      <c r="K1091" s="487"/>
      <c r="L1091" s="487"/>
      <c r="M1091" s="487"/>
      <c r="N1091" s="487"/>
      <c r="O1091" s="875"/>
      <c r="Q1091" s="704"/>
      <c r="R1091" s="1026"/>
      <c r="S1091" s="704"/>
      <c r="T1091" s="1026"/>
      <c r="AB1091" s="520"/>
      <c r="AC1091" s="520"/>
      <c r="AD1091" s="520"/>
      <c r="AE1091" s="520"/>
      <c r="AF1091" s="520"/>
      <c r="AG1091" s="520"/>
      <c r="AH1091" s="520"/>
      <c r="AI1091" s="520"/>
      <c r="AJ1091" s="520"/>
      <c r="AK1091" s="520"/>
      <c r="AL1091" s="520"/>
      <c r="AM1091" s="520"/>
      <c r="AN1091" s="520"/>
      <c r="AO1091" s="520"/>
      <c r="AP1091" s="520"/>
      <c r="AQ1091" s="520"/>
      <c r="AR1091" s="520"/>
      <c r="AS1091" s="520"/>
      <c r="AT1091" s="520"/>
      <c r="AU1091" s="520"/>
      <c r="AV1091" s="520"/>
      <c r="AY1091" s="507"/>
      <c r="BA1091" s="507"/>
      <c r="BJ1091" s="493"/>
      <c r="CU1091" s="488"/>
      <c r="CW1091" s="488"/>
      <c r="EV1091" s="821"/>
      <c r="EW1091" s="821"/>
    </row>
    <row r="1092" spans="1:153" s="757" customFormat="1" hidden="1">
      <c r="A1092" s="487"/>
      <c r="B1092" s="487"/>
      <c r="C1092" s="487"/>
      <c r="D1092" s="487"/>
      <c r="I1092" s="487"/>
      <c r="J1092" s="487"/>
      <c r="K1092" s="487"/>
      <c r="L1092" s="487"/>
      <c r="M1092" s="487"/>
      <c r="N1092" s="487"/>
      <c r="O1092" s="875"/>
      <c r="Q1092" s="704"/>
      <c r="R1092" s="1026"/>
      <c r="S1092" s="704"/>
      <c r="T1092" s="1026"/>
      <c r="AB1092" s="520"/>
      <c r="AC1092" s="520"/>
      <c r="AD1092" s="520"/>
      <c r="AE1092" s="520"/>
      <c r="AF1092" s="520"/>
      <c r="AG1092" s="520"/>
      <c r="AH1092" s="520"/>
      <c r="AI1092" s="520"/>
      <c r="AJ1092" s="520"/>
      <c r="AK1092" s="520"/>
      <c r="AL1092" s="520"/>
      <c r="AM1092" s="520"/>
      <c r="AN1092" s="520"/>
      <c r="AO1092" s="520"/>
      <c r="AP1092" s="520"/>
      <c r="AQ1092" s="520"/>
      <c r="AR1092" s="520"/>
      <c r="AS1092" s="520"/>
      <c r="AT1092" s="520"/>
      <c r="AU1092" s="520"/>
      <c r="AV1092" s="520"/>
      <c r="AY1092" s="507"/>
      <c r="BA1092" s="507"/>
      <c r="BJ1092" s="493"/>
      <c r="CU1092" s="488"/>
      <c r="CW1092" s="488"/>
      <c r="EV1092" s="821"/>
      <c r="EW1092" s="821"/>
    </row>
    <row r="1093" spans="1:153" s="757" customFormat="1" hidden="1">
      <c r="A1093" s="487"/>
      <c r="B1093" s="487"/>
      <c r="C1093" s="487"/>
      <c r="D1093" s="487"/>
      <c r="I1093" s="487"/>
      <c r="J1093" s="487"/>
      <c r="K1093" s="487"/>
      <c r="L1093" s="487"/>
      <c r="M1093" s="487"/>
      <c r="N1093" s="487"/>
      <c r="O1093" s="875"/>
      <c r="Q1093" s="704"/>
      <c r="R1093" s="1026"/>
      <c r="S1093" s="704"/>
      <c r="T1093" s="1026"/>
      <c r="AB1093" s="520"/>
      <c r="AC1093" s="520"/>
      <c r="AD1093" s="520"/>
      <c r="AE1093" s="520"/>
      <c r="AF1093" s="520"/>
      <c r="AG1093" s="520"/>
      <c r="AH1093" s="520"/>
      <c r="AI1093" s="520"/>
      <c r="AJ1093" s="520"/>
      <c r="AK1093" s="520"/>
      <c r="AL1093" s="520"/>
      <c r="AM1093" s="520"/>
      <c r="AN1093" s="520"/>
      <c r="AO1093" s="520"/>
      <c r="AP1093" s="520"/>
      <c r="AQ1093" s="520"/>
      <c r="AR1093" s="520"/>
      <c r="AS1093" s="520"/>
      <c r="AT1093" s="520"/>
      <c r="AU1093" s="520"/>
      <c r="AV1093" s="520"/>
      <c r="AY1093" s="507"/>
      <c r="BA1093" s="507"/>
      <c r="BJ1093" s="493"/>
      <c r="CU1093" s="488"/>
      <c r="CW1093" s="488"/>
      <c r="EV1093" s="821"/>
      <c r="EW1093" s="821"/>
    </row>
    <row r="1094" spans="1:153" s="757" customFormat="1" hidden="1">
      <c r="A1094" s="487"/>
      <c r="B1094" s="487"/>
      <c r="C1094" s="487"/>
      <c r="D1094" s="487"/>
      <c r="I1094" s="487"/>
      <c r="J1094" s="487"/>
      <c r="K1094" s="487"/>
      <c r="L1094" s="487"/>
      <c r="M1094" s="487"/>
      <c r="N1094" s="487"/>
      <c r="O1094" s="875"/>
      <c r="Q1094" s="704"/>
      <c r="R1094" s="1026"/>
      <c r="S1094" s="704"/>
      <c r="T1094" s="1026"/>
      <c r="AB1094" s="520"/>
      <c r="AC1094" s="520"/>
      <c r="AD1094" s="520"/>
      <c r="AE1094" s="520"/>
      <c r="AF1094" s="520"/>
      <c r="AG1094" s="520"/>
      <c r="AH1094" s="520"/>
      <c r="AI1094" s="520"/>
      <c r="AJ1094" s="520"/>
      <c r="AK1094" s="520"/>
      <c r="AL1094" s="520"/>
      <c r="AM1094" s="520"/>
      <c r="AN1094" s="520"/>
      <c r="AO1094" s="520"/>
      <c r="AP1094" s="520"/>
      <c r="AQ1094" s="520"/>
      <c r="AR1094" s="520"/>
      <c r="AS1094" s="520"/>
      <c r="AT1094" s="520"/>
      <c r="AU1094" s="520"/>
      <c r="AV1094" s="520"/>
      <c r="AY1094" s="507"/>
      <c r="BA1094" s="507"/>
      <c r="BJ1094" s="493"/>
      <c r="CU1094" s="488"/>
      <c r="CW1094" s="488"/>
      <c r="EV1094" s="821"/>
      <c r="EW1094" s="821"/>
    </row>
    <row r="1095" spans="1:153" s="757" customFormat="1" hidden="1">
      <c r="A1095" s="487"/>
      <c r="B1095" s="487"/>
      <c r="C1095" s="487"/>
      <c r="D1095" s="487"/>
      <c r="I1095" s="487"/>
      <c r="J1095" s="487"/>
      <c r="K1095" s="487"/>
      <c r="L1095" s="487"/>
      <c r="M1095" s="487"/>
      <c r="N1095" s="487"/>
      <c r="O1095" s="875"/>
      <c r="Q1095" s="704"/>
      <c r="R1095" s="1026"/>
      <c r="S1095" s="704"/>
      <c r="T1095" s="1026"/>
      <c r="AB1095" s="520"/>
      <c r="AC1095" s="520"/>
      <c r="AD1095" s="520"/>
      <c r="AE1095" s="520"/>
      <c r="AF1095" s="520"/>
      <c r="AG1095" s="520"/>
      <c r="AH1095" s="520"/>
      <c r="AI1095" s="520"/>
      <c r="AJ1095" s="520"/>
      <c r="AK1095" s="520"/>
      <c r="AL1095" s="520"/>
      <c r="AM1095" s="520"/>
      <c r="AN1095" s="520"/>
      <c r="AO1095" s="520"/>
      <c r="AP1095" s="520"/>
      <c r="AQ1095" s="520"/>
      <c r="AR1095" s="520"/>
      <c r="AS1095" s="520"/>
      <c r="AT1095" s="520"/>
      <c r="AU1095" s="520"/>
      <c r="AV1095" s="520"/>
      <c r="AY1095" s="507"/>
      <c r="BA1095" s="507"/>
      <c r="BJ1095" s="493"/>
      <c r="CU1095" s="488"/>
      <c r="CW1095" s="488"/>
      <c r="EV1095" s="821"/>
      <c r="EW1095" s="821"/>
    </row>
    <row r="1096" spans="1:153" s="757" customFormat="1" hidden="1">
      <c r="A1096" s="487"/>
      <c r="B1096" s="487"/>
      <c r="C1096" s="487"/>
      <c r="D1096" s="487"/>
      <c r="I1096" s="487"/>
      <c r="J1096" s="487"/>
      <c r="K1096" s="487"/>
      <c r="L1096" s="487"/>
      <c r="M1096" s="487"/>
      <c r="N1096" s="487"/>
      <c r="O1096" s="875"/>
      <c r="Q1096" s="704"/>
      <c r="R1096" s="1026"/>
      <c r="S1096" s="704"/>
      <c r="T1096" s="1026"/>
      <c r="AB1096" s="520"/>
      <c r="AC1096" s="520"/>
      <c r="AD1096" s="520"/>
      <c r="AE1096" s="520"/>
      <c r="AF1096" s="520"/>
      <c r="AG1096" s="520"/>
      <c r="AH1096" s="520"/>
      <c r="AI1096" s="520"/>
      <c r="AJ1096" s="520"/>
      <c r="AK1096" s="520"/>
      <c r="AL1096" s="520"/>
      <c r="AM1096" s="520"/>
      <c r="AN1096" s="520"/>
      <c r="AO1096" s="520"/>
      <c r="AP1096" s="520"/>
      <c r="AQ1096" s="520"/>
      <c r="AR1096" s="520"/>
      <c r="AS1096" s="520"/>
      <c r="AT1096" s="520"/>
      <c r="AU1096" s="520"/>
      <c r="AV1096" s="520"/>
      <c r="AY1096" s="507"/>
      <c r="BA1096" s="507"/>
      <c r="BJ1096" s="493"/>
      <c r="CU1096" s="488"/>
      <c r="CW1096" s="488"/>
      <c r="EV1096" s="821"/>
      <c r="EW1096" s="821"/>
    </row>
    <row r="1097" spans="1:153" s="757" customFormat="1" hidden="1">
      <c r="A1097" s="487"/>
      <c r="B1097" s="487"/>
      <c r="C1097" s="487"/>
      <c r="D1097" s="487"/>
      <c r="I1097" s="487"/>
      <c r="J1097" s="487"/>
      <c r="K1097" s="487"/>
      <c r="L1097" s="487"/>
      <c r="M1097" s="487"/>
      <c r="N1097" s="487"/>
      <c r="O1097" s="875"/>
      <c r="Q1097" s="704"/>
      <c r="R1097" s="1026"/>
      <c r="S1097" s="704"/>
      <c r="T1097" s="1026"/>
      <c r="AB1097" s="520"/>
      <c r="AC1097" s="520"/>
      <c r="AD1097" s="520"/>
      <c r="AE1097" s="520"/>
      <c r="AF1097" s="520"/>
      <c r="AG1097" s="520"/>
      <c r="AH1097" s="520"/>
      <c r="AI1097" s="520"/>
      <c r="AJ1097" s="520"/>
      <c r="AK1097" s="520"/>
      <c r="AL1097" s="520"/>
      <c r="AM1097" s="520"/>
      <c r="AN1097" s="520"/>
      <c r="AO1097" s="520"/>
      <c r="AP1097" s="520"/>
      <c r="AQ1097" s="520"/>
      <c r="AR1097" s="520"/>
      <c r="AS1097" s="520"/>
      <c r="AT1097" s="520"/>
      <c r="AU1097" s="520"/>
      <c r="AV1097" s="520"/>
      <c r="AY1097" s="507"/>
      <c r="BA1097" s="507"/>
      <c r="BJ1097" s="493"/>
      <c r="CU1097" s="488"/>
      <c r="CW1097" s="488"/>
      <c r="EV1097" s="821"/>
      <c r="EW1097" s="821"/>
    </row>
    <row r="1098" spans="1:153" s="757" customFormat="1" hidden="1">
      <c r="A1098" s="487"/>
      <c r="B1098" s="487"/>
      <c r="C1098" s="487"/>
      <c r="D1098" s="487"/>
      <c r="I1098" s="487"/>
      <c r="J1098" s="487"/>
      <c r="K1098" s="487"/>
      <c r="L1098" s="487"/>
      <c r="M1098" s="487"/>
      <c r="N1098" s="487"/>
      <c r="O1098" s="875"/>
      <c r="Q1098" s="704"/>
      <c r="R1098" s="1026"/>
      <c r="S1098" s="704"/>
      <c r="T1098" s="1026"/>
      <c r="AB1098" s="520"/>
      <c r="AC1098" s="520"/>
      <c r="AD1098" s="520"/>
      <c r="AE1098" s="520"/>
      <c r="AF1098" s="520"/>
      <c r="AG1098" s="520"/>
      <c r="AH1098" s="520"/>
      <c r="AI1098" s="520"/>
      <c r="AJ1098" s="520"/>
      <c r="AK1098" s="520"/>
      <c r="AL1098" s="520"/>
      <c r="AM1098" s="520"/>
      <c r="AN1098" s="520"/>
      <c r="AO1098" s="520"/>
      <c r="AP1098" s="520"/>
      <c r="AQ1098" s="520"/>
      <c r="AR1098" s="520"/>
      <c r="AS1098" s="520"/>
      <c r="AT1098" s="520"/>
      <c r="AU1098" s="520"/>
      <c r="AV1098" s="520"/>
      <c r="AY1098" s="507"/>
      <c r="BA1098" s="507"/>
      <c r="BJ1098" s="493"/>
      <c r="CU1098" s="488"/>
      <c r="CW1098" s="488"/>
      <c r="EV1098" s="821"/>
      <c r="EW1098" s="821"/>
    </row>
    <row r="1099" spans="1:153" s="757" customFormat="1" hidden="1">
      <c r="A1099" s="487"/>
      <c r="B1099" s="487"/>
      <c r="C1099" s="487"/>
      <c r="D1099" s="487"/>
      <c r="I1099" s="487"/>
      <c r="J1099" s="487"/>
      <c r="K1099" s="487"/>
      <c r="L1099" s="487"/>
      <c r="M1099" s="487"/>
      <c r="N1099" s="487"/>
      <c r="O1099" s="875"/>
      <c r="Q1099" s="704"/>
      <c r="R1099" s="1026"/>
      <c r="S1099" s="704"/>
      <c r="T1099" s="1026"/>
      <c r="AB1099" s="520"/>
      <c r="AC1099" s="520"/>
      <c r="AD1099" s="520"/>
      <c r="AE1099" s="520"/>
      <c r="AF1099" s="520"/>
      <c r="AG1099" s="520"/>
      <c r="AH1099" s="520"/>
      <c r="AI1099" s="520"/>
      <c r="AJ1099" s="520"/>
      <c r="AK1099" s="520"/>
      <c r="AL1099" s="520"/>
      <c r="AM1099" s="520"/>
      <c r="AN1099" s="520"/>
      <c r="AO1099" s="520"/>
      <c r="AP1099" s="520"/>
      <c r="AQ1099" s="520"/>
      <c r="AR1099" s="520"/>
      <c r="AS1099" s="520"/>
      <c r="AT1099" s="520"/>
      <c r="AU1099" s="520"/>
      <c r="AV1099" s="520"/>
      <c r="AY1099" s="507"/>
      <c r="BA1099" s="507"/>
      <c r="BJ1099" s="493"/>
      <c r="CU1099" s="488"/>
      <c r="CW1099" s="488"/>
      <c r="EV1099" s="821"/>
      <c r="EW1099" s="821"/>
    </row>
    <row r="1100" spans="1:153" s="757" customFormat="1" hidden="1">
      <c r="A1100" s="487"/>
      <c r="B1100" s="487"/>
      <c r="C1100" s="487"/>
      <c r="D1100" s="487"/>
      <c r="I1100" s="487"/>
      <c r="J1100" s="487"/>
      <c r="K1100" s="487"/>
      <c r="L1100" s="487"/>
      <c r="M1100" s="487"/>
      <c r="N1100" s="487"/>
      <c r="O1100" s="875"/>
      <c r="Q1100" s="704"/>
      <c r="R1100" s="1026"/>
      <c r="S1100" s="704"/>
      <c r="T1100" s="1026"/>
      <c r="AB1100" s="520"/>
      <c r="AC1100" s="520"/>
      <c r="AD1100" s="520"/>
      <c r="AE1100" s="520"/>
      <c r="AF1100" s="520"/>
      <c r="AG1100" s="520"/>
      <c r="AH1100" s="520"/>
      <c r="AI1100" s="520"/>
      <c r="AJ1100" s="520"/>
      <c r="AK1100" s="520"/>
      <c r="AL1100" s="520"/>
      <c r="AM1100" s="520"/>
      <c r="AN1100" s="520"/>
      <c r="AO1100" s="520"/>
      <c r="AP1100" s="520"/>
      <c r="AQ1100" s="520"/>
      <c r="AR1100" s="520"/>
      <c r="AS1100" s="520"/>
      <c r="AT1100" s="520"/>
      <c r="AU1100" s="520"/>
      <c r="AV1100" s="520"/>
      <c r="AY1100" s="507"/>
      <c r="BA1100" s="507"/>
      <c r="BJ1100" s="493"/>
      <c r="CU1100" s="488"/>
      <c r="CW1100" s="488"/>
      <c r="EV1100" s="821"/>
      <c r="EW1100" s="821"/>
    </row>
    <row r="1101" spans="1:153" s="757" customFormat="1" hidden="1">
      <c r="A1101" s="487"/>
      <c r="B1101" s="487"/>
      <c r="C1101" s="487"/>
      <c r="D1101" s="487"/>
      <c r="I1101" s="487"/>
      <c r="J1101" s="487"/>
      <c r="K1101" s="487"/>
      <c r="L1101" s="487"/>
      <c r="M1101" s="487"/>
      <c r="N1101" s="487"/>
      <c r="O1101" s="875"/>
      <c r="Q1101" s="704"/>
      <c r="R1101" s="1026"/>
      <c r="S1101" s="704"/>
      <c r="T1101" s="1026"/>
      <c r="AB1101" s="520"/>
      <c r="AC1101" s="520"/>
      <c r="AD1101" s="520"/>
      <c r="AE1101" s="520"/>
      <c r="AF1101" s="520"/>
      <c r="AG1101" s="520"/>
      <c r="AH1101" s="520"/>
      <c r="AI1101" s="520"/>
      <c r="AJ1101" s="520"/>
      <c r="AK1101" s="520"/>
      <c r="AL1101" s="520"/>
      <c r="AM1101" s="520"/>
      <c r="AN1101" s="520"/>
      <c r="AO1101" s="520"/>
      <c r="AP1101" s="520"/>
      <c r="AQ1101" s="520"/>
      <c r="AR1101" s="520"/>
      <c r="AS1101" s="520"/>
      <c r="AT1101" s="520"/>
      <c r="AU1101" s="520"/>
      <c r="AV1101" s="520"/>
      <c r="AY1101" s="507"/>
      <c r="BA1101" s="507"/>
      <c r="BJ1101" s="493"/>
      <c r="CU1101" s="488"/>
      <c r="CW1101" s="488"/>
      <c r="EV1101" s="821"/>
      <c r="EW1101" s="821"/>
    </row>
    <row r="1102" spans="1:153" s="757" customFormat="1" hidden="1">
      <c r="A1102" s="487"/>
      <c r="B1102" s="487"/>
      <c r="C1102" s="487"/>
      <c r="D1102" s="487"/>
      <c r="I1102" s="487"/>
      <c r="J1102" s="487"/>
      <c r="K1102" s="487"/>
      <c r="L1102" s="487"/>
      <c r="M1102" s="487"/>
      <c r="N1102" s="487"/>
      <c r="O1102" s="875"/>
      <c r="Q1102" s="704"/>
      <c r="R1102" s="1026"/>
      <c r="S1102" s="704"/>
      <c r="T1102" s="1026"/>
      <c r="AB1102" s="520"/>
      <c r="AC1102" s="520"/>
      <c r="AD1102" s="520"/>
      <c r="AE1102" s="520"/>
      <c r="AF1102" s="520"/>
      <c r="AG1102" s="520"/>
      <c r="AH1102" s="520"/>
      <c r="AI1102" s="520"/>
      <c r="AJ1102" s="520"/>
      <c r="AK1102" s="520"/>
      <c r="AL1102" s="520"/>
      <c r="AM1102" s="520"/>
      <c r="AN1102" s="520"/>
      <c r="AO1102" s="520"/>
      <c r="AP1102" s="520"/>
      <c r="AQ1102" s="520"/>
      <c r="AR1102" s="520"/>
      <c r="AS1102" s="520"/>
      <c r="AT1102" s="520"/>
      <c r="AU1102" s="520"/>
      <c r="AV1102" s="520"/>
      <c r="AY1102" s="507"/>
      <c r="BA1102" s="507"/>
      <c r="BJ1102" s="493"/>
      <c r="CU1102" s="488"/>
      <c r="CW1102" s="488"/>
      <c r="EV1102" s="821"/>
      <c r="EW1102" s="821"/>
    </row>
    <row r="1103" spans="1:153" s="757" customFormat="1" hidden="1">
      <c r="A1103" s="487"/>
      <c r="B1103" s="487"/>
      <c r="C1103" s="487"/>
      <c r="D1103" s="487"/>
      <c r="I1103" s="487"/>
      <c r="J1103" s="487"/>
      <c r="K1103" s="487"/>
      <c r="L1103" s="487"/>
      <c r="M1103" s="487"/>
      <c r="N1103" s="487"/>
      <c r="O1103" s="875"/>
      <c r="Q1103" s="704"/>
      <c r="R1103" s="1026"/>
      <c r="S1103" s="704"/>
      <c r="T1103" s="1026"/>
      <c r="AB1103" s="520"/>
      <c r="AC1103" s="520"/>
      <c r="AD1103" s="520"/>
      <c r="AE1103" s="520"/>
      <c r="AF1103" s="520"/>
      <c r="AG1103" s="520"/>
      <c r="AH1103" s="520"/>
      <c r="AI1103" s="520"/>
      <c r="AJ1103" s="520"/>
      <c r="AK1103" s="520"/>
      <c r="AL1103" s="520"/>
      <c r="AM1103" s="520"/>
      <c r="AN1103" s="520"/>
      <c r="AO1103" s="520"/>
      <c r="AP1103" s="520"/>
      <c r="AQ1103" s="520"/>
      <c r="AR1103" s="520"/>
      <c r="AS1103" s="520"/>
      <c r="AT1103" s="520"/>
      <c r="AU1103" s="520"/>
      <c r="AV1103" s="520"/>
      <c r="AY1103" s="507"/>
      <c r="BA1103" s="507"/>
      <c r="BJ1103" s="493"/>
      <c r="CU1103" s="488"/>
      <c r="CW1103" s="488"/>
      <c r="EV1103" s="821"/>
      <c r="EW1103" s="821"/>
    </row>
    <row r="1104" spans="1:153" s="757" customFormat="1" hidden="1">
      <c r="A1104" s="487"/>
      <c r="B1104" s="487"/>
      <c r="C1104" s="487"/>
      <c r="D1104" s="487"/>
      <c r="I1104" s="487"/>
      <c r="J1104" s="487"/>
      <c r="K1104" s="487"/>
      <c r="L1104" s="487"/>
      <c r="M1104" s="487"/>
      <c r="N1104" s="487"/>
      <c r="O1104" s="875"/>
      <c r="Q1104" s="704"/>
      <c r="R1104" s="1026"/>
      <c r="S1104" s="704"/>
      <c r="T1104" s="1026"/>
      <c r="AB1104" s="520"/>
      <c r="AC1104" s="520"/>
      <c r="AD1104" s="520"/>
      <c r="AE1104" s="520"/>
      <c r="AF1104" s="520"/>
      <c r="AG1104" s="520"/>
      <c r="AH1104" s="520"/>
      <c r="AI1104" s="520"/>
      <c r="AJ1104" s="520"/>
      <c r="AK1104" s="520"/>
      <c r="AL1104" s="520"/>
      <c r="AM1104" s="520"/>
      <c r="AN1104" s="520"/>
      <c r="AO1104" s="520"/>
      <c r="AP1104" s="520"/>
      <c r="AQ1104" s="520"/>
      <c r="AR1104" s="520"/>
      <c r="AS1104" s="520"/>
      <c r="AT1104" s="520"/>
      <c r="AU1104" s="520"/>
      <c r="AV1104" s="520"/>
      <c r="AY1104" s="507"/>
      <c r="BA1104" s="507"/>
      <c r="BJ1104" s="493"/>
      <c r="CU1104" s="488"/>
      <c r="CW1104" s="488"/>
      <c r="EV1104" s="821"/>
      <c r="EW1104" s="821"/>
    </row>
    <row r="1105" spans="1:153" s="757" customFormat="1" hidden="1">
      <c r="A1105" s="487"/>
      <c r="B1105" s="487"/>
      <c r="C1105" s="487"/>
      <c r="D1105" s="487"/>
      <c r="I1105" s="487"/>
      <c r="J1105" s="487"/>
      <c r="K1105" s="487"/>
      <c r="L1105" s="487"/>
      <c r="M1105" s="487"/>
      <c r="N1105" s="487"/>
      <c r="O1105" s="875"/>
      <c r="Q1105" s="704"/>
      <c r="R1105" s="1026"/>
      <c r="S1105" s="704"/>
      <c r="T1105" s="1026"/>
      <c r="AB1105" s="520"/>
      <c r="AC1105" s="520"/>
      <c r="AD1105" s="520"/>
      <c r="AE1105" s="520"/>
      <c r="AF1105" s="520"/>
      <c r="AG1105" s="520"/>
      <c r="AH1105" s="520"/>
      <c r="AI1105" s="520"/>
      <c r="AJ1105" s="520"/>
      <c r="AK1105" s="520"/>
      <c r="AL1105" s="520"/>
      <c r="AM1105" s="520"/>
      <c r="AN1105" s="520"/>
      <c r="AO1105" s="520"/>
      <c r="AP1105" s="520"/>
      <c r="AQ1105" s="520"/>
      <c r="AR1105" s="520"/>
      <c r="AS1105" s="520"/>
      <c r="AT1105" s="520"/>
      <c r="AU1105" s="520"/>
      <c r="AV1105" s="520"/>
      <c r="AY1105" s="507"/>
      <c r="BA1105" s="507"/>
      <c r="BJ1105" s="493"/>
      <c r="CU1105" s="488"/>
      <c r="CW1105" s="488"/>
      <c r="EV1105" s="821"/>
      <c r="EW1105" s="821"/>
    </row>
    <row r="1106" spans="1:153" s="757" customFormat="1" hidden="1">
      <c r="A1106" s="487"/>
      <c r="B1106" s="487"/>
      <c r="C1106" s="487"/>
      <c r="D1106" s="487"/>
      <c r="I1106" s="487"/>
      <c r="J1106" s="487"/>
      <c r="K1106" s="487"/>
      <c r="L1106" s="487"/>
      <c r="M1106" s="487"/>
      <c r="N1106" s="487"/>
      <c r="O1106" s="875"/>
      <c r="Q1106" s="704"/>
      <c r="R1106" s="1026"/>
      <c r="S1106" s="704"/>
      <c r="T1106" s="1026"/>
      <c r="AB1106" s="520"/>
      <c r="AC1106" s="520"/>
      <c r="AD1106" s="520"/>
      <c r="AE1106" s="520"/>
      <c r="AF1106" s="520"/>
      <c r="AG1106" s="520"/>
      <c r="AH1106" s="520"/>
      <c r="AI1106" s="520"/>
      <c r="AJ1106" s="520"/>
      <c r="AK1106" s="520"/>
      <c r="AL1106" s="520"/>
      <c r="AM1106" s="520"/>
      <c r="AN1106" s="520"/>
      <c r="AO1106" s="520"/>
      <c r="AP1106" s="520"/>
      <c r="AQ1106" s="520"/>
      <c r="AR1106" s="520"/>
      <c r="AS1106" s="520"/>
      <c r="AT1106" s="520"/>
      <c r="AU1106" s="520"/>
      <c r="AV1106" s="520"/>
      <c r="AY1106" s="507"/>
      <c r="BA1106" s="507"/>
      <c r="BJ1106" s="493"/>
      <c r="CU1106" s="488"/>
      <c r="CW1106" s="488"/>
      <c r="EV1106" s="821"/>
      <c r="EW1106" s="821"/>
    </row>
    <row r="1107" spans="1:153" s="757" customFormat="1" hidden="1">
      <c r="A1107" s="487"/>
      <c r="B1107" s="487"/>
      <c r="C1107" s="487"/>
      <c r="D1107" s="487"/>
      <c r="I1107" s="487"/>
      <c r="J1107" s="487"/>
      <c r="K1107" s="487"/>
      <c r="L1107" s="487"/>
      <c r="M1107" s="487"/>
      <c r="N1107" s="487"/>
      <c r="O1107" s="875"/>
      <c r="Q1107" s="704"/>
      <c r="R1107" s="1026"/>
      <c r="S1107" s="704"/>
      <c r="T1107" s="1026"/>
      <c r="AB1107" s="520"/>
      <c r="AC1107" s="520"/>
      <c r="AD1107" s="520"/>
      <c r="AE1107" s="520"/>
      <c r="AF1107" s="520"/>
      <c r="AG1107" s="520"/>
      <c r="AH1107" s="520"/>
      <c r="AI1107" s="520"/>
      <c r="AJ1107" s="520"/>
      <c r="AK1107" s="520"/>
      <c r="AL1107" s="520"/>
      <c r="AM1107" s="520"/>
      <c r="AN1107" s="520"/>
      <c r="AO1107" s="520"/>
      <c r="AP1107" s="520"/>
      <c r="AQ1107" s="520"/>
      <c r="AR1107" s="520"/>
      <c r="AS1107" s="520"/>
      <c r="AT1107" s="520"/>
      <c r="AU1107" s="520"/>
      <c r="AV1107" s="520"/>
      <c r="AY1107" s="507"/>
      <c r="BA1107" s="507"/>
      <c r="BJ1107" s="493"/>
      <c r="CU1107" s="488"/>
      <c r="CW1107" s="488"/>
      <c r="EV1107" s="821"/>
      <c r="EW1107" s="821"/>
    </row>
    <row r="1108" spans="1:153" s="757" customFormat="1" hidden="1">
      <c r="A1108" s="487"/>
      <c r="B1108" s="487"/>
      <c r="C1108" s="487"/>
      <c r="D1108" s="487"/>
      <c r="I1108" s="487"/>
      <c r="J1108" s="487"/>
      <c r="K1108" s="487"/>
      <c r="L1108" s="487"/>
      <c r="M1108" s="487"/>
      <c r="N1108" s="487"/>
      <c r="O1108" s="875"/>
      <c r="Q1108" s="704"/>
      <c r="R1108" s="1026"/>
      <c r="S1108" s="704"/>
      <c r="T1108" s="1026"/>
      <c r="AB1108" s="520"/>
      <c r="AC1108" s="520"/>
      <c r="AD1108" s="520"/>
      <c r="AE1108" s="520"/>
      <c r="AF1108" s="520"/>
      <c r="AG1108" s="520"/>
      <c r="AH1108" s="520"/>
      <c r="AI1108" s="520"/>
      <c r="AJ1108" s="520"/>
      <c r="AK1108" s="520"/>
      <c r="AL1108" s="520"/>
      <c r="AM1108" s="520"/>
      <c r="AN1108" s="520"/>
      <c r="AO1108" s="520"/>
      <c r="AP1108" s="520"/>
      <c r="AQ1108" s="520"/>
      <c r="AR1108" s="520"/>
      <c r="AS1108" s="520"/>
      <c r="AT1108" s="520"/>
      <c r="AU1108" s="520"/>
      <c r="AV1108" s="520"/>
      <c r="AY1108" s="507"/>
      <c r="BA1108" s="507"/>
      <c r="BJ1108" s="493"/>
      <c r="CU1108" s="488"/>
      <c r="CW1108" s="488"/>
      <c r="EV1108" s="821"/>
      <c r="EW1108" s="821"/>
    </row>
    <row r="1109" spans="1:153" s="757" customFormat="1" hidden="1">
      <c r="A1109" s="487"/>
      <c r="B1109" s="487"/>
      <c r="C1109" s="487"/>
      <c r="D1109" s="487"/>
      <c r="I1109" s="487"/>
      <c r="J1109" s="487"/>
      <c r="K1109" s="487"/>
      <c r="L1109" s="487"/>
      <c r="M1109" s="487"/>
      <c r="N1109" s="487"/>
      <c r="O1109" s="875"/>
      <c r="Q1109" s="704"/>
      <c r="R1109" s="1026"/>
      <c r="S1109" s="704"/>
      <c r="T1109" s="1026"/>
      <c r="AB1109" s="520"/>
      <c r="AC1109" s="520"/>
      <c r="AD1109" s="520"/>
      <c r="AE1109" s="520"/>
      <c r="AF1109" s="520"/>
      <c r="AG1109" s="520"/>
      <c r="AH1109" s="520"/>
      <c r="AI1109" s="520"/>
      <c r="AJ1109" s="520"/>
      <c r="AK1109" s="520"/>
      <c r="AL1109" s="520"/>
      <c r="AM1109" s="520"/>
      <c r="AN1109" s="520"/>
      <c r="AO1109" s="520"/>
      <c r="AP1109" s="520"/>
      <c r="AQ1109" s="520"/>
      <c r="AR1109" s="520"/>
      <c r="AS1109" s="520"/>
      <c r="AT1109" s="520"/>
      <c r="AU1109" s="520"/>
      <c r="AV1109" s="520"/>
      <c r="AY1109" s="507"/>
      <c r="BA1109" s="507"/>
      <c r="BJ1109" s="493"/>
      <c r="CU1109" s="488"/>
      <c r="CW1109" s="488"/>
      <c r="EV1109" s="821"/>
      <c r="EW1109" s="821"/>
    </row>
    <row r="1110" spans="1:153" s="757" customFormat="1" hidden="1">
      <c r="A1110" s="487"/>
      <c r="B1110" s="487"/>
      <c r="C1110" s="487"/>
      <c r="D1110" s="487"/>
      <c r="I1110" s="487"/>
      <c r="J1110" s="487"/>
      <c r="K1110" s="487"/>
      <c r="L1110" s="487"/>
      <c r="M1110" s="487"/>
      <c r="N1110" s="487"/>
      <c r="O1110" s="875"/>
      <c r="Q1110" s="704"/>
      <c r="R1110" s="1026"/>
      <c r="S1110" s="704"/>
      <c r="T1110" s="1026"/>
      <c r="AB1110" s="520"/>
      <c r="AC1110" s="520"/>
      <c r="AD1110" s="520"/>
      <c r="AE1110" s="520"/>
      <c r="AF1110" s="520"/>
      <c r="AG1110" s="520"/>
      <c r="AH1110" s="520"/>
      <c r="AI1110" s="520"/>
      <c r="AJ1110" s="520"/>
      <c r="AK1110" s="520"/>
      <c r="AL1110" s="520"/>
      <c r="AM1110" s="520"/>
      <c r="AN1110" s="520"/>
      <c r="AO1110" s="520"/>
      <c r="AP1110" s="520"/>
      <c r="AQ1110" s="520"/>
      <c r="AR1110" s="520"/>
      <c r="AS1110" s="520"/>
      <c r="AT1110" s="520"/>
      <c r="AU1110" s="520"/>
      <c r="AV1110" s="520"/>
      <c r="AY1110" s="507"/>
      <c r="BA1110" s="507"/>
      <c r="BJ1110" s="493"/>
      <c r="CU1110" s="488"/>
      <c r="CW1110" s="488"/>
      <c r="EV1110" s="821"/>
      <c r="EW1110" s="821"/>
    </row>
    <row r="1111" spans="1:153" s="757" customFormat="1" hidden="1">
      <c r="A1111" s="487"/>
      <c r="B1111" s="487"/>
      <c r="C1111" s="487"/>
      <c r="D1111" s="487"/>
      <c r="I1111" s="487"/>
      <c r="J1111" s="487"/>
      <c r="K1111" s="487"/>
      <c r="L1111" s="487"/>
      <c r="M1111" s="487"/>
      <c r="N1111" s="487"/>
      <c r="O1111" s="875"/>
      <c r="Q1111" s="704"/>
      <c r="R1111" s="1026"/>
      <c r="S1111" s="704"/>
      <c r="T1111" s="1026"/>
      <c r="AB1111" s="520"/>
      <c r="AC1111" s="520"/>
      <c r="AD1111" s="520"/>
      <c r="AE1111" s="520"/>
      <c r="AF1111" s="520"/>
      <c r="AG1111" s="520"/>
      <c r="AH1111" s="520"/>
      <c r="AI1111" s="520"/>
      <c r="AJ1111" s="520"/>
      <c r="AK1111" s="520"/>
      <c r="AL1111" s="520"/>
      <c r="AM1111" s="520"/>
      <c r="AN1111" s="520"/>
      <c r="AO1111" s="520"/>
      <c r="AP1111" s="520"/>
      <c r="AQ1111" s="520"/>
      <c r="AR1111" s="520"/>
      <c r="AS1111" s="520"/>
      <c r="AT1111" s="520"/>
      <c r="AU1111" s="520"/>
      <c r="AV1111" s="520"/>
      <c r="AY1111" s="507"/>
      <c r="BA1111" s="507"/>
      <c r="BJ1111" s="493"/>
      <c r="CU1111" s="488"/>
      <c r="CW1111" s="488"/>
      <c r="EV1111" s="821"/>
      <c r="EW1111" s="821"/>
    </row>
    <row r="1112" spans="1:153" s="757" customFormat="1" hidden="1">
      <c r="A1112" s="487"/>
      <c r="B1112" s="487"/>
      <c r="C1112" s="487"/>
      <c r="D1112" s="487"/>
      <c r="I1112" s="487"/>
      <c r="J1112" s="487"/>
      <c r="K1112" s="487"/>
      <c r="L1112" s="487"/>
      <c r="M1112" s="487"/>
      <c r="N1112" s="487"/>
      <c r="O1112" s="875"/>
      <c r="Q1112" s="704"/>
      <c r="R1112" s="1026"/>
      <c r="S1112" s="704"/>
      <c r="T1112" s="1026"/>
      <c r="AB1112" s="520"/>
      <c r="AC1112" s="520"/>
      <c r="AD1112" s="520"/>
      <c r="AE1112" s="520"/>
      <c r="AF1112" s="520"/>
      <c r="AG1112" s="520"/>
      <c r="AH1112" s="520"/>
      <c r="AI1112" s="520"/>
      <c r="AJ1112" s="520"/>
      <c r="AK1112" s="520"/>
      <c r="AL1112" s="520"/>
      <c r="AM1112" s="520"/>
      <c r="AN1112" s="520"/>
      <c r="AO1112" s="520"/>
      <c r="AP1112" s="520"/>
      <c r="AQ1112" s="520"/>
      <c r="AR1112" s="520"/>
      <c r="AS1112" s="520"/>
      <c r="AT1112" s="520"/>
      <c r="AU1112" s="520"/>
      <c r="AV1112" s="520"/>
      <c r="AY1112" s="507"/>
      <c r="BA1112" s="507"/>
      <c r="BJ1112" s="493"/>
      <c r="CU1112" s="488"/>
      <c r="CW1112" s="488"/>
      <c r="EV1112" s="821"/>
      <c r="EW1112" s="821"/>
    </row>
    <row r="1113" spans="1:153" s="757" customFormat="1" hidden="1">
      <c r="A1113" s="487"/>
      <c r="B1113" s="487"/>
      <c r="C1113" s="487"/>
      <c r="D1113" s="487"/>
      <c r="I1113" s="487"/>
      <c r="J1113" s="487"/>
      <c r="K1113" s="487"/>
      <c r="L1113" s="487"/>
      <c r="M1113" s="487"/>
      <c r="N1113" s="487"/>
      <c r="O1113" s="875"/>
      <c r="Q1113" s="704"/>
      <c r="R1113" s="1026"/>
      <c r="S1113" s="704"/>
      <c r="T1113" s="1026"/>
      <c r="AB1113" s="520"/>
      <c r="AC1113" s="520"/>
      <c r="AD1113" s="520"/>
      <c r="AE1113" s="520"/>
      <c r="AF1113" s="520"/>
      <c r="AG1113" s="520"/>
      <c r="AH1113" s="520"/>
      <c r="AI1113" s="520"/>
      <c r="AJ1113" s="520"/>
      <c r="AK1113" s="520"/>
      <c r="AL1113" s="520"/>
      <c r="AM1113" s="520"/>
      <c r="AN1113" s="520"/>
      <c r="AO1113" s="520"/>
      <c r="AP1113" s="520"/>
      <c r="AQ1113" s="520"/>
      <c r="AR1113" s="520"/>
      <c r="AS1113" s="520"/>
      <c r="AT1113" s="520"/>
      <c r="AU1113" s="520"/>
      <c r="AV1113" s="520"/>
      <c r="AY1113" s="507"/>
      <c r="BA1113" s="507"/>
      <c r="BJ1113" s="493"/>
      <c r="CU1113" s="488"/>
      <c r="CW1113" s="488"/>
      <c r="EV1113" s="821"/>
      <c r="EW1113" s="821"/>
    </row>
    <row r="1114" spans="1:153" s="757" customFormat="1" hidden="1">
      <c r="A1114" s="487"/>
      <c r="B1114" s="487"/>
      <c r="C1114" s="487"/>
      <c r="D1114" s="487"/>
      <c r="I1114" s="487"/>
      <c r="J1114" s="487"/>
      <c r="K1114" s="487"/>
      <c r="L1114" s="487"/>
      <c r="M1114" s="487"/>
      <c r="N1114" s="487"/>
      <c r="O1114" s="875"/>
      <c r="Q1114" s="704"/>
      <c r="R1114" s="1026"/>
      <c r="S1114" s="704"/>
      <c r="T1114" s="1026"/>
      <c r="AB1114" s="520"/>
      <c r="AC1114" s="520"/>
      <c r="AD1114" s="520"/>
      <c r="AE1114" s="520"/>
      <c r="AF1114" s="520"/>
      <c r="AG1114" s="520"/>
      <c r="AH1114" s="520"/>
      <c r="AI1114" s="520"/>
      <c r="AJ1114" s="520"/>
      <c r="AK1114" s="520"/>
      <c r="AL1114" s="520"/>
      <c r="AM1114" s="520"/>
      <c r="AN1114" s="520"/>
      <c r="AO1114" s="520"/>
      <c r="AP1114" s="520"/>
      <c r="AQ1114" s="520"/>
      <c r="AR1114" s="520"/>
      <c r="AS1114" s="520"/>
      <c r="AT1114" s="520"/>
      <c r="AU1114" s="520"/>
      <c r="AV1114" s="520"/>
      <c r="AY1114" s="507"/>
      <c r="BA1114" s="507"/>
      <c r="BJ1114" s="493"/>
      <c r="CU1114" s="488"/>
      <c r="CW1114" s="488"/>
      <c r="EV1114" s="821"/>
      <c r="EW1114" s="821"/>
    </row>
    <row r="1115" spans="1:153" s="757" customFormat="1" hidden="1">
      <c r="A1115" s="487"/>
      <c r="B1115" s="487"/>
      <c r="C1115" s="487"/>
      <c r="D1115" s="487"/>
      <c r="I1115" s="487"/>
      <c r="J1115" s="487"/>
      <c r="K1115" s="487"/>
      <c r="L1115" s="487"/>
      <c r="M1115" s="487"/>
      <c r="N1115" s="487"/>
      <c r="O1115" s="875"/>
      <c r="Q1115" s="704"/>
      <c r="R1115" s="1026"/>
      <c r="S1115" s="704"/>
      <c r="T1115" s="1026"/>
      <c r="AB1115" s="520"/>
      <c r="AC1115" s="520"/>
      <c r="AD1115" s="520"/>
      <c r="AE1115" s="520"/>
      <c r="AF1115" s="520"/>
      <c r="AG1115" s="520"/>
      <c r="AH1115" s="520"/>
      <c r="AI1115" s="520"/>
      <c r="AJ1115" s="520"/>
      <c r="AK1115" s="520"/>
      <c r="AL1115" s="520"/>
      <c r="AM1115" s="520"/>
      <c r="AN1115" s="520"/>
      <c r="AO1115" s="520"/>
      <c r="AP1115" s="520"/>
      <c r="AQ1115" s="520"/>
      <c r="AR1115" s="520"/>
      <c r="AS1115" s="520"/>
      <c r="AT1115" s="520"/>
      <c r="AU1115" s="520"/>
      <c r="AV1115" s="520"/>
      <c r="AY1115" s="507"/>
      <c r="BA1115" s="507"/>
      <c r="BJ1115" s="493"/>
      <c r="CU1115" s="488"/>
      <c r="CW1115" s="488"/>
      <c r="EV1115" s="821"/>
      <c r="EW1115" s="821"/>
    </row>
    <row r="1116" spans="1:153" s="757" customFormat="1" hidden="1">
      <c r="A1116" s="487"/>
      <c r="B1116" s="487"/>
      <c r="C1116" s="487"/>
      <c r="D1116" s="487"/>
      <c r="I1116" s="487"/>
      <c r="J1116" s="487"/>
      <c r="K1116" s="487"/>
      <c r="L1116" s="487"/>
      <c r="M1116" s="487"/>
      <c r="N1116" s="487"/>
      <c r="O1116" s="875"/>
      <c r="Q1116" s="704"/>
      <c r="R1116" s="1026"/>
      <c r="S1116" s="704"/>
      <c r="T1116" s="1026"/>
      <c r="AB1116" s="520"/>
      <c r="AC1116" s="520"/>
      <c r="AD1116" s="520"/>
      <c r="AE1116" s="520"/>
      <c r="AF1116" s="520"/>
      <c r="AG1116" s="520"/>
      <c r="AH1116" s="520"/>
      <c r="AI1116" s="520"/>
      <c r="AJ1116" s="520"/>
      <c r="AK1116" s="520"/>
      <c r="AL1116" s="520"/>
      <c r="AM1116" s="520"/>
      <c r="AN1116" s="520"/>
      <c r="AO1116" s="520"/>
      <c r="AP1116" s="520"/>
      <c r="AQ1116" s="520"/>
      <c r="AR1116" s="520"/>
      <c r="AS1116" s="520"/>
      <c r="AT1116" s="520"/>
      <c r="AU1116" s="520"/>
      <c r="AV1116" s="520"/>
      <c r="AY1116" s="507"/>
      <c r="BA1116" s="507"/>
      <c r="BJ1116" s="493"/>
      <c r="CU1116" s="488"/>
      <c r="CW1116" s="488"/>
      <c r="EV1116" s="821"/>
      <c r="EW1116" s="821"/>
    </row>
    <row r="1117" spans="1:153" s="757" customFormat="1" hidden="1">
      <c r="A1117" s="487"/>
      <c r="B1117" s="487"/>
      <c r="C1117" s="487"/>
      <c r="D1117" s="487"/>
      <c r="I1117" s="487"/>
      <c r="J1117" s="487"/>
      <c r="K1117" s="487"/>
      <c r="L1117" s="487"/>
      <c r="M1117" s="487"/>
      <c r="N1117" s="487"/>
      <c r="O1117" s="875"/>
      <c r="Q1117" s="704"/>
      <c r="R1117" s="1026"/>
      <c r="S1117" s="704"/>
      <c r="T1117" s="1026"/>
      <c r="AB1117" s="520"/>
      <c r="AC1117" s="520"/>
      <c r="AD1117" s="520"/>
      <c r="AE1117" s="520"/>
      <c r="AF1117" s="520"/>
      <c r="AG1117" s="520"/>
      <c r="AH1117" s="520"/>
      <c r="AI1117" s="520"/>
      <c r="AJ1117" s="520"/>
      <c r="AK1117" s="520"/>
      <c r="AL1117" s="520"/>
      <c r="AM1117" s="520"/>
      <c r="AN1117" s="520"/>
      <c r="AO1117" s="520"/>
      <c r="AP1117" s="520"/>
      <c r="AQ1117" s="520"/>
      <c r="AR1117" s="520"/>
      <c r="AS1117" s="520"/>
      <c r="AT1117" s="520"/>
      <c r="AU1117" s="520"/>
      <c r="AV1117" s="520"/>
      <c r="AY1117" s="507"/>
      <c r="BA1117" s="507"/>
      <c r="BJ1117" s="493"/>
      <c r="CU1117" s="488"/>
      <c r="CW1117" s="488"/>
      <c r="EV1117" s="821"/>
      <c r="EW1117" s="821"/>
    </row>
    <row r="1118" spans="1:153" s="757" customFormat="1" hidden="1">
      <c r="A1118" s="487"/>
      <c r="B1118" s="487"/>
      <c r="C1118" s="487"/>
      <c r="D1118" s="487"/>
      <c r="I1118" s="487"/>
      <c r="J1118" s="487"/>
      <c r="K1118" s="487"/>
      <c r="L1118" s="487"/>
      <c r="M1118" s="487"/>
      <c r="N1118" s="487"/>
      <c r="O1118" s="875"/>
      <c r="Q1118" s="704"/>
      <c r="R1118" s="1026"/>
      <c r="S1118" s="704"/>
      <c r="T1118" s="1026"/>
      <c r="AB1118" s="520"/>
      <c r="AC1118" s="520"/>
      <c r="AD1118" s="520"/>
      <c r="AE1118" s="520"/>
      <c r="AF1118" s="520"/>
      <c r="AG1118" s="520"/>
      <c r="AH1118" s="520"/>
      <c r="AI1118" s="520"/>
      <c r="AJ1118" s="520"/>
      <c r="AK1118" s="520"/>
      <c r="AL1118" s="520"/>
      <c r="AM1118" s="520"/>
      <c r="AN1118" s="520"/>
      <c r="AO1118" s="520"/>
      <c r="AP1118" s="520"/>
      <c r="AQ1118" s="520"/>
      <c r="AR1118" s="520"/>
      <c r="AS1118" s="520"/>
      <c r="AT1118" s="520"/>
      <c r="AU1118" s="520"/>
      <c r="AV1118" s="520"/>
      <c r="AY1118" s="507"/>
      <c r="BA1118" s="507"/>
      <c r="BJ1118" s="493"/>
      <c r="CU1118" s="488"/>
      <c r="CW1118" s="488"/>
      <c r="EV1118" s="821"/>
      <c r="EW1118" s="821"/>
    </row>
    <row r="1119" spans="1:153" s="757" customFormat="1" hidden="1">
      <c r="A1119" s="487"/>
      <c r="B1119" s="487"/>
      <c r="C1119" s="487"/>
      <c r="D1119" s="487"/>
      <c r="I1119" s="487"/>
      <c r="J1119" s="487"/>
      <c r="K1119" s="487"/>
      <c r="L1119" s="487"/>
      <c r="M1119" s="487"/>
      <c r="N1119" s="487"/>
      <c r="O1119" s="875"/>
      <c r="Q1119" s="704"/>
      <c r="R1119" s="1026"/>
      <c r="S1119" s="704"/>
      <c r="T1119" s="1026"/>
      <c r="AB1119" s="520"/>
      <c r="AC1119" s="520"/>
      <c r="AD1119" s="520"/>
      <c r="AE1119" s="520"/>
      <c r="AF1119" s="520"/>
      <c r="AG1119" s="520"/>
      <c r="AH1119" s="520"/>
      <c r="AI1119" s="520"/>
      <c r="AJ1119" s="520"/>
      <c r="AK1119" s="520"/>
      <c r="AL1119" s="520"/>
      <c r="AM1119" s="520"/>
      <c r="AN1119" s="520"/>
      <c r="AO1119" s="520"/>
      <c r="AP1119" s="520"/>
      <c r="AQ1119" s="520"/>
      <c r="AR1119" s="520"/>
      <c r="AS1119" s="520"/>
      <c r="AT1119" s="520"/>
      <c r="AU1119" s="520"/>
      <c r="AV1119" s="520"/>
      <c r="AY1119" s="507"/>
      <c r="BA1119" s="507"/>
      <c r="BJ1119" s="493"/>
      <c r="CU1119" s="488"/>
      <c r="CW1119" s="488"/>
      <c r="EV1119" s="821"/>
      <c r="EW1119" s="821"/>
    </row>
    <row r="1120" spans="1:153" s="757" customFormat="1" hidden="1">
      <c r="A1120" s="487"/>
      <c r="B1120" s="487"/>
      <c r="C1120" s="487"/>
      <c r="D1120" s="487"/>
      <c r="I1120" s="487"/>
      <c r="J1120" s="487"/>
      <c r="K1120" s="487"/>
      <c r="L1120" s="487"/>
      <c r="M1120" s="487"/>
      <c r="N1120" s="487"/>
      <c r="O1120" s="875"/>
      <c r="Q1120" s="704"/>
      <c r="R1120" s="1026"/>
      <c r="S1120" s="704"/>
      <c r="T1120" s="1026"/>
      <c r="AB1120" s="520"/>
      <c r="AC1120" s="520"/>
      <c r="AD1120" s="520"/>
      <c r="AE1120" s="520"/>
      <c r="AF1120" s="520"/>
      <c r="AG1120" s="520"/>
      <c r="AH1120" s="520"/>
      <c r="AI1120" s="520"/>
      <c r="AJ1120" s="520"/>
      <c r="AK1120" s="520"/>
      <c r="AL1120" s="520"/>
      <c r="AM1120" s="520"/>
      <c r="AN1120" s="520"/>
      <c r="AO1120" s="520"/>
      <c r="AP1120" s="520"/>
      <c r="AQ1120" s="520"/>
      <c r="AR1120" s="520"/>
      <c r="AS1120" s="520"/>
      <c r="AT1120" s="520"/>
      <c r="AU1120" s="520"/>
      <c r="AV1120" s="520"/>
      <c r="AY1120" s="507"/>
      <c r="BA1120" s="507"/>
      <c r="BJ1120" s="493"/>
      <c r="CU1120" s="488"/>
      <c r="CW1120" s="488"/>
      <c r="EV1120" s="821"/>
      <c r="EW1120" s="821"/>
    </row>
    <row r="1121" spans="1:153" s="757" customFormat="1" hidden="1">
      <c r="A1121" s="487"/>
      <c r="B1121" s="487"/>
      <c r="C1121" s="487"/>
      <c r="D1121" s="487"/>
      <c r="I1121" s="487"/>
      <c r="J1121" s="487"/>
      <c r="K1121" s="487"/>
      <c r="L1121" s="487"/>
      <c r="M1121" s="487"/>
      <c r="N1121" s="487"/>
      <c r="O1121" s="875"/>
      <c r="Q1121" s="704"/>
      <c r="R1121" s="1026"/>
      <c r="S1121" s="704"/>
      <c r="T1121" s="1026"/>
      <c r="AB1121" s="520"/>
      <c r="AC1121" s="520"/>
      <c r="AD1121" s="520"/>
      <c r="AE1121" s="520"/>
      <c r="AF1121" s="520"/>
      <c r="AG1121" s="520"/>
      <c r="AH1121" s="520"/>
      <c r="AI1121" s="520"/>
      <c r="AJ1121" s="520"/>
      <c r="AK1121" s="520"/>
      <c r="AL1121" s="520"/>
      <c r="AM1121" s="520"/>
      <c r="AN1121" s="520"/>
      <c r="AO1121" s="520"/>
      <c r="AP1121" s="520"/>
      <c r="AQ1121" s="520"/>
      <c r="AR1121" s="520"/>
      <c r="AS1121" s="520"/>
      <c r="AT1121" s="520"/>
      <c r="AU1121" s="520"/>
      <c r="AV1121" s="520"/>
      <c r="AY1121" s="507"/>
      <c r="BA1121" s="507"/>
      <c r="BJ1121" s="493"/>
      <c r="CU1121" s="488"/>
      <c r="CW1121" s="488"/>
      <c r="EV1121" s="821"/>
      <c r="EW1121" s="821"/>
    </row>
    <row r="1122" spans="1:153" s="757" customFormat="1" hidden="1">
      <c r="A1122" s="487"/>
      <c r="B1122" s="487"/>
      <c r="C1122" s="487"/>
      <c r="D1122" s="487"/>
      <c r="I1122" s="487"/>
      <c r="J1122" s="487"/>
      <c r="K1122" s="487"/>
      <c r="L1122" s="487"/>
      <c r="M1122" s="487"/>
      <c r="N1122" s="487"/>
      <c r="O1122" s="875"/>
      <c r="Q1122" s="704"/>
      <c r="R1122" s="1026"/>
      <c r="S1122" s="704"/>
      <c r="T1122" s="1026"/>
      <c r="AB1122" s="520"/>
      <c r="AC1122" s="520"/>
      <c r="AD1122" s="520"/>
      <c r="AE1122" s="520"/>
      <c r="AF1122" s="520"/>
      <c r="AG1122" s="520"/>
      <c r="AH1122" s="520"/>
      <c r="AI1122" s="520"/>
      <c r="AJ1122" s="520"/>
      <c r="AK1122" s="520"/>
      <c r="AL1122" s="520"/>
      <c r="AM1122" s="520"/>
      <c r="AN1122" s="520"/>
      <c r="AO1122" s="520"/>
      <c r="AP1122" s="520"/>
      <c r="AQ1122" s="520"/>
      <c r="AR1122" s="520"/>
      <c r="AS1122" s="520"/>
      <c r="AT1122" s="520"/>
      <c r="AU1122" s="520"/>
      <c r="AV1122" s="520"/>
      <c r="AY1122" s="507"/>
      <c r="BA1122" s="507"/>
      <c r="BJ1122" s="493"/>
      <c r="CU1122" s="488"/>
      <c r="CW1122" s="488"/>
      <c r="EV1122" s="821"/>
      <c r="EW1122" s="821"/>
    </row>
    <row r="1123" spans="1:153" s="757" customFormat="1" hidden="1">
      <c r="A1123" s="487"/>
      <c r="B1123" s="487"/>
      <c r="C1123" s="487"/>
      <c r="D1123" s="487"/>
      <c r="I1123" s="487"/>
      <c r="J1123" s="487"/>
      <c r="K1123" s="487"/>
      <c r="L1123" s="487"/>
      <c r="M1123" s="487"/>
      <c r="N1123" s="487"/>
      <c r="O1123" s="875"/>
      <c r="Q1123" s="704"/>
      <c r="R1123" s="1026"/>
      <c r="S1123" s="704"/>
      <c r="T1123" s="1026"/>
      <c r="AB1123" s="520"/>
      <c r="AC1123" s="520"/>
      <c r="AD1123" s="520"/>
      <c r="AE1123" s="520"/>
      <c r="AF1123" s="520"/>
      <c r="AG1123" s="520"/>
      <c r="AH1123" s="520"/>
      <c r="AI1123" s="520"/>
      <c r="AJ1123" s="520"/>
      <c r="AK1123" s="520"/>
      <c r="AL1123" s="520"/>
      <c r="AM1123" s="520"/>
      <c r="AN1123" s="520"/>
      <c r="AO1123" s="520"/>
      <c r="AP1123" s="520"/>
      <c r="AQ1123" s="520"/>
      <c r="AR1123" s="520"/>
      <c r="AS1123" s="520"/>
      <c r="AT1123" s="520"/>
      <c r="AU1123" s="520"/>
      <c r="AV1123" s="520"/>
      <c r="AY1123" s="507"/>
      <c r="BA1123" s="507"/>
      <c r="BJ1123" s="493"/>
      <c r="CU1123" s="488"/>
      <c r="CW1123" s="488"/>
      <c r="EV1123" s="821"/>
      <c r="EW1123" s="821"/>
    </row>
    <row r="1124" spans="1:153" s="757" customFormat="1" hidden="1">
      <c r="A1124" s="487"/>
      <c r="B1124" s="487"/>
      <c r="C1124" s="487"/>
      <c r="D1124" s="487"/>
      <c r="I1124" s="487"/>
      <c r="J1124" s="487"/>
      <c r="K1124" s="487"/>
      <c r="L1124" s="487"/>
      <c r="M1124" s="487"/>
      <c r="N1124" s="487"/>
      <c r="O1124" s="875"/>
      <c r="Q1124" s="704"/>
      <c r="R1124" s="1026"/>
      <c r="S1124" s="704"/>
      <c r="T1124" s="1026"/>
      <c r="AB1124" s="520"/>
      <c r="AC1124" s="520"/>
      <c r="AD1124" s="520"/>
      <c r="AE1124" s="520"/>
      <c r="AF1124" s="520"/>
      <c r="AG1124" s="520"/>
      <c r="AH1124" s="520"/>
      <c r="AI1124" s="520"/>
      <c r="AJ1124" s="520"/>
      <c r="AK1124" s="520"/>
      <c r="AL1124" s="520"/>
      <c r="AM1124" s="520"/>
      <c r="AN1124" s="520"/>
      <c r="AO1124" s="520"/>
      <c r="AP1124" s="520"/>
      <c r="AQ1124" s="520"/>
      <c r="AR1124" s="520"/>
      <c r="AS1124" s="520"/>
      <c r="AT1124" s="520"/>
      <c r="AU1124" s="520"/>
      <c r="AV1124" s="520"/>
      <c r="AY1124" s="507"/>
      <c r="BA1124" s="507"/>
      <c r="BJ1124" s="493"/>
      <c r="CU1124" s="488"/>
      <c r="CW1124" s="488"/>
      <c r="EV1124" s="821"/>
      <c r="EW1124" s="821"/>
    </row>
    <row r="1125" spans="1:153" s="757" customFormat="1" hidden="1">
      <c r="A1125" s="487"/>
      <c r="B1125" s="487"/>
      <c r="C1125" s="487"/>
      <c r="D1125" s="487"/>
      <c r="I1125" s="487"/>
      <c r="J1125" s="487"/>
      <c r="K1125" s="487"/>
      <c r="L1125" s="487"/>
      <c r="M1125" s="487"/>
      <c r="N1125" s="487"/>
      <c r="O1125" s="875"/>
      <c r="Q1125" s="704"/>
      <c r="R1125" s="1026"/>
      <c r="S1125" s="704"/>
      <c r="T1125" s="1026"/>
      <c r="AB1125" s="520"/>
      <c r="AC1125" s="520"/>
      <c r="AD1125" s="520"/>
      <c r="AE1125" s="520"/>
      <c r="AF1125" s="520"/>
      <c r="AG1125" s="520"/>
      <c r="AH1125" s="520"/>
      <c r="AI1125" s="520"/>
      <c r="AJ1125" s="520"/>
      <c r="AK1125" s="520"/>
      <c r="AL1125" s="520"/>
      <c r="AM1125" s="520"/>
      <c r="AN1125" s="520"/>
      <c r="AO1125" s="520"/>
      <c r="AP1125" s="520"/>
      <c r="AQ1125" s="520"/>
      <c r="AR1125" s="520"/>
      <c r="AS1125" s="520"/>
      <c r="AT1125" s="520"/>
      <c r="AU1125" s="520"/>
      <c r="AV1125" s="520"/>
      <c r="AY1125" s="507"/>
      <c r="BA1125" s="507"/>
      <c r="BJ1125" s="493"/>
      <c r="CU1125" s="488"/>
      <c r="CW1125" s="488"/>
      <c r="EV1125" s="821"/>
      <c r="EW1125" s="821"/>
    </row>
    <row r="1126" spans="1:153" s="757" customFormat="1" hidden="1">
      <c r="A1126" s="487"/>
      <c r="B1126" s="487"/>
      <c r="C1126" s="487"/>
      <c r="D1126" s="487"/>
      <c r="I1126" s="487"/>
      <c r="J1126" s="487"/>
      <c r="K1126" s="487"/>
      <c r="L1126" s="487"/>
      <c r="M1126" s="487"/>
      <c r="N1126" s="487"/>
      <c r="O1126" s="875"/>
      <c r="Q1126" s="704"/>
      <c r="R1126" s="1026"/>
      <c r="S1126" s="704"/>
      <c r="T1126" s="1026"/>
      <c r="AB1126" s="520"/>
      <c r="AC1126" s="520"/>
      <c r="AD1126" s="520"/>
      <c r="AE1126" s="520"/>
      <c r="AF1126" s="520"/>
      <c r="AG1126" s="520"/>
      <c r="AH1126" s="520"/>
      <c r="AI1126" s="520"/>
      <c r="AJ1126" s="520"/>
      <c r="AK1126" s="520"/>
      <c r="AL1126" s="520"/>
      <c r="AM1126" s="520"/>
      <c r="AN1126" s="520"/>
      <c r="AO1126" s="520"/>
      <c r="AP1126" s="520"/>
      <c r="AQ1126" s="520"/>
      <c r="AR1126" s="520"/>
      <c r="AS1126" s="520"/>
      <c r="AT1126" s="520"/>
      <c r="AU1126" s="520"/>
      <c r="AV1126" s="520"/>
      <c r="AY1126" s="507"/>
      <c r="BA1126" s="507"/>
      <c r="BJ1126" s="493"/>
      <c r="CU1126" s="488"/>
      <c r="CW1126" s="488"/>
      <c r="EV1126" s="821"/>
      <c r="EW1126" s="821"/>
    </row>
    <row r="1127" spans="1:153" s="757" customFormat="1" hidden="1">
      <c r="A1127" s="487"/>
      <c r="B1127" s="487"/>
      <c r="C1127" s="487"/>
      <c r="D1127" s="487"/>
      <c r="I1127" s="487"/>
      <c r="J1127" s="487"/>
      <c r="K1127" s="487"/>
      <c r="L1127" s="487"/>
      <c r="M1127" s="487"/>
      <c r="N1127" s="487"/>
      <c r="O1127" s="875"/>
      <c r="Q1127" s="704"/>
      <c r="R1127" s="1026"/>
      <c r="S1127" s="704"/>
      <c r="T1127" s="1026"/>
      <c r="AB1127" s="520"/>
      <c r="AC1127" s="520"/>
      <c r="AD1127" s="520"/>
      <c r="AE1127" s="520"/>
      <c r="AF1127" s="520"/>
      <c r="AG1127" s="520"/>
      <c r="AH1127" s="520"/>
      <c r="AI1127" s="520"/>
      <c r="AJ1127" s="520"/>
      <c r="AK1127" s="520"/>
      <c r="AL1127" s="520"/>
      <c r="AM1127" s="520"/>
      <c r="AN1127" s="520"/>
      <c r="AO1127" s="520"/>
      <c r="AP1127" s="520"/>
      <c r="AQ1127" s="520"/>
      <c r="AR1127" s="520"/>
      <c r="AS1127" s="520"/>
      <c r="AT1127" s="520"/>
      <c r="AU1127" s="520"/>
      <c r="AV1127" s="520"/>
      <c r="AY1127" s="507"/>
      <c r="BA1127" s="507"/>
      <c r="BJ1127" s="493"/>
      <c r="CU1127" s="488"/>
      <c r="CW1127" s="488"/>
      <c r="EV1127" s="821"/>
      <c r="EW1127" s="821"/>
    </row>
    <row r="1128" spans="1:153" s="757" customFormat="1" hidden="1">
      <c r="A1128" s="487"/>
      <c r="B1128" s="487"/>
      <c r="C1128" s="487"/>
      <c r="D1128" s="487"/>
      <c r="I1128" s="487"/>
      <c r="J1128" s="487"/>
      <c r="K1128" s="487"/>
      <c r="L1128" s="487"/>
      <c r="M1128" s="487"/>
      <c r="N1128" s="487"/>
      <c r="O1128" s="875"/>
      <c r="Q1128" s="704"/>
      <c r="R1128" s="1026"/>
      <c r="S1128" s="704"/>
      <c r="T1128" s="1026"/>
      <c r="AB1128" s="520"/>
      <c r="AC1128" s="520"/>
      <c r="AD1128" s="520"/>
      <c r="AE1128" s="520"/>
      <c r="AF1128" s="520"/>
      <c r="AG1128" s="520"/>
      <c r="AH1128" s="520"/>
      <c r="AI1128" s="520"/>
      <c r="AJ1128" s="520"/>
      <c r="AK1128" s="520"/>
      <c r="AL1128" s="520"/>
      <c r="AM1128" s="520"/>
      <c r="AN1128" s="520"/>
      <c r="AO1128" s="520"/>
      <c r="AP1128" s="520"/>
      <c r="AQ1128" s="520"/>
      <c r="AR1128" s="520"/>
      <c r="AS1128" s="520"/>
      <c r="AT1128" s="520"/>
      <c r="AU1128" s="520"/>
      <c r="AV1128" s="520"/>
      <c r="AY1128" s="507"/>
      <c r="BA1128" s="507"/>
      <c r="BJ1128" s="493"/>
      <c r="CU1128" s="488"/>
      <c r="CW1128" s="488"/>
      <c r="EV1128" s="821"/>
      <c r="EW1128" s="821"/>
    </row>
    <row r="1129" spans="1:153" s="757" customFormat="1" hidden="1">
      <c r="A1129" s="487"/>
      <c r="B1129" s="487"/>
      <c r="C1129" s="487"/>
      <c r="D1129" s="487"/>
      <c r="I1129" s="487"/>
      <c r="J1129" s="487"/>
      <c r="K1129" s="487"/>
      <c r="L1129" s="487"/>
      <c r="M1129" s="487"/>
      <c r="N1129" s="487"/>
      <c r="O1129" s="875"/>
      <c r="Q1129" s="704"/>
      <c r="R1129" s="1026"/>
      <c r="S1129" s="704"/>
      <c r="T1129" s="1026"/>
      <c r="AB1129" s="520"/>
      <c r="AC1129" s="520"/>
      <c r="AD1129" s="520"/>
      <c r="AE1129" s="520"/>
      <c r="AF1129" s="520"/>
      <c r="AG1129" s="520"/>
      <c r="AH1129" s="520"/>
      <c r="AI1129" s="520"/>
      <c r="AJ1129" s="520"/>
      <c r="AK1129" s="520"/>
      <c r="AL1129" s="520"/>
      <c r="AM1129" s="520"/>
      <c r="AN1129" s="520"/>
      <c r="AO1129" s="520"/>
      <c r="AP1129" s="520"/>
      <c r="AQ1129" s="520"/>
      <c r="AR1129" s="520"/>
      <c r="AS1129" s="520"/>
      <c r="AT1129" s="520"/>
      <c r="AU1129" s="520"/>
      <c r="AV1129" s="520"/>
      <c r="AY1129" s="507"/>
      <c r="BA1129" s="507"/>
      <c r="BJ1129" s="493"/>
      <c r="CU1129" s="488"/>
      <c r="CW1129" s="488"/>
      <c r="EV1129" s="821"/>
      <c r="EW1129" s="821"/>
    </row>
    <row r="1130" spans="1:153" s="757" customFormat="1" hidden="1">
      <c r="A1130" s="487"/>
      <c r="B1130" s="487"/>
      <c r="C1130" s="487"/>
      <c r="D1130" s="487"/>
      <c r="I1130" s="487"/>
      <c r="J1130" s="487"/>
      <c r="K1130" s="487"/>
      <c r="L1130" s="487"/>
      <c r="M1130" s="487"/>
      <c r="N1130" s="487"/>
      <c r="O1130" s="875"/>
      <c r="Q1130" s="704"/>
      <c r="R1130" s="1026"/>
      <c r="S1130" s="704"/>
      <c r="T1130" s="1026"/>
      <c r="AB1130" s="520"/>
      <c r="AC1130" s="520"/>
      <c r="AD1130" s="520"/>
      <c r="AE1130" s="520"/>
      <c r="AF1130" s="520"/>
      <c r="AG1130" s="520"/>
      <c r="AH1130" s="520"/>
      <c r="AI1130" s="520"/>
      <c r="AJ1130" s="520"/>
      <c r="AK1130" s="520"/>
      <c r="AL1130" s="520"/>
      <c r="AM1130" s="520"/>
      <c r="AN1130" s="520"/>
      <c r="AO1130" s="520"/>
      <c r="AP1130" s="520"/>
      <c r="AQ1130" s="520"/>
      <c r="AR1130" s="520"/>
      <c r="AS1130" s="520"/>
      <c r="AT1130" s="520"/>
      <c r="AU1130" s="520"/>
      <c r="AV1130" s="520"/>
      <c r="AY1130" s="507"/>
      <c r="BA1130" s="507"/>
      <c r="BJ1130" s="493"/>
      <c r="CU1130" s="488"/>
      <c r="CW1130" s="488"/>
      <c r="EV1130" s="821"/>
      <c r="EW1130" s="821"/>
    </row>
    <row r="1131" spans="1:153" s="757" customFormat="1" hidden="1">
      <c r="A1131" s="487"/>
      <c r="B1131" s="487"/>
      <c r="C1131" s="487"/>
      <c r="D1131" s="487"/>
      <c r="I1131" s="487"/>
      <c r="J1131" s="487"/>
      <c r="K1131" s="487"/>
      <c r="L1131" s="487"/>
      <c r="M1131" s="487"/>
      <c r="N1131" s="487"/>
      <c r="O1131" s="875"/>
      <c r="Q1131" s="704"/>
      <c r="R1131" s="1026"/>
      <c r="S1131" s="704"/>
      <c r="T1131" s="1026"/>
      <c r="AB1131" s="520"/>
      <c r="AC1131" s="520"/>
      <c r="AD1131" s="520"/>
      <c r="AE1131" s="520"/>
      <c r="AF1131" s="520"/>
      <c r="AG1131" s="520"/>
      <c r="AH1131" s="520"/>
      <c r="AI1131" s="520"/>
      <c r="AJ1131" s="520"/>
      <c r="AK1131" s="520"/>
      <c r="AL1131" s="520"/>
      <c r="AM1131" s="520"/>
      <c r="AN1131" s="520"/>
      <c r="AO1131" s="520"/>
      <c r="AP1131" s="520"/>
      <c r="AQ1131" s="520"/>
      <c r="AR1131" s="520"/>
      <c r="AS1131" s="520"/>
      <c r="AT1131" s="520"/>
      <c r="AU1131" s="520"/>
      <c r="AV1131" s="520"/>
      <c r="AY1131" s="507"/>
      <c r="BA1131" s="507"/>
      <c r="BJ1131" s="493"/>
      <c r="CU1131" s="488"/>
      <c r="CW1131" s="488"/>
      <c r="EV1131" s="821"/>
      <c r="EW1131" s="821"/>
    </row>
    <row r="1132" spans="1:153" s="757" customFormat="1" hidden="1">
      <c r="A1132" s="487"/>
      <c r="B1132" s="487"/>
      <c r="C1132" s="487"/>
      <c r="D1132" s="487"/>
      <c r="I1132" s="487"/>
      <c r="J1132" s="487"/>
      <c r="K1132" s="487"/>
      <c r="L1132" s="487"/>
      <c r="M1132" s="487"/>
      <c r="N1132" s="487"/>
      <c r="O1132" s="875"/>
      <c r="Q1132" s="704"/>
      <c r="R1132" s="1026"/>
      <c r="S1132" s="704"/>
      <c r="T1132" s="1026"/>
      <c r="AB1132" s="520"/>
      <c r="AC1132" s="520"/>
      <c r="AD1132" s="520"/>
      <c r="AE1132" s="520"/>
      <c r="AF1132" s="520"/>
      <c r="AG1132" s="520"/>
      <c r="AH1132" s="520"/>
      <c r="AI1132" s="520"/>
      <c r="AJ1132" s="520"/>
      <c r="AK1132" s="520"/>
      <c r="AL1132" s="520"/>
      <c r="AM1132" s="520"/>
      <c r="AN1132" s="520"/>
      <c r="AO1132" s="520"/>
      <c r="AP1132" s="520"/>
      <c r="AQ1132" s="520"/>
      <c r="AR1132" s="520"/>
      <c r="AS1132" s="520"/>
      <c r="AT1132" s="520"/>
      <c r="AU1132" s="520"/>
      <c r="AV1132" s="520"/>
      <c r="AY1132" s="507"/>
      <c r="BA1132" s="507"/>
      <c r="BJ1132" s="493"/>
      <c r="CU1132" s="488"/>
      <c r="CW1132" s="488"/>
      <c r="EV1132" s="821"/>
      <c r="EW1132" s="821"/>
    </row>
    <row r="1133" spans="1:153" s="757" customFormat="1" hidden="1">
      <c r="A1133" s="487"/>
      <c r="B1133" s="487"/>
      <c r="C1133" s="487"/>
      <c r="D1133" s="487"/>
      <c r="I1133" s="487"/>
      <c r="J1133" s="487"/>
      <c r="K1133" s="487"/>
      <c r="L1133" s="487"/>
      <c r="M1133" s="487"/>
      <c r="N1133" s="487"/>
      <c r="O1133" s="875"/>
      <c r="Q1133" s="704"/>
      <c r="R1133" s="1026"/>
      <c r="S1133" s="704"/>
      <c r="T1133" s="1026"/>
      <c r="AB1133" s="520"/>
      <c r="AC1133" s="520"/>
      <c r="AD1133" s="520"/>
      <c r="AE1133" s="520"/>
      <c r="AF1133" s="520"/>
      <c r="AG1133" s="520"/>
      <c r="AH1133" s="520"/>
      <c r="AI1133" s="520"/>
      <c r="AJ1133" s="520"/>
      <c r="AK1133" s="520"/>
      <c r="AL1133" s="520"/>
      <c r="AM1133" s="520"/>
      <c r="AN1133" s="520"/>
      <c r="AO1133" s="520"/>
      <c r="AP1133" s="520"/>
      <c r="AQ1133" s="520"/>
      <c r="AR1133" s="520"/>
      <c r="AS1133" s="520"/>
      <c r="AT1133" s="520"/>
      <c r="AU1133" s="520"/>
      <c r="AV1133" s="520"/>
      <c r="AY1133" s="507"/>
      <c r="BA1133" s="507"/>
      <c r="BJ1133" s="493"/>
      <c r="CU1133" s="488"/>
      <c r="CW1133" s="488"/>
      <c r="EV1133" s="821"/>
      <c r="EW1133" s="821"/>
    </row>
    <row r="1134" spans="1:153" s="757" customFormat="1" hidden="1">
      <c r="A1134" s="487"/>
      <c r="B1134" s="487"/>
      <c r="C1134" s="487"/>
      <c r="D1134" s="487"/>
      <c r="I1134" s="487"/>
      <c r="J1134" s="487"/>
      <c r="K1134" s="487"/>
      <c r="L1134" s="487"/>
      <c r="M1134" s="487"/>
      <c r="N1134" s="487"/>
      <c r="O1134" s="875"/>
      <c r="Q1134" s="704"/>
      <c r="R1134" s="1026"/>
      <c r="S1134" s="704"/>
      <c r="T1134" s="1026"/>
      <c r="AB1134" s="520"/>
      <c r="AC1134" s="520"/>
      <c r="AD1134" s="520"/>
      <c r="AE1134" s="520"/>
      <c r="AF1134" s="520"/>
      <c r="AG1134" s="520"/>
      <c r="AH1134" s="520"/>
      <c r="AI1134" s="520"/>
      <c r="AJ1134" s="520"/>
      <c r="AK1134" s="520"/>
      <c r="AL1134" s="520"/>
      <c r="AM1134" s="520"/>
      <c r="AN1134" s="520"/>
      <c r="AO1134" s="520"/>
      <c r="AP1134" s="520"/>
      <c r="AQ1134" s="520"/>
      <c r="AR1134" s="520"/>
      <c r="AS1134" s="520"/>
      <c r="AT1134" s="520"/>
      <c r="AU1134" s="520"/>
      <c r="AV1134" s="520"/>
      <c r="AY1134" s="507"/>
      <c r="BA1134" s="507"/>
      <c r="BJ1134" s="493"/>
      <c r="CU1134" s="488"/>
      <c r="CW1134" s="488"/>
      <c r="EV1134" s="821"/>
      <c r="EW1134" s="821"/>
    </row>
    <row r="1135" spans="1:153" s="757" customFormat="1" hidden="1">
      <c r="A1135" s="487"/>
      <c r="B1135" s="487"/>
      <c r="C1135" s="487"/>
      <c r="D1135" s="487"/>
      <c r="I1135" s="487"/>
      <c r="J1135" s="487"/>
      <c r="K1135" s="487"/>
      <c r="L1135" s="487"/>
      <c r="M1135" s="487"/>
      <c r="N1135" s="487"/>
      <c r="O1135" s="875"/>
      <c r="Q1135" s="704"/>
      <c r="R1135" s="1026"/>
      <c r="S1135" s="704"/>
      <c r="T1135" s="1026"/>
      <c r="AB1135" s="520"/>
      <c r="AC1135" s="520"/>
      <c r="AD1135" s="520"/>
      <c r="AE1135" s="520"/>
      <c r="AF1135" s="520"/>
      <c r="AG1135" s="520"/>
      <c r="AH1135" s="520"/>
      <c r="AI1135" s="520"/>
      <c r="AJ1135" s="520"/>
      <c r="AK1135" s="520"/>
      <c r="AL1135" s="520"/>
      <c r="AM1135" s="520"/>
      <c r="AN1135" s="520"/>
      <c r="AO1135" s="520"/>
      <c r="AP1135" s="520"/>
      <c r="AQ1135" s="520"/>
      <c r="AR1135" s="520"/>
      <c r="AS1135" s="520"/>
      <c r="AT1135" s="520"/>
      <c r="AU1135" s="520"/>
      <c r="AV1135" s="520"/>
      <c r="AY1135" s="507"/>
      <c r="BA1135" s="507"/>
      <c r="BJ1135" s="493"/>
      <c r="CU1135" s="488"/>
      <c r="CW1135" s="488"/>
      <c r="EV1135" s="821"/>
      <c r="EW1135" s="821"/>
    </row>
    <row r="1136" spans="1:153" s="757" customFormat="1" hidden="1">
      <c r="A1136" s="487"/>
      <c r="B1136" s="487"/>
      <c r="C1136" s="487"/>
      <c r="D1136" s="487"/>
      <c r="I1136" s="487"/>
      <c r="J1136" s="487"/>
      <c r="K1136" s="487"/>
      <c r="L1136" s="487"/>
      <c r="M1136" s="487"/>
      <c r="N1136" s="487"/>
      <c r="O1136" s="875"/>
      <c r="Q1136" s="704"/>
      <c r="R1136" s="1026"/>
      <c r="S1136" s="704"/>
      <c r="T1136" s="1026"/>
      <c r="AB1136" s="520"/>
      <c r="AC1136" s="520"/>
      <c r="AD1136" s="520"/>
      <c r="AE1136" s="520"/>
      <c r="AF1136" s="520"/>
      <c r="AG1136" s="520"/>
      <c r="AH1136" s="520"/>
      <c r="AI1136" s="520"/>
      <c r="AJ1136" s="520"/>
      <c r="AK1136" s="520"/>
      <c r="AL1136" s="520"/>
      <c r="AM1136" s="520"/>
      <c r="AN1136" s="520"/>
      <c r="AO1136" s="520"/>
      <c r="AP1136" s="520"/>
      <c r="AQ1136" s="520"/>
      <c r="AR1136" s="520"/>
      <c r="AS1136" s="520"/>
      <c r="AT1136" s="520"/>
      <c r="AU1136" s="520"/>
      <c r="AV1136" s="520"/>
      <c r="AY1136" s="507"/>
      <c r="BA1136" s="507"/>
      <c r="BJ1136" s="493"/>
      <c r="CU1136" s="488"/>
      <c r="CW1136" s="488"/>
      <c r="EV1136" s="821"/>
      <c r="EW1136" s="821"/>
    </row>
    <row r="1137" spans="1:153" s="757" customFormat="1" hidden="1">
      <c r="A1137" s="487"/>
      <c r="B1137" s="487"/>
      <c r="C1137" s="487"/>
      <c r="D1137" s="487"/>
      <c r="I1137" s="487"/>
      <c r="J1137" s="487"/>
      <c r="K1137" s="487"/>
      <c r="L1137" s="487"/>
      <c r="M1137" s="487"/>
      <c r="N1137" s="487"/>
      <c r="O1137" s="875"/>
      <c r="Q1137" s="704"/>
      <c r="R1137" s="1026"/>
      <c r="S1137" s="704"/>
      <c r="T1137" s="1026"/>
      <c r="AB1137" s="520"/>
      <c r="AC1137" s="520"/>
      <c r="AD1137" s="520"/>
      <c r="AE1137" s="520"/>
      <c r="AF1137" s="520"/>
      <c r="AG1137" s="520"/>
      <c r="AH1137" s="520"/>
      <c r="AI1137" s="520"/>
      <c r="AJ1137" s="520"/>
      <c r="AK1137" s="520"/>
      <c r="AL1137" s="520"/>
      <c r="AM1137" s="520"/>
      <c r="AN1137" s="520"/>
      <c r="AO1137" s="520"/>
      <c r="AP1137" s="520"/>
      <c r="AQ1137" s="520"/>
      <c r="AR1137" s="520"/>
      <c r="AS1137" s="520"/>
      <c r="AT1137" s="520"/>
      <c r="AU1137" s="520"/>
      <c r="AV1137" s="520"/>
      <c r="AY1137" s="507"/>
      <c r="BA1137" s="507"/>
      <c r="BJ1137" s="493"/>
      <c r="CU1137" s="488"/>
      <c r="CW1137" s="488"/>
      <c r="EV1137" s="821"/>
      <c r="EW1137" s="821"/>
    </row>
    <row r="1138" spans="1:153" s="757" customFormat="1" hidden="1">
      <c r="A1138" s="487"/>
      <c r="B1138" s="487"/>
      <c r="C1138" s="487"/>
      <c r="D1138" s="487"/>
      <c r="I1138" s="487"/>
      <c r="J1138" s="487"/>
      <c r="K1138" s="487"/>
      <c r="L1138" s="487"/>
      <c r="M1138" s="487"/>
      <c r="N1138" s="487"/>
      <c r="O1138" s="875"/>
      <c r="Q1138" s="704"/>
      <c r="R1138" s="1026"/>
      <c r="S1138" s="704"/>
      <c r="T1138" s="1026"/>
      <c r="AB1138" s="520"/>
      <c r="AC1138" s="520"/>
      <c r="AD1138" s="520"/>
      <c r="AE1138" s="520"/>
      <c r="AF1138" s="520"/>
      <c r="AG1138" s="520"/>
      <c r="AH1138" s="520"/>
      <c r="AI1138" s="520"/>
      <c r="AJ1138" s="520"/>
      <c r="AK1138" s="520"/>
      <c r="AL1138" s="520"/>
      <c r="AM1138" s="520"/>
      <c r="AN1138" s="520"/>
      <c r="AO1138" s="520"/>
      <c r="AP1138" s="520"/>
      <c r="AQ1138" s="520"/>
      <c r="AR1138" s="520"/>
      <c r="AS1138" s="520"/>
      <c r="AT1138" s="520"/>
      <c r="AU1138" s="520"/>
      <c r="AV1138" s="520"/>
      <c r="AY1138" s="507"/>
      <c r="BA1138" s="507"/>
      <c r="BJ1138" s="493"/>
      <c r="CU1138" s="488"/>
      <c r="CW1138" s="488"/>
      <c r="EV1138" s="821"/>
      <c r="EW1138" s="821"/>
    </row>
    <row r="1139" spans="1:153" s="757" customFormat="1" hidden="1">
      <c r="A1139" s="487"/>
      <c r="B1139" s="487"/>
      <c r="C1139" s="487"/>
      <c r="D1139" s="487"/>
      <c r="I1139" s="487"/>
      <c r="J1139" s="487"/>
      <c r="K1139" s="487"/>
      <c r="L1139" s="487"/>
      <c r="M1139" s="487"/>
      <c r="N1139" s="487"/>
      <c r="O1139" s="875"/>
      <c r="Q1139" s="704"/>
      <c r="R1139" s="1026"/>
      <c r="S1139" s="704"/>
      <c r="T1139" s="1026"/>
      <c r="AB1139" s="520"/>
      <c r="AC1139" s="520"/>
      <c r="AD1139" s="520"/>
      <c r="AE1139" s="520"/>
      <c r="AF1139" s="520"/>
      <c r="AG1139" s="520"/>
      <c r="AH1139" s="520"/>
      <c r="AI1139" s="520"/>
      <c r="AJ1139" s="520"/>
      <c r="AK1139" s="520"/>
      <c r="AL1139" s="520"/>
      <c r="AM1139" s="520"/>
      <c r="AN1139" s="520"/>
      <c r="AO1139" s="520"/>
      <c r="AP1139" s="520"/>
      <c r="AQ1139" s="520"/>
      <c r="AR1139" s="520"/>
      <c r="AS1139" s="520"/>
      <c r="AT1139" s="520"/>
      <c r="AU1139" s="520"/>
      <c r="AV1139" s="520"/>
      <c r="AY1139" s="507"/>
      <c r="BA1139" s="507"/>
      <c r="BJ1139" s="493"/>
      <c r="CU1139" s="488"/>
      <c r="CW1139" s="488"/>
      <c r="EV1139" s="821"/>
      <c r="EW1139" s="821"/>
    </row>
    <row r="1140" spans="1:153" s="757" customFormat="1" hidden="1">
      <c r="A1140" s="487"/>
      <c r="B1140" s="487"/>
      <c r="C1140" s="487"/>
      <c r="D1140" s="487"/>
      <c r="I1140" s="487"/>
      <c r="J1140" s="487"/>
      <c r="K1140" s="487"/>
      <c r="L1140" s="487"/>
      <c r="M1140" s="487"/>
      <c r="N1140" s="487"/>
      <c r="O1140" s="875"/>
      <c r="Q1140" s="704"/>
      <c r="R1140" s="1026"/>
      <c r="S1140" s="704"/>
      <c r="T1140" s="1026"/>
      <c r="AB1140" s="520"/>
      <c r="AC1140" s="520"/>
      <c r="AD1140" s="520"/>
      <c r="AE1140" s="520"/>
      <c r="AF1140" s="520"/>
      <c r="AG1140" s="520"/>
      <c r="AH1140" s="520"/>
      <c r="AI1140" s="520"/>
      <c r="AJ1140" s="520"/>
      <c r="AK1140" s="520"/>
      <c r="AL1140" s="520"/>
      <c r="AM1140" s="520"/>
      <c r="AN1140" s="520"/>
      <c r="AO1140" s="520"/>
      <c r="AP1140" s="520"/>
      <c r="AQ1140" s="520"/>
      <c r="AR1140" s="520"/>
      <c r="AS1140" s="520"/>
      <c r="AT1140" s="520"/>
      <c r="AU1140" s="520"/>
      <c r="AV1140" s="520"/>
      <c r="AY1140" s="507"/>
      <c r="BA1140" s="507"/>
      <c r="BJ1140" s="493"/>
      <c r="CU1140" s="488"/>
      <c r="CW1140" s="488"/>
      <c r="EV1140" s="821"/>
      <c r="EW1140" s="821"/>
    </row>
    <row r="1141" spans="1:153" s="757" customFormat="1" hidden="1">
      <c r="A1141" s="487"/>
      <c r="B1141" s="487"/>
      <c r="C1141" s="487"/>
      <c r="D1141" s="487"/>
      <c r="I1141" s="487"/>
      <c r="J1141" s="487"/>
      <c r="K1141" s="487"/>
      <c r="L1141" s="487"/>
      <c r="M1141" s="487"/>
      <c r="N1141" s="487"/>
      <c r="O1141" s="875"/>
      <c r="Q1141" s="704"/>
      <c r="R1141" s="1026"/>
      <c r="S1141" s="704"/>
      <c r="T1141" s="1026"/>
      <c r="AB1141" s="520"/>
      <c r="AC1141" s="520"/>
      <c r="AD1141" s="520"/>
      <c r="AE1141" s="520"/>
      <c r="AF1141" s="520"/>
      <c r="AG1141" s="520"/>
      <c r="AH1141" s="520"/>
      <c r="AI1141" s="520"/>
      <c r="AJ1141" s="520"/>
      <c r="AK1141" s="520"/>
      <c r="AL1141" s="520"/>
      <c r="AM1141" s="520"/>
      <c r="AN1141" s="520"/>
      <c r="AO1141" s="520"/>
      <c r="AP1141" s="520"/>
      <c r="AQ1141" s="520"/>
      <c r="AR1141" s="520"/>
      <c r="AS1141" s="520"/>
      <c r="AT1141" s="520"/>
      <c r="AU1141" s="520"/>
      <c r="AV1141" s="520"/>
      <c r="AY1141" s="507"/>
      <c r="BA1141" s="507"/>
      <c r="BJ1141" s="493"/>
      <c r="CU1141" s="488"/>
      <c r="CW1141" s="488"/>
      <c r="EV1141" s="821"/>
      <c r="EW1141" s="821"/>
    </row>
    <row r="1142" spans="1:153" s="757" customFormat="1" hidden="1">
      <c r="A1142" s="487"/>
      <c r="B1142" s="487"/>
      <c r="C1142" s="487"/>
      <c r="D1142" s="487"/>
      <c r="I1142" s="487"/>
      <c r="J1142" s="487"/>
      <c r="K1142" s="487"/>
      <c r="L1142" s="487"/>
      <c r="M1142" s="487"/>
      <c r="N1142" s="487"/>
      <c r="O1142" s="875"/>
      <c r="Q1142" s="704"/>
      <c r="R1142" s="1026"/>
      <c r="S1142" s="704"/>
      <c r="T1142" s="1026"/>
      <c r="AB1142" s="520"/>
      <c r="AC1142" s="520"/>
      <c r="AD1142" s="520"/>
      <c r="AE1142" s="520"/>
      <c r="AF1142" s="520"/>
      <c r="AG1142" s="520"/>
      <c r="AH1142" s="520"/>
      <c r="AI1142" s="520"/>
      <c r="AJ1142" s="520"/>
      <c r="AK1142" s="520"/>
      <c r="AL1142" s="520"/>
      <c r="AM1142" s="520"/>
      <c r="AN1142" s="520"/>
      <c r="AO1142" s="520"/>
      <c r="AP1142" s="520"/>
      <c r="AQ1142" s="520"/>
      <c r="AR1142" s="520"/>
      <c r="AS1142" s="520"/>
      <c r="AT1142" s="520"/>
      <c r="AU1142" s="520"/>
      <c r="AV1142" s="520"/>
      <c r="AY1142" s="507"/>
      <c r="BA1142" s="507"/>
      <c r="BJ1142" s="493"/>
      <c r="CU1142" s="488"/>
      <c r="CW1142" s="488"/>
      <c r="EV1142" s="821"/>
      <c r="EW1142" s="821"/>
    </row>
    <row r="1143" spans="1:153" s="757" customFormat="1" hidden="1">
      <c r="A1143" s="487"/>
      <c r="B1143" s="487"/>
      <c r="C1143" s="487"/>
      <c r="D1143" s="487"/>
      <c r="I1143" s="487"/>
      <c r="J1143" s="487"/>
      <c r="K1143" s="487"/>
      <c r="L1143" s="487"/>
      <c r="M1143" s="487"/>
      <c r="N1143" s="487"/>
      <c r="O1143" s="875"/>
      <c r="Q1143" s="704"/>
      <c r="R1143" s="1026"/>
      <c r="S1143" s="704"/>
      <c r="T1143" s="1026"/>
      <c r="AB1143" s="520"/>
      <c r="AC1143" s="520"/>
      <c r="AD1143" s="520"/>
      <c r="AE1143" s="520"/>
      <c r="AF1143" s="520"/>
      <c r="AG1143" s="520"/>
      <c r="AH1143" s="520"/>
      <c r="AI1143" s="520"/>
      <c r="AJ1143" s="520"/>
      <c r="AK1143" s="520"/>
      <c r="AL1143" s="520"/>
      <c r="AM1143" s="520"/>
      <c r="AN1143" s="520"/>
      <c r="AO1143" s="520"/>
      <c r="AP1143" s="520"/>
      <c r="AQ1143" s="520"/>
      <c r="AR1143" s="520"/>
      <c r="AS1143" s="520"/>
      <c r="AT1143" s="520"/>
      <c r="AU1143" s="520"/>
      <c r="AV1143" s="520"/>
      <c r="AY1143" s="507"/>
      <c r="BA1143" s="507"/>
      <c r="BJ1143" s="493"/>
      <c r="CU1143" s="488"/>
      <c r="CW1143" s="488"/>
      <c r="EV1143" s="821"/>
      <c r="EW1143" s="821"/>
    </row>
    <row r="1144" spans="1:153" s="757" customFormat="1" hidden="1">
      <c r="A1144" s="487"/>
      <c r="B1144" s="487"/>
      <c r="C1144" s="487"/>
      <c r="D1144" s="487"/>
      <c r="I1144" s="487"/>
      <c r="J1144" s="487"/>
      <c r="K1144" s="487"/>
      <c r="L1144" s="487"/>
      <c r="M1144" s="487"/>
      <c r="N1144" s="487"/>
      <c r="O1144" s="875"/>
      <c r="Q1144" s="704"/>
      <c r="R1144" s="1026"/>
      <c r="S1144" s="704"/>
      <c r="T1144" s="1026"/>
      <c r="AB1144" s="520"/>
      <c r="AC1144" s="520"/>
      <c r="AD1144" s="520"/>
      <c r="AE1144" s="520"/>
      <c r="AF1144" s="520"/>
      <c r="AG1144" s="520"/>
      <c r="AH1144" s="520"/>
      <c r="AI1144" s="520"/>
      <c r="AJ1144" s="520"/>
      <c r="AK1144" s="520"/>
      <c r="AL1144" s="520"/>
      <c r="AM1144" s="520"/>
      <c r="AN1144" s="520"/>
      <c r="AO1144" s="520"/>
      <c r="AP1144" s="520"/>
      <c r="AQ1144" s="520"/>
      <c r="AR1144" s="520"/>
      <c r="AS1144" s="520"/>
      <c r="AT1144" s="520"/>
      <c r="AU1144" s="520"/>
      <c r="AV1144" s="520"/>
      <c r="AY1144" s="507"/>
      <c r="BA1144" s="507"/>
      <c r="BJ1144" s="493"/>
      <c r="CU1144" s="488"/>
      <c r="CW1144" s="488"/>
      <c r="EV1144" s="821"/>
      <c r="EW1144" s="821"/>
    </row>
    <row r="1145" spans="1:153" s="757" customFormat="1" hidden="1">
      <c r="A1145" s="487"/>
      <c r="B1145" s="487"/>
      <c r="C1145" s="487"/>
      <c r="D1145" s="487"/>
      <c r="I1145" s="487"/>
      <c r="J1145" s="487"/>
      <c r="K1145" s="487"/>
      <c r="L1145" s="487"/>
      <c r="M1145" s="487"/>
      <c r="N1145" s="487"/>
      <c r="O1145" s="875"/>
      <c r="Q1145" s="704"/>
      <c r="R1145" s="1026"/>
      <c r="S1145" s="704"/>
      <c r="T1145" s="1026"/>
      <c r="AB1145" s="520"/>
      <c r="AC1145" s="520"/>
      <c r="AD1145" s="520"/>
      <c r="AE1145" s="520"/>
      <c r="AF1145" s="520"/>
      <c r="AG1145" s="520"/>
      <c r="AH1145" s="520"/>
      <c r="AI1145" s="520"/>
      <c r="AJ1145" s="520"/>
      <c r="AK1145" s="520"/>
      <c r="AL1145" s="520"/>
      <c r="AM1145" s="520"/>
      <c r="AN1145" s="520"/>
      <c r="AO1145" s="520"/>
      <c r="AP1145" s="520"/>
      <c r="AQ1145" s="520"/>
      <c r="AR1145" s="520"/>
      <c r="AS1145" s="520"/>
      <c r="AT1145" s="520"/>
      <c r="AU1145" s="520"/>
      <c r="AV1145" s="520"/>
      <c r="AY1145" s="507"/>
      <c r="BA1145" s="507"/>
      <c r="BJ1145" s="493"/>
      <c r="CU1145" s="488"/>
      <c r="CW1145" s="488"/>
      <c r="EV1145" s="821"/>
      <c r="EW1145" s="821"/>
    </row>
    <row r="1146" spans="1:153" s="757" customFormat="1" hidden="1">
      <c r="A1146" s="487"/>
      <c r="B1146" s="487"/>
      <c r="C1146" s="487"/>
      <c r="D1146" s="487"/>
      <c r="I1146" s="487"/>
      <c r="J1146" s="487"/>
      <c r="K1146" s="487"/>
      <c r="L1146" s="487"/>
      <c r="M1146" s="487"/>
      <c r="N1146" s="487"/>
      <c r="O1146" s="875"/>
      <c r="Q1146" s="704"/>
      <c r="R1146" s="1026"/>
      <c r="S1146" s="704"/>
      <c r="T1146" s="1026"/>
      <c r="AB1146" s="520"/>
      <c r="AC1146" s="520"/>
      <c r="AD1146" s="520"/>
      <c r="AE1146" s="520"/>
      <c r="AF1146" s="520"/>
      <c r="AG1146" s="520"/>
      <c r="AH1146" s="520"/>
      <c r="AI1146" s="520"/>
      <c r="AJ1146" s="520"/>
      <c r="AK1146" s="520"/>
      <c r="AL1146" s="520"/>
      <c r="AM1146" s="520"/>
      <c r="AN1146" s="520"/>
      <c r="AO1146" s="520"/>
      <c r="AP1146" s="520"/>
      <c r="AQ1146" s="520"/>
      <c r="AR1146" s="520"/>
      <c r="AS1146" s="520"/>
      <c r="AT1146" s="520"/>
      <c r="AU1146" s="520"/>
      <c r="AV1146" s="520"/>
      <c r="AY1146" s="507"/>
      <c r="BA1146" s="507"/>
      <c r="BJ1146" s="493"/>
      <c r="CU1146" s="488"/>
      <c r="CW1146" s="488"/>
      <c r="EV1146" s="821"/>
      <c r="EW1146" s="821"/>
    </row>
    <row r="1147" spans="1:153" s="757" customFormat="1" hidden="1">
      <c r="A1147" s="487"/>
      <c r="B1147" s="487"/>
      <c r="C1147" s="487"/>
      <c r="D1147" s="487"/>
      <c r="I1147" s="487"/>
      <c r="J1147" s="487"/>
      <c r="K1147" s="487"/>
      <c r="L1147" s="487"/>
      <c r="M1147" s="487"/>
      <c r="N1147" s="487"/>
      <c r="O1147" s="875"/>
      <c r="Q1147" s="704"/>
      <c r="R1147" s="1026"/>
      <c r="S1147" s="704"/>
      <c r="T1147" s="1026"/>
      <c r="AB1147" s="520"/>
      <c r="AC1147" s="520"/>
      <c r="AD1147" s="520"/>
      <c r="AE1147" s="520"/>
      <c r="AF1147" s="520"/>
      <c r="AG1147" s="520"/>
      <c r="AH1147" s="520"/>
      <c r="AI1147" s="520"/>
      <c r="AJ1147" s="520"/>
      <c r="AK1147" s="520"/>
      <c r="AL1147" s="520"/>
      <c r="AM1147" s="520"/>
      <c r="AN1147" s="520"/>
      <c r="AO1147" s="520"/>
      <c r="AP1147" s="520"/>
      <c r="AQ1147" s="520"/>
      <c r="AR1147" s="520"/>
      <c r="AS1147" s="520"/>
      <c r="AT1147" s="520"/>
      <c r="AU1147" s="520"/>
      <c r="AV1147" s="520"/>
      <c r="AY1147" s="507"/>
      <c r="BA1147" s="507"/>
      <c r="BJ1147" s="493"/>
      <c r="CU1147" s="488"/>
      <c r="CW1147" s="488"/>
      <c r="EV1147" s="821"/>
      <c r="EW1147" s="821"/>
    </row>
    <row r="1148" spans="1:153" s="757" customFormat="1" hidden="1">
      <c r="A1148" s="487"/>
      <c r="B1148" s="487"/>
      <c r="C1148" s="487"/>
      <c r="D1148" s="487"/>
      <c r="I1148" s="487"/>
      <c r="J1148" s="487"/>
      <c r="K1148" s="487"/>
      <c r="L1148" s="487"/>
      <c r="M1148" s="487"/>
      <c r="N1148" s="487"/>
      <c r="O1148" s="875"/>
      <c r="Q1148" s="704"/>
      <c r="R1148" s="1026"/>
      <c r="S1148" s="704"/>
      <c r="T1148" s="1026"/>
      <c r="AB1148" s="520"/>
      <c r="AC1148" s="520"/>
      <c r="AD1148" s="520"/>
      <c r="AE1148" s="520"/>
      <c r="AF1148" s="520"/>
      <c r="AG1148" s="520"/>
      <c r="AH1148" s="520"/>
      <c r="AI1148" s="520"/>
      <c r="AJ1148" s="520"/>
      <c r="AK1148" s="520"/>
      <c r="AL1148" s="520"/>
      <c r="AM1148" s="520"/>
      <c r="AN1148" s="520"/>
      <c r="AO1148" s="520"/>
      <c r="AP1148" s="520"/>
      <c r="AQ1148" s="520"/>
      <c r="AR1148" s="520"/>
      <c r="AS1148" s="520"/>
      <c r="AT1148" s="520"/>
      <c r="AU1148" s="520"/>
      <c r="AV1148" s="520"/>
      <c r="AY1148" s="507"/>
      <c r="BA1148" s="507"/>
      <c r="BJ1148" s="493"/>
      <c r="CU1148" s="488"/>
      <c r="CW1148" s="488"/>
      <c r="EV1148" s="821"/>
      <c r="EW1148" s="821"/>
    </row>
    <row r="1149" spans="1:153" s="757" customFormat="1" hidden="1">
      <c r="A1149" s="487"/>
      <c r="B1149" s="487"/>
      <c r="C1149" s="487"/>
      <c r="D1149" s="487"/>
      <c r="I1149" s="487"/>
      <c r="J1149" s="487"/>
      <c r="K1149" s="487"/>
      <c r="L1149" s="487"/>
      <c r="M1149" s="487"/>
      <c r="N1149" s="487"/>
      <c r="O1149" s="875"/>
      <c r="Q1149" s="704"/>
      <c r="R1149" s="1026"/>
      <c r="S1149" s="704"/>
      <c r="T1149" s="1026"/>
      <c r="AB1149" s="520"/>
      <c r="AC1149" s="520"/>
      <c r="AD1149" s="520"/>
      <c r="AE1149" s="520"/>
      <c r="AF1149" s="520"/>
      <c r="AG1149" s="520"/>
      <c r="AH1149" s="520"/>
      <c r="AI1149" s="520"/>
      <c r="AJ1149" s="520"/>
      <c r="AK1149" s="520"/>
      <c r="AL1149" s="520"/>
      <c r="AM1149" s="520"/>
      <c r="AN1149" s="520"/>
      <c r="AO1149" s="520"/>
      <c r="AP1149" s="520"/>
      <c r="AQ1149" s="520"/>
      <c r="AR1149" s="520"/>
      <c r="AS1149" s="520"/>
      <c r="AT1149" s="520"/>
      <c r="AU1149" s="520"/>
      <c r="AV1149" s="520"/>
      <c r="AY1149" s="507"/>
      <c r="BA1149" s="507"/>
      <c r="BJ1149" s="493"/>
      <c r="CU1149" s="488"/>
      <c r="CW1149" s="488"/>
      <c r="EV1149" s="821"/>
      <c r="EW1149" s="821"/>
    </row>
    <row r="1150" spans="1:153" s="757" customFormat="1" hidden="1">
      <c r="A1150" s="487"/>
      <c r="B1150" s="487"/>
      <c r="C1150" s="487"/>
      <c r="D1150" s="487"/>
      <c r="I1150" s="487"/>
      <c r="J1150" s="487"/>
      <c r="K1150" s="487"/>
      <c r="L1150" s="487"/>
      <c r="M1150" s="487"/>
      <c r="N1150" s="487"/>
      <c r="O1150" s="875"/>
      <c r="Q1150" s="704"/>
      <c r="R1150" s="1026"/>
      <c r="S1150" s="704"/>
      <c r="T1150" s="1026"/>
      <c r="AB1150" s="520"/>
      <c r="AC1150" s="520"/>
      <c r="AD1150" s="520"/>
      <c r="AE1150" s="520"/>
      <c r="AF1150" s="520"/>
      <c r="AG1150" s="520"/>
      <c r="AH1150" s="520"/>
      <c r="AI1150" s="520"/>
      <c r="AJ1150" s="520"/>
      <c r="AK1150" s="520"/>
      <c r="AL1150" s="520"/>
      <c r="AM1150" s="520"/>
      <c r="AN1150" s="520"/>
      <c r="AO1150" s="520"/>
      <c r="AP1150" s="520"/>
      <c r="AQ1150" s="520"/>
      <c r="AR1150" s="520"/>
      <c r="AS1150" s="520"/>
      <c r="AT1150" s="520"/>
      <c r="AU1150" s="520"/>
      <c r="AV1150" s="520"/>
      <c r="AY1150" s="507"/>
      <c r="BA1150" s="507"/>
      <c r="BJ1150" s="493"/>
      <c r="CU1150" s="488"/>
      <c r="CW1150" s="488"/>
      <c r="EV1150" s="821"/>
      <c r="EW1150" s="821"/>
    </row>
    <row r="1151" spans="1:153" s="757" customFormat="1" hidden="1">
      <c r="A1151" s="487"/>
      <c r="B1151" s="487"/>
      <c r="C1151" s="487"/>
      <c r="D1151" s="487"/>
      <c r="I1151" s="487"/>
      <c r="J1151" s="487"/>
      <c r="K1151" s="487"/>
      <c r="L1151" s="487"/>
      <c r="M1151" s="487"/>
      <c r="N1151" s="487"/>
      <c r="O1151" s="875"/>
      <c r="Q1151" s="704"/>
      <c r="R1151" s="1026"/>
      <c r="S1151" s="704"/>
      <c r="T1151" s="1026"/>
      <c r="AB1151" s="520"/>
      <c r="AC1151" s="520"/>
      <c r="AD1151" s="520"/>
      <c r="AE1151" s="520"/>
      <c r="AF1151" s="520"/>
      <c r="AG1151" s="520"/>
      <c r="AH1151" s="520"/>
      <c r="AI1151" s="520"/>
      <c r="AJ1151" s="520"/>
      <c r="AK1151" s="520"/>
      <c r="AL1151" s="520"/>
      <c r="AM1151" s="520"/>
      <c r="AN1151" s="520"/>
      <c r="AO1151" s="520"/>
      <c r="AP1151" s="520"/>
      <c r="AQ1151" s="520"/>
      <c r="AR1151" s="520"/>
      <c r="AS1151" s="520"/>
      <c r="AT1151" s="520"/>
      <c r="AU1151" s="520"/>
      <c r="AV1151" s="520"/>
      <c r="AY1151" s="507"/>
      <c r="BA1151" s="507"/>
      <c r="BJ1151" s="493"/>
      <c r="CU1151" s="488"/>
      <c r="CW1151" s="488"/>
      <c r="EV1151" s="821"/>
      <c r="EW1151" s="821"/>
    </row>
    <row r="1152" spans="1:153" s="757" customFormat="1" hidden="1">
      <c r="A1152" s="487"/>
      <c r="B1152" s="487"/>
      <c r="C1152" s="487"/>
      <c r="D1152" s="487"/>
      <c r="I1152" s="487"/>
      <c r="J1152" s="487"/>
      <c r="K1152" s="487"/>
      <c r="L1152" s="487"/>
      <c r="M1152" s="487"/>
      <c r="N1152" s="487"/>
      <c r="O1152" s="875"/>
      <c r="Q1152" s="704"/>
      <c r="R1152" s="1026"/>
      <c r="S1152" s="704"/>
      <c r="T1152" s="1026"/>
      <c r="AB1152" s="520"/>
      <c r="AC1152" s="520"/>
      <c r="AD1152" s="520"/>
      <c r="AE1152" s="520"/>
      <c r="AF1152" s="520"/>
      <c r="AG1152" s="520"/>
      <c r="AH1152" s="520"/>
      <c r="AI1152" s="520"/>
      <c r="AJ1152" s="520"/>
      <c r="AK1152" s="520"/>
      <c r="AL1152" s="520"/>
      <c r="AM1152" s="520"/>
      <c r="AN1152" s="520"/>
      <c r="AO1152" s="520"/>
      <c r="AP1152" s="520"/>
      <c r="AQ1152" s="520"/>
      <c r="AR1152" s="520"/>
      <c r="AS1152" s="520"/>
      <c r="AT1152" s="520"/>
      <c r="AU1152" s="520"/>
      <c r="AV1152" s="520"/>
      <c r="AY1152" s="507"/>
      <c r="BA1152" s="507"/>
      <c r="BJ1152" s="493"/>
      <c r="CU1152" s="488"/>
      <c r="CW1152" s="488"/>
      <c r="EV1152" s="821"/>
      <c r="EW1152" s="821"/>
    </row>
    <row r="1153" spans="1:153" s="757" customFormat="1" hidden="1">
      <c r="A1153" s="487"/>
      <c r="B1153" s="487"/>
      <c r="C1153" s="487"/>
      <c r="D1153" s="487"/>
      <c r="I1153" s="487"/>
      <c r="J1153" s="487"/>
      <c r="K1153" s="487"/>
      <c r="L1153" s="487"/>
      <c r="M1153" s="487"/>
      <c r="N1153" s="487"/>
      <c r="O1153" s="875"/>
      <c r="Q1153" s="704"/>
      <c r="R1153" s="1026"/>
      <c r="S1153" s="704"/>
      <c r="T1153" s="1026"/>
      <c r="AB1153" s="520"/>
      <c r="AC1153" s="520"/>
      <c r="AD1153" s="520"/>
      <c r="AE1153" s="520"/>
      <c r="AF1153" s="520"/>
      <c r="AG1153" s="520"/>
      <c r="AH1153" s="520"/>
      <c r="AI1153" s="520"/>
      <c r="AJ1153" s="520"/>
      <c r="AK1153" s="520"/>
      <c r="AL1153" s="520"/>
      <c r="AM1153" s="520"/>
      <c r="AN1153" s="520"/>
      <c r="AO1153" s="520"/>
      <c r="AP1153" s="520"/>
      <c r="AQ1153" s="520"/>
      <c r="AR1153" s="520"/>
      <c r="AS1153" s="520"/>
      <c r="AT1153" s="520"/>
      <c r="AU1153" s="520"/>
      <c r="AV1153" s="520"/>
      <c r="AY1153" s="507"/>
      <c r="BA1153" s="507"/>
      <c r="BJ1153" s="493"/>
      <c r="CU1153" s="488"/>
      <c r="CW1153" s="488"/>
      <c r="EV1153" s="821"/>
      <c r="EW1153" s="821"/>
    </row>
    <row r="1154" spans="1:153" s="757" customFormat="1" hidden="1">
      <c r="A1154" s="487"/>
      <c r="B1154" s="487"/>
      <c r="C1154" s="487"/>
      <c r="D1154" s="487"/>
      <c r="I1154" s="487"/>
      <c r="J1154" s="487"/>
      <c r="K1154" s="487"/>
      <c r="L1154" s="487"/>
      <c r="M1154" s="487"/>
      <c r="N1154" s="487"/>
      <c r="O1154" s="875"/>
      <c r="Q1154" s="704"/>
      <c r="R1154" s="1026"/>
      <c r="S1154" s="704"/>
      <c r="T1154" s="1026"/>
      <c r="AB1154" s="520"/>
      <c r="AC1154" s="520"/>
      <c r="AD1154" s="520"/>
      <c r="AE1154" s="520"/>
      <c r="AF1154" s="520"/>
      <c r="AG1154" s="520"/>
      <c r="AH1154" s="520"/>
      <c r="AI1154" s="520"/>
      <c r="AJ1154" s="520"/>
      <c r="AK1154" s="520"/>
      <c r="AL1154" s="520"/>
      <c r="AM1154" s="520"/>
      <c r="AN1154" s="520"/>
      <c r="AO1154" s="520"/>
      <c r="AP1154" s="520"/>
      <c r="AQ1154" s="520"/>
      <c r="AR1154" s="520"/>
      <c r="AS1154" s="520"/>
      <c r="AT1154" s="520"/>
      <c r="AU1154" s="520"/>
      <c r="AV1154" s="520"/>
      <c r="AY1154" s="507"/>
      <c r="BA1154" s="507"/>
      <c r="BJ1154" s="493"/>
      <c r="CU1154" s="488"/>
      <c r="CW1154" s="488"/>
      <c r="EV1154" s="821"/>
      <c r="EW1154" s="821"/>
    </row>
    <row r="1155" spans="1:153" s="757" customFormat="1" hidden="1">
      <c r="A1155" s="487"/>
      <c r="B1155" s="487"/>
      <c r="C1155" s="487"/>
      <c r="D1155" s="487"/>
      <c r="I1155" s="487"/>
      <c r="J1155" s="487"/>
      <c r="K1155" s="487"/>
      <c r="L1155" s="487"/>
      <c r="M1155" s="487"/>
      <c r="N1155" s="487"/>
      <c r="O1155" s="875"/>
      <c r="Q1155" s="704"/>
      <c r="R1155" s="1026"/>
      <c r="S1155" s="704"/>
      <c r="T1155" s="1026"/>
      <c r="AB1155" s="520"/>
      <c r="AC1155" s="520"/>
      <c r="AD1155" s="520"/>
      <c r="AE1155" s="520"/>
      <c r="AF1155" s="520"/>
      <c r="AG1155" s="520"/>
      <c r="AH1155" s="520"/>
      <c r="AI1155" s="520"/>
      <c r="AJ1155" s="520"/>
      <c r="AK1155" s="520"/>
      <c r="AL1155" s="520"/>
      <c r="AM1155" s="520"/>
      <c r="AN1155" s="520"/>
      <c r="AO1155" s="520"/>
      <c r="AP1155" s="520"/>
      <c r="AQ1155" s="520"/>
      <c r="AR1155" s="520"/>
      <c r="AS1155" s="520"/>
      <c r="AT1155" s="520"/>
      <c r="AU1155" s="520"/>
      <c r="AV1155" s="520"/>
      <c r="AY1155" s="507"/>
      <c r="BA1155" s="507"/>
      <c r="BJ1155" s="493"/>
      <c r="CU1155" s="488"/>
      <c r="CW1155" s="488"/>
      <c r="EV1155" s="821"/>
      <c r="EW1155" s="821"/>
    </row>
    <row r="1156" spans="1:153" s="757" customFormat="1" hidden="1">
      <c r="A1156" s="487"/>
      <c r="B1156" s="487"/>
      <c r="C1156" s="487"/>
      <c r="D1156" s="487"/>
      <c r="I1156" s="487"/>
      <c r="J1156" s="487"/>
      <c r="K1156" s="487"/>
      <c r="L1156" s="487"/>
      <c r="M1156" s="487"/>
      <c r="N1156" s="487"/>
      <c r="O1156" s="875"/>
      <c r="Q1156" s="704"/>
      <c r="R1156" s="1026"/>
      <c r="S1156" s="704"/>
      <c r="T1156" s="1026"/>
      <c r="AB1156" s="520"/>
      <c r="AC1156" s="520"/>
      <c r="AD1156" s="520"/>
      <c r="AE1156" s="520"/>
      <c r="AF1156" s="520"/>
      <c r="AG1156" s="520"/>
      <c r="AH1156" s="520"/>
      <c r="AI1156" s="520"/>
      <c r="AJ1156" s="520"/>
      <c r="AK1156" s="520"/>
      <c r="AL1156" s="520"/>
      <c r="AM1156" s="520"/>
      <c r="AN1156" s="520"/>
      <c r="AO1156" s="520"/>
      <c r="AP1156" s="520"/>
      <c r="AQ1156" s="520"/>
      <c r="AR1156" s="520"/>
      <c r="AS1156" s="520"/>
      <c r="AT1156" s="520"/>
      <c r="AU1156" s="520"/>
      <c r="AV1156" s="520"/>
      <c r="AY1156" s="507"/>
      <c r="BA1156" s="507"/>
      <c r="BJ1156" s="493"/>
      <c r="CU1156" s="488"/>
      <c r="CW1156" s="488"/>
      <c r="EV1156" s="821"/>
      <c r="EW1156" s="821"/>
    </row>
    <row r="1157" spans="1:153" s="757" customFormat="1" hidden="1">
      <c r="A1157" s="487"/>
      <c r="B1157" s="487"/>
      <c r="C1157" s="487"/>
      <c r="D1157" s="487"/>
      <c r="I1157" s="487"/>
      <c r="J1157" s="487"/>
      <c r="K1157" s="487"/>
      <c r="L1157" s="487"/>
      <c r="M1157" s="487"/>
      <c r="N1157" s="487"/>
      <c r="O1157" s="875"/>
      <c r="Q1157" s="704"/>
      <c r="R1157" s="1026"/>
      <c r="S1157" s="704"/>
      <c r="T1157" s="1026"/>
      <c r="AB1157" s="520"/>
      <c r="AC1157" s="520"/>
      <c r="AD1157" s="520"/>
      <c r="AE1157" s="520"/>
      <c r="AF1157" s="520"/>
      <c r="AG1157" s="520"/>
      <c r="AH1157" s="520"/>
      <c r="AI1157" s="520"/>
      <c r="AJ1157" s="520"/>
      <c r="AK1157" s="520"/>
      <c r="AL1157" s="520"/>
      <c r="AM1157" s="520"/>
      <c r="AN1157" s="520"/>
      <c r="AO1157" s="520"/>
      <c r="AP1157" s="520"/>
      <c r="AQ1157" s="520"/>
      <c r="AR1157" s="520"/>
      <c r="AS1157" s="520"/>
      <c r="AT1157" s="520"/>
      <c r="AU1157" s="520"/>
      <c r="AV1157" s="520"/>
      <c r="AY1157" s="507"/>
      <c r="BA1157" s="507"/>
      <c r="BJ1157" s="493"/>
      <c r="CU1157" s="488"/>
      <c r="CW1157" s="488"/>
      <c r="EV1157" s="821"/>
      <c r="EW1157" s="821"/>
    </row>
    <row r="1158" spans="1:153" s="757" customFormat="1" hidden="1">
      <c r="A1158" s="487"/>
      <c r="B1158" s="487"/>
      <c r="C1158" s="487"/>
      <c r="D1158" s="487"/>
      <c r="I1158" s="487"/>
      <c r="J1158" s="487"/>
      <c r="K1158" s="487"/>
      <c r="L1158" s="487"/>
      <c r="M1158" s="487"/>
      <c r="N1158" s="487"/>
      <c r="O1158" s="875"/>
      <c r="Q1158" s="704"/>
      <c r="R1158" s="1026"/>
      <c r="S1158" s="704"/>
      <c r="T1158" s="1026"/>
      <c r="AB1158" s="520"/>
      <c r="AC1158" s="520"/>
      <c r="AD1158" s="520"/>
      <c r="AE1158" s="520"/>
      <c r="AF1158" s="520"/>
      <c r="AG1158" s="520"/>
      <c r="AH1158" s="520"/>
      <c r="AI1158" s="520"/>
      <c r="AJ1158" s="520"/>
      <c r="AK1158" s="520"/>
      <c r="AL1158" s="520"/>
      <c r="AM1158" s="520"/>
      <c r="AN1158" s="520"/>
      <c r="AO1158" s="520"/>
      <c r="AP1158" s="520"/>
      <c r="AQ1158" s="520"/>
      <c r="AR1158" s="520"/>
      <c r="AS1158" s="520"/>
      <c r="AT1158" s="520"/>
      <c r="AU1158" s="520"/>
      <c r="AV1158" s="520"/>
      <c r="AY1158" s="507"/>
      <c r="BA1158" s="507"/>
      <c r="BJ1158" s="493"/>
      <c r="CU1158" s="488"/>
      <c r="CW1158" s="488"/>
      <c r="EV1158" s="821"/>
      <c r="EW1158" s="821"/>
    </row>
    <row r="1159" spans="1:153" s="757" customFormat="1" hidden="1">
      <c r="A1159" s="487"/>
      <c r="B1159" s="487"/>
      <c r="C1159" s="487"/>
      <c r="D1159" s="487"/>
      <c r="I1159" s="487"/>
      <c r="J1159" s="487"/>
      <c r="K1159" s="487"/>
      <c r="L1159" s="487"/>
      <c r="M1159" s="487"/>
      <c r="N1159" s="487"/>
      <c r="O1159" s="875"/>
      <c r="Q1159" s="704"/>
      <c r="R1159" s="1026"/>
      <c r="S1159" s="704"/>
      <c r="T1159" s="1026"/>
      <c r="AB1159" s="520"/>
      <c r="AC1159" s="520"/>
      <c r="AD1159" s="520"/>
      <c r="AE1159" s="520"/>
      <c r="AF1159" s="520"/>
      <c r="AG1159" s="520"/>
      <c r="AH1159" s="520"/>
      <c r="AI1159" s="520"/>
      <c r="AJ1159" s="520"/>
      <c r="AK1159" s="520"/>
      <c r="AL1159" s="520"/>
      <c r="AM1159" s="520"/>
      <c r="AN1159" s="520"/>
      <c r="AO1159" s="520"/>
      <c r="AP1159" s="520"/>
      <c r="AQ1159" s="520"/>
      <c r="AR1159" s="520"/>
      <c r="AS1159" s="520"/>
      <c r="AT1159" s="520"/>
      <c r="AU1159" s="520"/>
      <c r="AV1159" s="520"/>
      <c r="AY1159" s="507"/>
      <c r="BA1159" s="507"/>
      <c r="BJ1159" s="493"/>
      <c r="CU1159" s="488"/>
      <c r="CW1159" s="488"/>
      <c r="EV1159" s="821"/>
      <c r="EW1159" s="821"/>
    </row>
    <row r="1160" spans="1:153" s="757" customFormat="1" hidden="1">
      <c r="A1160" s="487"/>
      <c r="B1160" s="487"/>
      <c r="C1160" s="487"/>
      <c r="D1160" s="487"/>
      <c r="I1160" s="487"/>
      <c r="J1160" s="487"/>
      <c r="K1160" s="487"/>
      <c r="L1160" s="487"/>
      <c r="M1160" s="487"/>
      <c r="N1160" s="487"/>
      <c r="O1160" s="875"/>
      <c r="Q1160" s="704"/>
      <c r="R1160" s="1026"/>
      <c r="S1160" s="704"/>
      <c r="T1160" s="1026"/>
      <c r="AB1160" s="520"/>
      <c r="AC1160" s="520"/>
      <c r="AD1160" s="520"/>
      <c r="AE1160" s="520"/>
      <c r="AF1160" s="520"/>
      <c r="AG1160" s="520"/>
      <c r="AH1160" s="520"/>
      <c r="AI1160" s="520"/>
      <c r="AJ1160" s="520"/>
      <c r="AK1160" s="520"/>
      <c r="AL1160" s="520"/>
      <c r="AM1160" s="520"/>
      <c r="AN1160" s="520"/>
      <c r="AO1160" s="520"/>
      <c r="AP1160" s="520"/>
      <c r="AQ1160" s="520"/>
      <c r="AR1160" s="520"/>
      <c r="AS1160" s="520"/>
      <c r="AT1160" s="520"/>
      <c r="AU1160" s="520"/>
      <c r="AV1160" s="520"/>
      <c r="AY1160" s="507"/>
      <c r="BA1160" s="507"/>
      <c r="BJ1160" s="493"/>
      <c r="CU1160" s="488"/>
      <c r="CW1160" s="488"/>
      <c r="EV1160" s="821"/>
      <c r="EW1160" s="821"/>
    </row>
    <row r="1161" spans="1:153" s="757" customFormat="1" hidden="1">
      <c r="A1161" s="487"/>
      <c r="B1161" s="487"/>
      <c r="C1161" s="487"/>
      <c r="D1161" s="487"/>
      <c r="I1161" s="487"/>
      <c r="J1161" s="487"/>
      <c r="K1161" s="487"/>
      <c r="L1161" s="487"/>
      <c r="M1161" s="487"/>
      <c r="N1161" s="487"/>
      <c r="O1161" s="875"/>
      <c r="Q1161" s="704"/>
      <c r="R1161" s="1026"/>
      <c r="S1161" s="704"/>
      <c r="T1161" s="1026"/>
      <c r="AB1161" s="520"/>
      <c r="AC1161" s="520"/>
      <c r="AD1161" s="520"/>
      <c r="AE1161" s="520"/>
      <c r="AF1161" s="520"/>
      <c r="AG1161" s="520"/>
      <c r="AH1161" s="520"/>
      <c r="AI1161" s="520"/>
      <c r="AJ1161" s="520"/>
      <c r="AK1161" s="520"/>
      <c r="AL1161" s="520"/>
      <c r="AM1161" s="520"/>
      <c r="AN1161" s="520"/>
      <c r="AO1161" s="520"/>
      <c r="AP1161" s="520"/>
      <c r="AQ1161" s="520"/>
      <c r="AR1161" s="520"/>
      <c r="AS1161" s="520"/>
      <c r="AT1161" s="520"/>
      <c r="AU1161" s="520"/>
      <c r="AV1161" s="520"/>
      <c r="AY1161" s="507"/>
      <c r="BA1161" s="507"/>
      <c r="BJ1161" s="493"/>
      <c r="CU1161" s="488"/>
      <c r="CW1161" s="488"/>
      <c r="EV1161" s="821"/>
      <c r="EW1161" s="821"/>
    </row>
    <row r="1162" spans="1:153" s="757" customFormat="1" hidden="1">
      <c r="A1162" s="487"/>
      <c r="B1162" s="487"/>
      <c r="C1162" s="487"/>
      <c r="D1162" s="487"/>
      <c r="I1162" s="487"/>
      <c r="J1162" s="487"/>
      <c r="K1162" s="487"/>
      <c r="L1162" s="487"/>
      <c r="M1162" s="487"/>
      <c r="N1162" s="487"/>
      <c r="O1162" s="875"/>
      <c r="Q1162" s="704"/>
      <c r="R1162" s="1026"/>
      <c r="S1162" s="704"/>
      <c r="T1162" s="1026"/>
      <c r="AB1162" s="520"/>
      <c r="AC1162" s="520"/>
      <c r="AD1162" s="520"/>
      <c r="AE1162" s="520"/>
      <c r="AF1162" s="520"/>
      <c r="AG1162" s="520"/>
      <c r="AH1162" s="520"/>
      <c r="AI1162" s="520"/>
      <c r="AJ1162" s="520"/>
      <c r="AK1162" s="520"/>
      <c r="AL1162" s="520"/>
      <c r="AM1162" s="520"/>
      <c r="AN1162" s="520"/>
      <c r="AO1162" s="520"/>
      <c r="AP1162" s="520"/>
      <c r="AQ1162" s="520"/>
      <c r="AR1162" s="520"/>
      <c r="AS1162" s="520"/>
      <c r="AT1162" s="520"/>
      <c r="AU1162" s="520"/>
      <c r="AV1162" s="520"/>
      <c r="AY1162" s="507"/>
      <c r="BA1162" s="507"/>
      <c r="BJ1162" s="493"/>
      <c r="CU1162" s="488"/>
      <c r="CW1162" s="488"/>
      <c r="EV1162" s="821"/>
      <c r="EW1162" s="821"/>
    </row>
    <row r="1163" spans="1:153" s="757" customFormat="1" hidden="1">
      <c r="A1163" s="487"/>
      <c r="B1163" s="487"/>
      <c r="C1163" s="487"/>
      <c r="D1163" s="487"/>
      <c r="I1163" s="487"/>
      <c r="J1163" s="487"/>
      <c r="K1163" s="487"/>
      <c r="L1163" s="487"/>
      <c r="M1163" s="487"/>
      <c r="N1163" s="487"/>
      <c r="O1163" s="875"/>
      <c r="Q1163" s="704"/>
      <c r="R1163" s="1026"/>
      <c r="S1163" s="704"/>
      <c r="T1163" s="1026"/>
      <c r="AB1163" s="520"/>
      <c r="AC1163" s="520"/>
      <c r="AD1163" s="520"/>
      <c r="AE1163" s="520"/>
      <c r="AF1163" s="520"/>
      <c r="AG1163" s="520"/>
      <c r="AH1163" s="520"/>
      <c r="AI1163" s="520"/>
      <c r="AJ1163" s="520"/>
      <c r="AK1163" s="520"/>
      <c r="AL1163" s="520"/>
      <c r="AM1163" s="520"/>
      <c r="AN1163" s="520"/>
      <c r="AO1163" s="520"/>
      <c r="AP1163" s="520"/>
      <c r="AQ1163" s="520"/>
      <c r="AR1163" s="520"/>
      <c r="AS1163" s="520"/>
      <c r="AT1163" s="520"/>
      <c r="AU1163" s="520"/>
      <c r="AV1163" s="520"/>
      <c r="AY1163" s="507"/>
      <c r="BA1163" s="507"/>
      <c r="BJ1163" s="493"/>
      <c r="CU1163" s="488"/>
      <c r="CW1163" s="488"/>
      <c r="EV1163" s="821"/>
      <c r="EW1163" s="821"/>
    </row>
    <row r="1164" spans="1:153" s="757" customFormat="1" hidden="1">
      <c r="A1164" s="487"/>
      <c r="B1164" s="487"/>
      <c r="C1164" s="487"/>
      <c r="D1164" s="487"/>
      <c r="I1164" s="487"/>
      <c r="J1164" s="487"/>
      <c r="K1164" s="487"/>
      <c r="L1164" s="487"/>
      <c r="M1164" s="487"/>
      <c r="N1164" s="487"/>
      <c r="O1164" s="875"/>
      <c r="Q1164" s="704"/>
      <c r="R1164" s="1026"/>
      <c r="S1164" s="704"/>
      <c r="T1164" s="1026"/>
      <c r="AB1164" s="520"/>
      <c r="AC1164" s="520"/>
      <c r="AD1164" s="520"/>
      <c r="AE1164" s="520"/>
      <c r="AF1164" s="520"/>
      <c r="AG1164" s="520"/>
      <c r="AH1164" s="520"/>
      <c r="AI1164" s="520"/>
      <c r="AJ1164" s="520"/>
      <c r="AK1164" s="520"/>
      <c r="AL1164" s="520"/>
      <c r="AM1164" s="520"/>
      <c r="AN1164" s="520"/>
      <c r="AO1164" s="520"/>
      <c r="AP1164" s="520"/>
      <c r="AQ1164" s="520"/>
      <c r="AR1164" s="520"/>
      <c r="AS1164" s="520"/>
      <c r="AT1164" s="520"/>
      <c r="AU1164" s="520"/>
      <c r="AV1164" s="520"/>
      <c r="AY1164" s="507"/>
      <c r="BA1164" s="507"/>
      <c r="BJ1164" s="493"/>
      <c r="CU1164" s="488"/>
      <c r="CW1164" s="488"/>
      <c r="EV1164" s="821"/>
      <c r="EW1164" s="821"/>
    </row>
    <row r="1165" spans="1:153" s="757" customFormat="1" hidden="1">
      <c r="A1165" s="487"/>
      <c r="B1165" s="487"/>
      <c r="C1165" s="487"/>
      <c r="D1165" s="487"/>
      <c r="I1165" s="487"/>
      <c r="J1165" s="487"/>
      <c r="K1165" s="487"/>
      <c r="L1165" s="487"/>
      <c r="M1165" s="487"/>
      <c r="N1165" s="487"/>
      <c r="O1165" s="875"/>
      <c r="Q1165" s="704"/>
      <c r="R1165" s="1026"/>
      <c r="S1165" s="704"/>
      <c r="T1165" s="1026"/>
      <c r="AB1165" s="520"/>
      <c r="AC1165" s="520"/>
      <c r="AD1165" s="520"/>
      <c r="AE1165" s="520"/>
      <c r="AF1165" s="520"/>
      <c r="AG1165" s="520"/>
      <c r="AH1165" s="520"/>
      <c r="AI1165" s="520"/>
      <c r="AJ1165" s="520"/>
      <c r="AK1165" s="520"/>
      <c r="AL1165" s="520"/>
      <c r="AM1165" s="520"/>
      <c r="AN1165" s="520"/>
      <c r="AO1165" s="520"/>
      <c r="AP1165" s="520"/>
      <c r="AQ1165" s="520"/>
      <c r="AR1165" s="520"/>
      <c r="AS1165" s="520"/>
      <c r="AT1165" s="520"/>
      <c r="AU1165" s="520"/>
      <c r="AV1165" s="520"/>
      <c r="AY1165" s="507"/>
      <c r="BA1165" s="507"/>
      <c r="BJ1165" s="493"/>
      <c r="CU1165" s="488"/>
      <c r="CW1165" s="488"/>
      <c r="EV1165" s="821"/>
      <c r="EW1165" s="821"/>
    </row>
    <row r="1166" spans="1:153" s="757" customFormat="1" hidden="1">
      <c r="A1166" s="487"/>
      <c r="B1166" s="487"/>
      <c r="C1166" s="487"/>
      <c r="D1166" s="487"/>
      <c r="I1166" s="487"/>
      <c r="J1166" s="487"/>
      <c r="K1166" s="487"/>
      <c r="L1166" s="487"/>
      <c r="M1166" s="487"/>
      <c r="N1166" s="487"/>
      <c r="O1166" s="875"/>
      <c r="Q1166" s="704"/>
      <c r="R1166" s="1026"/>
      <c r="S1166" s="704"/>
      <c r="T1166" s="1026"/>
      <c r="AB1166" s="520"/>
      <c r="AC1166" s="520"/>
      <c r="AD1166" s="520"/>
      <c r="AE1166" s="520"/>
      <c r="AF1166" s="520"/>
      <c r="AG1166" s="520"/>
      <c r="AH1166" s="520"/>
      <c r="AI1166" s="520"/>
      <c r="AJ1166" s="520"/>
      <c r="AK1166" s="520"/>
      <c r="AL1166" s="520"/>
      <c r="AM1166" s="520"/>
      <c r="AN1166" s="520"/>
      <c r="AO1166" s="520"/>
      <c r="AP1166" s="520"/>
      <c r="AQ1166" s="520"/>
      <c r="AR1166" s="520"/>
      <c r="AS1166" s="520"/>
      <c r="AT1166" s="520"/>
      <c r="AU1166" s="520"/>
      <c r="AV1166" s="520"/>
      <c r="AY1166" s="507"/>
      <c r="BA1166" s="507"/>
      <c r="BJ1166" s="493"/>
      <c r="CU1166" s="488"/>
      <c r="CW1166" s="488"/>
      <c r="EV1166" s="821"/>
      <c r="EW1166" s="821"/>
    </row>
    <row r="1167" spans="1:153" s="757" customFormat="1" hidden="1">
      <c r="A1167" s="487"/>
      <c r="B1167" s="487"/>
      <c r="C1167" s="487"/>
      <c r="D1167" s="487"/>
      <c r="I1167" s="487"/>
      <c r="J1167" s="487"/>
      <c r="K1167" s="487"/>
      <c r="L1167" s="487"/>
      <c r="M1167" s="487"/>
      <c r="N1167" s="487"/>
      <c r="O1167" s="875"/>
      <c r="Q1167" s="704"/>
      <c r="R1167" s="1026"/>
      <c r="S1167" s="704"/>
      <c r="T1167" s="1026"/>
      <c r="AB1167" s="520"/>
      <c r="AC1167" s="520"/>
      <c r="AD1167" s="520"/>
      <c r="AE1167" s="520"/>
      <c r="AF1167" s="520"/>
      <c r="AG1167" s="520"/>
      <c r="AH1167" s="520"/>
      <c r="AI1167" s="520"/>
      <c r="AJ1167" s="520"/>
      <c r="AK1167" s="520"/>
      <c r="AL1167" s="520"/>
      <c r="AM1167" s="520"/>
      <c r="AN1167" s="520"/>
      <c r="AO1167" s="520"/>
      <c r="AP1167" s="520"/>
      <c r="AQ1167" s="520"/>
      <c r="AR1167" s="520"/>
      <c r="AS1167" s="520"/>
      <c r="AT1167" s="520"/>
      <c r="AU1167" s="520"/>
      <c r="AV1167" s="520"/>
      <c r="AY1167" s="507"/>
      <c r="BA1167" s="507"/>
      <c r="BJ1167" s="493"/>
      <c r="CU1167" s="488"/>
      <c r="CW1167" s="488"/>
      <c r="EV1167" s="821"/>
      <c r="EW1167" s="821"/>
    </row>
    <row r="1168" spans="1:153" s="757" customFormat="1" hidden="1">
      <c r="A1168" s="487"/>
      <c r="B1168" s="487"/>
      <c r="C1168" s="487"/>
      <c r="D1168" s="487"/>
      <c r="I1168" s="487"/>
      <c r="J1168" s="487"/>
      <c r="K1168" s="487"/>
      <c r="L1168" s="487"/>
      <c r="M1168" s="487"/>
      <c r="N1168" s="487"/>
      <c r="O1168" s="875"/>
      <c r="Q1168" s="704"/>
      <c r="R1168" s="1026"/>
      <c r="S1168" s="704"/>
      <c r="T1168" s="1026"/>
      <c r="AB1168" s="520"/>
      <c r="AC1168" s="520"/>
      <c r="AD1168" s="520"/>
      <c r="AE1168" s="520"/>
      <c r="AF1168" s="520"/>
      <c r="AG1168" s="520"/>
      <c r="AH1168" s="520"/>
      <c r="AI1168" s="520"/>
      <c r="AJ1168" s="520"/>
      <c r="AK1168" s="520"/>
      <c r="AL1168" s="520"/>
      <c r="AM1168" s="520"/>
      <c r="AN1168" s="520"/>
      <c r="AO1168" s="520"/>
      <c r="AP1168" s="520"/>
      <c r="AQ1168" s="520"/>
      <c r="AR1168" s="520"/>
      <c r="AS1168" s="520"/>
      <c r="AT1168" s="520"/>
      <c r="AU1168" s="520"/>
      <c r="AV1168" s="520"/>
      <c r="AY1168" s="507"/>
      <c r="BA1168" s="507"/>
      <c r="BJ1168" s="493"/>
      <c r="CU1168" s="488"/>
      <c r="CW1168" s="488"/>
      <c r="EV1168" s="821"/>
      <c r="EW1168" s="821"/>
    </row>
    <row r="1169" spans="1:153" s="757" customFormat="1" hidden="1">
      <c r="A1169" s="487"/>
      <c r="B1169" s="487"/>
      <c r="C1169" s="487"/>
      <c r="D1169" s="487"/>
      <c r="I1169" s="487"/>
      <c r="J1169" s="487"/>
      <c r="K1169" s="487"/>
      <c r="L1169" s="487"/>
      <c r="M1169" s="487"/>
      <c r="N1169" s="487"/>
      <c r="O1169" s="875"/>
      <c r="Q1169" s="704"/>
      <c r="R1169" s="1026"/>
      <c r="S1169" s="704"/>
      <c r="T1169" s="1026"/>
      <c r="AB1169" s="520"/>
      <c r="AC1169" s="520"/>
      <c r="AD1169" s="520"/>
      <c r="AE1169" s="520"/>
      <c r="AF1169" s="520"/>
      <c r="AG1169" s="520"/>
      <c r="AH1169" s="520"/>
      <c r="AI1169" s="520"/>
      <c r="AJ1169" s="520"/>
      <c r="AK1169" s="520"/>
      <c r="AL1169" s="520"/>
      <c r="AM1169" s="520"/>
      <c r="AN1169" s="520"/>
      <c r="AO1169" s="520"/>
      <c r="AP1169" s="520"/>
      <c r="AQ1169" s="520"/>
      <c r="AR1169" s="520"/>
      <c r="AS1169" s="520"/>
      <c r="AT1169" s="520"/>
      <c r="AU1169" s="520"/>
      <c r="AV1169" s="520"/>
      <c r="AY1169" s="507"/>
      <c r="BA1169" s="507"/>
      <c r="BJ1169" s="493"/>
      <c r="CU1169" s="488"/>
      <c r="CW1169" s="488"/>
      <c r="EV1169" s="821"/>
      <c r="EW1169" s="821"/>
    </row>
    <row r="1170" spans="1:153" s="757" customFormat="1" hidden="1">
      <c r="A1170" s="487"/>
      <c r="B1170" s="487"/>
      <c r="C1170" s="487"/>
      <c r="D1170" s="487"/>
      <c r="I1170" s="487"/>
      <c r="J1170" s="487"/>
      <c r="K1170" s="487"/>
      <c r="L1170" s="487"/>
      <c r="M1170" s="487"/>
      <c r="N1170" s="487"/>
      <c r="O1170" s="875"/>
      <c r="Q1170" s="704"/>
      <c r="R1170" s="1026"/>
      <c r="S1170" s="704"/>
      <c r="T1170" s="1026"/>
      <c r="AB1170" s="520"/>
      <c r="AC1170" s="520"/>
      <c r="AD1170" s="520"/>
      <c r="AE1170" s="520"/>
      <c r="AF1170" s="520"/>
      <c r="AG1170" s="520"/>
      <c r="AH1170" s="520"/>
      <c r="AI1170" s="520"/>
      <c r="AJ1170" s="520"/>
      <c r="AK1170" s="520"/>
      <c r="AL1170" s="520"/>
      <c r="AM1170" s="520"/>
      <c r="AN1170" s="520"/>
      <c r="AO1170" s="520"/>
      <c r="AP1170" s="520"/>
      <c r="AQ1170" s="520"/>
      <c r="AR1170" s="520"/>
      <c r="AS1170" s="520"/>
      <c r="AT1170" s="520"/>
      <c r="AU1170" s="520"/>
      <c r="AV1170" s="520"/>
      <c r="AY1170" s="507"/>
      <c r="BA1170" s="507"/>
      <c r="BJ1170" s="493"/>
      <c r="CU1170" s="488"/>
      <c r="CW1170" s="488"/>
      <c r="EV1170" s="821"/>
      <c r="EW1170" s="821"/>
    </row>
    <row r="1171" spans="1:153" s="757" customFormat="1" hidden="1">
      <c r="A1171" s="487"/>
      <c r="B1171" s="487"/>
      <c r="C1171" s="487"/>
      <c r="D1171" s="487"/>
      <c r="I1171" s="487"/>
      <c r="J1171" s="487"/>
      <c r="K1171" s="487"/>
      <c r="L1171" s="487"/>
      <c r="M1171" s="487"/>
      <c r="N1171" s="487"/>
      <c r="O1171" s="875"/>
      <c r="Q1171" s="704"/>
      <c r="R1171" s="1026"/>
      <c r="S1171" s="704"/>
      <c r="T1171" s="1026"/>
      <c r="AB1171" s="520"/>
      <c r="AC1171" s="520"/>
      <c r="AD1171" s="520"/>
      <c r="AE1171" s="520"/>
      <c r="AF1171" s="520"/>
      <c r="AG1171" s="520"/>
      <c r="AH1171" s="520"/>
      <c r="AI1171" s="520"/>
      <c r="AJ1171" s="520"/>
      <c r="AK1171" s="520"/>
      <c r="AL1171" s="520"/>
      <c r="AM1171" s="520"/>
      <c r="AN1171" s="520"/>
      <c r="AO1171" s="520"/>
      <c r="AP1171" s="520"/>
      <c r="AQ1171" s="520"/>
      <c r="AR1171" s="520"/>
      <c r="AS1171" s="520"/>
      <c r="AT1171" s="520"/>
      <c r="AU1171" s="520"/>
      <c r="AV1171" s="520"/>
      <c r="AY1171" s="507"/>
      <c r="BA1171" s="507"/>
      <c r="BJ1171" s="493"/>
      <c r="CU1171" s="488"/>
      <c r="CW1171" s="488"/>
      <c r="EV1171" s="821"/>
      <c r="EW1171" s="821"/>
    </row>
    <row r="1172" spans="1:153" s="757" customFormat="1" hidden="1">
      <c r="A1172" s="487"/>
      <c r="B1172" s="487"/>
      <c r="C1172" s="487"/>
      <c r="D1172" s="487"/>
      <c r="I1172" s="487"/>
      <c r="J1172" s="487"/>
      <c r="K1172" s="487"/>
      <c r="L1172" s="487"/>
      <c r="M1172" s="487"/>
      <c r="N1172" s="487"/>
      <c r="O1172" s="875"/>
      <c r="Q1172" s="704"/>
      <c r="R1172" s="1026"/>
      <c r="S1172" s="704"/>
      <c r="T1172" s="1026"/>
      <c r="AB1172" s="520"/>
      <c r="AC1172" s="520"/>
      <c r="AD1172" s="520"/>
      <c r="AE1172" s="520"/>
      <c r="AF1172" s="520"/>
      <c r="AG1172" s="520"/>
      <c r="AH1172" s="520"/>
      <c r="AI1172" s="520"/>
      <c r="AJ1172" s="520"/>
      <c r="AK1172" s="520"/>
      <c r="AL1172" s="520"/>
      <c r="AM1172" s="520"/>
      <c r="AN1172" s="520"/>
      <c r="AO1172" s="520"/>
      <c r="AP1172" s="520"/>
      <c r="AQ1172" s="520"/>
      <c r="AR1172" s="520"/>
      <c r="AS1172" s="520"/>
      <c r="AT1172" s="520"/>
      <c r="AU1172" s="520"/>
      <c r="AV1172" s="520"/>
      <c r="AY1172" s="507"/>
      <c r="BA1172" s="507"/>
      <c r="BJ1172" s="493"/>
      <c r="CU1172" s="488"/>
      <c r="CW1172" s="488"/>
      <c r="EV1172" s="821"/>
      <c r="EW1172" s="821"/>
    </row>
    <row r="1173" spans="1:153" s="757" customFormat="1" hidden="1">
      <c r="A1173" s="487"/>
      <c r="B1173" s="487"/>
      <c r="C1173" s="487"/>
      <c r="D1173" s="487"/>
      <c r="I1173" s="487"/>
      <c r="J1173" s="487"/>
      <c r="K1173" s="487"/>
      <c r="L1173" s="487"/>
      <c r="M1173" s="487"/>
      <c r="N1173" s="487"/>
      <c r="O1173" s="875"/>
      <c r="Q1173" s="704"/>
      <c r="R1173" s="1026"/>
      <c r="S1173" s="704"/>
      <c r="T1173" s="1026"/>
      <c r="AB1173" s="520"/>
      <c r="AC1173" s="520"/>
      <c r="AD1173" s="520"/>
      <c r="AE1173" s="520"/>
      <c r="AF1173" s="520"/>
      <c r="AG1173" s="520"/>
      <c r="AH1173" s="520"/>
      <c r="AI1173" s="520"/>
      <c r="AJ1173" s="520"/>
      <c r="AK1173" s="520"/>
      <c r="AL1173" s="520"/>
      <c r="AM1173" s="520"/>
      <c r="AN1173" s="520"/>
      <c r="AO1173" s="520"/>
      <c r="AP1173" s="520"/>
      <c r="AQ1173" s="520"/>
      <c r="AR1173" s="520"/>
      <c r="AS1173" s="520"/>
      <c r="AT1173" s="520"/>
      <c r="AU1173" s="520"/>
      <c r="AV1173" s="520"/>
      <c r="AY1173" s="507"/>
      <c r="BA1173" s="507"/>
      <c r="BJ1173" s="493"/>
      <c r="CU1173" s="488"/>
      <c r="CW1173" s="488"/>
      <c r="EV1173" s="821"/>
      <c r="EW1173" s="821"/>
    </row>
    <row r="1174" spans="1:153" s="757" customFormat="1" hidden="1">
      <c r="A1174" s="487"/>
      <c r="B1174" s="487"/>
      <c r="C1174" s="487"/>
      <c r="D1174" s="487"/>
      <c r="I1174" s="487"/>
      <c r="J1174" s="487"/>
      <c r="K1174" s="487"/>
      <c r="L1174" s="487"/>
      <c r="M1174" s="487"/>
      <c r="N1174" s="487"/>
      <c r="O1174" s="875"/>
      <c r="Q1174" s="704"/>
      <c r="R1174" s="1026"/>
      <c r="S1174" s="704"/>
      <c r="T1174" s="1026"/>
      <c r="AB1174" s="520"/>
      <c r="AC1174" s="520"/>
      <c r="AD1174" s="520"/>
      <c r="AE1174" s="520"/>
      <c r="AF1174" s="520"/>
      <c r="AG1174" s="520"/>
      <c r="AH1174" s="520"/>
      <c r="AI1174" s="520"/>
      <c r="AJ1174" s="520"/>
      <c r="AK1174" s="520"/>
      <c r="AL1174" s="520"/>
      <c r="AM1174" s="520"/>
      <c r="AN1174" s="520"/>
      <c r="AO1174" s="520"/>
      <c r="AP1174" s="520"/>
      <c r="AQ1174" s="520"/>
      <c r="AR1174" s="520"/>
      <c r="AS1174" s="520"/>
      <c r="AT1174" s="520"/>
      <c r="AU1174" s="520"/>
      <c r="AV1174" s="520"/>
      <c r="AY1174" s="507"/>
      <c r="BA1174" s="507"/>
      <c r="BJ1174" s="493"/>
      <c r="CU1174" s="488"/>
      <c r="CW1174" s="488"/>
      <c r="EV1174" s="821"/>
      <c r="EW1174" s="821"/>
    </row>
    <row r="1175" spans="1:153" s="757" customFormat="1" hidden="1">
      <c r="A1175" s="487"/>
      <c r="B1175" s="487"/>
      <c r="C1175" s="487"/>
      <c r="D1175" s="487"/>
      <c r="I1175" s="487"/>
      <c r="J1175" s="487"/>
      <c r="K1175" s="487"/>
      <c r="L1175" s="487"/>
      <c r="M1175" s="487"/>
      <c r="N1175" s="487"/>
      <c r="O1175" s="875"/>
      <c r="Q1175" s="704"/>
      <c r="R1175" s="1026"/>
      <c r="S1175" s="704"/>
      <c r="T1175" s="1026"/>
      <c r="AB1175" s="520"/>
      <c r="AC1175" s="520"/>
      <c r="AD1175" s="520"/>
      <c r="AE1175" s="520"/>
      <c r="AF1175" s="520"/>
      <c r="AG1175" s="520"/>
      <c r="AH1175" s="520"/>
      <c r="AI1175" s="520"/>
      <c r="AJ1175" s="520"/>
      <c r="AK1175" s="520"/>
      <c r="AL1175" s="520"/>
      <c r="AM1175" s="520"/>
      <c r="AN1175" s="520"/>
      <c r="AO1175" s="520"/>
      <c r="AP1175" s="520"/>
      <c r="AQ1175" s="520"/>
      <c r="AR1175" s="520"/>
      <c r="AS1175" s="520"/>
      <c r="AT1175" s="520"/>
      <c r="AU1175" s="520"/>
      <c r="AV1175" s="520"/>
      <c r="AY1175" s="507"/>
      <c r="BA1175" s="507"/>
      <c r="BJ1175" s="493"/>
      <c r="CU1175" s="488"/>
      <c r="CW1175" s="488"/>
      <c r="EV1175" s="821"/>
      <c r="EW1175" s="821"/>
    </row>
    <row r="1176" spans="1:153" s="757" customFormat="1" hidden="1">
      <c r="A1176" s="487"/>
      <c r="B1176" s="487"/>
      <c r="C1176" s="487"/>
      <c r="D1176" s="487"/>
      <c r="I1176" s="487"/>
      <c r="J1176" s="487"/>
      <c r="K1176" s="487"/>
      <c r="L1176" s="487"/>
      <c r="M1176" s="487"/>
      <c r="N1176" s="487"/>
      <c r="O1176" s="875"/>
      <c r="Q1176" s="704"/>
      <c r="R1176" s="1026"/>
      <c r="S1176" s="704"/>
      <c r="T1176" s="1026"/>
      <c r="AB1176" s="520"/>
      <c r="AC1176" s="520"/>
      <c r="AD1176" s="520"/>
      <c r="AE1176" s="520"/>
      <c r="AF1176" s="520"/>
      <c r="AG1176" s="520"/>
      <c r="AH1176" s="520"/>
      <c r="AI1176" s="520"/>
      <c r="AJ1176" s="520"/>
      <c r="AK1176" s="520"/>
      <c r="AL1176" s="520"/>
      <c r="AM1176" s="520"/>
      <c r="AN1176" s="520"/>
      <c r="AO1176" s="520"/>
      <c r="AP1176" s="520"/>
      <c r="AQ1176" s="520"/>
      <c r="AR1176" s="520"/>
      <c r="AS1176" s="520"/>
      <c r="AT1176" s="520"/>
      <c r="AU1176" s="520"/>
      <c r="AV1176" s="520"/>
      <c r="AY1176" s="507"/>
      <c r="BA1176" s="507"/>
      <c r="BJ1176" s="493"/>
      <c r="CU1176" s="488"/>
      <c r="CW1176" s="488"/>
      <c r="EV1176" s="821"/>
      <c r="EW1176" s="821"/>
    </row>
    <row r="1177" spans="1:153" s="757" customFormat="1" hidden="1">
      <c r="A1177" s="487"/>
      <c r="B1177" s="487"/>
      <c r="C1177" s="487"/>
      <c r="D1177" s="487"/>
      <c r="I1177" s="487"/>
      <c r="J1177" s="487"/>
      <c r="K1177" s="487"/>
      <c r="L1177" s="487"/>
      <c r="M1177" s="487"/>
      <c r="N1177" s="487"/>
      <c r="O1177" s="875"/>
      <c r="Q1177" s="704"/>
      <c r="R1177" s="1026"/>
      <c r="S1177" s="704"/>
      <c r="T1177" s="1026"/>
      <c r="AB1177" s="520"/>
      <c r="AC1177" s="520"/>
      <c r="AD1177" s="520"/>
      <c r="AE1177" s="520"/>
      <c r="AF1177" s="520"/>
      <c r="AG1177" s="520"/>
      <c r="AH1177" s="520"/>
      <c r="AI1177" s="520"/>
      <c r="AJ1177" s="520"/>
      <c r="AK1177" s="520"/>
      <c r="AL1177" s="520"/>
      <c r="AM1177" s="520"/>
      <c r="AN1177" s="520"/>
      <c r="AO1177" s="520"/>
      <c r="AP1177" s="520"/>
      <c r="AQ1177" s="520"/>
      <c r="AR1177" s="520"/>
      <c r="AS1177" s="520"/>
      <c r="AT1177" s="520"/>
      <c r="AU1177" s="520"/>
      <c r="AV1177" s="520"/>
      <c r="AY1177" s="507"/>
      <c r="BA1177" s="507"/>
      <c r="BJ1177" s="493"/>
      <c r="CU1177" s="488"/>
      <c r="CW1177" s="488"/>
      <c r="EV1177" s="821"/>
      <c r="EW1177" s="821"/>
    </row>
    <row r="1178" spans="1:153" s="757" customFormat="1" hidden="1">
      <c r="A1178" s="487"/>
      <c r="B1178" s="487"/>
      <c r="C1178" s="487"/>
      <c r="D1178" s="487"/>
      <c r="I1178" s="487"/>
      <c r="J1178" s="487"/>
      <c r="K1178" s="487"/>
      <c r="L1178" s="487"/>
      <c r="M1178" s="487"/>
      <c r="N1178" s="487"/>
      <c r="O1178" s="875"/>
      <c r="Q1178" s="704"/>
      <c r="R1178" s="1026"/>
      <c r="S1178" s="704"/>
      <c r="T1178" s="1026"/>
      <c r="AB1178" s="520"/>
      <c r="AC1178" s="520"/>
      <c r="AD1178" s="520"/>
      <c r="AE1178" s="520"/>
      <c r="AF1178" s="520"/>
      <c r="AG1178" s="520"/>
      <c r="AH1178" s="520"/>
      <c r="AI1178" s="520"/>
      <c r="AJ1178" s="520"/>
      <c r="AK1178" s="520"/>
      <c r="AL1178" s="520"/>
      <c r="AM1178" s="520"/>
      <c r="AN1178" s="520"/>
      <c r="AO1178" s="520"/>
      <c r="AP1178" s="520"/>
      <c r="AQ1178" s="520"/>
      <c r="AR1178" s="520"/>
      <c r="AS1178" s="520"/>
      <c r="AT1178" s="520"/>
      <c r="AU1178" s="520"/>
      <c r="AV1178" s="520"/>
      <c r="AY1178" s="507"/>
      <c r="BA1178" s="507"/>
      <c r="BJ1178" s="493"/>
      <c r="CU1178" s="488"/>
      <c r="CW1178" s="488"/>
      <c r="EV1178" s="821"/>
      <c r="EW1178" s="821"/>
    </row>
    <row r="1179" spans="1:153" s="757" customFormat="1" hidden="1">
      <c r="A1179" s="487"/>
      <c r="B1179" s="487"/>
      <c r="C1179" s="487"/>
      <c r="D1179" s="487"/>
      <c r="I1179" s="487"/>
      <c r="J1179" s="487"/>
      <c r="K1179" s="487"/>
      <c r="L1179" s="487"/>
      <c r="M1179" s="487"/>
      <c r="N1179" s="487"/>
      <c r="O1179" s="875"/>
      <c r="Q1179" s="704"/>
      <c r="R1179" s="1026"/>
      <c r="S1179" s="704"/>
      <c r="T1179" s="1026"/>
      <c r="AB1179" s="520"/>
      <c r="AC1179" s="520"/>
      <c r="AD1179" s="520"/>
      <c r="AE1179" s="520"/>
      <c r="AF1179" s="520"/>
      <c r="AG1179" s="520"/>
      <c r="AH1179" s="520"/>
      <c r="AI1179" s="520"/>
      <c r="AJ1179" s="520"/>
      <c r="AK1179" s="520"/>
      <c r="AL1179" s="520"/>
      <c r="AM1179" s="520"/>
      <c r="AN1179" s="520"/>
      <c r="AO1179" s="520"/>
      <c r="AP1179" s="520"/>
      <c r="AQ1179" s="520"/>
      <c r="AR1179" s="520"/>
      <c r="AS1179" s="520"/>
      <c r="AT1179" s="520"/>
      <c r="AU1179" s="520"/>
      <c r="AV1179" s="520"/>
      <c r="AY1179" s="507"/>
      <c r="BA1179" s="507"/>
      <c r="BJ1179" s="493"/>
      <c r="CU1179" s="488"/>
      <c r="CW1179" s="488"/>
      <c r="EV1179" s="821"/>
      <c r="EW1179" s="821"/>
    </row>
    <row r="1180" spans="1:153" s="757" customFormat="1" hidden="1">
      <c r="A1180" s="487"/>
      <c r="B1180" s="487"/>
      <c r="C1180" s="487"/>
      <c r="D1180" s="487"/>
      <c r="I1180" s="487"/>
      <c r="J1180" s="487"/>
      <c r="K1180" s="487"/>
      <c r="L1180" s="487"/>
      <c r="M1180" s="487"/>
      <c r="N1180" s="487"/>
      <c r="O1180" s="875"/>
      <c r="Q1180" s="704"/>
      <c r="R1180" s="1026"/>
      <c r="S1180" s="704"/>
      <c r="T1180" s="1026"/>
      <c r="AB1180" s="520"/>
      <c r="AC1180" s="520"/>
      <c r="AD1180" s="520"/>
      <c r="AE1180" s="520"/>
      <c r="AF1180" s="520"/>
      <c r="AG1180" s="520"/>
      <c r="AH1180" s="520"/>
      <c r="AI1180" s="520"/>
      <c r="AJ1180" s="520"/>
      <c r="AK1180" s="520"/>
      <c r="AL1180" s="520"/>
      <c r="AM1180" s="520"/>
      <c r="AN1180" s="520"/>
      <c r="AO1180" s="520"/>
      <c r="AP1180" s="520"/>
      <c r="AQ1180" s="520"/>
      <c r="AR1180" s="520"/>
      <c r="AS1180" s="520"/>
      <c r="AT1180" s="520"/>
      <c r="AU1180" s="520"/>
      <c r="AV1180" s="520"/>
      <c r="AY1180" s="507"/>
      <c r="BA1180" s="507"/>
      <c r="BJ1180" s="493"/>
      <c r="CU1180" s="488"/>
      <c r="CW1180" s="488"/>
      <c r="EV1180" s="821"/>
      <c r="EW1180" s="821"/>
    </row>
    <row r="1181" spans="1:153" s="757" customFormat="1" hidden="1">
      <c r="A1181" s="487"/>
      <c r="B1181" s="487"/>
      <c r="C1181" s="487"/>
      <c r="D1181" s="487"/>
      <c r="I1181" s="487"/>
      <c r="J1181" s="487"/>
      <c r="K1181" s="487"/>
      <c r="L1181" s="487"/>
      <c r="M1181" s="487"/>
      <c r="N1181" s="487"/>
      <c r="O1181" s="875"/>
      <c r="Q1181" s="704"/>
      <c r="R1181" s="1026"/>
      <c r="S1181" s="704"/>
      <c r="T1181" s="1026"/>
      <c r="AB1181" s="520"/>
      <c r="AC1181" s="520"/>
      <c r="AD1181" s="520"/>
      <c r="AE1181" s="520"/>
      <c r="AF1181" s="520"/>
      <c r="AG1181" s="520"/>
      <c r="AH1181" s="520"/>
      <c r="AI1181" s="520"/>
      <c r="AJ1181" s="520"/>
      <c r="AK1181" s="520"/>
      <c r="AL1181" s="520"/>
      <c r="AM1181" s="520"/>
      <c r="AN1181" s="520"/>
      <c r="AO1181" s="520"/>
      <c r="AP1181" s="520"/>
      <c r="AQ1181" s="520"/>
      <c r="AR1181" s="520"/>
      <c r="AS1181" s="520"/>
      <c r="AT1181" s="520"/>
      <c r="AU1181" s="520"/>
      <c r="AV1181" s="520"/>
      <c r="AY1181" s="507"/>
      <c r="BA1181" s="507"/>
      <c r="BJ1181" s="493"/>
      <c r="CU1181" s="488"/>
      <c r="CW1181" s="488"/>
      <c r="EV1181" s="821"/>
      <c r="EW1181" s="821"/>
    </row>
    <row r="1182" spans="1:153" s="757" customFormat="1" hidden="1">
      <c r="A1182" s="487"/>
      <c r="B1182" s="487"/>
      <c r="C1182" s="487"/>
      <c r="D1182" s="487"/>
      <c r="I1182" s="487"/>
      <c r="J1182" s="487"/>
      <c r="K1182" s="487"/>
      <c r="L1182" s="487"/>
      <c r="M1182" s="487"/>
      <c r="N1182" s="487"/>
      <c r="O1182" s="875"/>
      <c r="Q1182" s="704"/>
      <c r="R1182" s="1026"/>
      <c r="S1182" s="704"/>
      <c r="T1182" s="1026"/>
      <c r="AB1182" s="520"/>
      <c r="AC1182" s="520"/>
      <c r="AD1182" s="520"/>
      <c r="AE1182" s="520"/>
      <c r="AF1182" s="520"/>
      <c r="AG1182" s="520"/>
      <c r="AH1182" s="520"/>
      <c r="AI1182" s="520"/>
      <c r="AJ1182" s="520"/>
      <c r="AK1182" s="520"/>
      <c r="AL1182" s="520"/>
      <c r="AM1182" s="520"/>
      <c r="AN1182" s="520"/>
      <c r="AO1182" s="520"/>
      <c r="AP1182" s="520"/>
      <c r="AQ1182" s="520"/>
      <c r="AR1182" s="520"/>
      <c r="AS1182" s="520"/>
      <c r="AT1182" s="520"/>
      <c r="AU1182" s="520"/>
      <c r="AV1182" s="520"/>
      <c r="AY1182" s="507"/>
      <c r="BA1182" s="507"/>
      <c r="BJ1182" s="493"/>
      <c r="CU1182" s="488"/>
      <c r="CW1182" s="488"/>
      <c r="EV1182" s="821"/>
      <c r="EW1182" s="821"/>
    </row>
    <row r="1183" spans="1:153" s="757" customFormat="1" hidden="1">
      <c r="A1183" s="487"/>
      <c r="B1183" s="487"/>
      <c r="C1183" s="487"/>
      <c r="D1183" s="487"/>
      <c r="I1183" s="487"/>
      <c r="J1183" s="487"/>
      <c r="K1183" s="487"/>
      <c r="L1183" s="487"/>
      <c r="M1183" s="487"/>
      <c r="N1183" s="487"/>
      <c r="O1183" s="875"/>
      <c r="Q1183" s="704"/>
      <c r="R1183" s="1026"/>
      <c r="S1183" s="704"/>
      <c r="T1183" s="1026"/>
      <c r="AB1183" s="520"/>
      <c r="AC1183" s="520"/>
      <c r="AD1183" s="520"/>
      <c r="AE1183" s="520"/>
      <c r="AF1183" s="520"/>
      <c r="AG1183" s="520"/>
      <c r="AH1183" s="520"/>
      <c r="AI1183" s="520"/>
      <c r="AJ1183" s="520"/>
      <c r="AK1183" s="520"/>
      <c r="AL1183" s="520"/>
      <c r="AM1183" s="520"/>
      <c r="AN1183" s="520"/>
      <c r="AO1183" s="520"/>
      <c r="AP1183" s="520"/>
      <c r="AQ1183" s="520"/>
      <c r="AR1183" s="520"/>
      <c r="AS1183" s="520"/>
      <c r="AT1183" s="520"/>
      <c r="AU1183" s="520"/>
      <c r="AV1183" s="520"/>
      <c r="AY1183" s="507"/>
      <c r="BA1183" s="507"/>
      <c r="BJ1183" s="493"/>
      <c r="CU1183" s="488"/>
      <c r="CW1183" s="488"/>
      <c r="EV1183" s="821"/>
      <c r="EW1183" s="821"/>
    </row>
    <row r="1184" spans="1:153" s="757" customFormat="1" hidden="1">
      <c r="A1184" s="487"/>
      <c r="B1184" s="487"/>
      <c r="C1184" s="487"/>
      <c r="D1184" s="487"/>
      <c r="I1184" s="487"/>
      <c r="J1184" s="487"/>
      <c r="K1184" s="487"/>
      <c r="L1184" s="487"/>
      <c r="M1184" s="487"/>
      <c r="N1184" s="487"/>
      <c r="O1184" s="875"/>
      <c r="Q1184" s="704"/>
      <c r="R1184" s="1026"/>
      <c r="S1184" s="704"/>
      <c r="T1184" s="1026"/>
      <c r="AB1184" s="520"/>
      <c r="AC1184" s="520"/>
      <c r="AD1184" s="520"/>
      <c r="AE1184" s="520"/>
      <c r="AF1184" s="520"/>
      <c r="AG1184" s="520"/>
      <c r="AH1184" s="520"/>
      <c r="AI1184" s="520"/>
      <c r="AJ1184" s="520"/>
      <c r="AK1184" s="520"/>
      <c r="AL1184" s="520"/>
      <c r="AM1184" s="520"/>
      <c r="AN1184" s="520"/>
      <c r="AO1184" s="520"/>
      <c r="AP1184" s="520"/>
      <c r="AQ1184" s="520"/>
      <c r="AR1184" s="520"/>
      <c r="AS1184" s="520"/>
      <c r="AT1184" s="520"/>
      <c r="AU1184" s="520"/>
      <c r="AV1184" s="520"/>
      <c r="AY1184" s="507"/>
      <c r="BA1184" s="507"/>
      <c r="BJ1184" s="493"/>
      <c r="CU1184" s="488"/>
      <c r="CW1184" s="488"/>
      <c r="EV1184" s="821"/>
      <c r="EW1184" s="821"/>
    </row>
    <row r="1185" spans="1:153" s="757" customFormat="1" hidden="1">
      <c r="A1185" s="487"/>
      <c r="B1185" s="487"/>
      <c r="C1185" s="487"/>
      <c r="D1185" s="487"/>
      <c r="I1185" s="487"/>
      <c r="J1185" s="487"/>
      <c r="K1185" s="487"/>
      <c r="L1185" s="487"/>
      <c r="M1185" s="487"/>
      <c r="N1185" s="487"/>
      <c r="O1185" s="875"/>
      <c r="Q1185" s="704"/>
      <c r="R1185" s="1026"/>
      <c r="S1185" s="704"/>
      <c r="T1185" s="1026"/>
      <c r="AB1185" s="520"/>
      <c r="AC1185" s="520"/>
      <c r="AD1185" s="520"/>
      <c r="AE1185" s="520"/>
      <c r="AF1185" s="520"/>
      <c r="AG1185" s="520"/>
      <c r="AH1185" s="520"/>
      <c r="AI1185" s="520"/>
      <c r="AJ1185" s="520"/>
      <c r="AK1185" s="520"/>
      <c r="AL1185" s="520"/>
      <c r="AM1185" s="520"/>
      <c r="AN1185" s="520"/>
      <c r="AO1185" s="520"/>
      <c r="AP1185" s="520"/>
      <c r="AQ1185" s="520"/>
      <c r="AR1185" s="520"/>
      <c r="AS1185" s="520"/>
      <c r="AT1185" s="520"/>
      <c r="AU1185" s="520"/>
      <c r="AV1185" s="520"/>
      <c r="AY1185" s="507"/>
      <c r="BA1185" s="507"/>
      <c r="BJ1185" s="493"/>
      <c r="CU1185" s="488"/>
      <c r="CW1185" s="488"/>
      <c r="EV1185" s="821"/>
      <c r="EW1185" s="821"/>
    </row>
    <row r="1186" spans="1:153" s="757" customFormat="1" hidden="1">
      <c r="A1186" s="487"/>
      <c r="B1186" s="487"/>
      <c r="C1186" s="487"/>
      <c r="D1186" s="487"/>
      <c r="I1186" s="487"/>
      <c r="J1186" s="487"/>
      <c r="K1186" s="487"/>
      <c r="L1186" s="487"/>
      <c r="M1186" s="487"/>
      <c r="N1186" s="487"/>
      <c r="O1186" s="875"/>
      <c r="Q1186" s="704"/>
      <c r="R1186" s="1026"/>
      <c r="S1186" s="704"/>
      <c r="T1186" s="1026"/>
      <c r="AB1186" s="520"/>
      <c r="AC1186" s="520"/>
      <c r="AD1186" s="520"/>
      <c r="AE1186" s="520"/>
      <c r="AF1186" s="520"/>
      <c r="AG1186" s="520"/>
      <c r="AH1186" s="520"/>
      <c r="AI1186" s="520"/>
      <c r="AJ1186" s="520"/>
      <c r="AK1186" s="520"/>
      <c r="AL1186" s="520"/>
      <c r="AM1186" s="520"/>
      <c r="AN1186" s="520"/>
      <c r="AO1186" s="520"/>
      <c r="AP1186" s="520"/>
      <c r="AQ1186" s="520"/>
      <c r="AR1186" s="520"/>
      <c r="AS1186" s="520"/>
      <c r="AT1186" s="520"/>
      <c r="AU1186" s="520"/>
      <c r="AV1186" s="520"/>
      <c r="AY1186" s="507"/>
      <c r="BA1186" s="507"/>
      <c r="BJ1186" s="493"/>
      <c r="CU1186" s="488"/>
      <c r="CW1186" s="488"/>
      <c r="EV1186" s="821"/>
      <c r="EW1186" s="821"/>
    </row>
    <row r="1187" spans="1:153" s="757" customFormat="1" hidden="1">
      <c r="A1187" s="487"/>
      <c r="B1187" s="487"/>
      <c r="C1187" s="487"/>
      <c r="D1187" s="487"/>
      <c r="I1187" s="487"/>
      <c r="J1187" s="487"/>
      <c r="K1187" s="487"/>
      <c r="L1187" s="487"/>
      <c r="M1187" s="487"/>
      <c r="N1187" s="487"/>
      <c r="O1187" s="875"/>
      <c r="Q1187" s="704"/>
      <c r="R1187" s="1026"/>
      <c r="S1187" s="704"/>
      <c r="T1187" s="1026"/>
      <c r="AB1187" s="520"/>
      <c r="AC1187" s="520"/>
      <c r="AD1187" s="520"/>
      <c r="AE1187" s="520"/>
      <c r="AF1187" s="520"/>
      <c r="AG1187" s="520"/>
      <c r="AH1187" s="520"/>
      <c r="AI1187" s="520"/>
      <c r="AJ1187" s="520"/>
      <c r="AK1187" s="520"/>
      <c r="AL1187" s="520"/>
      <c r="AM1187" s="520"/>
      <c r="AN1187" s="520"/>
      <c r="AO1187" s="520"/>
      <c r="AP1187" s="520"/>
      <c r="AQ1187" s="520"/>
      <c r="AR1187" s="520"/>
      <c r="AS1187" s="520"/>
      <c r="AT1187" s="520"/>
      <c r="AU1187" s="520"/>
      <c r="AV1187" s="520"/>
      <c r="AY1187" s="507"/>
      <c r="BA1187" s="507"/>
      <c r="BJ1187" s="493"/>
      <c r="CU1187" s="488"/>
      <c r="CW1187" s="488"/>
      <c r="EV1187" s="821"/>
      <c r="EW1187" s="821"/>
    </row>
    <row r="1188" spans="1:153" s="757" customFormat="1" hidden="1">
      <c r="A1188" s="487"/>
      <c r="B1188" s="487"/>
      <c r="C1188" s="487"/>
      <c r="D1188" s="487"/>
      <c r="I1188" s="487"/>
      <c r="J1188" s="487"/>
      <c r="K1188" s="487"/>
      <c r="L1188" s="487"/>
      <c r="M1188" s="487"/>
      <c r="N1188" s="487"/>
      <c r="O1188" s="875"/>
      <c r="Q1188" s="704"/>
      <c r="R1188" s="1026"/>
      <c r="S1188" s="704"/>
      <c r="T1188" s="1026"/>
      <c r="AB1188" s="520"/>
      <c r="AC1188" s="520"/>
      <c r="AD1188" s="520"/>
      <c r="AE1188" s="520"/>
      <c r="AF1188" s="520"/>
      <c r="AG1188" s="520"/>
      <c r="AH1188" s="520"/>
      <c r="AI1188" s="520"/>
      <c r="AJ1188" s="520"/>
      <c r="AK1188" s="520"/>
      <c r="AL1188" s="520"/>
      <c r="AM1188" s="520"/>
      <c r="AN1188" s="520"/>
      <c r="AO1188" s="520"/>
      <c r="AP1188" s="520"/>
      <c r="AQ1188" s="520"/>
      <c r="AR1188" s="520"/>
      <c r="AS1188" s="520"/>
      <c r="AT1188" s="520"/>
      <c r="AU1188" s="520"/>
      <c r="AV1188" s="520"/>
      <c r="AY1188" s="507"/>
      <c r="BA1188" s="507"/>
      <c r="BJ1188" s="493"/>
      <c r="CU1188" s="488"/>
      <c r="CW1188" s="488"/>
      <c r="EV1188" s="821"/>
      <c r="EW1188" s="821"/>
    </row>
    <row r="1189" spans="1:153" s="757" customFormat="1" hidden="1">
      <c r="A1189" s="487"/>
      <c r="B1189" s="487"/>
      <c r="C1189" s="487"/>
      <c r="D1189" s="487"/>
      <c r="I1189" s="487"/>
      <c r="J1189" s="487"/>
      <c r="K1189" s="487"/>
      <c r="L1189" s="487"/>
      <c r="M1189" s="487"/>
      <c r="N1189" s="487"/>
      <c r="O1189" s="875"/>
      <c r="Q1189" s="704"/>
      <c r="R1189" s="1026"/>
      <c r="S1189" s="704"/>
      <c r="T1189" s="1026"/>
      <c r="AB1189" s="520"/>
      <c r="AC1189" s="520"/>
      <c r="AD1189" s="520"/>
      <c r="AE1189" s="520"/>
      <c r="AF1189" s="520"/>
      <c r="AG1189" s="520"/>
      <c r="AH1189" s="520"/>
      <c r="AI1189" s="520"/>
      <c r="AJ1189" s="520"/>
      <c r="AK1189" s="520"/>
      <c r="AL1189" s="520"/>
      <c r="AM1189" s="520"/>
      <c r="AN1189" s="520"/>
      <c r="AO1189" s="520"/>
      <c r="AP1189" s="520"/>
      <c r="AQ1189" s="520"/>
      <c r="AR1189" s="520"/>
      <c r="AS1189" s="520"/>
      <c r="AT1189" s="520"/>
      <c r="AU1189" s="520"/>
      <c r="AV1189" s="520"/>
      <c r="AY1189" s="507"/>
      <c r="BA1189" s="507"/>
      <c r="BJ1189" s="493"/>
      <c r="CU1189" s="488"/>
      <c r="CW1189" s="488"/>
      <c r="EV1189" s="821"/>
      <c r="EW1189" s="821"/>
    </row>
    <row r="1190" spans="1:153" s="757" customFormat="1" hidden="1">
      <c r="A1190" s="487"/>
      <c r="B1190" s="487"/>
      <c r="C1190" s="487"/>
      <c r="D1190" s="487"/>
      <c r="I1190" s="487"/>
      <c r="J1190" s="487"/>
      <c r="K1190" s="487"/>
      <c r="L1190" s="487"/>
      <c r="M1190" s="487"/>
      <c r="N1190" s="487"/>
      <c r="O1190" s="875"/>
      <c r="Q1190" s="704"/>
      <c r="R1190" s="1026"/>
      <c r="S1190" s="704"/>
      <c r="T1190" s="1026"/>
      <c r="AB1190" s="520"/>
      <c r="AC1190" s="520"/>
      <c r="AD1190" s="520"/>
      <c r="AE1190" s="520"/>
      <c r="AF1190" s="520"/>
      <c r="AG1190" s="520"/>
      <c r="AH1190" s="520"/>
      <c r="AI1190" s="520"/>
      <c r="AJ1190" s="520"/>
      <c r="AK1190" s="520"/>
      <c r="AL1190" s="520"/>
      <c r="AM1190" s="520"/>
      <c r="AN1190" s="520"/>
      <c r="AO1190" s="520"/>
      <c r="AP1190" s="520"/>
      <c r="AQ1190" s="520"/>
      <c r="AR1190" s="520"/>
      <c r="AS1190" s="520"/>
      <c r="AT1190" s="520"/>
      <c r="AU1190" s="520"/>
      <c r="AV1190" s="520"/>
      <c r="AY1190" s="507"/>
      <c r="BA1190" s="507"/>
      <c r="BJ1190" s="493"/>
      <c r="CU1190" s="488"/>
      <c r="CW1190" s="488"/>
      <c r="EV1190" s="821"/>
      <c r="EW1190" s="821"/>
    </row>
    <row r="1191" spans="1:153" s="757" customFormat="1" hidden="1">
      <c r="A1191" s="487"/>
      <c r="B1191" s="487"/>
      <c r="C1191" s="487"/>
      <c r="D1191" s="487"/>
      <c r="I1191" s="487"/>
      <c r="J1191" s="487"/>
      <c r="K1191" s="487"/>
      <c r="L1191" s="487"/>
      <c r="M1191" s="487"/>
      <c r="N1191" s="487"/>
      <c r="O1191" s="875"/>
      <c r="Q1191" s="704"/>
      <c r="R1191" s="1026"/>
      <c r="S1191" s="704"/>
      <c r="T1191" s="1026"/>
      <c r="AB1191" s="520"/>
      <c r="AC1191" s="520"/>
      <c r="AD1191" s="520"/>
      <c r="AE1191" s="520"/>
      <c r="AF1191" s="520"/>
      <c r="AG1191" s="520"/>
      <c r="AH1191" s="520"/>
      <c r="AI1191" s="520"/>
      <c r="AJ1191" s="520"/>
      <c r="AK1191" s="520"/>
      <c r="AL1191" s="520"/>
      <c r="AM1191" s="520"/>
      <c r="AN1191" s="520"/>
      <c r="AO1191" s="520"/>
      <c r="AP1191" s="520"/>
      <c r="AQ1191" s="520"/>
      <c r="AR1191" s="520"/>
      <c r="AS1191" s="520"/>
      <c r="AT1191" s="520"/>
      <c r="AU1191" s="520"/>
      <c r="AV1191" s="520"/>
      <c r="AY1191" s="507"/>
      <c r="BA1191" s="507"/>
      <c r="BJ1191" s="493"/>
      <c r="CU1191" s="488"/>
      <c r="CW1191" s="488"/>
      <c r="EV1191" s="821"/>
      <c r="EW1191" s="821"/>
    </row>
    <row r="1192" spans="1:153" s="757" customFormat="1" hidden="1">
      <c r="A1192" s="487"/>
      <c r="B1192" s="487"/>
      <c r="C1192" s="487"/>
      <c r="D1192" s="487"/>
      <c r="I1192" s="487"/>
      <c r="J1192" s="487"/>
      <c r="K1192" s="487"/>
      <c r="L1192" s="487"/>
      <c r="M1192" s="487"/>
      <c r="N1192" s="487"/>
      <c r="O1192" s="875"/>
      <c r="Q1192" s="704"/>
      <c r="R1192" s="1026"/>
      <c r="S1192" s="704"/>
      <c r="T1192" s="1026"/>
      <c r="AB1192" s="520"/>
      <c r="AC1192" s="520"/>
      <c r="AD1192" s="520"/>
      <c r="AE1192" s="520"/>
      <c r="AF1192" s="520"/>
      <c r="AG1192" s="520"/>
      <c r="AH1192" s="520"/>
      <c r="AI1192" s="520"/>
      <c r="AJ1192" s="520"/>
      <c r="AK1192" s="520"/>
      <c r="AL1192" s="520"/>
      <c r="AM1192" s="520"/>
      <c r="AN1192" s="520"/>
      <c r="AO1192" s="520"/>
      <c r="AP1192" s="520"/>
      <c r="AQ1192" s="520"/>
      <c r="AR1192" s="520"/>
      <c r="AS1192" s="520"/>
      <c r="AT1192" s="520"/>
      <c r="AU1192" s="520"/>
      <c r="AV1192" s="520"/>
      <c r="AY1192" s="507"/>
      <c r="BA1192" s="507"/>
      <c r="BJ1192" s="493"/>
      <c r="CU1192" s="488"/>
      <c r="CW1192" s="488"/>
      <c r="EV1192" s="821"/>
      <c r="EW1192" s="821"/>
    </row>
    <row r="1193" spans="1:153" s="757" customFormat="1" hidden="1">
      <c r="A1193" s="487"/>
      <c r="B1193" s="487"/>
      <c r="C1193" s="487"/>
      <c r="D1193" s="487"/>
      <c r="I1193" s="487"/>
      <c r="J1193" s="487"/>
      <c r="K1193" s="487"/>
      <c r="L1193" s="487"/>
      <c r="M1193" s="487"/>
      <c r="N1193" s="487"/>
      <c r="O1193" s="875"/>
      <c r="Q1193" s="704"/>
      <c r="R1193" s="1026"/>
      <c r="S1193" s="704"/>
      <c r="T1193" s="1026"/>
      <c r="AB1193" s="520"/>
      <c r="AC1193" s="520"/>
      <c r="AD1193" s="520"/>
      <c r="AE1193" s="520"/>
      <c r="AF1193" s="520"/>
      <c r="AG1193" s="520"/>
      <c r="AH1193" s="520"/>
      <c r="AI1193" s="520"/>
      <c r="AJ1193" s="520"/>
      <c r="AK1193" s="520"/>
      <c r="AL1193" s="520"/>
      <c r="AM1193" s="520"/>
      <c r="AN1193" s="520"/>
      <c r="AO1193" s="520"/>
      <c r="AP1193" s="520"/>
      <c r="AQ1193" s="520"/>
      <c r="AR1193" s="520"/>
      <c r="AS1193" s="520"/>
      <c r="AT1193" s="520"/>
      <c r="AU1193" s="520"/>
      <c r="AV1193" s="520"/>
      <c r="AY1193" s="507"/>
      <c r="BA1193" s="507"/>
      <c r="BJ1193" s="493"/>
      <c r="CU1193" s="488"/>
      <c r="CW1193" s="488"/>
      <c r="EV1193" s="821"/>
      <c r="EW1193" s="821"/>
    </row>
    <row r="1194" spans="1:153" s="757" customFormat="1" hidden="1">
      <c r="A1194" s="487"/>
      <c r="B1194" s="487"/>
      <c r="C1194" s="487"/>
      <c r="D1194" s="487"/>
      <c r="I1194" s="487"/>
      <c r="J1194" s="487"/>
      <c r="K1194" s="487"/>
      <c r="L1194" s="487"/>
      <c r="M1194" s="487"/>
      <c r="N1194" s="487"/>
      <c r="O1194" s="875"/>
      <c r="Q1194" s="704"/>
      <c r="R1194" s="1026"/>
      <c r="S1194" s="704"/>
      <c r="T1194" s="1026"/>
      <c r="AB1194" s="520"/>
      <c r="AC1194" s="520"/>
      <c r="AD1194" s="520"/>
      <c r="AE1194" s="520"/>
      <c r="AF1194" s="520"/>
      <c r="AG1194" s="520"/>
      <c r="AH1194" s="520"/>
      <c r="AI1194" s="520"/>
      <c r="AJ1194" s="520"/>
      <c r="AK1194" s="520"/>
      <c r="AL1194" s="520"/>
      <c r="AM1194" s="520"/>
      <c r="AN1194" s="520"/>
      <c r="AO1194" s="520"/>
      <c r="AP1194" s="520"/>
      <c r="AQ1194" s="520"/>
      <c r="AR1194" s="520"/>
      <c r="AS1194" s="520"/>
      <c r="AT1194" s="520"/>
      <c r="AU1194" s="520"/>
      <c r="AV1194" s="520"/>
      <c r="AY1194" s="507"/>
      <c r="BA1194" s="507"/>
      <c r="BJ1194" s="493"/>
      <c r="CU1194" s="488"/>
      <c r="CW1194" s="488"/>
      <c r="EV1194" s="821"/>
      <c r="EW1194" s="821"/>
    </row>
    <row r="1195" spans="1:153" s="757" customFormat="1" hidden="1">
      <c r="A1195" s="487"/>
      <c r="B1195" s="487"/>
      <c r="C1195" s="487"/>
      <c r="D1195" s="487"/>
      <c r="I1195" s="487"/>
      <c r="J1195" s="487"/>
      <c r="K1195" s="487"/>
      <c r="L1195" s="487"/>
      <c r="M1195" s="487"/>
      <c r="N1195" s="487"/>
      <c r="O1195" s="875"/>
      <c r="Q1195" s="704"/>
      <c r="R1195" s="1026"/>
      <c r="S1195" s="704"/>
      <c r="T1195" s="1026"/>
      <c r="AB1195" s="520"/>
      <c r="AC1195" s="520"/>
      <c r="AD1195" s="520"/>
      <c r="AE1195" s="520"/>
      <c r="AF1195" s="520"/>
      <c r="AG1195" s="520"/>
      <c r="AH1195" s="520"/>
      <c r="AI1195" s="520"/>
      <c r="AJ1195" s="520"/>
      <c r="AK1195" s="520"/>
      <c r="AL1195" s="520"/>
      <c r="AM1195" s="520"/>
      <c r="AN1195" s="520"/>
      <c r="AO1195" s="520"/>
      <c r="AP1195" s="520"/>
      <c r="AQ1195" s="520"/>
      <c r="AR1195" s="520"/>
      <c r="AS1195" s="520"/>
      <c r="AT1195" s="520"/>
      <c r="AU1195" s="520"/>
      <c r="AV1195" s="520"/>
      <c r="AY1195" s="507"/>
      <c r="BA1195" s="507"/>
      <c r="BJ1195" s="493"/>
      <c r="CU1195" s="488"/>
      <c r="CW1195" s="488"/>
      <c r="EV1195" s="821"/>
      <c r="EW1195" s="821"/>
    </row>
    <row r="1196" spans="1:153" s="757" customFormat="1" hidden="1">
      <c r="A1196" s="487"/>
      <c r="B1196" s="487"/>
      <c r="C1196" s="487"/>
      <c r="D1196" s="487"/>
      <c r="I1196" s="487"/>
      <c r="J1196" s="487"/>
      <c r="K1196" s="487"/>
      <c r="L1196" s="487"/>
      <c r="M1196" s="487"/>
      <c r="N1196" s="487"/>
      <c r="O1196" s="875"/>
      <c r="Q1196" s="704"/>
      <c r="R1196" s="1026"/>
      <c r="S1196" s="704"/>
      <c r="T1196" s="1026"/>
      <c r="AB1196" s="520"/>
      <c r="AC1196" s="520"/>
      <c r="AD1196" s="520"/>
      <c r="AE1196" s="520"/>
      <c r="AF1196" s="520"/>
      <c r="AG1196" s="520"/>
      <c r="AH1196" s="520"/>
      <c r="AI1196" s="520"/>
      <c r="AJ1196" s="520"/>
      <c r="AK1196" s="520"/>
      <c r="AL1196" s="520"/>
      <c r="AM1196" s="520"/>
      <c r="AN1196" s="520"/>
      <c r="AO1196" s="520"/>
      <c r="AP1196" s="520"/>
      <c r="AQ1196" s="520"/>
      <c r="AR1196" s="520"/>
      <c r="AS1196" s="520"/>
      <c r="AT1196" s="520"/>
      <c r="AU1196" s="520"/>
      <c r="AV1196" s="520"/>
      <c r="AY1196" s="507"/>
      <c r="BA1196" s="507"/>
      <c r="BJ1196" s="493"/>
      <c r="CU1196" s="488"/>
      <c r="CW1196" s="488"/>
      <c r="EV1196" s="821"/>
      <c r="EW1196" s="821"/>
    </row>
    <row r="1197" spans="1:153" s="757" customFormat="1" hidden="1">
      <c r="A1197" s="487"/>
      <c r="B1197" s="487"/>
      <c r="C1197" s="487"/>
      <c r="D1197" s="487"/>
      <c r="I1197" s="487"/>
      <c r="J1197" s="487"/>
      <c r="K1197" s="487"/>
      <c r="L1197" s="487"/>
      <c r="M1197" s="487"/>
      <c r="N1197" s="487"/>
      <c r="O1197" s="875"/>
      <c r="Q1197" s="704"/>
      <c r="R1197" s="1026"/>
      <c r="S1197" s="704"/>
      <c r="T1197" s="1026"/>
      <c r="AB1197" s="520"/>
      <c r="AC1197" s="520"/>
      <c r="AD1197" s="520"/>
      <c r="AE1197" s="520"/>
      <c r="AF1197" s="520"/>
      <c r="AG1197" s="520"/>
      <c r="AH1197" s="520"/>
      <c r="AI1197" s="520"/>
      <c r="AJ1197" s="520"/>
      <c r="AK1197" s="520"/>
      <c r="AL1197" s="520"/>
      <c r="AM1197" s="520"/>
      <c r="AN1197" s="520"/>
      <c r="AO1197" s="520"/>
      <c r="AP1197" s="520"/>
      <c r="AQ1197" s="520"/>
      <c r="AR1197" s="520"/>
      <c r="AS1197" s="520"/>
      <c r="AT1197" s="520"/>
      <c r="AU1197" s="520"/>
      <c r="AV1197" s="520"/>
      <c r="AY1197" s="507"/>
      <c r="BA1197" s="507"/>
      <c r="BJ1197" s="493"/>
      <c r="CU1197" s="488"/>
      <c r="CW1197" s="488"/>
      <c r="EV1197" s="821"/>
      <c r="EW1197" s="821"/>
    </row>
    <row r="1198" spans="1:153" s="757" customFormat="1" hidden="1">
      <c r="A1198" s="487"/>
      <c r="B1198" s="487"/>
      <c r="C1198" s="487"/>
      <c r="D1198" s="487"/>
      <c r="I1198" s="487"/>
      <c r="J1198" s="487"/>
      <c r="K1198" s="487"/>
      <c r="L1198" s="487"/>
      <c r="M1198" s="487"/>
      <c r="N1198" s="487"/>
      <c r="O1198" s="875"/>
      <c r="Q1198" s="704"/>
      <c r="R1198" s="1026"/>
      <c r="S1198" s="704"/>
      <c r="T1198" s="1026"/>
      <c r="AB1198" s="520"/>
      <c r="AC1198" s="520"/>
      <c r="AD1198" s="520"/>
      <c r="AE1198" s="520"/>
      <c r="AF1198" s="520"/>
      <c r="AG1198" s="520"/>
      <c r="AH1198" s="520"/>
      <c r="AI1198" s="520"/>
      <c r="AJ1198" s="520"/>
      <c r="AK1198" s="520"/>
      <c r="AL1198" s="520"/>
      <c r="AM1198" s="520"/>
      <c r="AN1198" s="520"/>
      <c r="AO1198" s="520"/>
      <c r="AP1198" s="520"/>
      <c r="AQ1198" s="520"/>
      <c r="AR1198" s="520"/>
      <c r="AS1198" s="520"/>
      <c r="AT1198" s="520"/>
      <c r="AU1198" s="520"/>
      <c r="AV1198" s="520"/>
      <c r="AY1198" s="507"/>
      <c r="BA1198" s="507"/>
      <c r="BJ1198" s="493"/>
      <c r="CU1198" s="488"/>
      <c r="CW1198" s="488"/>
      <c r="EV1198" s="821"/>
      <c r="EW1198" s="821"/>
    </row>
    <row r="1199" spans="1:153" s="757" customFormat="1" hidden="1">
      <c r="A1199" s="487"/>
      <c r="B1199" s="487"/>
      <c r="C1199" s="487"/>
      <c r="D1199" s="487"/>
      <c r="I1199" s="487"/>
      <c r="J1199" s="487"/>
      <c r="K1199" s="487"/>
      <c r="L1199" s="487"/>
      <c r="M1199" s="487"/>
      <c r="N1199" s="487"/>
      <c r="O1199" s="875"/>
      <c r="Q1199" s="704"/>
      <c r="R1199" s="1026"/>
      <c r="S1199" s="704"/>
      <c r="T1199" s="1026"/>
      <c r="AB1199" s="520"/>
      <c r="AC1199" s="520"/>
      <c r="AD1199" s="520"/>
      <c r="AE1199" s="520"/>
      <c r="AF1199" s="520"/>
      <c r="AG1199" s="520"/>
      <c r="AH1199" s="520"/>
      <c r="AI1199" s="520"/>
      <c r="AJ1199" s="520"/>
      <c r="AK1199" s="520"/>
      <c r="AL1199" s="520"/>
      <c r="AM1199" s="520"/>
      <c r="AN1199" s="520"/>
      <c r="AO1199" s="520"/>
      <c r="AP1199" s="520"/>
      <c r="AQ1199" s="520"/>
      <c r="AR1199" s="520"/>
      <c r="AS1199" s="520"/>
      <c r="AT1199" s="520"/>
      <c r="AU1199" s="520"/>
      <c r="AV1199" s="520"/>
      <c r="AY1199" s="507"/>
      <c r="BA1199" s="507"/>
      <c r="BJ1199" s="493"/>
      <c r="CU1199" s="488"/>
      <c r="CW1199" s="488"/>
      <c r="EV1199" s="821"/>
      <c r="EW1199" s="821"/>
    </row>
    <row r="1200" spans="1:153" s="757" customFormat="1" hidden="1">
      <c r="A1200" s="487"/>
      <c r="B1200" s="487"/>
      <c r="C1200" s="487"/>
      <c r="D1200" s="487"/>
      <c r="I1200" s="487"/>
      <c r="J1200" s="487"/>
      <c r="K1200" s="487"/>
      <c r="L1200" s="487"/>
      <c r="M1200" s="487"/>
      <c r="N1200" s="487"/>
      <c r="O1200" s="875"/>
      <c r="Q1200" s="704"/>
      <c r="R1200" s="1026"/>
      <c r="S1200" s="704"/>
      <c r="T1200" s="1026"/>
      <c r="AB1200" s="520"/>
      <c r="AC1200" s="520"/>
      <c r="AD1200" s="520"/>
      <c r="AE1200" s="520"/>
      <c r="AF1200" s="520"/>
      <c r="AG1200" s="520"/>
      <c r="AH1200" s="520"/>
      <c r="AI1200" s="520"/>
      <c r="AJ1200" s="520"/>
      <c r="AK1200" s="520"/>
      <c r="AL1200" s="520"/>
      <c r="AM1200" s="520"/>
      <c r="AN1200" s="520"/>
      <c r="AO1200" s="520"/>
      <c r="AP1200" s="520"/>
      <c r="AQ1200" s="520"/>
      <c r="AR1200" s="520"/>
      <c r="AS1200" s="520"/>
      <c r="AT1200" s="520"/>
      <c r="AU1200" s="520"/>
      <c r="AV1200" s="520"/>
      <c r="AY1200" s="507"/>
      <c r="BA1200" s="507"/>
      <c r="BJ1200" s="493"/>
      <c r="CU1200" s="488"/>
      <c r="CW1200" s="488"/>
      <c r="EV1200" s="821"/>
      <c r="EW1200" s="821"/>
    </row>
    <row r="1201" spans="1:153" s="757" customFormat="1" hidden="1">
      <c r="A1201" s="487"/>
      <c r="B1201" s="487"/>
      <c r="C1201" s="487"/>
      <c r="D1201" s="487"/>
      <c r="I1201" s="487"/>
      <c r="J1201" s="487"/>
      <c r="K1201" s="487"/>
      <c r="L1201" s="487"/>
      <c r="M1201" s="487"/>
      <c r="N1201" s="487"/>
      <c r="O1201" s="875"/>
      <c r="Q1201" s="704"/>
      <c r="R1201" s="1026"/>
      <c r="S1201" s="704"/>
      <c r="T1201" s="1026"/>
      <c r="AB1201" s="520"/>
      <c r="AC1201" s="520"/>
      <c r="AD1201" s="520"/>
      <c r="AE1201" s="520"/>
      <c r="AF1201" s="520"/>
      <c r="AG1201" s="520"/>
      <c r="AH1201" s="520"/>
      <c r="AI1201" s="520"/>
      <c r="AJ1201" s="520"/>
      <c r="AK1201" s="520"/>
      <c r="AL1201" s="520"/>
      <c r="AM1201" s="520"/>
      <c r="AN1201" s="520"/>
      <c r="AO1201" s="520"/>
      <c r="AP1201" s="520"/>
      <c r="AQ1201" s="520"/>
      <c r="AR1201" s="520"/>
      <c r="AS1201" s="520"/>
      <c r="AT1201" s="520"/>
      <c r="AU1201" s="520"/>
      <c r="AV1201" s="520"/>
      <c r="AY1201" s="507"/>
      <c r="BA1201" s="507"/>
      <c r="BJ1201" s="493"/>
      <c r="CU1201" s="488"/>
      <c r="CW1201" s="488"/>
      <c r="EV1201" s="821"/>
      <c r="EW1201" s="821"/>
    </row>
    <row r="1202" spans="1:153" s="757" customFormat="1" hidden="1">
      <c r="A1202" s="487"/>
      <c r="B1202" s="487"/>
      <c r="C1202" s="487"/>
      <c r="D1202" s="487"/>
      <c r="I1202" s="487"/>
      <c r="J1202" s="487"/>
      <c r="K1202" s="487"/>
      <c r="L1202" s="487"/>
      <c r="M1202" s="487"/>
      <c r="N1202" s="487"/>
      <c r="O1202" s="875"/>
      <c r="Q1202" s="704"/>
      <c r="R1202" s="1026"/>
      <c r="S1202" s="704"/>
      <c r="T1202" s="1026"/>
      <c r="AB1202" s="520"/>
      <c r="AC1202" s="520"/>
      <c r="AD1202" s="520"/>
      <c r="AE1202" s="520"/>
      <c r="AF1202" s="520"/>
      <c r="AG1202" s="520"/>
      <c r="AH1202" s="520"/>
      <c r="AI1202" s="520"/>
      <c r="AJ1202" s="520"/>
      <c r="AK1202" s="520"/>
      <c r="AL1202" s="520"/>
      <c r="AM1202" s="520"/>
      <c r="AN1202" s="520"/>
      <c r="AO1202" s="520"/>
      <c r="AP1202" s="520"/>
      <c r="AQ1202" s="520"/>
      <c r="AR1202" s="520"/>
      <c r="AS1202" s="520"/>
      <c r="AT1202" s="520"/>
      <c r="AU1202" s="520"/>
      <c r="AV1202" s="520"/>
      <c r="AY1202" s="507"/>
      <c r="BA1202" s="507"/>
      <c r="BJ1202" s="493"/>
      <c r="CU1202" s="488"/>
      <c r="CW1202" s="488"/>
      <c r="EV1202" s="821"/>
      <c r="EW1202" s="821"/>
    </row>
    <row r="1203" spans="1:153" s="757" customFormat="1" hidden="1">
      <c r="A1203" s="487"/>
      <c r="B1203" s="487"/>
      <c r="C1203" s="487"/>
      <c r="D1203" s="487"/>
      <c r="I1203" s="487"/>
      <c r="J1203" s="487"/>
      <c r="K1203" s="487"/>
      <c r="L1203" s="487"/>
      <c r="M1203" s="487"/>
      <c r="N1203" s="487"/>
      <c r="O1203" s="875"/>
      <c r="Q1203" s="704"/>
      <c r="R1203" s="1026"/>
      <c r="S1203" s="704"/>
      <c r="T1203" s="1026"/>
      <c r="AB1203" s="520"/>
      <c r="AC1203" s="520"/>
      <c r="AD1203" s="520"/>
      <c r="AE1203" s="520"/>
      <c r="AF1203" s="520"/>
      <c r="AG1203" s="520"/>
      <c r="AH1203" s="520"/>
      <c r="AI1203" s="520"/>
      <c r="AJ1203" s="520"/>
      <c r="AK1203" s="520"/>
      <c r="AL1203" s="520"/>
      <c r="AM1203" s="520"/>
      <c r="AN1203" s="520"/>
      <c r="AO1203" s="520"/>
      <c r="AP1203" s="520"/>
      <c r="AQ1203" s="520"/>
      <c r="AR1203" s="520"/>
      <c r="AS1203" s="520"/>
      <c r="AT1203" s="520"/>
      <c r="AU1203" s="520"/>
      <c r="AV1203" s="520"/>
      <c r="AY1203" s="507"/>
      <c r="BA1203" s="507"/>
      <c r="BJ1203" s="493"/>
      <c r="CU1203" s="488"/>
      <c r="CW1203" s="488"/>
      <c r="EV1203" s="821"/>
      <c r="EW1203" s="821"/>
    </row>
    <row r="1204" spans="1:153" s="757" customFormat="1" hidden="1">
      <c r="A1204" s="487"/>
      <c r="B1204" s="487"/>
      <c r="C1204" s="487"/>
      <c r="D1204" s="487"/>
      <c r="I1204" s="487"/>
      <c r="J1204" s="487"/>
      <c r="K1204" s="487"/>
      <c r="L1204" s="487"/>
      <c r="M1204" s="487"/>
      <c r="N1204" s="487"/>
      <c r="O1204" s="875"/>
      <c r="Q1204" s="704"/>
      <c r="R1204" s="1026"/>
      <c r="S1204" s="704"/>
      <c r="T1204" s="1026"/>
      <c r="AB1204" s="520"/>
      <c r="AC1204" s="520"/>
      <c r="AD1204" s="520"/>
      <c r="AE1204" s="520"/>
      <c r="AF1204" s="520"/>
      <c r="AG1204" s="520"/>
      <c r="AH1204" s="520"/>
      <c r="AI1204" s="520"/>
      <c r="AJ1204" s="520"/>
      <c r="AK1204" s="520"/>
      <c r="AL1204" s="520"/>
      <c r="AM1204" s="520"/>
      <c r="AN1204" s="520"/>
      <c r="AO1204" s="520"/>
      <c r="AP1204" s="520"/>
      <c r="AQ1204" s="520"/>
      <c r="AR1204" s="520"/>
      <c r="AS1204" s="520"/>
      <c r="AT1204" s="520"/>
      <c r="AU1204" s="520"/>
      <c r="AV1204" s="520"/>
      <c r="AY1204" s="507"/>
      <c r="BA1204" s="507"/>
      <c r="BJ1204" s="493"/>
      <c r="CU1204" s="488"/>
      <c r="CW1204" s="488"/>
      <c r="EV1204" s="821"/>
      <c r="EW1204" s="821"/>
    </row>
    <row r="1205" spans="1:153" s="757" customFormat="1" hidden="1">
      <c r="A1205" s="487"/>
      <c r="B1205" s="487"/>
      <c r="C1205" s="487"/>
      <c r="D1205" s="487"/>
      <c r="I1205" s="487"/>
      <c r="J1205" s="487"/>
      <c r="K1205" s="487"/>
      <c r="L1205" s="487"/>
      <c r="M1205" s="487"/>
      <c r="N1205" s="487"/>
      <c r="O1205" s="875"/>
      <c r="Q1205" s="704"/>
      <c r="R1205" s="1026"/>
      <c r="S1205" s="704"/>
      <c r="T1205" s="1026"/>
      <c r="AB1205" s="520"/>
      <c r="AC1205" s="520"/>
      <c r="AD1205" s="520"/>
      <c r="AE1205" s="520"/>
      <c r="AF1205" s="520"/>
      <c r="AG1205" s="520"/>
      <c r="AH1205" s="520"/>
      <c r="AI1205" s="520"/>
      <c r="AJ1205" s="520"/>
      <c r="AK1205" s="520"/>
      <c r="AL1205" s="520"/>
      <c r="AM1205" s="520"/>
      <c r="AN1205" s="520"/>
      <c r="AO1205" s="520"/>
      <c r="AP1205" s="520"/>
      <c r="AQ1205" s="520"/>
      <c r="AR1205" s="520"/>
      <c r="AS1205" s="520"/>
      <c r="AT1205" s="520"/>
      <c r="AU1205" s="520"/>
      <c r="AV1205" s="520"/>
      <c r="AY1205" s="507"/>
      <c r="BA1205" s="507"/>
      <c r="BJ1205" s="493"/>
      <c r="CU1205" s="488"/>
      <c r="CW1205" s="488"/>
      <c r="EV1205" s="821"/>
      <c r="EW1205" s="821"/>
    </row>
    <row r="1206" spans="1:153" s="757" customFormat="1" hidden="1">
      <c r="A1206" s="487"/>
      <c r="B1206" s="487"/>
      <c r="C1206" s="487"/>
      <c r="D1206" s="487"/>
      <c r="I1206" s="487"/>
      <c r="J1206" s="487"/>
      <c r="K1206" s="487"/>
      <c r="L1206" s="487"/>
      <c r="M1206" s="487"/>
      <c r="N1206" s="487"/>
      <c r="O1206" s="875"/>
      <c r="Q1206" s="704"/>
      <c r="R1206" s="1026"/>
      <c r="S1206" s="704"/>
      <c r="T1206" s="1026"/>
      <c r="AB1206" s="520"/>
      <c r="AC1206" s="520"/>
      <c r="AD1206" s="520"/>
      <c r="AE1206" s="520"/>
      <c r="AF1206" s="520"/>
      <c r="AG1206" s="520"/>
      <c r="AH1206" s="520"/>
      <c r="AI1206" s="520"/>
      <c r="AJ1206" s="520"/>
      <c r="AK1206" s="520"/>
      <c r="AL1206" s="520"/>
      <c r="AM1206" s="520"/>
      <c r="AN1206" s="520"/>
      <c r="AO1206" s="520"/>
      <c r="AP1206" s="520"/>
      <c r="AQ1206" s="520"/>
      <c r="AR1206" s="520"/>
      <c r="AS1206" s="520"/>
      <c r="AT1206" s="520"/>
      <c r="AU1206" s="520"/>
      <c r="AV1206" s="520"/>
      <c r="AY1206" s="507"/>
      <c r="BA1206" s="507"/>
      <c r="BJ1206" s="493"/>
      <c r="CU1206" s="488"/>
      <c r="CW1206" s="488"/>
      <c r="EV1206" s="821"/>
      <c r="EW1206" s="821"/>
    </row>
    <row r="1207" spans="1:153" s="757" customFormat="1" hidden="1">
      <c r="A1207" s="487"/>
      <c r="B1207" s="487"/>
      <c r="C1207" s="487"/>
      <c r="D1207" s="487"/>
      <c r="I1207" s="487"/>
      <c r="J1207" s="487"/>
      <c r="K1207" s="487"/>
      <c r="L1207" s="487"/>
      <c r="M1207" s="487"/>
      <c r="N1207" s="487"/>
      <c r="O1207" s="875"/>
      <c r="Q1207" s="704"/>
      <c r="R1207" s="1026"/>
      <c r="S1207" s="704"/>
      <c r="T1207" s="1026"/>
      <c r="AB1207" s="520"/>
      <c r="AC1207" s="520"/>
      <c r="AD1207" s="520"/>
      <c r="AE1207" s="520"/>
      <c r="AF1207" s="520"/>
      <c r="AG1207" s="520"/>
      <c r="AH1207" s="520"/>
      <c r="AI1207" s="520"/>
      <c r="AJ1207" s="520"/>
      <c r="AK1207" s="520"/>
      <c r="AL1207" s="520"/>
      <c r="AM1207" s="520"/>
      <c r="AN1207" s="520"/>
      <c r="AO1207" s="520"/>
      <c r="AP1207" s="520"/>
      <c r="AQ1207" s="520"/>
      <c r="AR1207" s="520"/>
      <c r="AS1207" s="520"/>
      <c r="AT1207" s="520"/>
      <c r="AU1207" s="520"/>
      <c r="AV1207" s="520"/>
      <c r="AY1207" s="507"/>
      <c r="BA1207" s="507"/>
      <c r="BJ1207" s="493"/>
      <c r="CU1207" s="488"/>
      <c r="CW1207" s="488"/>
      <c r="EV1207" s="821"/>
      <c r="EW1207" s="821"/>
    </row>
    <row r="1208" spans="1:153" s="757" customFormat="1" hidden="1">
      <c r="A1208" s="487"/>
      <c r="B1208" s="487"/>
      <c r="C1208" s="487"/>
      <c r="D1208" s="487"/>
      <c r="I1208" s="487"/>
      <c r="J1208" s="487"/>
      <c r="K1208" s="487"/>
      <c r="L1208" s="487"/>
      <c r="M1208" s="487"/>
      <c r="N1208" s="487"/>
      <c r="O1208" s="875"/>
      <c r="Q1208" s="704"/>
      <c r="R1208" s="1026"/>
      <c r="S1208" s="704"/>
      <c r="T1208" s="1026"/>
      <c r="AB1208" s="520"/>
      <c r="AC1208" s="520"/>
      <c r="AD1208" s="520"/>
      <c r="AE1208" s="520"/>
      <c r="AF1208" s="520"/>
      <c r="AG1208" s="520"/>
      <c r="AH1208" s="520"/>
      <c r="AI1208" s="520"/>
      <c r="AJ1208" s="520"/>
      <c r="AK1208" s="520"/>
      <c r="AL1208" s="520"/>
      <c r="AM1208" s="520"/>
      <c r="AN1208" s="520"/>
      <c r="AO1208" s="520"/>
      <c r="AP1208" s="520"/>
      <c r="AQ1208" s="520"/>
      <c r="AR1208" s="520"/>
      <c r="AS1208" s="520"/>
      <c r="AT1208" s="520"/>
      <c r="AU1208" s="520"/>
      <c r="AV1208" s="520"/>
      <c r="AY1208" s="507"/>
      <c r="BA1208" s="507"/>
      <c r="BJ1208" s="493"/>
      <c r="CU1208" s="488"/>
      <c r="CW1208" s="488"/>
      <c r="EV1208" s="821"/>
      <c r="EW1208" s="821"/>
    </row>
    <row r="1209" spans="1:153" s="757" customFormat="1" hidden="1">
      <c r="A1209" s="487"/>
      <c r="B1209" s="487"/>
      <c r="C1209" s="487"/>
      <c r="D1209" s="487"/>
      <c r="I1209" s="487"/>
      <c r="J1209" s="487"/>
      <c r="K1209" s="487"/>
      <c r="L1209" s="487"/>
      <c r="M1209" s="487"/>
      <c r="N1209" s="487"/>
      <c r="O1209" s="875"/>
      <c r="Q1209" s="704"/>
      <c r="R1209" s="1026"/>
      <c r="S1209" s="704"/>
      <c r="T1209" s="1026"/>
      <c r="AB1209" s="520"/>
      <c r="AC1209" s="520"/>
      <c r="AD1209" s="520"/>
      <c r="AE1209" s="520"/>
      <c r="AF1209" s="520"/>
      <c r="AG1209" s="520"/>
      <c r="AH1209" s="520"/>
      <c r="AI1209" s="520"/>
      <c r="AJ1209" s="520"/>
      <c r="AK1209" s="520"/>
      <c r="AL1209" s="520"/>
      <c r="AM1209" s="520"/>
      <c r="AN1209" s="520"/>
      <c r="AO1209" s="520"/>
      <c r="AP1209" s="520"/>
      <c r="AQ1209" s="520"/>
      <c r="AR1209" s="520"/>
      <c r="AS1209" s="520"/>
      <c r="AT1209" s="520"/>
      <c r="AU1209" s="520"/>
      <c r="AV1209" s="520"/>
      <c r="AY1209" s="507"/>
      <c r="BA1209" s="507"/>
      <c r="BJ1209" s="493"/>
      <c r="CU1209" s="488"/>
      <c r="CW1209" s="488"/>
      <c r="EV1209" s="821"/>
      <c r="EW1209" s="821"/>
    </row>
    <row r="1210" spans="1:153" s="757" customFormat="1" hidden="1">
      <c r="A1210" s="487"/>
      <c r="B1210" s="487"/>
      <c r="C1210" s="487"/>
      <c r="D1210" s="487"/>
      <c r="I1210" s="487"/>
      <c r="J1210" s="487"/>
      <c r="K1210" s="487"/>
      <c r="L1210" s="487"/>
      <c r="M1210" s="487"/>
      <c r="N1210" s="487"/>
      <c r="O1210" s="875"/>
      <c r="Q1210" s="704"/>
      <c r="R1210" s="1026"/>
      <c r="S1210" s="704"/>
      <c r="T1210" s="1026"/>
      <c r="AB1210" s="520"/>
      <c r="AC1210" s="520"/>
      <c r="AD1210" s="520"/>
      <c r="AE1210" s="520"/>
      <c r="AF1210" s="520"/>
      <c r="AG1210" s="520"/>
      <c r="AH1210" s="520"/>
      <c r="AI1210" s="520"/>
      <c r="AJ1210" s="520"/>
      <c r="AK1210" s="520"/>
      <c r="AL1210" s="520"/>
      <c r="AM1210" s="520"/>
      <c r="AN1210" s="520"/>
      <c r="AO1210" s="520"/>
      <c r="AP1210" s="520"/>
      <c r="AQ1210" s="520"/>
      <c r="AR1210" s="520"/>
      <c r="AS1210" s="520"/>
      <c r="AT1210" s="520"/>
      <c r="AU1210" s="520"/>
      <c r="AV1210" s="520"/>
      <c r="AY1210" s="507"/>
      <c r="BA1210" s="507"/>
      <c r="BJ1210" s="493"/>
      <c r="CU1210" s="488"/>
      <c r="CW1210" s="488"/>
      <c r="EV1210" s="821"/>
      <c r="EW1210" s="821"/>
    </row>
    <row r="1211" spans="1:153" s="757" customFormat="1" hidden="1">
      <c r="A1211" s="487"/>
      <c r="B1211" s="487"/>
      <c r="C1211" s="487"/>
      <c r="D1211" s="487"/>
      <c r="I1211" s="487"/>
      <c r="J1211" s="487"/>
      <c r="K1211" s="487"/>
      <c r="L1211" s="487"/>
      <c r="M1211" s="487"/>
      <c r="N1211" s="487"/>
      <c r="O1211" s="875"/>
      <c r="Q1211" s="704"/>
      <c r="R1211" s="1026"/>
      <c r="S1211" s="704"/>
      <c r="T1211" s="1026"/>
      <c r="AB1211" s="520"/>
      <c r="AC1211" s="520"/>
      <c r="AD1211" s="520"/>
      <c r="AE1211" s="520"/>
      <c r="AF1211" s="520"/>
      <c r="AG1211" s="520"/>
      <c r="AH1211" s="520"/>
      <c r="AI1211" s="520"/>
      <c r="AJ1211" s="520"/>
      <c r="AK1211" s="520"/>
      <c r="AL1211" s="520"/>
      <c r="AM1211" s="520"/>
      <c r="AN1211" s="520"/>
      <c r="AO1211" s="520"/>
      <c r="AP1211" s="520"/>
      <c r="AQ1211" s="520"/>
      <c r="AR1211" s="520"/>
      <c r="AS1211" s="520"/>
      <c r="AT1211" s="520"/>
      <c r="AU1211" s="520"/>
      <c r="AV1211" s="520"/>
      <c r="AY1211" s="507"/>
      <c r="BA1211" s="507"/>
      <c r="BJ1211" s="493"/>
      <c r="CU1211" s="488"/>
      <c r="CW1211" s="488"/>
      <c r="EV1211" s="821"/>
      <c r="EW1211" s="821"/>
    </row>
    <row r="1212" spans="1:153" s="757" customFormat="1" hidden="1">
      <c r="A1212" s="487"/>
      <c r="B1212" s="487"/>
      <c r="C1212" s="487"/>
      <c r="D1212" s="487"/>
      <c r="I1212" s="487"/>
      <c r="J1212" s="487"/>
      <c r="K1212" s="487"/>
      <c r="L1212" s="487"/>
      <c r="M1212" s="487"/>
      <c r="N1212" s="487"/>
      <c r="O1212" s="875"/>
      <c r="Q1212" s="704"/>
      <c r="R1212" s="1026"/>
      <c r="S1212" s="704"/>
      <c r="T1212" s="1026"/>
      <c r="AB1212" s="520"/>
      <c r="AC1212" s="520"/>
      <c r="AD1212" s="520"/>
      <c r="AE1212" s="520"/>
      <c r="AF1212" s="520"/>
      <c r="AG1212" s="520"/>
      <c r="AH1212" s="520"/>
      <c r="AI1212" s="520"/>
      <c r="AJ1212" s="520"/>
      <c r="AK1212" s="520"/>
      <c r="AL1212" s="520"/>
      <c r="AM1212" s="520"/>
      <c r="AN1212" s="520"/>
      <c r="AO1212" s="520"/>
      <c r="AP1212" s="520"/>
      <c r="AQ1212" s="520"/>
      <c r="AR1212" s="520"/>
      <c r="AS1212" s="520"/>
      <c r="AT1212" s="520"/>
      <c r="AU1212" s="520"/>
      <c r="AV1212" s="520"/>
      <c r="AY1212" s="507"/>
      <c r="BA1212" s="507"/>
      <c r="BJ1212" s="493"/>
      <c r="CU1212" s="488"/>
      <c r="CW1212" s="488"/>
      <c r="EV1212" s="821"/>
      <c r="EW1212" s="821"/>
    </row>
    <row r="1213" spans="1:153" s="757" customFormat="1" hidden="1">
      <c r="A1213" s="487"/>
      <c r="B1213" s="487"/>
      <c r="C1213" s="487"/>
      <c r="D1213" s="487"/>
      <c r="I1213" s="487"/>
      <c r="J1213" s="487"/>
      <c r="K1213" s="487"/>
      <c r="L1213" s="487"/>
      <c r="M1213" s="487"/>
      <c r="N1213" s="487"/>
      <c r="O1213" s="875"/>
      <c r="Q1213" s="704"/>
      <c r="R1213" s="1026"/>
      <c r="S1213" s="704"/>
      <c r="T1213" s="1026"/>
      <c r="AB1213" s="520"/>
      <c r="AC1213" s="520"/>
      <c r="AD1213" s="520"/>
      <c r="AE1213" s="520"/>
      <c r="AF1213" s="520"/>
      <c r="AG1213" s="520"/>
      <c r="AH1213" s="520"/>
      <c r="AI1213" s="520"/>
      <c r="AJ1213" s="520"/>
      <c r="AK1213" s="520"/>
      <c r="AL1213" s="520"/>
      <c r="AM1213" s="520"/>
      <c r="AN1213" s="520"/>
      <c r="AO1213" s="520"/>
      <c r="AP1213" s="520"/>
      <c r="AQ1213" s="520"/>
      <c r="AR1213" s="520"/>
      <c r="AS1213" s="520"/>
      <c r="AT1213" s="520"/>
      <c r="AU1213" s="520"/>
      <c r="AV1213" s="520"/>
      <c r="AY1213" s="507"/>
      <c r="BA1213" s="507"/>
      <c r="BJ1213" s="493"/>
      <c r="CU1213" s="488"/>
      <c r="CW1213" s="488"/>
      <c r="EV1213" s="821"/>
      <c r="EW1213" s="821"/>
    </row>
    <row r="1214" spans="1:153" s="757" customFormat="1" hidden="1">
      <c r="A1214" s="487"/>
      <c r="B1214" s="487"/>
      <c r="C1214" s="487"/>
      <c r="D1214" s="487"/>
      <c r="I1214" s="487"/>
      <c r="J1214" s="487"/>
      <c r="K1214" s="487"/>
      <c r="L1214" s="487"/>
      <c r="M1214" s="487"/>
      <c r="N1214" s="487"/>
      <c r="O1214" s="875"/>
      <c r="Q1214" s="704"/>
      <c r="R1214" s="1026"/>
      <c r="S1214" s="704"/>
      <c r="T1214" s="1026"/>
      <c r="AB1214" s="520"/>
      <c r="AC1214" s="520"/>
      <c r="AD1214" s="520"/>
      <c r="AE1214" s="520"/>
      <c r="AF1214" s="520"/>
      <c r="AG1214" s="520"/>
      <c r="AH1214" s="520"/>
      <c r="AI1214" s="520"/>
      <c r="AJ1214" s="520"/>
      <c r="AK1214" s="520"/>
      <c r="AL1214" s="520"/>
      <c r="AM1214" s="520"/>
      <c r="AN1214" s="520"/>
      <c r="AO1214" s="520"/>
      <c r="AP1214" s="520"/>
      <c r="AQ1214" s="520"/>
      <c r="AR1214" s="520"/>
      <c r="AS1214" s="520"/>
      <c r="AT1214" s="520"/>
      <c r="AU1214" s="520"/>
      <c r="AV1214" s="520"/>
      <c r="AY1214" s="507"/>
      <c r="BA1214" s="507"/>
      <c r="BJ1214" s="493"/>
      <c r="CU1214" s="488"/>
      <c r="CW1214" s="488"/>
      <c r="EV1214" s="821"/>
      <c r="EW1214" s="821"/>
    </row>
    <row r="1215" spans="1:153" s="757" customFormat="1" hidden="1">
      <c r="A1215" s="487"/>
      <c r="B1215" s="487"/>
      <c r="C1215" s="487"/>
      <c r="D1215" s="487"/>
      <c r="I1215" s="487"/>
      <c r="J1215" s="487"/>
      <c r="K1215" s="487"/>
      <c r="L1215" s="487"/>
      <c r="M1215" s="487"/>
      <c r="N1215" s="487"/>
      <c r="O1215" s="875"/>
      <c r="Q1215" s="704"/>
      <c r="R1215" s="1026"/>
      <c r="S1215" s="704"/>
      <c r="T1215" s="1026"/>
      <c r="AB1215" s="520"/>
      <c r="AC1215" s="520"/>
      <c r="AD1215" s="520"/>
      <c r="AE1215" s="520"/>
      <c r="AF1215" s="520"/>
      <c r="AG1215" s="520"/>
      <c r="AH1215" s="520"/>
      <c r="AI1215" s="520"/>
      <c r="AJ1215" s="520"/>
      <c r="AK1215" s="520"/>
      <c r="AL1215" s="520"/>
      <c r="AM1215" s="520"/>
      <c r="AN1215" s="520"/>
      <c r="AO1215" s="520"/>
      <c r="AP1215" s="520"/>
      <c r="AQ1215" s="520"/>
      <c r="AR1215" s="520"/>
      <c r="AS1215" s="520"/>
      <c r="AT1215" s="520"/>
      <c r="AU1215" s="520"/>
      <c r="AV1215" s="520"/>
      <c r="AY1215" s="507"/>
      <c r="BA1215" s="507"/>
      <c r="BJ1215" s="493"/>
      <c r="CU1215" s="488"/>
      <c r="CW1215" s="488"/>
      <c r="EV1215" s="821"/>
      <c r="EW1215" s="821"/>
    </row>
    <row r="1216" spans="1:153" s="757" customFormat="1" hidden="1">
      <c r="A1216" s="487"/>
      <c r="B1216" s="487"/>
      <c r="C1216" s="487"/>
      <c r="D1216" s="487"/>
      <c r="I1216" s="487"/>
      <c r="J1216" s="487"/>
      <c r="K1216" s="487"/>
      <c r="L1216" s="487"/>
      <c r="M1216" s="487"/>
      <c r="N1216" s="487"/>
      <c r="O1216" s="875"/>
      <c r="Q1216" s="704"/>
      <c r="R1216" s="1026"/>
      <c r="S1216" s="704"/>
      <c r="T1216" s="1026"/>
      <c r="AB1216" s="520"/>
      <c r="AC1216" s="520"/>
      <c r="AD1216" s="520"/>
      <c r="AE1216" s="520"/>
      <c r="AF1216" s="520"/>
      <c r="AG1216" s="520"/>
      <c r="AH1216" s="520"/>
      <c r="AI1216" s="520"/>
      <c r="AJ1216" s="520"/>
      <c r="AK1216" s="520"/>
      <c r="AL1216" s="520"/>
      <c r="AM1216" s="520"/>
      <c r="AN1216" s="520"/>
      <c r="AO1216" s="520"/>
      <c r="AP1216" s="520"/>
      <c r="AQ1216" s="520"/>
      <c r="AR1216" s="520"/>
      <c r="AS1216" s="520"/>
      <c r="AT1216" s="520"/>
      <c r="AU1216" s="520"/>
      <c r="AV1216" s="520"/>
      <c r="AY1216" s="507"/>
      <c r="BA1216" s="507"/>
      <c r="BJ1216" s="493"/>
      <c r="CU1216" s="488"/>
      <c r="CW1216" s="488"/>
      <c r="EV1216" s="821"/>
      <c r="EW1216" s="821"/>
    </row>
    <row r="1217" spans="1:153" s="757" customFormat="1" hidden="1">
      <c r="A1217" s="487"/>
      <c r="B1217" s="487"/>
      <c r="C1217" s="487"/>
      <c r="D1217" s="487"/>
      <c r="I1217" s="487"/>
      <c r="J1217" s="487"/>
      <c r="K1217" s="487"/>
      <c r="L1217" s="487"/>
      <c r="M1217" s="487"/>
      <c r="N1217" s="487"/>
      <c r="O1217" s="875"/>
      <c r="Q1217" s="704"/>
      <c r="R1217" s="1026"/>
      <c r="S1217" s="704"/>
      <c r="T1217" s="1026"/>
      <c r="AB1217" s="520"/>
      <c r="AC1217" s="520"/>
      <c r="AD1217" s="520"/>
      <c r="AE1217" s="520"/>
      <c r="AF1217" s="520"/>
      <c r="AG1217" s="520"/>
      <c r="AH1217" s="520"/>
      <c r="AI1217" s="520"/>
      <c r="AJ1217" s="520"/>
      <c r="AK1217" s="520"/>
      <c r="AL1217" s="520"/>
      <c r="AM1217" s="520"/>
      <c r="AN1217" s="520"/>
      <c r="AO1217" s="520"/>
      <c r="AP1217" s="520"/>
      <c r="AQ1217" s="520"/>
      <c r="AR1217" s="520"/>
      <c r="AS1217" s="520"/>
      <c r="AT1217" s="520"/>
      <c r="AU1217" s="520"/>
      <c r="AV1217" s="520"/>
      <c r="AY1217" s="507"/>
      <c r="BA1217" s="507"/>
      <c r="BJ1217" s="493"/>
      <c r="CU1217" s="488"/>
      <c r="CW1217" s="488"/>
      <c r="EV1217" s="821"/>
      <c r="EW1217" s="821"/>
    </row>
    <row r="1218" spans="1:153" s="757" customFormat="1" hidden="1">
      <c r="A1218" s="487"/>
      <c r="B1218" s="487"/>
      <c r="C1218" s="487"/>
      <c r="D1218" s="487"/>
      <c r="I1218" s="487"/>
      <c r="J1218" s="487"/>
      <c r="K1218" s="487"/>
      <c r="L1218" s="487"/>
      <c r="M1218" s="487"/>
      <c r="N1218" s="487"/>
      <c r="O1218" s="875"/>
      <c r="Q1218" s="704"/>
      <c r="R1218" s="1026"/>
      <c r="S1218" s="704"/>
      <c r="T1218" s="1026"/>
      <c r="AB1218" s="520"/>
      <c r="AC1218" s="520"/>
      <c r="AD1218" s="520"/>
      <c r="AE1218" s="520"/>
      <c r="AF1218" s="520"/>
      <c r="AG1218" s="520"/>
      <c r="AH1218" s="520"/>
      <c r="AI1218" s="520"/>
      <c r="AJ1218" s="520"/>
      <c r="AK1218" s="520"/>
      <c r="AL1218" s="520"/>
      <c r="AM1218" s="520"/>
      <c r="AN1218" s="520"/>
      <c r="AO1218" s="520"/>
      <c r="AP1218" s="520"/>
      <c r="AQ1218" s="520"/>
      <c r="AR1218" s="520"/>
      <c r="AS1218" s="520"/>
      <c r="AT1218" s="520"/>
      <c r="AU1218" s="520"/>
      <c r="AV1218" s="520"/>
      <c r="AY1218" s="507"/>
      <c r="BA1218" s="507"/>
      <c r="BJ1218" s="493"/>
      <c r="CU1218" s="488"/>
      <c r="CW1218" s="488"/>
      <c r="EV1218" s="821"/>
      <c r="EW1218" s="821"/>
    </row>
    <row r="1219" spans="1:153" s="757" customFormat="1" hidden="1">
      <c r="A1219" s="487"/>
      <c r="B1219" s="487"/>
      <c r="C1219" s="487"/>
      <c r="D1219" s="487"/>
      <c r="I1219" s="487"/>
      <c r="J1219" s="487"/>
      <c r="K1219" s="487"/>
      <c r="L1219" s="487"/>
      <c r="M1219" s="487"/>
      <c r="N1219" s="487"/>
      <c r="O1219" s="875"/>
      <c r="Q1219" s="704"/>
      <c r="R1219" s="1026"/>
      <c r="S1219" s="704"/>
      <c r="T1219" s="1026"/>
      <c r="AB1219" s="520"/>
      <c r="AC1219" s="520"/>
      <c r="AD1219" s="520"/>
      <c r="AE1219" s="520"/>
      <c r="AF1219" s="520"/>
      <c r="AG1219" s="520"/>
      <c r="AH1219" s="520"/>
      <c r="AI1219" s="520"/>
      <c r="AJ1219" s="520"/>
      <c r="AK1219" s="520"/>
      <c r="AL1219" s="520"/>
      <c r="AM1219" s="520"/>
      <c r="AN1219" s="520"/>
      <c r="AO1219" s="520"/>
      <c r="AP1219" s="520"/>
      <c r="AQ1219" s="520"/>
      <c r="AR1219" s="520"/>
      <c r="AS1219" s="520"/>
      <c r="AT1219" s="520"/>
      <c r="AU1219" s="520"/>
      <c r="AV1219" s="520"/>
      <c r="AY1219" s="507"/>
      <c r="BA1219" s="507"/>
      <c r="BJ1219" s="493"/>
      <c r="CU1219" s="488"/>
      <c r="CW1219" s="488"/>
      <c r="EV1219" s="821"/>
      <c r="EW1219" s="821"/>
    </row>
    <row r="1220" spans="1:153" s="757" customFormat="1" hidden="1">
      <c r="A1220" s="487"/>
      <c r="B1220" s="487"/>
      <c r="C1220" s="487"/>
      <c r="D1220" s="487"/>
      <c r="I1220" s="487"/>
      <c r="J1220" s="487"/>
      <c r="K1220" s="487"/>
      <c r="L1220" s="487"/>
      <c r="M1220" s="487"/>
      <c r="N1220" s="487"/>
      <c r="O1220" s="875"/>
      <c r="Q1220" s="704"/>
      <c r="R1220" s="1026"/>
      <c r="S1220" s="704"/>
      <c r="T1220" s="1026"/>
      <c r="AB1220" s="520"/>
      <c r="AC1220" s="520"/>
      <c r="AD1220" s="520"/>
      <c r="AE1220" s="520"/>
      <c r="AF1220" s="520"/>
      <c r="AG1220" s="520"/>
      <c r="AH1220" s="520"/>
      <c r="AI1220" s="520"/>
      <c r="AJ1220" s="520"/>
      <c r="AK1220" s="520"/>
      <c r="AL1220" s="520"/>
      <c r="AM1220" s="520"/>
      <c r="AN1220" s="520"/>
      <c r="AO1220" s="520"/>
      <c r="AP1220" s="520"/>
      <c r="AQ1220" s="520"/>
      <c r="AR1220" s="520"/>
      <c r="AS1220" s="520"/>
      <c r="AT1220" s="520"/>
      <c r="AU1220" s="520"/>
      <c r="AV1220" s="520"/>
      <c r="AY1220" s="507"/>
      <c r="BA1220" s="507"/>
      <c r="BJ1220" s="493"/>
      <c r="CU1220" s="488"/>
      <c r="CW1220" s="488"/>
      <c r="EV1220" s="821"/>
      <c r="EW1220" s="821"/>
    </row>
    <row r="1221" spans="1:153" s="757" customFormat="1" hidden="1">
      <c r="A1221" s="487"/>
      <c r="B1221" s="487"/>
      <c r="C1221" s="487"/>
      <c r="D1221" s="487"/>
      <c r="I1221" s="487"/>
      <c r="J1221" s="487"/>
      <c r="K1221" s="487"/>
      <c r="L1221" s="487"/>
      <c r="M1221" s="487"/>
      <c r="N1221" s="487"/>
      <c r="O1221" s="875"/>
      <c r="Q1221" s="704"/>
      <c r="R1221" s="1026"/>
      <c r="S1221" s="704"/>
      <c r="T1221" s="1026"/>
      <c r="AB1221" s="520"/>
      <c r="AC1221" s="520"/>
      <c r="AD1221" s="520"/>
      <c r="AE1221" s="520"/>
      <c r="AF1221" s="520"/>
      <c r="AG1221" s="520"/>
      <c r="AH1221" s="520"/>
      <c r="AI1221" s="520"/>
      <c r="AJ1221" s="520"/>
      <c r="AK1221" s="520"/>
      <c r="AL1221" s="520"/>
      <c r="AM1221" s="520"/>
      <c r="AN1221" s="520"/>
      <c r="AO1221" s="520"/>
      <c r="AP1221" s="520"/>
      <c r="AQ1221" s="520"/>
      <c r="AR1221" s="520"/>
      <c r="AS1221" s="520"/>
      <c r="AT1221" s="520"/>
      <c r="AU1221" s="520"/>
      <c r="AV1221" s="520"/>
      <c r="AY1221" s="507"/>
      <c r="BA1221" s="507"/>
      <c r="BJ1221" s="493"/>
      <c r="CU1221" s="488"/>
      <c r="CW1221" s="488"/>
      <c r="EV1221" s="821"/>
      <c r="EW1221" s="821"/>
    </row>
    <row r="1222" spans="1:153" s="757" customFormat="1" hidden="1">
      <c r="A1222" s="487"/>
      <c r="B1222" s="487"/>
      <c r="C1222" s="487"/>
      <c r="D1222" s="487"/>
      <c r="I1222" s="487"/>
      <c r="J1222" s="487"/>
      <c r="K1222" s="487"/>
      <c r="L1222" s="487"/>
      <c r="M1222" s="487"/>
      <c r="N1222" s="487"/>
      <c r="O1222" s="875"/>
      <c r="Q1222" s="704"/>
      <c r="R1222" s="1026"/>
      <c r="S1222" s="704"/>
      <c r="T1222" s="1026"/>
      <c r="AB1222" s="520"/>
      <c r="AC1222" s="520"/>
      <c r="AD1222" s="520"/>
      <c r="AE1222" s="520"/>
      <c r="AF1222" s="520"/>
      <c r="AG1222" s="520"/>
      <c r="AH1222" s="520"/>
      <c r="AI1222" s="520"/>
      <c r="AJ1222" s="520"/>
      <c r="AK1222" s="520"/>
      <c r="AL1222" s="520"/>
      <c r="AM1222" s="520"/>
      <c r="AN1222" s="520"/>
      <c r="AO1222" s="520"/>
      <c r="AP1222" s="520"/>
      <c r="AQ1222" s="520"/>
      <c r="AR1222" s="520"/>
      <c r="AS1222" s="520"/>
      <c r="AT1222" s="520"/>
      <c r="AU1222" s="520"/>
      <c r="AV1222" s="520"/>
      <c r="AY1222" s="507"/>
      <c r="BA1222" s="507"/>
      <c r="BJ1222" s="493"/>
      <c r="CU1222" s="488"/>
      <c r="CW1222" s="488"/>
      <c r="EV1222" s="821"/>
      <c r="EW1222" s="821"/>
    </row>
    <row r="1223" spans="1:153" s="757" customFormat="1" hidden="1">
      <c r="A1223" s="487"/>
      <c r="B1223" s="487"/>
      <c r="C1223" s="487"/>
      <c r="D1223" s="487"/>
      <c r="I1223" s="487"/>
      <c r="J1223" s="487"/>
      <c r="K1223" s="487"/>
      <c r="L1223" s="487"/>
      <c r="M1223" s="487"/>
      <c r="N1223" s="487"/>
      <c r="O1223" s="875"/>
      <c r="Q1223" s="704"/>
      <c r="R1223" s="1026"/>
      <c r="S1223" s="704"/>
      <c r="T1223" s="1026"/>
      <c r="AB1223" s="520"/>
      <c r="AC1223" s="520"/>
      <c r="AD1223" s="520"/>
      <c r="AE1223" s="520"/>
      <c r="AF1223" s="520"/>
      <c r="AG1223" s="520"/>
      <c r="AH1223" s="520"/>
      <c r="AI1223" s="520"/>
      <c r="AJ1223" s="520"/>
      <c r="AK1223" s="520"/>
      <c r="AL1223" s="520"/>
      <c r="AM1223" s="520"/>
      <c r="AN1223" s="520"/>
      <c r="AO1223" s="520"/>
      <c r="AP1223" s="520"/>
      <c r="AQ1223" s="520"/>
      <c r="AR1223" s="520"/>
      <c r="AS1223" s="520"/>
      <c r="AT1223" s="520"/>
      <c r="AU1223" s="520"/>
      <c r="AV1223" s="520"/>
      <c r="AY1223" s="507"/>
      <c r="BA1223" s="507"/>
      <c r="BJ1223" s="493"/>
      <c r="CU1223" s="488"/>
      <c r="CW1223" s="488"/>
      <c r="EV1223" s="821"/>
      <c r="EW1223" s="821"/>
    </row>
    <row r="1224" spans="1:153" s="757" customFormat="1" hidden="1">
      <c r="A1224" s="487"/>
      <c r="B1224" s="487"/>
      <c r="C1224" s="487"/>
      <c r="D1224" s="487"/>
      <c r="I1224" s="487"/>
      <c r="J1224" s="487"/>
      <c r="K1224" s="487"/>
      <c r="L1224" s="487"/>
      <c r="M1224" s="487"/>
      <c r="N1224" s="487"/>
      <c r="O1224" s="875"/>
      <c r="Q1224" s="704"/>
      <c r="R1224" s="1026"/>
      <c r="S1224" s="704"/>
      <c r="T1224" s="1026"/>
      <c r="AB1224" s="520"/>
      <c r="AC1224" s="520"/>
      <c r="AD1224" s="520"/>
      <c r="AE1224" s="520"/>
      <c r="AF1224" s="520"/>
      <c r="AG1224" s="520"/>
      <c r="AH1224" s="520"/>
      <c r="AI1224" s="520"/>
      <c r="AJ1224" s="520"/>
      <c r="AK1224" s="520"/>
      <c r="AL1224" s="520"/>
      <c r="AM1224" s="520"/>
      <c r="AN1224" s="520"/>
      <c r="AO1224" s="520"/>
      <c r="AP1224" s="520"/>
      <c r="AQ1224" s="520"/>
      <c r="AR1224" s="520"/>
      <c r="AS1224" s="520"/>
      <c r="AT1224" s="520"/>
      <c r="AU1224" s="520"/>
      <c r="AV1224" s="520"/>
      <c r="AY1224" s="507"/>
      <c r="BA1224" s="507"/>
      <c r="BJ1224" s="493"/>
      <c r="CU1224" s="488"/>
      <c r="CW1224" s="488"/>
      <c r="EV1224" s="821"/>
      <c r="EW1224" s="821"/>
    </row>
    <row r="1225" spans="1:153" s="757" customFormat="1" hidden="1">
      <c r="A1225" s="487"/>
      <c r="B1225" s="487"/>
      <c r="C1225" s="487"/>
      <c r="D1225" s="487"/>
      <c r="I1225" s="487"/>
      <c r="J1225" s="487"/>
      <c r="K1225" s="487"/>
      <c r="L1225" s="487"/>
      <c r="M1225" s="487"/>
      <c r="N1225" s="487"/>
      <c r="O1225" s="875"/>
      <c r="Q1225" s="704"/>
      <c r="R1225" s="1026"/>
      <c r="S1225" s="704"/>
      <c r="T1225" s="1026"/>
      <c r="AB1225" s="520"/>
      <c r="AC1225" s="520"/>
      <c r="AD1225" s="520"/>
      <c r="AE1225" s="520"/>
      <c r="AF1225" s="520"/>
      <c r="AG1225" s="520"/>
      <c r="AH1225" s="520"/>
      <c r="AI1225" s="520"/>
      <c r="AJ1225" s="520"/>
      <c r="AK1225" s="520"/>
      <c r="AL1225" s="520"/>
      <c r="AM1225" s="520"/>
      <c r="AN1225" s="520"/>
      <c r="AO1225" s="520"/>
      <c r="AP1225" s="520"/>
      <c r="AQ1225" s="520"/>
      <c r="AR1225" s="520"/>
      <c r="AS1225" s="520"/>
      <c r="AT1225" s="520"/>
      <c r="AU1225" s="520"/>
      <c r="AV1225" s="520"/>
      <c r="AY1225" s="507"/>
      <c r="BA1225" s="507"/>
      <c r="BJ1225" s="493"/>
      <c r="CU1225" s="488"/>
      <c r="CW1225" s="488"/>
      <c r="EV1225" s="821"/>
      <c r="EW1225" s="821"/>
    </row>
    <row r="1226" spans="1:153" s="757" customFormat="1" hidden="1">
      <c r="A1226" s="487"/>
      <c r="B1226" s="487"/>
      <c r="C1226" s="487"/>
      <c r="D1226" s="487"/>
      <c r="I1226" s="487"/>
      <c r="J1226" s="487"/>
      <c r="K1226" s="487"/>
      <c r="L1226" s="487"/>
      <c r="M1226" s="487"/>
      <c r="N1226" s="487"/>
      <c r="O1226" s="875"/>
      <c r="Q1226" s="704"/>
      <c r="R1226" s="1026"/>
      <c r="S1226" s="704"/>
      <c r="T1226" s="1026"/>
      <c r="AB1226" s="520"/>
      <c r="AC1226" s="520"/>
      <c r="AD1226" s="520"/>
      <c r="AE1226" s="520"/>
      <c r="AF1226" s="520"/>
      <c r="AG1226" s="520"/>
      <c r="AH1226" s="520"/>
      <c r="AI1226" s="520"/>
      <c r="AJ1226" s="520"/>
      <c r="AK1226" s="520"/>
      <c r="AL1226" s="520"/>
      <c r="AM1226" s="520"/>
      <c r="AN1226" s="520"/>
      <c r="AO1226" s="520"/>
      <c r="AP1226" s="520"/>
      <c r="AQ1226" s="520"/>
      <c r="AR1226" s="520"/>
      <c r="AS1226" s="520"/>
      <c r="AT1226" s="520"/>
      <c r="AU1226" s="520"/>
      <c r="AV1226" s="520"/>
      <c r="AY1226" s="507"/>
      <c r="BA1226" s="507"/>
      <c r="BJ1226" s="493"/>
      <c r="CU1226" s="488"/>
      <c r="CW1226" s="488"/>
      <c r="EV1226" s="821"/>
      <c r="EW1226" s="821"/>
    </row>
    <row r="1227" spans="1:153" s="757" customFormat="1" hidden="1">
      <c r="A1227" s="487"/>
      <c r="B1227" s="487"/>
      <c r="C1227" s="487"/>
      <c r="D1227" s="487"/>
      <c r="I1227" s="487"/>
      <c r="J1227" s="487"/>
      <c r="K1227" s="487"/>
      <c r="L1227" s="487"/>
      <c r="M1227" s="487"/>
      <c r="N1227" s="487"/>
      <c r="O1227" s="875"/>
      <c r="Q1227" s="704"/>
      <c r="R1227" s="1026"/>
      <c r="S1227" s="704"/>
      <c r="T1227" s="1026"/>
      <c r="AB1227" s="520"/>
      <c r="AC1227" s="520"/>
      <c r="AD1227" s="520"/>
      <c r="AE1227" s="520"/>
      <c r="AF1227" s="520"/>
      <c r="AG1227" s="520"/>
      <c r="AH1227" s="520"/>
      <c r="AI1227" s="520"/>
      <c r="AJ1227" s="520"/>
      <c r="AK1227" s="520"/>
      <c r="AL1227" s="520"/>
      <c r="AM1227" s="520"/>
      <c r="AN1227" s="520"/>
      <c r="AO1227" s="520"/>
      <c r="AP1227" s="520"/>
      <c r="AQ1227" s="520"/>
      <c r="AR1227" s="520"/>
      <c r="AS1227" s="520"/>
      <c r="AT1227" s="520"/>
      <c r="AU1227" s="520"/>
      <c r="AV1227" s="520"/>
      <c r="AY1227" s="507"/>
      <c r="BA1227" s="507"/>
      <c r="BJ1227" s="493"/>
      <c r="CU1227" s="488"/>
      <c r="CW1227" s="488"/>
      <c r="EV1227" s="821"/>
      <c r="EW1227" s="821"/>
    </row>
    <row r="1228" spans="1:153" s="757" customFormat="1" hidden="1">
      <c r="A1228" s="487"/>
      <c r="B1228" s="487"/>
      <c r="C1228" s="487"/>
      <c r="D1228" s="487"/>
      <c r="I1228" s="487"/>
      <c r="J1228" s="487"/>
      <c r="K1228" s="487"/>
      <c r="L1228" s="487"/>
      <c r="M1228" s="487"/>
      <c r="N1228" s="487"/>
      <c r="O1228" s="875"/>
      <c r="Q1228" s="704"/>
      <c r="R1228" s="1026"/>
      <c r="S1228" s="704"/>
      <c r="T1228" s="1026"/>
      <c r="AB1228" s="520"/>
      <c r="AC1228" s="520"/>
      <c r="AD1228" s="520"/>
      <c r="AE1228" s="520"/>
      <c r="AF1228" s="520"/>
      <c r="AG1228" s="520"/>
      <c r="AH1228" s="520"/>
      <c r="AI1228" s="520"/>
      <c r="AJ1228" s="520"/>
      <c r="AK1228" s="520"/>
      <c r="AL1228" s="520"/>
      <c r="AM1228" s="520"/>
      <c r="AN1228" s="520"/>
      <c r="AO1228" s="520"/>
      <c r="AP1228" s="520"/>
      <c r="AQ1228" s="520"/>
      <c r="AR1228" s="520"/>
      <c r="AS1228" s="520"/>
      <c r="AT1228" s="520"/>
      <c r="AU1228" s="520"/>
      <c r="AV1228" s="520"/>
      <c r="AY1228" s="507"/>
      <c r="BA1228" s="507"/>
      <c r="BJ1228" s="493"/>
      <c r="CU1228" s="488"/>
      <c r="CW1228" s="488"/>
      <c r="EV1228" s="821"/>
      <c r="EW1228" s="821"/>
    </row>
    <row r="1229" spans="1:153" s="757" customFormat="1" hidden="1">
      <c r="A1229" s="487"/>
      <c r="B1229" s="487"/>
      <c r="C1229" s="487"/>
      <c r="D1229" s="487"/>
      <c r="I1229" s="487"/>
      <c r="J1229" s="487"/>
      <c r="K1229" s="487"/>
      <c r="L1229" s="487"/>
      <c r="M1229" s="487"/>
      <c r="N1229" s="487"/>
      <c r="O1229" s="875"/>
      <c r="Q1229" s="704"/>
      <c r="R1229" s="1026"/>
      <c r="S1229" s="704"/>
      <c r="T1229" s="1026"/>
      <c r="AB1229" s="520"/>
      <c r="AC1229" s="520"/>
      <c r="AD1229" s="520"/>
      <c r="AE1229" s="520"/>
      <c r="AF1229" s="520"/>
      <c r="AG1229" s="520"/>
      <c r="AH1229" s="520"/>
      <c r="AI1229" s="520"/>
      <c r="AJ1229" s="520"/>
      <c r="AK1229" s="520"/>
      <c r="AL1229" s="520"/>
      <c r="AM1229" s="520"/>
      <c r="AN1229" s="520"/>
      <c r="AO1229" s="520"/>
      <c r="AP1229" s="520"/>
      <c r="AQ1229" s="520"/>
      <c r="AR1229" s="520"/>
      <c r="AS1229" s="520"/>
      <c r="AT1229" s="520"/>
      <c r="AU1229" s="520"/>
      <c r="AV1229" s="520"/>
      <c r="AY1229" s="507"/>
      <c r="BA1229" s="507"/>
      <c r="BJ1229" s="493"/>
      <c r="CU1229" s="488"/>
      <c r="CW1229" s="488"/>
      <c r="EV1229" s="821"/>
      <c r="EW1229" s="821"/>
    </row>
    <row r="1230" spans="1:153" s="757" customFormat="1" hidden="1">
      <c r="A1230" s="487"/>
      <c r="B1230" s="487"/>
      <c r="C1230" s="487"/>
      <c r="D1230" s="487"/>
      <c r="I1230" s="487"/>
      <c r="J1230" s="487"/>
      <c r="K1230" s="487"/>
      <c r="L1230" s="487"/>
      <c r="M1230" s="487"/>
      <c r="N1230" s="487"/>
      <c r="O1230" s="875"/>
      <c r="Q1230" s="704"/>
      <c r="R1230" s="1026"/>
      <c r="S1230" s="704"/>
      <c r="T1230" s="1026"/>
      <c r="AB1230" s="520"/>
      <c r="AC1230" s="520"/>
      <c r="AD1230" s="520"/>
      <c r="AE1230" s="520"/>
      <c r="AF1230" s="520"/>
      <c r="AG1230" s="520"/>
      <c r="AH1230" s="520"/>
      <c r="AI1230" s="520"/>
      <c r="AJ1230" s="520"/>
      <c r="AK1230" s="520"/>
      <c r="AL1230" s="520"/>
      <c r="AM1230" s="520"/>
      <c r="AN1230" s="520"/>
      <c r="AO1230" s="520"/>
      <c r="AP1230" s="520"/>
      <c r="AQ1230" s="520"/>
      <c r="AR1230" s="520"/>
      <c r="AS1230" s="520"/>
      <c r="AT1230" s="520"/>
      <c r="AU1230" s="520"/>
      <c r="AV1230" s="520"/>
      <c r="AY1230" s="507"/>
      <c r="BA1230" s="507"/>
      <c r="BJ1230" s="493"/>
      <c r="CU1230" s="488"/>
      <c r="CW1230" s="488"/>
      <c r="EV1230" s="821"/>
      <c r="EW1230" s="821"/>
    </row>
    <row r="1231" spans="1:153" s="757" customFormat="1" hidden="1">
      <c r="A1231" s="487"/>
      <c r="B1231" s="487"/>
      <c r="C1231" s="487"/>
      <c r="D1231" s="487"/>
      <c r="I1231" s="487"/>
      <c r="J1231" s="487"/>
      <c r="K1231" s="487"/>
      <c r="L1231" s="487"/>
      <c r="M1231" s="487"/>
      <c r="N1231" s="487"/>
      <c r="O1231" s="875"/>
      <c r="Q1231" s="704"/>
      <c r="R1231" s="1026"/>
      <c r="S1231" s="704"/>
      <c r="T1231" s="1026"/>
      <c r="AB1231" s="520"/>
      <c r="AC1231" s="520"/>
      <c r="AD1231" s="520"/>
      <c r="AE1231" s="520"/>
      <c r="AF1231" s="520"/>
      <c r="AG1231" s="520"/>
      <c r="AH1231" s="520"/>
      <c r="AI1231" s="520"/>
      <c r="AJ1231" s="520"/>
      <c r="AK1231" s="520"/>
      <c r="AL1231" s="520"/>
      <c r="AM1231" s="520"/>
      <c r="AN1231" s="520"/>
      <c r="AO1231" s="520"/>
      <c r="AP1231" s="520"/>
      <c r="AQ1231" s="520"/>
      <c r="AR1231" s="520"/>
      <c r="AS1231" s="520"/>
      <c r="AT1231" s="520"/>
      <c r="AU1231" s="520"/>
      <c r="AV1231" s="520"/>
      <c r="AY1231" s="507"/>
      <c r="BA1231" s="507"/>
      <c r="BJ1231" s="493"/>
      <c r="CU1231" s="488"/>
      <c r="CW1231" s="488"/>
      <c r="EV1231" s="821"/>
      <c r="EW1231" s="821"/>
    </row>
    <row r="1232" spans="1:153" s="757" customFormat="1" hidden="1">
      <c r="A1232" s="487"/>
      <c r="B1232" s="487"/>
      <c r="C1232" s="487"/>
      <c r="D1232" s="487"/>
      <c r="I1232" s="487"/>
      <c r="J1232" s="487"/>
      <c r="K1232" s="487"/>
      <c r="L1232" s="487"/>
      <c r="M1232" s="487"/>
      <c r="N1232" s="487"/>
      <c r="O1232" s="875"/>
      <c r="Q1232" s="704"/>
      <c r="R1232" s="1026"/>
      <c r="S1232" s="704"/>
      <c r="T1232" s="1026"/>
      <c r="AB1232" s="520"/>
      <c r="AC1232" s="520"/>
      <c r="AD1232" s="520"/>
      <c r="AE1232" s="520"/>
      <c r="AF1232" s="520"/>
      <c r="AG1232" s="520"/>
      <c r="AH1232" s="520"/>
      <c r="AI1232" s="520"/>
      <c r="AJ1232" s="520"/>
      <c r="AK1232" s="520"/>
      <c r="AL1232" s="520"/>
      <c r="AM1232" s="520"/>
      <c r="AN1232" s="520"/>
      <c r="AO1232" s="520"/>
      <c r="AP1232" s="520"/>
      <c r="AQ1232" s="520"/>
      <c r="AR1232" s="520"/>
      <c r="AS1232" s="520"/>
      <c r="AT1232" s="520"/>
      <c r="AU1232" s="520"/>
      <c r="AV1232" s="520"/>
      <c r="AY1232" s="507"/>
      <c r="BA1232" s="507"/>
      <c r="BJ1232" s="493"/>
      <c r="CU1232" s="488"/>
      <c r="CW1232" s="488"/>
      <c r="EV1232" s="821"/>
      <c r="EW1232" s="821"/>
    </row>
    <row r="1233" spans="1:153" s="757" customFormat="1" hidden="1">
      <c r="A1233" s="487"/>
      <c r="B1233" s="487"/>
      <c r="C1233" s="487"/>
      <c r="D1233" s="487"/>
      <c r="I1233" s="487"/>
      <c r="J1233" s="487"/>
      <c r="K1233" s="487"/>
      <c r="L1233" s="487"/>
      <c r="M1233" s="487"/>
      <c r="N1233" s="487"/>
      <c r="O1233" s="875"/>
      <c r="Q1233" s="704"/>
      <c r="R1233" s="1026"/>
      <c r="S1233" s="704"/>
      <c r="T1233" s="1026"/>
      <c r="AB1233" s="520"/>
      <c r="AC1233" s="520"/>
      <c r="AD1233" s="520"/>
      <c r="AE1233" s="520"/>
      <c r="AF1233" s="520"/>
      <c r="AG1233" s="520"/>
      <c r="AH1233" s="520"/>
      <c r="AI1233" s="520"/>
      <c r="AJ1233" s="520"/>
      <c r="AK1233" s="520"/>
      <c r="AL1233" s="520"/>
      <c r="AM1233" s="520"/>
      <c r="AN1233" s="520"/>
      <c r="AO1233" s="520"/>
      <c r="AP1233" s="520"/>
      <c r="AQ1233" s="520"/>
      <c r="AR1233" s="520"/>
      <c r="AS1233" s="520"/>
      <c r="AT1233" s="520"/>
      <c r="AU1233" s="520"/>
      <c r="AV1233" s="520"/>
      <c r="AY1233" s="507"/>
      <c r="BA1233" s="507"/>
      <c r="BJ1233" s="493"/>
      <c r="CU1233" s="488"/>
      <c r="CW1233" s="488"/>
      <c r="EV1233" s="821"/>
      <c r="EW1233" s="821"/>
    </row>
    <row r="1234" spans="1:153" s="757" customFormat="1" hidden="1">
      <c r="A1234" s="487"/>
      <c r="B1234" s="487"/>
      <c r="C1234" s="487"/>
      <c r="D1234" s="487"/>
      <c r="I1234" s="487"/>
      <c r="J1234" s="487"/>
      <c r="K1234" s="487"/>
      <c r="L1234" s="487"/>
      <c r="M1234" s="487"/>
      <c r="N1234" s="487"/>
      <c r="O1234" s="875"/>
      <c r="Q1234" s="704"/>
      <c r="R1234" s="1026"/>
      <c r="S1234" s="704"/>
      <c r="T1234" s="1026"/>
      <c r="AB1234" s="520"/>
      <c r="AC1234" s="520"/>
      <c r="AD1234" s="520"/>
      <c r="AE1234" s="520"/>
      <c r="AF1234" s="520"/>
      <c r="AG1234" s="520"/>
      <c r="AH1234" s="520"/>
      <c r="AI1234" s="520"/>
      <c r="AJ1234" s="520"/>
      <c r="AK1234" s="520"/>
      <c r="AL1234" s="520"/>
      <c r="AM1234" s="520"/>
      <c r="AN1234" s="520"/>
      <c r="AO1234" s="520"/>
      <c r="AP1234" s="520"/>
      <c r="AQ1234" s="520"/>
      <c r="AR1234" s="520"/>
      <c r="AS1234" s="520"/>
      <c r="AT1234" s="520"/>
      <c r="AU1234" s="520"/>
      <c r="AV1234" s="520"/>
      <c r="AY1234" s="507"/>
      <c r="BA1234" s="507"/>
      <c r="BJ1234" s="493"/>
      <c r="CU1234" s="488"/>
      <c r="CW1234" s="488"/>
      <c r="EV1234" s="821"/>
      <c r="EW1234" s="821"/>
    </row>
    <row r="1235" spans="1:153" s="757" customFormat="1" hidden="1">
      <c r="A1235" s="487"/>
      <c r="B1235" s="487"/>
      <c r="C1235" s="487"/>
      <c r="D1235" s="487"/>
      <c r="I1235" s="487"/>
      <c r="J1235" s="487"/>
      <c r="K1235" s="487"/>
      <c r="L1235" s="487"/>
      <c r="M1235" s="487"/>
      <c r="N1235" s="487"/>
      <c r="O1235" s="875"/>
      <c r="Q1235" s="704"/>
      <c r="R1235" s="1026"/>
      <c r="S1235" s="704"/>
      <c r="T1235" s="1026"/>
      <c r="AB1235" s="520"/>
      <c r="AC1235" s="520"/>
      <c r="AD1235" s="520"/>
      <c r="AE1235" s="520"/>
      <c r="AF1235" s="520"/>
      <c r="AG1235" s="520"/>
      <c r="AH1235" s="520"/>
      <c r="AI1235" s="520"/>
      <c r="AJ1235" s="520"/>
      <c r="AK1235" s="520"/>
      <c r="AL1235" s="520"/>
      <c r="AM1235" s="520"/>
      <c r="AN1235" s="520"/>
      <c r="AO1235" s="520"/>
      <c r="AP1235" s="520"/>
      <c r="AQ1235" s="520"/>
      <c r="AR1235" s="520"/>
      <c r="AS1235" s="520"/>
      <c r="AT1235" s="520"/>
      <c r="AU1235" s="520"/>
      <c r="AV1235" s="520"/>
      <c r="AY1235" s="507"/>
      <c r="BA1235" s="507"/>
      <c r="BJ1235" s="493"/>
      <c r="CU1235" s="488"/>
      <c r="CW1235" s="488"/>
      <c r="EV1235" s="821"/>
      <c r="EW1235" s="821"/>
    </row>
    <row r="1236" spans="1:153" s="757" customFormat="1" hidden="1">
      <c r="A1236" s="487"/>
      <c r="B1236" s="487"/>
      <c r="C1236" s="487"/>
      <c r="D1236" s="487"/>
      <c r="I1236" s="487"/>
      <c r="J1236" s="487"/>
      <c r="K1236" s="487"/>
      <c r="L1236" s="487"/>
      <c r="M1236" s="487"/>
      <c r="N1236" s="487"/>
      <c r="O1236" s="875"/>
      <c r="Q1236" s="704"/>
      <c r="R1236" s="1026"/>
      <c r="S1236" s="704"/>
      <c r="T1236" s="1026"/>
      <c r="AB1236" s="520"/>
      <c r="AC1236" s="520"/>
      <c r="AD1236" s="520"/>
      <c r="AE1236" s="520"/>
      <c r="AF1236" s="520"/>
      <c r="AG1236" s="520"/>
      <c r="AH1236" s="520"/>
      <c r="AI1236" s="520"/>
      <c r="AJ1236" s="520"/>
      <c r="AK1236" s="520"/>
      <c r="AL1236" s="520"/>
      <c r="AM1236" s="520"/>
      <c r="AN1236" s="520"/>
      <c r="AO1236" s="520"/>
      <c r="AP1236" s="520"/>
      <c r="AQ1236" s="520"/>
      <c r="AR1236" s="520"/>
      <c r="AS1236" s="520"/>
      <c r="AT1236" s="520"/>
      <c r="AU1236" s="520"/>
      <c r="AV1236" s="520"/>
      <c r="AY1236" s="507"/>
      <c r="BA1236" s="507"/>
      <c r="BJ1236" s="493"/>
      <c r="CU1236" s="488"/>
      <c r="CW1236" s="488"/>
      <c r="EV1236" s="821"/>
      <c r="EW1236" s="821"/>
    </row>
    <row r="1237" spans="1:153" s="757" customFormat="1" hidden="1">
      <c r="A1237" s="487"/>
      <c r="B1237" s="487"/>
      <c r="C1237" s="487"/>
      <c r="D1237" s="487"/>
      <c r="I1237" s="487"/>
      <c r="J1237" s="487"/>
      <c r="K1237" s="487"/>
      <c r="L1237" s="487"/>
      <c r="M1237" s="487"/>
      <c r="N1237" s="487"/>
      <c r="O1237" s="875"/>
      <c r="Q1237" s="704"/>
      <c r="R1237" s="1026"/>
      <c r="S1237" s="704"/>
      <c r="T1237" s="1026"/>
      <c r="AB1237" s="520"/>
      <c r="AC1237" s="520"/>
      <c r="AD1237" s="520"/>
      <c r="AE1237" s="520"/>
      <c r="AF1237" s="520"/>
      <c r="AG1237" s="520"/>
      <c r="AH1237" s="520"/>
      <c r="AI1237" s="520"/>
      <c r="AJ1237" s="520"/>
      <c r="AK1237" s="520"/>
      <c r="AL1237" s="520"/>
      <c r="AM1237" s="520"/>
      <c r="AN1237" s="520"/>
      <c r="AO1237" s="520"/>
      <c r="AP1237" s="520"/>
      <c r="AQ1237" s="520"/>
      <c r="AR1237" s="520"/>
      <c r="AS1237" s="520"/>
      <c r="AT1237" s="520"/>
      <c r="AU1237" s="520"/>
      <c r="AV1237" s="520"/>
      <c r="AY1237" s="507"/>
      <c r="BA1237" s="507"/>
      <c r="BJ1237" s="493"/>
      <c r="CU1237" s="488"/>
      <c r="CW1237" s="488"/>
      <c r="EV1237" s="821"/>
      <c r="EW1237" s="821"/>
    </row>
    <row r="1238" spans="1:153" s="757" customFormat="1" hidden="1">
      <c r="A1238" s="487"/>
      <c r="B1238" s="487"/>
      <c r="C1238" s="487"/>
      <c r="D1238" s="487"/>
      <c r="I1238" s="487"/>
      <c r="J1238" s="487"/>
      <c r="K1238" s="487"/>
      <c r="L1238" s="487"/>
      <c r="M1238" s="487"/>
      <c r="N1238" s="487"/>
      <c r="O1238" s="875"/>
      <c r="Q1238" s="704"/>
      <c r="R1238" s="1026"/>
      <c r="S1238" s="704"/>
      <c r="T1238" s="1026"/>
      <c r="AB1238" s="520"/>
      <c r="AC1238" s="520"/>
      <c r="AD1238" s="520"/>
      <c r="AE1238" s="520"/>
      <c r="AF1238" s="520"/>
      <c r="AG1238" s="520"/>
      <c r="AH1238" s="520"/>
      <c r="AI1238" s="520"/>
      <c r="AJ1238" s="520"/>
      <c r="AK1238" s="520"/>
      <c r="AL1238" s="520"/>
      <c r="AM1238" s="520"/>
      <c r="AN1238" s="520"/>
      <c r="AO1238" s="520"/>
      <c r="AP1238" s="520"/>
      <c r="AQ1238" s="520"/>
      <c r="AR1238" s="520"/>
      <c r="AS1238" s="520"/>
      <c r="AT1238" s="520"/>
      <c r="AU1238" s="520"/>
      <c r="AV1238" s="520"/>
      <c r="AY1238" s="507"/>
      <c r="BA1238" s="507"/>
      <c r="BJ1238" s="493"/>
      <c r="CU1238" s="488"/>
      <c r="CW1238" s="488"/>
      <c r="EV1238" s="821"/>
      <c r="EW1238" s="821"/>
    </row>
    <row r="1239" spans="1:153" s="757" customFormat="1" hidden="1">
      <c r="A1239" s="487"/>
      <c r="B1239" s="487"/>
      <c r="C1239" s="487"/>
      <c r="D1239" s="487"/>
      <c r="I1239" s="487"/>
      <c r="J1239" s="487"/>
      <c r="K1239" s="487"/>
      <c r="L1239" s="487"/>
      <c r="M1239" s="487"/>
      <c r="N1239" s="487"/>
      <c r="O1239" s="875"/>
      <c r="Q1239" s="704"/>
      <c r="R1239" s="1026"/>
      <c r="S1239" s="704"/>
      <c r="T1239" s="1026"/>
      <c r="AB1239" s="520"/>
      <c r="AC1239" s="520"/>
      <c r="AD1239" s="520"/>
      <c r="AE1239" s="520"/>
      <c r="AF1239" s="520"/>
      <c r="AG1239" s="520"/>
      <c r="AH1239" s="520"/>
      <c r="AI1239" s="520"/>
      <c r="AJ1239" s="520"/>
      <c r="AK1239" s="520"/>
      <c r="AL1239" s="520"/>
      <c r="AM1239" s="520"/>
      <c r="AN1239" s="520"/>
      <c r="AO1239" s="520"/>
      <c r="AP1239" s="520"/>
      <c r="AQ1239" s="520"/>
      <c r="AR1239" s="520"/>
      <c r="AS1239" s="520"/>
      <c r="AT1239" s="520"/>
      <c r="AU1239" s="520"/>
      <c r="AV1239" s="520"/>
      <c r="AY1239" s="507"/>
      <c r="BA1239" s="507"/>
      <c r="BJ1239" s="493"/>
      <c r="CU1239" s="488"/>
      <c r="CW1239" s="488"/>
      <c r="EV1239" s="821"/>
      <c r="EW1239" s="821"/>
    </row>
    <row r="1240" spans="1:153" s="757" customFormat="1" hidden="1">
      <c r="A1240" s="487"/>
      <c r="B1240" s="487"/>
      <c r="C1240" s="487"/>
      <c r="D1240" s="487"/>
      <c r="I1240" s="487"/>
      <c r="J1240" s="487"/>
      <c r="K1240" s="487"/>
      <c r="L1240" s="487"/>
      <c r="M1240" s="487"/>
      <c r="N1240" s="487"/>
      <c r="O1240" s="875"/>
      <c r="Q1240" s="704"/>
      <c r="R1240" s="1026"/>
      <c r="S1240" s="704"/>
      <c r="T1240" s="1026"/>
      <c r="AB1240" s="520"/>
      <c r="AC1240" s="520"/>
      <c r="AD1240" s="520"/>
      <c r="AE1240" s="520"/>
      <c r="AF1240" s="520"/>
      <c r="AG1240" s="520"/>
      <c r="AH1240" s="520"/>
      <c r="AI1240" s="520"/>
      <c r="AJ1240" s="520"/>
      <c r="AK1240" s="520"/>
      <c r="AL1240" s="520"/>
      <c r="AM1240" s="520"/>
      <c r="AN1240" s="520"/>
      <c r="AO1240" s="520"/>
      <c r="AP1240" s="520"/>
      <c r="AQ1240" s="520"/>
      <c r="AR1240" s="520"/>
      <c r="AS1240" s="520"/>
      <c r="AT1240" s="520"/>
      <c r="AU1240" s="520"/>
      <c r="AV1240" s="520"/>
      <c r="AY1240" s="507"/>
      <c r="BA1240" s="507"/>
      <c r="BJ1240" s="493"/>
      <c r="CU1240" s="488"/>
      <c r="CW1240" s="488"/>
      <c r="EV1240" s="821"/>
      <c r="EW1240" s="821"/>
    </row>
    <row r="1241" spans="1:153" s="757" customFormat="1" hidden="1">
      <c r="A1241" s="487"/>
      <c r="B1241" s="487"/>
      <c r="C1241" s="487"/>
      <c r="D1241" s="487"/>
      <c r="I1241" s="487"/>
      <c r="J1241" s="487"/>
      <c r="K1241" s="487"/>
      <c r="L1241" s="487"/>
      <c r="M1241" s="487"/>
      <c r="N1241" s="487"/>
      <c r="O1241" s="875"/>
      <c r="Q1241" s="704"/>
      <c r="R1241" s="1026"/>
      <c r="S1241" s="704"/>
      <c r="T1241" s="1026"/>
      <c r="AB1241" s="520"/>
      <c r="AC1241" s="520"/>
      <c r="AD1241" s="520"/>
      <c r="AE1241" s="520"/>
      <c r="AF1241" s="520"/>
      <c r="AG1241" s="520"/>
      <c r="AH1241" s="520"/>
      <c r="AI1241" s="520"/>
      <c r="AJ1241" s="520"/>
      <c r="AK1241" s="520"/>
      <c r="AL1241" s="520"/>
      <c r="AM1241" s="520"/>
      <c r="AN1241" s="520"/>
      <c r="AO1241" s="520"/>
      <c r="AP1241" s="520"/>
      <c r="AQ1241" s="520"/>
      <c r="AR1241" s="520"/>
      <c r="AS1241" s="520"/>
      <c r="AT1241" s="520"/>
      <c r="AU1241" s="520"/>
      <c r="AV1241" s="520"/>
      <c r="AY1241" s="507"/>
      <c r="BA1241" s="507"/>
      <c r="BJ1241" s="493"/>
      <c r="CU1241" s="488"/>
      <c r="CW1241" s="488"/>
      <c r="EV1241" s="821"/>
      <c r="EW1241" s="821"/>
    </row>
    <row r="1242" spans="1:153" s="757" customFormat="1" hidden="1">
      <c r="A1242" s="487"/>
      <c r="B1242" s="487"/>
      <c r="C1242" s="487"/>
      <c r="D1242" s="487"/>
      <c r="I1242" s="487"/>
      <c r="J1242" s="487"/>
      <c r="K1242" s="487"/>
      <c r="L1242" s="487"/>
      <c r="M1242" s="487"/>
      <c r="N1242" s="487"/>
      <c r="O1242" s="875"/>
      <c r="Q1242" s="704"/>
      <c r="R1242" s="1026"/>
      <c r="S1242" s="704"/>
      <c r="T1242" s="1026"/>
      <c r="AB1242" s="520"/>
      <c r="AC1242" s="520"/>
      <c r="AD1242" s="520"/>
      <c r="AE1242" s="520"/>
      <c r="AF1242" s="520"/>
      <c r="AG1242" s="520"/>
      <c r="AH1242" s="520"/>
      <c r="AI1242" s="520"/>
      <c r="AJ1242" s="520"/>
      <c r="AK1242" s="520"/>
      <c r="AL1242" s="520"/>
      <c r="AM1242" s="520"/>
      <c r="AN1242" s="520"/>
      <c r="AO1242" s="520"/>
      <c r="AP1242" s="520"/>
      <c r="AQ1242" s="520"/>
      <c r="AR1242" s="520"/>
      <c r="AS1242" s="520"/>
      <c r="AT1242" s="520"/>
      <c r="AU1242" s="520"/>
      <c r="AV1242" s="520"/>
      <c r="AY1242" s="507"/>
      <c r="BA1242" s="507"/>
      <c r="BJ1242" s="493"/>
      <c r="CU1242" s="488"/>
      <c r="CW1242" s="488"/>
      <c r="EV1242" s="821"/>
      <c r="EW1242" s="821"/>
    </row>
    <row r="1243" spans="1:153" s="757" customFormat="1" hidden="1">
      <c r="A1243" s="487"/>
      <c r="B1243" s="487"/>
      <c r="C1243" s="487"/>
      <c r="D1243" s="487"/>
      <c r="I1243" s="487"/>
      <c r="J1243" s="487"/>
      <c r="K1243" s="487"/>
      <c r="L1243" s="487"/>
      <c r="M1243" s="487"/>
      <c r="N1243" s="487"/>
      <c r="O1243" s="875"/>
      <c r="Q1243" s="704"/>
      <c r="R1243" s="1026"/>
      <c r="S1243" s="704"/>
      <c r="T1243" s="1026"/>
      <c r="AB1243" s="520"/>
      <c r="AC1243" s="520"/>
      <c r="AD1243" s="520"/>
      <c r="AE1243" s="520"/>
      <c r="AF1243" s="520"/>
      <c r="AG1243" s="520"/>
      <c r="AH1243" s="520"/>
      <c r="AI1243" s="520"/>
      <c r="AJ1243" s="520"/>
      <c r="AK1243" s="520"/>
      <c r="AL1243" s="520"/>
      <c r="AM1243" s="520"/>
      <c r="AN1243" s="520"/>
      <c r="AO1243" s="520"/>
      <c r="AP1243" s="520"/>
      <c r="AQ1243" s="520"/>
      <c r="AR1243" s="520"/>
      <c r="AS1243" s="520"/>
      <c r="AT1243" s="520"/>
      <c r="AU1243" s="520"/>
      <c r="AV1243" s="520"/>
      <c r="AY1243" s="507"/>
      <c r="BA1243" s="507"/>
      <c r="BJ1243" s="493"/>
      <c r="CU1243" s="488"/>
      <c r="CW1243" s="488"/>
      <c r="EV1243" s="821"/>
      <c r="EW1243" s="821"/>
    </row>
    <row r="1244" spans="1:153" s="757" customFormat="1" hidden="1">
      <c r="A1244" s="487"/>
      <c r="B1244" s="487"/>
      <c r="C1244" s="487"/>
      <c r="D1244" s="487"/>
      <c r="I1244" s="487"/>
      <c r="J1244" s="487"/>
      <c r="K1244" s="487"/>
      <c r="L1244" s="487"/>
      <c r="M1244" s="487"/>
      <c r="N1244" s="487"/>
      <c r="O1244" s="875"/>
      <c r="Q1244" s="704"/>
      <c r="R1244" s="1026"/>
      <c r="S1244" s="704"/>
      <c r="T1244" s="1026"/>
      <c r="AB1244" s="520"/>
      <c r="AC1244" s="520"/>
      <c r="AD1244" s="520"/>
      <c r="AE1244" s="520"/>
      <c r="AF1244" s="520"/>
      <c r="AG1244" s="520"/>
      <c r="AH1244" s="520"/>
      <c r="AI1244" s="520"/>
      <c r="AJ1244" s="520"/>
      <c r="AK1244" s="520"/>
      <c r="AL1244" s="520"/>
      <c r="AM1244" s="520"/>
      <c r="AN1244" s="520"/>
      <c r="AO1244" s="520"/>
      <c r="AP1244" s="520"/>
      <c r="AQ1244" s="520"/>
      <c r="AR1244" s="520"/>
      <c r="AS1244" s="520"/>
      <c r="AT1244" s="520"/>
      <c r="AU1244" s="520"/>
      <c r="AV1244" s="520"/>
      <c r="AY1244" s="507"/>
      <c r="BA1244" s="507"/>
      <c r="BJ1244" s="493"/>
      <c r="CU1244" s="488"/>
      <c r="CW1244" s="488"/>
      <c r="EV1244" s="821"/>
      <c r="EW1244" s="821"/>
    </row>
    <row r="1245" spans="1:153" s="757" customFormat="1" hidden="1">
      <c r="A1245" s="487"/>
      <c r="B1245" s="487"/>
      <c r="C1245" s="487"/>
      <c r="D1245" s="487"/>
      <c r="I1245" s="487"/>
      <c r="J1245" s="487"/>
      <c r="K1245" s="487"/>
      <c r="L1245" s="487"/>
      <c r="M1245" s="487"/>
      <c r="N1245" s="487"/>
      <c r="O1245" s="875"/>
      <c r="Q1245" s="704"/>
      <c r="R1245" s="1026"/>
      <c r="S1245" s="704"/>
      <c r="T1245" s="1026"/>
      <c r="AB1245" s="520"/>
      <c r="AC1245" s="520"/>
      <c r="AD1245" s="520"/>
      <c r="AE1245" s="520"/>
      <c r="AF1245" s="520"/>
      <c r="AG1245" s="520"/>
      <c r="AH1245" s="520"/>
      <c r="AI1245" s="520"/>
      <c r="AJ1245" s="520"/>
      <c r="AK1245" s="520"/>
      <c r="AL1245" s="520"/>
      <c r="AM1245" s="520"/>
      <c r="AN1245" s="520"/>
      <c r="AO1245" s="520"/>
      <c r="AP1245" s="520"/>
      <c r="AQ1245" s="520"/>
      <c r="AR1245" s="520"/>
      <c r="AS1245" s="520"/>
      <c r="AT1245" s="520"/>
      <c r="AU1245" s="520"/>
      <c r="AV1245" s="520"/>
      <c r="AY1245" s="507"/>
      <c r="BA1245" s="507"/>
      <c r="BJ1245" s="493"/>
      <c r="CU1245" s="488"/>
      <c r="CW1245" s="488"/>
      <c r="EV1245" s="821"/>
      <c r="EW1245" s="821"/>
    </row>
    <row r="1246" spans="1:153" s="757" customFormat="1" hidden="1">
      <c r="A1246" s="487"/>
      <c r="B1246" s="487"/>
      <c r="C1246" s="487"/>
      <c r="D1246" s="487"/>
      <c r="I1246" s="487"/>
      <c r="J1246" s="487"/>
      <c r="K1246" s="487"/>
      <c r="L1246" s="487"/>
      <c r="M1246" s="487"/>
      <c r="N1246" s="487"/>
      <c r="O1246" s="875"/>
      <c r="Q1246" s="704"/>
      <c r="R1246" s="1026"/>
      <c r="S1246" s="704"/>
      <c r="T1246" s="1026"/>
      <c r="AB1246" s="520"/>
      <c r="AC1246" s="520"/>
      <c r="AD1246" s="520"/>
      <c r="AE1246" s="520"/>
      <c r="AF1246" s="520"/>
      <c r="AG1246" s="520"/>
      <c r="AH1246" s="520"/>
      <c r="AI1246" s="520"/>
      <c r="AJ1246" s="520"/>
      <c r="AK1246" s="520"/>
      <c r="AL1246" s="520"/>
      <c r="AM1246" s="520"/>
      <c r="AN1246" s="520"/>
      <c r="AO1246" s="520"/>
      <c r="AP1246" s="520"/>
      <c r="AQ1246" s="520"/>
      <c r="AR1246" s="520"/>
      <c r="AS1246" s="520"/>
      <c r="AT1246" s="520"/>
      <c r="AU1246" s="520"/>
      <c r="AV1246" s="520"/>
      <c r="AY1246" s="507"/>
      <c r="BA1246" s="507"/>
      <c r="BJ1246" s="493"/>
      <c r="CU1246" s="488"/>
      <c r="CW1246" s="488"/>
      <c r="EV1246" s="821"/>
      <c r="EW1246" s="821"/>
    </row>
    <row r="1247" spans="1:153" s="757" customFormat="1" hidden="1">
      <c r="A1247" s="487"/>
      <c r="B1247" s="487"/>
      <c r="C1247" s="487"/>
      <c r="D1247" s="487"/>
      <c r="I1247" s="487"/>
      <c r="J1247" s="487"/>
      <c r="K1247" s="487"/>
      <c r="L1247" s="487"/>
      <c r="M1247" s="487"/>
      <c r="N1247" s="487"/>
      <c r="O1247" s="875"/>
      <c r="Q1247" s="704"/>
      <c r="R1247" s="1026"/>
      <c r="S1247" s="704"/>
      <c r="T1247" s="1026"/>
      <c r="AB1247" s="520"/>
      <c r="AC1247" s="520"/>
      <c r="AD1247" s="520"/>
      <c r="AE1247" s="520"/>
      <c r="AF1247" s="520"/>
      <c r="AG1247" s="520"/>
      <c r="AH1247" s="520"/>
      <c r="AI1247" s="520"/>
      <c r="AJ1247" s="520"/>
      <c r="AK1247" s="520"/>
      <c r="AL1247" s="520"/>
      <c r="AM1247" s="520"/>
      <c r="AN1247" s="520"/>
      <c r="AO1247" s="520"/>
      <c r="AP1247" s="520"/>
      <c r="AQ1247" s="520"/>
      <c r="AR1247" s="520"/>
      <c r="AS1247" s="520"/>
      <c r="AT1247" s="520"/>
      <c r="AU1247" s="520"/>
      <c r="AV1247" s="520"/>
      <c r="AY1247" s="507"/>
      <c r="BA1247" s="507"/>
      <c r="BJ1247" s="493"/>
      <c r="CU1247" s="488"/>
      <c r="CW1247" s="488"/>
      <c r="EV1247" s="821"/>
      <c r="EW1247" s="821"/>
    </row>
    <row r="1248" spans="1:153" s="757" customFormat="1" hidden="1">
      <c r="A1248" s="487"/>
      <c r="B1248" s="487"/>
      <c r="C1248" s="487"/>
      <c r="D1248" s="487"/>
      <c r="I1248" s="487"/>
      <c r="J1248" s="487"/>
      <c r="K1248" s="487"/>
      <c r="L1248" s="487"/>
      <c r="M1248" s="487"/>
      <c r="N1248" s="487"/>
      <c r="O1248" s="875"/>
      <c r="Q1248" s="704"/>
      <c r="R1248" s="1026"/>
      <c r="S1248" s="704"/>
      <c r="T1248" s="1026"/>
      <c r="AB1248" s="520"/>
      <c r="AC1248" s="520"/>
      <c r="AD1248" s="520"/>
      <c r="AE1248" s="520"/>
      <c r="AF1248" s="520"/>
      <c r="AG1248" s="520"/>
      <c r="AH1248" s="520"/>
      <c r="AI1248" s="520"/>
      <c r="AJ1248" s="520"/>
      <c r="AK1248" s="520"/>
      <c r="AL1248" s="520"/>
      <c r="AM1248" s="520"/>
      <c r="AN1248" s="520"/>
      <c r="AO1248" s="520"/>
      <c r="AP1248" s="520"/>
      <c r="AQ1248" s="520"/>
      <c r="AR1248" s="520"/>
      <c r="AS1248" s="520"/>
      <c r="AT1248" s="520"/>
      <c r="AU1248" s="520"/>
      <c r="AV1248" s="520"/>
      <c r="AY1248" s="507"/>
      <c r="BA1248" s="507"/>
      <c r="BJ1248" s="493"/>
      <c r="CU1248" s="488"/>
      <c r="CW1248" s="488"/>
      <c r="EV1248" s="821"/>
      <c r="EW1248" s="821"/>
    </row>
    <row r="1249" spans="1:153" s="757" customFormat="1" hidden="1">
      <c r="A1249" s="487"/>
      <c r="B1249" s="487"/>
      <c r="C1249" s="487"/>
      <c r="D1249" s="487"/>
      <c r="I1249" s="487"/>
      <c r="J1249" s="487"/>
      <c r="K1249" s="487"/>
      <c r="L1249" s="487"/>
      <c r="M1249" s="487"/>
      <c r="N1249" s="487"/>
      <c r="O1249" s="875"/>
      <c r="Q1249" s="704"/>
      <c r="R1249" s="1026"/>
      <c r="S1249" s="704"/>
      <c r="T1249" s="1026"/>
      <c r="AB1249" s="520"/>
      <c r="AC1249" s="520"/>
      <c r="AD1249" s="520"/>
      <c r="AE1249" s="520"/>
      <c r="AF1249" s="520"/>
      <c r="AG1249" s="520"/>
      <c r="AH1249" s="520"/>
      <c r="AI1249" s="520"/>
      <c r="AJ1249" s="520"/>
      <c r="AK1249" s="520"/>
      <c r="AL1249" s="520"/>
      <c r="AM1249" s="520"/>
      <c r="AN1249" s="520"/>
      <c r="AO1249" s="520"/>
      <c r="AP1249" s="520"/>
      <c r="AQ1249" s="520"/>
      <c r="AR1249" s="520"/>
      <c r="AS1249" s="520"/>
      <c r="AT1249" s="520"/>
      <c r="AU1249" s="520"/>
      <c r="AV1249" s="520"/>
      <c r="AY1249" s="507"/>
      <c r="BA1249" s="507"/>
      <c r="BJ1249" s="493"/>
      <c r="CU1249" s="488"/>
      <c r="CW1249" s="488"/>
      <c r="EV1249" s="821"/>
      <c r="EW1249" s="821"/>
    </row>
    <row r="1250" spans="1:153" s="757" customFormat="1" hidden="1">
      <c r="A1250" s="487"/>
      <c r="B1250" s="487"/>
      <c r="C1250" s="487"/>
      <c r="D1250" s="487"/>
      <c r="I1250" s="487"/>
      <c r="J1250" s="487"/>
      <c r="K1250" s="487"/>
      <c r="L1250" s="487"/>
      <c r="M1250" s="487"/>
      <c r="N1250" s="487"/>
      <c r="O1250" s="875"/>
      <c r="Q1250" s="704"/>
      <c r="R1250" s="1026"/>
      <c r="S1250" s="704"/>
      <c r="T1250" s="1026"/>
      <c r="AB1250" s="520"/>
      <c r="AC1250" s="520"/>
      <c r="AD1250" s="520"/>
      <c r="AE1250" s="520"/>
      <c r="AF1250" s="520"/>
      <c r="AG1250" s="520"/>
      <c r="AH1250" s="520"/>
      <c r="AI1250" s="520"/>
      <c r="AJ1250" s="520"/>
      <c r="AK1250" s="520"/>
      <c r="AL1250" s="520"/>
      <c r="AM1250" s="520"/>
      <c r="AN1250" s="520"/>
      <c r="AO1250" s="520"/>
      <c r="AP1250" s="520"/>
      <c r="AQ1250" s="520"/>
      <c r="AR1250" s="520"/>
      <c r="AS1250" s="520"/>
      <c r="AT1250" s="520"/>
      <c r="AU1250" s="520"/>
      <c r="AV1250" s="520"/>
      <c r="AY1250" s="507"/>
      <c r="BA1250" s="507"/>
      <c r="BJ1250" s="493"/>
      <c r="CU1250" s="488"/>
      <c r="CW1250" s="488"/>
      <c r="EV1250" s="821"/>
      <c r="EW1250" s="821"/>
    </row>
    <row r="1251" spans="1:153" s="757" customFormat="1" hidden="1">
      <c r="A1251" s="487"/>
      <c r="B1251" s="487"/>
      <c r="C1251" s="487"/>
      <c r="D1251" s="487"/>
      <c r="I1251" s="487"/>
      <c r="J1251" s="487"/>
      <c r="K1251" s="487"/>
      <c r="L1251" s="487"/>
      <c r="M1251" s="487"/>
      <c r="N1251" s="487"/>
      <c r="O1251" s="875"/>
      <c r="Q1251" s="704"/>
      <c r="R1251" s="1026"/>
      <c r="S1251" s="704"/>
      <c r="T1251" s="1026"/>
      <c r="AB1251" s="520"/>
      <c r="AC1251" s="520"/>
      <c r="AD1251" s="520"/>
      <c r="AE1251" s="520"/>
      <c r="AF1251" s="520"/>
      <c r="AG1251" s="520"/>
      <c r="AH1251" s="520"/>
      <c r="AI1251" s="520"/>
      <c r="AJ1251" s="520"/>
      <c r="AK1251" s="520"/>
      <c r="AL1251" s="520"/>
      <c r="AM1251" s="520"/>
      <c r="AN1251" s="520"/>
      <c r="AO1251" s="520"/>
      <c r="AP1251" s="520"/>
      <c r="AQ1251" s="520"/>
      <c r="AR1251" s="520"/>
      <c r="AS1251" s="520"/>
      <c r="AT1251" s="520"/>
      <c r="AU1251" s="520"/>
      <c r="AV1251" s="520"/>
      <c r="AY1251" s="507"/>
      <c r="BA1251" s="507"/>
      <c r="BJ1251" s="493"/>
      <c r="CU1251" s="488"/>
      <c r="CW1251" s="488"/>
      <c r="EV1251" s="821"/>
      <c r="EW1251" s="821"/>
    </row>
    <row r="1252" spans="1:153" s="757" customFormat="1" hidden="1">
      <c r="A1252" s="487"/>
      <c r="B1252" s="487"/>
      <c r="C1252" s="487"/>
      <c r="D1252" s="487"/>
      <c r="I1252" s="487"/>
      <c r="J1252" s="487"/>
      <c r="K1252" s="487"/>
      <c r="L1252" s="487"/>
      <c r="M1252" s="487"/>
      <c r="N1252" s="487"/>
      <c r="O1252" s="875"/>
      <c r="Q1252" s="704"/>
      <c r="R1252" s="1026"/>
      <c r="S1252" s="704"/>
      <c r="T1252" s="1026"/>
      <c r="AB1252" s="520"/>
      <c r="AC1252" s="520"/>
      <c r="AD1252" s="520"/>
      <c r="AE1252" s="520"/>
      <c r="AF1252" s="520"/>
      <c r="AG1252" s="520"/>
      <c r="AH1252" s="520"/>
      <c r="AI1252" s="520"/>
      <c r="AJ1252" s="520"/>
      <c r="AK1252" s="520"/>
      <c r="AL1252" s="520"/>
      <c r="AM1252" s="520"/>
      <c r="AN1252" s="520"/>
      <c r="AO1252" s="520"/>
      <c r="AP1252" s="520"/>
      <c r="AQ1252" s="520"/>
      <c r="AR1252" s="520"/>
      <c r="AS1252" s="520"/>
      <c r="AT1252" s="520"/>
      <c r="AU1252" s="520"/>
      <c r="AV1252" s="520"/>
      <c r="AY1252" s="507"/>
      <c r="BA1252" s="507"/>
      <c r="BJ1252" s="493"/>
      <c r="CU1252" s="488"/>
      <c r="CW1252" s="488"/>
      <c r="EV1252" s="821"/>
      <c r="EW1252" s="821"/>
    </row>
    <row r="1253" spans="1:153" s="757" customFormat="1" hidden="1">
      <c r="A1253" s="487"/>
      <c r="B1253" s="487"/>
      <c r="C1253" s="487"/>
      <c r="D1253" s="487"/>
      <c r="I1253" s="487"/>
      <c r="J1253" s="487"/>
      <c r="K1253" s="487"/>
      <c r="L1253" s="487"/>
      <c r="M1253" s="487"/>
      <c r="N1253" s="487"/>
      <c r="O1253" s="875"/>
      <c r="Q1253" s="704"/>
      <c r="R1253" s="1026"/>
      <c r="S1253" s="704"/>
      <c r="T1253" s="1026"/>
      <c r="AB1253" s="520"/>
      <c r="AC1253" s="520"/>
      <c r="AD1253" s="520"/>
      <c r="AE1253" s="520"/>
      <c r="AF1253" s="520"/>
      <c r="AG1253" s="520"/>
      <c r="AH1253" s="520"/>
      <c r="AI1253" s="520"/>
      <c r="AJ1253" s="520"/>
      <c r="AK1253" s="520"/>
      <c r="AL1253" s="520"/>
      <c r="AM1253" s="520"/>
      <c r="AN1253" s="520"/>
      <c r="AO1253" s="520"/>
      <c r="AP1253" s="520"/>
      <c r="AQ1253" s="520"/>
      <c r="AR1253" s="520"/>
      <c r="AS1253" s="520"/>
      <c r="AT1253" s="520"/>
      <c r="AU1253" s="520"/>
      <c r="AV1253" s="520"/>
      <c r="AY1253" s="507"/>
      <c r="BA1253" s="507"/>
      <c r="BJ1253" s="493"/>
      <c r="CU1253" s="488"/>
      <c r="CW1253" s="488"/>
      <c r="EV1253" s="821"/>
      <c r="EW1253" s="821"/>
    </row>
    <row r="1254" spans="1:153" s="757" customFormat="1" hidden="1">
      <c r="A1254" s="487"/>
      <c r="B1254" s="487"/>
      <c r="C1254" s="487"/>
      <c r="D1254" s="487"/>
      <c r="I1254" s="487"/>
      <c r="J1254" s="487"/>
      <c r="K1254" s="487"/>
      <c r="L1254" s="487"/>
      <c r="M1254" s="487"/>
      <c r="N1254" s="487"/>
      <c r="O1254" s="875"/>
      <c r="Q1254" s="704"/>
      <c r="R1254" s="1026"/>
      <c r="S1254" s="704"/>
      <c r="T1254" s="1026"/>
      <c r="AB1254" s="520"/>
      <c r="AC1254" s="520"/>
      <c r="AD1254" s="520"/>
      <c r="AE1254" s="520"/>
      <c r="AF1254" s="520"/>
      <c r="AG1254" s="520"/>
      <c r="AH1254" s="520"/>
      <c r="AI1254" s="520"/>
      <c r="AJ1254" s="520"/>
      <c r="AK1254" s="520"/>
      <c r="AL1254" s="520"/>
      <c r="AM1254" s="520"/>
      <c r="AN1254" s="520"/>
      <c r="AO1254" s="520"/>
      <c r="AP1254" s="520"/>
      <c r="AQ1254" s="520"/>
      <c r="AR1254" s="520"/>
      <c r="AS1254" s="520"/>
      <c r="AT1254" s="520"/>
      <c r="AU1254" s="520"/>
      <c r="AV1254" s="520"/>
      <c r="AY1254" s="507"/>
      <c r="BA1254" s="507"/>
      <c r="BJ1254" s="493"/>
      <c r="CU1254" s="488"/>
      <c r="CW1254" s="488"/>
      <c r="EV1254" s="821"/>
      <c r="EW1254" s="821"/>
    </row>
    <row r="1255" spans="1:153" s="757" customFormat="1" hidden="1">
      <c r="A1255" s="487"/>
      <c r="B1255" s="487"/>
      <c r="C1255" s="487"/>
      <c r="D1255" s="487"/>
      <c r="I1255" s="487"/>
      <c r="J1255" s="487"/>
      <c r="K1255" s="487"/>
      <c r="L1255" s="487"/>
      <c r="M1255" s="487"/>
      <c r="N1255" s="487"/>
      <c r="O1255" s="875"/>
      <c r="Q1255" s="704"/>
      <c r="R1255" s="1026"/>
      <c r="S1255" s="704"/>
      <c r="T1255" s="1026"/>
      <c r="AB1255" s="520"/>
      <c r="AC1255" s="520"/>
      <c r="AD1255" s="520"/>
      <c r="AE1255" s="520"/>
      <c r="AF1255" s="520"/>
      <c r="AG1255" s="520"/>
      <c r="AH1255" s="520"/>
      <c r="AI1255" s="520"/>
      <c r="AJ1255" s="520"/>
      <c r="AK1255" s="520"/>
      <c r="AL1255" s="520"/>
      <c r="AM1255" s="520"/>
      <c r="AN1255" s="520"/>
      <c r="AO1255" s="520"/>
      <c r="AP1255" s="520"/>
      <c r="AQ1255" s="520"/>
      <c r="AR1255" s="520"/>
      <c r="AS1255" s="520"/>
      <c r="AT1255" s="520"/>
      <c r="AU1255" s="520"/>
      <c r="AV1255" s="520"/>
      <c r="AY1255" s="507"/>
      <c r="BA1255" s="507"/>
      <c r="BJ1255" s="493"/>
      <c r="CU1255" s="488"/>
      <c r="CW1255" s="488"/>
      <c r="EV1255" s="821"/>
      <c r="EW1255" s="821"/>
    </row>
    <row r="1256" spans="1:153" s="757" customFormat="1" hidden="1">
      <c r="A1256" s="487"/>
      <c r="B1256" s="487"/>
      <c r="C1256" s="487"/>
      <c r="D1256" s="487"/>
      <c r="I1256" s="487"/>
      <c r="J1256" s="487"/>
      <c r="K1256" s="487"/>
      <c r="L1256" s="487"/>
      <c r="M1256" s="487"/>
      <c r="N1256" s="487"/>
      <c r="O1256" s="875"/>
      <c r="Q1256" s="704"/>
      <c r="R1256" s="1026"/>
      <c r="S1256" s="704"/>
      <c r="T1256" s="1026"/>
      <c r="AB1256" s="520"/>
      <c r="AC1256" s="520"/>
      <c r="AD1256" s="520"/>
      <c r="AE1256" s="520"/>
      <c r="AF1256" s="520"/>
      <c r="AG1256" s="520"/>
      <c r="AH1256" s="520"/>
      <c r="AI1256" s="520"/>
      <c r="AJ1256" s="520"/>
      <c r="AK1256" s="520"/>
      <c r="AL1256" s="520"/>
      <c r="AM1256" s="520"/>
      <c r="AN1256" s="520"/>
      <c r="AO1256" s="520"/>
      <c r="AP1256" s="520"/>
      <c r="AQ1256" s="520"/>
      <c r="AR1256" s="520"/>
      <c r="AS1256" s="520"/>
      <c r="AT1256" s="520"/>
      <c r="AU1256" s="520"/>
      <c r="AV1256" s="520"/>
      <c r="AY1256" s="507"/>
      <c r="BA1256" s="507"/>
      <c r="BJ1256" s="493"/>
      <c r="CU1256" s="488"/>
      <c r="CW1256" s="488"/>
      <c r="EV1256" s="821"/>
      <c r="EW1256" s="821"/>
    </row>
    <row r="1257" spans="1:153" s="757" customFormat="1" hidden="1">
      <c r="A1257" s="487"/>
      <c r="B1257" s="487"/>
      <c r="C1257" s="487"/>
      <c r="D1257" s="487"/>
      <c r="I1257" s="487"/>
      <c r="J1257" s="487"/>
      <c r="K1257" s="487"/>
      <c r="L1257" s="487"/>
      <c r="M1257" s="487"/>
      <c r="N1257" s="487"/>
      <c r="O1257" s="875"/>
      <c r="Q1257" s="704"/>
      <c r="R1257" s="1026"/>
      <c r="S1257" s="704"/>
      <c r="T1257" s="1026"/>
      <c r="AB1257" s="520"/>
      <c r="AC1257" s="520"/>
      <c r="AD1257" s="520"/>
      <c r="AE1257" s="520"/>
      <c r="AF1257" s="520"/>
      <c r="AG1257" s="520"/>
      <c r="AH1257" s="520"/>
      <c r="AI1257" s="520"/>
      <c r="AJ1257" s="520"/>
      <c r="AK1257" s="520"/>
      <c r="AL1257" s="520"/>
      <c r="AM1257" s="520"/>
      <c r="AN1257" s="520"/>
      <c r="AO1257" s="520"/>
      <c r="AP1257" s="520"/>
      <c r="AQ1257" s="520"/>
      <c r="AR1257" s="520"/>
      <c r="AS1257" s="520"/>
      <c r="AT1257" s="520"/>
      <c r="AU1257" s="520"/>
      <c r="AV1257" s="520"/>
      <c r="AY1257" s="507"/>
      <c r="BA1257" s="507"/>
      <c r="BJ1257" s="493"/>
      <c r="CU1257" s="488"/>
      <c r="CW1257" s="488"/>
      <c r="EV1257" s="821"/>
      <c r="EW1257" s="821"/>
    </row>
    <row r="1258" spans="1:153" s="757" customFormat="1" hidden="1">
      <c r="A1258" s="487"/>
      <c r="B1258" s="487"/>
      <c r="C1258" s="487"/>
      <c r="D1258" s="487"/>
      <c r="I1258" s="487"/>
      <c r="J1258" s="487"/>
      <c r="K1258" s="487"/>
      <c r="L1258" s="487"/>
      <c r="M1258" s="487"/>
      <c r="N1258" s="487"/>
      <c r="O1258" s="875"/>
      <c r="Q1258" s="704"/>
      <c r="R1258" s="1026"/>
      <c r="S1258" s="704"/>
      <c r="T1258" s="1026"/>
      <c r="AB1258" s="520"/>
      <c r="AC1258" s="520"/>
      <c r="AD1258" s="520"/>
      <c r="AE1258" s="520"/>
      <c r="AF1258" s="520"/>
      <c r="AG1258" s="520"/>
      <c r="AH1258" s="520"/>
      <c r="AI1258" s="520"/>
      <c r="AJ1258" s="520"/>
      <c r="AK1258" s="520"/>
      <c r="AL1258" s="520"/>
      <c r="AM1258" s="520"/>
      <c r="AN1258" s="520"/>
      <c r="AO1258" s="520"/>
      <c r="AP1258" s="520"/>
      <c r="AQ1258" s="520"/>
      <c r="AR1258" s="520"/>
      <c r="AS1258" s="520"/>
      <c r="AT1258" s="520"/>
      <c r="AU1258" s="520"/>
      <c r="AV1258" s="520"/>
      <c r="AY1258" s="507"/>
      <c r="BA1258" s="507"/>
      <c r="BJ1258" s="493"/>
      <c r="CU1258" s="488"/>
      <c r="CW1258" s="488"/>
      <c r="EV1258" s="821"/>
      <c r="EW1258" s="821"/>
    </row>
    <row r="1259" spans="1:153" s="757" customFormat="1" hidden="1">
      <c r="A1259" s="487"/>
      <c r="B1259" s="487"/>
      <c r="C1259" s="487"/>
      <c r="D1259" s="487"/>
      <c r="I1259" s="487"/>
      <c r="J1259" s="487"/>
      <c r="K1259" s="487"/>
      <c r="L1259" s="487"/>
      <c r="M1259" s="487"/>
      <c r="N1259" s="487"/>
      <c r="O1259" s="875"/>
      <c r="Q1259" s="704"/>
      <c r="R1259" s="1026"/>
      <c r="S1259" s="704"/>
      <c r="T1259" s="1026"/>
      <c r="AB1259" s="520"/>
      <c r="AC1259" s="520"/>
      <c r="AD1259" s="520"/>
      <c r="AE1259" s="520"/>
      <c r="AF1259" s="520"/>
      <c r="AG1259" s="520"/>
      <c r="AH1259" s="520"/>
      <c r="AI1259" s="520"/>
      <c r="AJ1259" s="520"/>
      <c r="AK1259" s="520"/>
      <c r="AL1259" s="520"/>
      <c r="AM1259" s="520"/>
      <c r="AN1259" s="520"/>
      <c r="AO1259" s="520"/>
      <c r="AP1259" s="520"/>
      <c r="AQ1259" s="520"/>
      <c r="AR1259" s="520"/>
      <c r="AS1259" s="520"/>
      <c r="AT1259" s="520"/>
      <c r="AU1259" s="520"/>
      <c r="AV1259" s="520"/>
      <c r="AY1259" s="507"/>
      <c r="BA1259" s="507"/>
      <c r="BJ1259" s="493"/>
      <c r="CU1259" s="488"/>
      <c r="CW1259" s="488"/>
      <c r="EV1259" s="821"/>
      <c r="EW1259" s="821"/>
    </row>
    <row r="1260" spans="1:153" s="757" customFormat="1" hidden="1">
      <c r="A1260" s="487"/>
      <c r="B1260" s="487"/>
      <c r="C1260" s="487"/>
      <c r="D1260" s="487"/>
      <c r="I1260" s="487"/>
      <c r="J1260" s="487"/>
      <c r="K1260" s="487"/>
      <c r="L1260" s="487"/>
      <c r="M1260" s="487"/>
      <c r="N1260" s="487"/>
      <c r="O1260" s="875"/>
      <c r="Q1260" s="704"/>
      <c r="R1260" s="1026"/>
      <c r="S1260" s="704"/>
      <c r="T1260" s="1026"/>
      <c r="AB1260" s="520"/>
      <c r="AC1260" s="520"/>
      <c r="AD1260" s="520"/>
      <c r="AE1260" s="520"/>
      <c r="AF1260" s="520"/>
      <c r="AG1260" s="520"/>
      <c r="AH1260" s="520"/>
      <c r="AI1260" s="520"/>
      <c r="AJ1260" s="520"/>
      <c r="AK1260" s="520"/>
      <c r="AL1260" s="520"/>
      <c r="AM1260" s="520"/>
      <c r="AN1260" s="520"/>
      <c r="AO1260" s="520"/>
      <c r="AP1260" s="520"/>
      <c r="AQ1260" s="520"/>
      <c r="AR1260" s="520"/>
      <c r="AS1260" s="520"/>
      <c r="AT1260" s="520"/>
      <c r="AU1260" s="520"/>
      <c r="AV1260" s="520"/>
      <c r="AY1260" s="507"/>
      <c r="BA1260" s="507"/>
      <c r="BJ1260" s="493"/>
      <c r="CU1260" s="488"/>
      <c r="CW1260" s="488"/>
      <c r="EV1260" s="821"/>
      <c r="EW1260" s="821"/>
    </row>
    <row r="1261" spans="1:153" s="757" customFormat="1" hidden="1">
      <c r="A1261" s="487"/>
      <c r="B1261" s="487"/>
      <c r="C1261" s="487"/>
      <c r="D1261" s="487"/>
      <c r="I1261" s="487"/>
      <c r="J1261" s="487"/>
      <c r="K1261" s="487"/>
      <c r="L1261" s="487"/>
      <c r="M1261" s="487"/>
      <c r="N1261" s="487"/>
      <c r="O1261" s="875"/>
      <c r="Q1261" s="704"/>
      <c r="R1261" s="1026"/>
      <c r="S1261" s="704"/>
      <c r="T1261" s="1026"/>
      <c r="AB1261" s="520"/>
      <c r="AC1261" s="520"/>
      <c r="AD1261" s="520"/>
      <c r="AE1261" s="520"/>
      <c r="AF1261" s="520"/>
      <c r="AG1261" s="520"/>
      <c r="AH1261" s="520"/>
      <c r="AI1261" s="520"/>
      <c r="AJ1261" s="520"/>
      <c r="AK1261" s="520"/>
      <c r="AL1261" s="520"/>
      <c r="AM1261" s="520"/>
      <c r="AN1261" s="520"/>
      <c r="AO1261" s="520"/>
      <c r="AP1261" s="520"/>
      <c r="AQ1261" s="520"/>
      <c r="AR1261" s="520"/>
      <c r="AS1261" s="520"/>
      <c r="AT1261" s="520"/>
      <c r="AU1261" s="520"/>
      <c r="AV1261" s="520"/>
      <c r="AY1261" s="507"/>
      <c r="BA1261" s="507"/>
      <c r="BJ1261" s="493"/>
      <c r="CU1261" s="488"/>
      <c r="CW1261" s="488"/>
      <c r="EV1261" s="821"/>
      <c r="EW1261" s="821"/>
    </row>
    <row r="1262" spans="1:153" s="757" customFormat="1" hidden="1">
      <c r="A1262" s="487"/>
      <c r="B1262" s="487"/>
      <c r="C1262" s="487"/>
      <c r="D1262" s="487"/>
      <c r="I1262" s="487"/>
      <c r="J1262" s="487"/>
      <c r="K1262" s="487"/>
      <c r="L1262" s="487"/>
      <c r="M1262" s="487"/>
      <c r="N1262" s="487"/>
      <c r="O1262" s="875"/>
      <c r="Q1262" s="704"/>
      <c r="R1262" s="1026"/>
      <c r="S1262" s="704"/>
      <c r="T1262" s="1026"/>
      <c r="AB1262" s="520"/>
      <c r="AC1262" s="520"/>
      <c r="AD1262" s="520"/>
      <c r="AE1262" s="520"/>
      <c r="AF1262" s="520"/>
      <c r="AG1262" s="520"/>
      <c r="AH1262" s="520"/>
      <c r="AI1262" s="520"/>
      <c r="AJ1262" s="520"/>
      <c r="AK1262" s="520"/>
      <c r="AL1262" s="520"/>
      <c r="AM1262" s="520"/>
      <c r="AN1262" s="520"/>
      <c r="AO1262" s="520"/>
      <c r="AP1262" s="520"/>
      <c r="AQ1262" s="520"/>
      <c r="AR1262" s="520"/>
      <c r="AS1262" s="520"/>
      <c r="AT1262" s="520"/>
      <c r="AU1262" s="520"/>
      <c r="AV1262" s="520"/>
      <c r="AY1262" s="507"/>
      <c r="BA1262" s="507"/>
      <c r="BJ1262" s="493"/>
      <c r="CU1262" s="488"/>
      <c r="CW1262" s="488"/>
      <c r="EV1262" s="821"/>
      <c r="EW1262" s="821"/>
    </row>
    <row r="1263" spans="1:153" s="757" customFormat="1" hidden="1">
      <c r="A1263" s="487"/>
      <c r="B1263" s="487"/>
      <c r="C1263" s="487"/>
      <c r="D1263" s="487"/>
      <c r="I1263" s="487"/>
      <c r="J1263" s="487"/>
      <c r="K1263" s="487"/>
      <c r="L1263" s="487"/>
      <c r="M1263" s="487"/>
      <c r="N1263" s="487"/>
      <c r="O1263" s="875"/>
      <c r="Q1263" s="704"/>
      <c r="R1263" s="1026"/>
      <c r="S1263" s="704"/>
      <c r="T1263" s="1026"/>
      <c r="AB1263" s="520"/>
      <c r="AC1263" s="520"/>
      <c r="AD1263" s="520"/>
      <c r="AE1263" s="520"/>
      <c r="AF1263" s="520"/>
      <c r="AG1263" s="520"/>
      <c r="AH1263" s="520"/>
      <c r="AI1263" s="520"/>
      <c r="AJ1263" s="520"/>
      <c r="AK1263" s="520"/>
      <c r="AL1263" s="520"/>
      <c r="AM1263" s="520"/>
      <c r="AN1263" s="520"/>
      <c r="AO1263" s="520"/>
      <c r="AP1263" s="520"/>
      <c r="AQ1263" s="520"/>
      <c r="AR1263" s="520"/>
      <c r="AS1263" s="520"/>
      <c r="AT1263" s="520"/>
      <c r="AU1263" s="520"/>
      <c r="AV1263" s="520"/>
      <c r="AY1263" s="507"/>
      <c r="BA1263" s="507"/>
      <c r="BJ1263" s="493"/>
      <c r="CU1263" s="488"/>
      <c r="CW1263" s="488"/>
      <c r="EV1263" s="821"/>
      <c r="EW1263" s="821"/>
    </row>
    <row r="1264" spans="1:153" s="757" customFormat="1" hidden="1">
      <c r="A1264" s="487"/>
      <c r="B1264" s="487"/>
      <c r="C1264" s="487"/>
      <c r="D1264" s="487"/>
      <c r="I1264" s="487"/>
      <c r="J1264" s="487"/>
      <c r="K1264" s="487"/>
      <c r="L1264" s="487"/>
      <c r="M1264" s="487"/>
      <c r="N1264" s="487"/>
      <c r="O1264" s="875"/>
      <c r="Q1264" s="704"/>
      <c r="R1264" s="1026"/>
      <c r="S1264" s="704"/>
      <c r="T1264" s="1026"/>
      <c r="AB1264" s="520"/>
      <c r="AC1264" s="520"/>
      <c r="AD1264" s="520"/>
      <c r="AE1264" s="520"/>
      <c r="AF1264" s="520"/>
      <c r="AG1264" s="520"/>
      <c r="AH1264" s="520"/>
      <c r="AI1264" s="520"/>
      <c r="AJ1264" s="520"/>
      <c r="AK1264" s="520"/>
      <c r="AL1264" s="520"/>
      <c r="AM1264" s="520"/>
      <c r="AN1264" s="520"/>
      <c r="AO1264" s="520"/>
      <c r="AP1264" s="520"/>
      <c r="AQ1264" s="520"/>
      <c r="AR1264" s="520"/>
      <c r="AS1264" s="520"/>
      <c r="AT1264" s="520"/>
      <c r="AU1264" s="520"/>
      <c r="AV1264" s="520"/>
      <c r="AY1264" s="507"/>
      <c r="BA1264" s="507"/>
      <c r="BJ1264" s="493"/>
      <c r="CU1264" s="488"/>
      <c r="CW1264" s="488"/>
      <c r="EV1264" s="821"/>
      <c r="EW1264" s="821"/>
    </row>
    <row r="1265" spans="1:153" s="757" customFormat="1" hidden="1">
      <c r="A1265" s="487"/>
      <c r="B1265" s="487"/>
      <c r="C1265" s="487"/>
      <c r="D1265" s="487"/>
      <c r="I1265" s="487"/>
      <c r="J1265" s="487"/>
      <c r="K1265" s="487"/>
      <c r="L1265" s="487"/>
      <c r="M1265" s="487"/>
      <c r="N1265" s="487"/>
      <c r="O1265" s="875"/>
      <c r="Q1265" s="704"/>
      <c r="R1265" s="1026"/>
      <c r="S1265" s="704"/>
      <c r="T1265" s="1026"/>
      <c r="AB1265" s="520"/>
      <c r="AC1265" s="520"/>
      <c r="AD1265" s="520"/>
      <c r="AE1265" s="520"/>
      <c r="AF1265" s="520"/>
      <c r="AG1265" s="520"/>
      <c r="AH1265" s="520"/>
      <c r="AI1265" s="520"/>
      <c r="AJ1265" s="520"/>
      <c r="AK1265" s="520"/>
      <c r="AL1265" s="520"/>
      <c r="AM1265" s="520"/>
      <c r="AN1265" s="520"/>
      <c r="AO1265" s="520"/>
      <c r="AP1265" s="520"/>
      <c r="AQ1265" s="520"/>
      <c r="AR1265" s="520"/>
      <c r="AS1265" s="520"/>
      <c r="AT1265" s="520"/>
      <c r="AU1265" s="520"/>
      <c r="AV1265" s="520"/>
      <c r="AY1265" s="507"/>
      <c r="BA1265" s="507"/>
      <c r="BJ1265" s="493"/>
      <c r="CU1265" s="488"/>
      <c r="CW1265" s="488"/>
      <c r="EV1265" s="821"/>
      <c r="EW1265" s="821"/>
    </row>
    <row r="1266" spans="1:153" s="757" customFormat="1" hidden="1">
      <c r="A1266" s="487"/>
      <c r="B1266" s="487"/>
      <c r="C1266" s="487"/>
      <c r="D1266" s="487"/>
      <c r="I1266" s="487"/>
      <c r="J1266" s="487"/>
      <c r="K1266" s="487"/>
      <c r="L1266" s="487"/>
      <c r="M1266" s="487"/>
      <c r="N1266" s="487"/>
      <c r="O1266" s="875"/>
      <c r="Q1266" s="704"/>
      <c r="R1266" s="1026"/>
      <c r="S1266" s="704"/>
      <c r="T1266" s="1026"/>
      <c r="AB1266" s="520"/>
      <c r="AC1266" s="520"/>
      <c r="AD1266" s="520"/>
      <c r="AE1266" s="520"/>
      <c r="AF1266" s="520"/>
      <c r="AG1266" s="520"/>
      <c r="AH1266" s="520"/>
      <c r="AI1266" s="520"/>
      <c r="AJ1266" s="520"/>
      <c r="AK1266" s="520"/>
      <c r="AL1266" s="520"/>
      <c r="AM1266" s="520"/>
      <c r="AN1266" s="520"/>
      <c r="AO1266" s="520"/>
      <c r="AP1266" s="520"/>
      <c r="AQ1266" s="520"/>
      <c r="AR1266" s="520"/>
      <c r="AS1266" s="520"/>
      <c r="AT1266" s="520"/>
      <c r="AU1266" s="520"/>
      <c r="AV1266" s="520"/>
      <c r="AY1266" s="507"/>
      <c r="BA1266" s="507"/>
      <c r="BJ1266" s="493"/>
      <c r="CU1266" s="488"/>
      <c r="CW1266" s="488"/>
      <c r="EV1266" s="821"/>
      <c r="EW1266" s="821"/>
    </row>
    <row r="1267" spans="1:153" s="757" customFormat="1" hidden="1">
      <c r="A1267" s="487"/>
      <c r="B1267" s="487"/>
      <c r="C1267" s="487"/>
      <c r="D1267" s="487"/>
      <c r="I1267" s="487"/>
      <c r="J1267" s="487"/>
      <c r="K1267" s="487"/>
      <c r="L1267" s="487"/>
      <c r="M1267" s="487"/>
      <c r="N1267" s="487"/>
      <c r="O1267" s="875"/>
      <c r="Q1267" s="704"/>
      <c r="R1267" s="1026"/>
      <c r="S1267" s="704"/>
      <c r="T1267" s="1026"/>
      <c r="AB1267" s="520"/>
      <c r="AC1267" s="520"/>
      <c r="AD1267" s="520"/>
      <c r="AE1267" s="520"/>
      <c r="AF1267" s="520"/>
      <c r="AG1267" s="520"/>
      <c r="AH1267" s="520"/>
      <c r="AI1267" s="520"/>
      <c r="AJ1267" s="520"/>
      <c r="AK1267" s="520"/>
      <c r="AL1267" s="520"/>
      <c r="AM1267" s="520"/>
      <c r="AN1267" s="520"/>
      <c r="AO1267" s="520"/>
      <c r="AP1267" s="520"/>
      <c r="AQ1267" s="520"/>
      <c r="AR1267" s="520"/>
      <c r="AS1267" s="520"/>
      <c r="AT1267" s="520"/>
      <c r="AU1267" s="520"/>
      <c r="AV1267" s="520"/>
      <c r="AY1267" s="507"/>
      <c r="BA1267" s="507"/>
      <c r="BJ1267" s="493"/>
      <c r="CU1267" s="488"/>
      <c r="CW1267" s="488"/>
      <c r="EV1267" s="821"/>
      <c r="EW1267" s="821"/>
    </row>
    <row r="1268" spans="1:153" s="757" customFormat="1" hidden="1">
      <c r="A1268" s="487"/>
      <c r="B1268" s="487"/>
      <c r="C1268" s="487"/>
      <c r="D1268" s="487"/>
      <c r="I1268" s="487"/>
      <c r="J1268" s="487"/>
      <c r="K1268" s="487"/>
      <c r="L1268" s="487"/>
      <c r="M1268" s="487"/>
      <c r="N1268" s="487"/>
      <c r="O1268" s="875"/>
      <c r="Q1268" s="704"/>
      <c r="R1268" s="1026"/>
      <c r="S1268" s="704"/>
      <c r="T1268" s="1026"/>
      <c r="AB1268" s="520"/>
      <c r="AC1268" s="520"/>
      <c r="AD1268" s="520"/>
      <c r="AE1268" s="520"/>
      <c r="AF1268" s="520"/>
      <c r="AG1268" s="520"/>
      <c r="AH1268" s="520"/>
      <c r="AI1268" s="520"/>
      <c r="AJ1268" s="520"/>
      <c r="AK1268" s="520"/>
      <c r="AL1268" s="520"/>
      <c r="AM1268" s="520"/>
      <c r="AN1268" s="520"/>
      <c r="AO1268" s="520"/>
      <c r="AP1268" s="520"/>
      <c r="AQ1268" s="520"/>
      <c r="AR1268" s="520"/>
      <c r="AS1268" s="520"/>
      <c r="AT1268" s="520"/>
      <c r="AU1268" s="520"/>
      <c r="AV1268" s="520"/>
      <c r="AY1268" s="507"/>
      <c r="BA1268" s="507"/>
      <c r="BJ1268" s="493"/>
      <c r="CU1268" s="488"/>
      <c r="CW1268" s="488"/>
      <c r="EV1268" s="821"/>
      <c r="EW1268" s="821"/>
    </row>
    <row r="1269" spans="1:153" s="757" customFormat="1" hidden="1">
      <c r="A1269" s="487"/>
      <c r="B1269" s="487"/>
      <c r="C1269" s="487"/>
      <c r="D1269" s="487"/>
      <c r="I1269" s="487"/>
      <c r="J1269" s="487"/>
      <c r="K1269" s="487"/>
      <c r="L1269" s="487"/>
      <c r="M1269" s="487"/>
      <c r="N1269" s="487"/>
      <c r="O1269" s="875"/>
      <c r="Q1269" s="704"/>
      <c r="R1269" s="1026"/>
      <c r="S1269" s="704"/>
      <c r="T1269" s="1026"/>
      <c r="AB1269" s="520"/>
      <c r="AC1269" s="520"/>
      <c r="AD1269" s="520"/>
      <c r="AE1269" s="520"/>
      <c r="AF1269" s="520"/>
      <c r="AG1269" s="520"/>
      <c r="AH1269" s="520"/>
      <c r="AI1269" s="520"/>
      <c r="AJ1269" s="520"/>
      <c r="AK1269" s="520"/>
      <c r="AL1269" s="520"/>
      <c r="AM1269" s="520"/>
      <c r="AN1269" s="520"/>
      <c r="AO1269" s="520"/>
      <c r="AP1269" s="520"/>
      <c r="AQ1269" s="520"/>
      <c r="AR1269" s="520"/>
      <c r="AS1269" s="520"/>
      <c r="AT1269" s="520"/>
      <c r="AU1269" s="520"/>
      <c r="AV1269" s="520"/>
      <c r="AY1269" s="507"/>
      <c r="BA1269" s="507"/>
      <c r="BJ1269" s="493"/>
      <c r="CU1269" s="488"/>
      <c r="CW1269" s="488"/>
      <c r="EV1269" s="821"/>
      <c r="EW1269" s="821"/>
    </row>
    <row r="1270" spans="1:153" s="757" customFormat="1" hidden="1">
      <c r="A1270" s="487"/>
      <c r="B1270" s="487"/>
      <c r="C1270" s="487"/>
      <c r="D1270" s="487"/>
      <c r="I1270" s="487"/>
      <c r="J1270" s="487"/>
      <c r="K1270" s="487"/>
      <c r="L1270" s="487"/>
      <c r="M1270" s="487"/>
      <c r="N1270" s="487"/>
      <c r="O1270" s="875"/>
      <c r="Q1270" s="704"/>
      <c r="R1270" s="1026"/>
      <c r="S1270" s="704"/>
      <c r="T1270" s="1026"/>
      <c r="AB1270" s="520"/>
      <c r="AC1270" s="520"/>
      <c r="AD1270" s="520"/>
      <c r="AE1270" s="520"/>
      <c r="AF1270" s="520"/>
      <c r="AG1270" s="520"/>
      <c r="AH1270" s="520"/>
      <c r="AI1270" s="520"/>
      <c r="AJ1270" s="520"/>
      <c r="AK1270" s="520"/>
      <c r="AL1270" s="520"/>
      <c r="AM1270" s="520"/>
      <c r="AN1270" s="520"/>
      <c r="AO1270" s="520"/>
      <c r="AP1270" s="520"/>
      <c r="AQ1270" s="520"/>
      <c r="AR1270" s="520"/>
      <c r="AS1270" s="520"/>
      <c r="AT1270" s="520"/>
      <c r="AU1270" s="520"/>
      <c r="AV1270" s="520"/>
      <c r="AY1270" s="507"/>
      <c r="BA1270" s="507"/>
      <c r="BJ1270" s="493"/>
      <c r="CU1270" s="488"/>
      <c r="CW1270" s="488"/>
      <c r="EV1270" s="821"/>
      <c r="EW1270" s="821"/>
    </row>
    <row r="1271" spans="1:153" s="757" customFormat="1" hidden="1">
      <c r="A1271" s="487"/>
      <c r="B1271" s="487"/>
      <c r="C1271" s="487"/>
      <c r="D1271" s="487"/>
      <c r="I1271" s="487"/>
      <c r="J1271" s="487"/>
      <c r="K1271" s="487"/>
      <c r="L1271" s="487"/>
      <c r="M1271" s="487"/>
      <c r="N1271" s="487"/>
      <c r="O1271" s="875"/>
      <c r="Q1271" s="704"/>
      <c r="R1271" s="1026"/>
      <c r="S1271" s="704"/>
      <c r="T1271" s="1026"/>
      <c r="AB1271" s="520"/>
      <c r="AC1271" s="520"/>
      <c r="AD1271" s="520"/>
      <c r="AE1271" s="520"/>
      <c r="AF1271" s="520"/>
      <c r="AG1271" s="520"/>
      <c r="AH1271" s="520"/>
      <c r="AI1271" s="520"/>
      <c r="AJ1271" s="520"/>
      <c r="AK1271" s="520"/>
      <c r="AL1271" s="520"/>
      <c r="AM1271" s="520"/>
      <c r="AN1271" s="520"/>
      <c r="AO1271" s="520"/>
      <c r="AP1271" s="520"/>
      <c r="AQ1271" s="520"/>
      <c r="AR1271" s="520"/>
      <c r="AS1271" s="520"/>
      <c r="AT1271" s="520"/>
      <c r="AU1271" s="520"/>
      <c r="AV1271" s="520"/>
      <c r="AY1271" s="507"/>
      <c r="BA1271" s="507"/>
      <c r="BJ1271" s="493"/>
      <c r="CU1271" s="488"/>
      <c r="CW1271" s="488"/>
      <c r="EV1271" s="821"/>
      <c r="EW1271" s="821"/>
    </row>
    <row r="1272" spans="1:153" s="757" customFormat="1" hidden="1">
      <c r="A1272" s="487"/>
      <c r="B1272" s="487"/>
      <c r="C1272" s="487"/>
      <c r="D1272" s="487"/>
      <c r="I1272" s="487"/>
      <c r="J1272" s="487"/>
      <c r="K1272" s="487"/>
      <c r="L1272" s="487"/>
      <c r="M1272" s="487"/>
      <c r="N1272" s="487"/>
      <c r="O1272" s="875"/>
      <c r="Q1272" s="704"/>
      <c r="R1272" s="1026"/>
      <c r="S1272" s="704"/>
      <c r="T1272" s="1026"/>
      <c r="AB1272" s="520"/>
      <c r="AC1272" s="520"/>
      <c r="AD1272" s="520"/>
      <c r="AE1272" s="520"/>
      <c r="AF1272" s="520"/>
      <c r="AG1272" s="520"/>
      <c r="AH1272" s="520"/>
      <c r="AI1272" s="520"/>
      <c r="AJ1272" s="520"/>
      <c r="AK1272" s="520"/>
      <c r="AL1272" s="520"/>
      <c r="AM1272" s="520"/>
      <c r="AN1272" s="520"/>
      <c r="AO1272" s="520"/>
      <c r="AP1272" s="520"/>
      <c r="AQ1272" s="520"/>
      <c r="AR1272" s="520"/>
      <c r="AS1272" s="520"/>
      <c r="AT1272" s="520"/>
      <c r="AU1272" s="520"/>
      <c r="AV1272" s="520"/>
      <c r="AY1272" s="507"/>
      <c r="BA1272" s="507"/>
      <c r="BJ1272" s="493"/>
      <c r="CU1272" s="488"/>
      <c r="CW1272" s="488"/>
      <c r="EV1272" s="821"/>
      <c r="EW1272" s="821"/>
    </row>
    <row r="1273" spans="1:153" s="757" customFormat="1" hidden="1">
      <c r="A1273" s="487"/>
      <c r="B1273" s="487"/>
      <c r="C1273" s="487"/>
      <c r="D1273" s="487"/>
      <c r="I1273" s="487"/>
      <c r="J1273" s="487"/>
      <c r="K1273" s="487"/>
      <c r="L1273" s="487"/>
      <c r="M1273" s="487"/>
      <c r="N1273" s="487"/>
      <c r="O1273" s="875"/>
      <c r="Q1273" s="704"/>
      <c r="R1273" s="1026"/>
      <c r="S1273" s="704"/>
      <c r="T1273" s="1026"/>
      <c r="AB1273" s="520"/>
      <c r="AC1273" s="520"/>
      <c r="AD1273" s="520"/>
      <c r="AE1273" s="520"/>
      <c r="AF1273" s="520"/>
      <c r="AG1273" s="520"/>
      <c r="AH1273" s="520"/>
      <c r="AI1273" s="520"/>
      <c r="AJ1273" s="520"/>
      <c r="AK1273" s="520"/>
      <c r="AL1273" s="520"/>
      <c r="AM1273" s="520"/>
      <c r="AN1273" s="520"/>
      <c r="AO1273" s="520"/>
      <c r="AP1273" s="520"/>
      <c r="AQ1273" s="520"/>
      <c r="AR1273" s="520"/>
      <c r="AS1273" s="520"/>
      <c r="AT1273" s="520"/>
      <c r="AU1273" s="520"/>
      <c r="AV1273" s="520"/>
      <c r="AY1273" s="507"/>
      <c r="BA1273" s="507"/>
      <c r="BJ1273" s="493"/>
      <c r="CU1273" s="488"/>
      <c r="CW1273" s="488"/>
      <c r="EV1273" s="821"/>
      <c r="EW1273" s="821"/>
    </row>
    <row r="1274" spans="1:153" s="757" customFormat="1" hidden="1">
      <c r="A1274" s="487"/>
      <c r="B1274" s="487"/>
      <c r="C1274" s="487"/>
      <c r="D1274" s="487"/>
      <c r="I1274" s="487"/>
      <c r="J1274" s="487"/>
      <c r="K1274" s="487"/>
      <c r="L1274" s="487"/>
      <c r="M1274" s="487"/>
      <c r="N1274" s="487"/>
      <c r="O1274" s="875"/>
      <c r="Q1274" s="704"/>
      <c r="R1274" s="1026"/>
      <c r="S1274" s="704"/>
      <c r="T1274" s="1026"/>
      <c r="AB1274" s="520"/>
      <c r="AC1274" s="520"/>
      <c r="AD1274" s="520"/>
      <c r="AE1274" s="520"/>
      <c r="AF1274" s="520"/>
      <c r="AG1274" s="520"/>
      <c r="AH1274" s="520"/>
      <c r="AI1274" s="520"/>
      <c r="AJ1274" s="520"/>
      <c r="AK1274" s="520"/>
      <c r="AL1274" s="520"/>
      <c r="AM1274" s="520"/>
      <c r="AN1274" s="520"/>
      <c r="AO1274" s="520"/>
      <c r="AP1274" s="520"/>
      <c r="AQ1274" s="520"/>
      <c r="AR1274" s="520"/>
      <c r="AS1274" s="520"/>
      <c r="AT1274" s="520"/>
      <c r="AU1274" s="520"/>
      <c r="AV1274" s="520"/>
      <c r="AY1274" s="507"/>
      <c r="BA1274" s="507"/>
      <c r="BJ1274" s="493"/>
      <c r="CU1274" s="488"/>
      <c r="CW1274" s="488"/>
      <c r="EV1274" s="821"/>
      <c r="EW1274" s="821"/>
    </row>
    <row r="1275" spans="1:153" s="757" customFormat="1" hidden="1">
      <c r="A1275" s="487"/>
      <c r="B1275" s="487"/>
      <c r="C1275" s="487"/>
      <c r="D1275" s="487"/>
      <c r="I1275" s="487"/>
      <c r="J1275" s="487"/>
      <c r="K1275" s="487"/>
      <c r="L1275" s="487"/>
      <c r="M1275" s="487"/>
      <c r="N1275" s="487"/>
      <c r="O1275" s="875"/>
      <c r="Q1275" s="704"/>
      <c r="R1275" s="1026"/>
      <c r="S1275" s="704"/>
      <c r="T1275" s="1026"/>
      <c r="AB1275" s="520"/>
      <c r="AC1275" s="520"/>
      <c r="AD1275" s="520"/>
      <c r="AE1275" s="520"/>
      <c r="AF1275" s="520"/>
      <c r="AG1275" s="520"/>
      <c r="AH1275" s="520"/>
      <c r="AI1275" s="520"/>
      <c r="AJ1275" s="520"/>
      <c r="AK1275" s="520"/>
      <c r="AL1275" s="520"/>
      <c r="AM1275" s="520"/>
      <c r="AN1275" s="520"/>
      <c r="AO1275" s="520"/>
      <c r="AP1275" s="520"/>
      <c r="AQ1275" s="520"/>
      <c r="AR1275" s="520"/>
      <c r="AS1275" s="520"/>
      <c r="AT1275" s="520"/>
      <c r="AU1275" s="520"/>
      <c r="AV1275" s="520"/>
      <c r="AY1275" s="507"/>
      <c r="BA1275" s="507"/>
      <c r="BJ1275" s="493"/>
      <c r="CU1275" s="488"/>
      <c r="CW1275" s="488"/>
      <c r="EV1275" s="821"/>
      <c r="EW1275" s="821"/>
    </row>
    <row r="1276" spans="1:153" s="757" customFormat="1" hidden="1">
      <c r="A1276" s="487"/>
      <c r="B1276" s="487"/>
      <c r="C1276" s="487"/>
      <c r="D1276" s="487"/>
      <c r="I1276" s="487"/>
      <c r="J1276" s="487"/>
      <c r="K1276" s="487"/>
      <c r="L1276" s="487"/>
      <c r="M1276" s="487"/>
      <c r="N1276" s="487"/>
      <c r="O1276" s="875"/>
      <c r="Q1276" s="704"/>
      <c r="R1276" s="1026"/>
      <c r="S1276" s="704"/>
      <c r="T1276" s="1026"/>
      <c r="AB1276" s="520"/>
      <c r="AC1276" s="520"/>
      <c r="AD1276" s="520"/>
      <c r="AE1276" s="520"/>
      <c r="AF1276" s="520"/>
      <c r="AG1276" s="520"/>
      <c r="AH1276" s="520"/>
      <c r="AI1276" s="520"/>
      <c r="AJ1276" s="520"/>
      <c r="AK1276" s="520"/>
      <c r="AL1276" s="520"/>
      <c r="AM1276" s="520"/>
      <c r="AN1276" s="520"/>
      <c r="AO1276" s="520"/>
      <c r="AP1276" s="520"/>
      <c r="AQ1276" s="520"/>
      <c r="AR1276" s="520"/>
      <c r="AS1276" s="520"/>
      <c r="AT1276" s="520"/>
      <c r="AU1276" s="520"/>
      <c r="AV1276" s="520"/>
      <c r="AY1276" s="507"/>
      <c r="BA1276" s="507"/>
      <c r="BJ1276" s="493"/>
      <c r="CU1276" s="488"/>
      <c r="CW1276" s="488"/>
      <c r="EV1276" s="821"/>
      <c r="EW1276" s="821"/>
    </row>
    <row r="1277" spans="1:153" s="757" customFormat="1" hidden="1">
      <c r="A1277" s="487"/>
      <c r="B1277" s="487"/>
      <c r="C1277" s="487"/>
      <c r="D1277" s="487"/>
      <c r="I1277" s="487"/>
      <c r="J1277" s="487"/>
      <c r="K1277" s="487"/>
      <c r="L1277" s="487"/>
      <c r="M1277" s="487"/>
      <c r="N1277" s="487"/>
      <c r="O1277" s="875"/>
      <c r="Q1277" s="704"/>
      <c r="R1277" s="1026"/>
      <c r="S1277" s="704"/>
      <c r="T1277" s="1026"/>
      <c r="AB1277" s="520"/>
      <c r="AC1277" s="520"/>
      <c r="AD1277" s="520"/>
      <c r="AE1277" s="520"/>
      <c r="AF1277" s="520"/>
      <c r="AG1277" s="520"/>
      <c r="AH1277" s="520"/>
      <c r="AI1277" s="520"/>
      <c r="AJ1277" s="520"/>
      <c r="AK1277" s="520"/>
      <c r="AL1277" s="520"/>
      <c r="AM1277" s="520"/>
      <c r="AN1277" s="520"/>
      <c r="AO1277" s="520"/>
      <c r="AP1277" s="520"/>
      <c r="AQ1277" s="520"/>
      <c r="AR1277" s="520"/>
      <c r="AS1277" s="520"/>
      <c r="AT1277" s="520"/>
      <c r="AU1277" s="520"/>
      <c r="AV1277" s="520"/>
      <c r="AY1277" s="507"/>
      <c r="BA1277" s="507"/>
      <c r="BJ1277" s="493"/>
      <c r="CU1277" s="488"/>
      <c r="CW1277" s="488"/>
      <c r="EV1277" s="821"/>
      <c r="EW1277" s="821"/>
    </row>
    <row r="1278" spans="1:153" s="757" customFormat="1" hidden="1">
      <c r="A1278" s="487"/>
      <c r="B1278" s="487"/>
      <c r="C1278" s="487"/>
      <c r="D1278" s="487"/>
      <c r="I1278" s="487"/>
      <c r="J1278" s="487"/>
      <c r="K1278" s="487"/>
      <c r="L1278" s="487"/>
      <c r="M1278" s="487"/>
      <c r="N1278" s="487"/>
      <c r="O1278" s="875"/>
      <c r="Q1278" s="704"/>
      <c r="R1278" s="1026"/>
      <c r="S1278" s="704"/>
      <c r="T1278" s="1026"/>
      <c r="AB1278" s="520"/>
      <c r="AC1278" s="520"/>
      <c r="AD1278" s="520"/>
      <c r="AE1278" s="520"/>
      <c r="AF1278" s="520"/>
      <c r="AG1278" s="520"/>
      <c r="AH1278" s="520"/>
      <c r="AI1278" s="520"/>
      <c r="AJ1278" s="520"/>
      <c r="AK1278" s="520"/>
      <c r="AL1278" s="520"/>
      <c r="AM1278" s="520"/>
      <c r="AN1278" s="520"/>
      <c r="AO1278" s="520"/>
      <c r="AP1278" s="520"/>
      <c r="AQ1278" s="520"/>
      <c r="AR1278" s="520"/>
      <c r="AS1278" s="520"/>
      <c r="AT1278" s="520"/>
      <c r="AU1278" s="520"/>
      <c r="AV1278" s="520"/>
      <c r="AY1278" s="507"/>
      <c r="BA1278" s="507"/>
      <c r="BJ1278" s="493"/>
      <c r="CU1278" s="488"/>
      <c r="CW1278" s="488"/>
      <c r="EV1278" s="821"/>
      <c r="EW1278" s="821"/>
    </row>
    <row r="1279" spans="1:153" s="757" customFormat="1" hidden="1">
      <c r="A1279" s="487"/>
      <c r="B1279" s="487"/>
      <c r="C1279" s="487"/>
      <c r="D1279" s="487"/>
      <c r="I1279" s="487"/>
      <c r="J1279" s="487"/>
      <c r="K1279" s="487"/>
      <c r="L1279" s="487"/>
      <c r="M1279" s="487"/>
      <c r="N1279" s="487"/>
      <c r="O1279" s="875"/>
      <c r="Q1279" s="704"/>
      <c r="R1279" s="1026"/>
      <c r="S1279" s="704"/>
      <c r="T1279" s="1026"/>
      <c r="AB1279" s="520"/>
      <c r="AC1279" s="520"/>
      <c r="AD1279" s="520"/>
      <c r="AE1279" s="520"/>
      <c r="AF1279" s="520"/>
      <c r="AG1279" s="520"/>
      <c r="AH1279" s="520"/>
      <c r="AI1279" s="520"/>
      <c r="AJ1279" s="520"/>
      <c r="AK1279" s="520"/>
      <c r="AL1279" s="520"/>
      <c r="AM1279" s="520"/>
      <c r="AN1279" s="520"/>
      <c r="AO1279" s="520"/>
      <c r="AP1279" s="520"/>
      <c r="AQ1279" s="520"/>
      <c r="AR1279" s="520"/>
      <c r="AS1279" s="520"/>
      <c r="AT1279" s="520"/>
      <c r="AU1279" s="520"/>
      <c r="AV1279" s="520"/>
      <c r="AY1279" s="507"/>
      <c r="BA1279" s="507"/>
      <c r="BJ1279" s="493"/>
      <c r="CU1279" s="488"/>
      <c r="CW1279" s="488"/>
      <c r="EV1279" s="821"/>
      <c r="EW1279" s="821"/>
    </row>
    <row r="1280" spans="1:153" s="757" customFormat="1" hidden="1">
      <c r="A1280" s="487"/>
      <c r="B1280" s="487"/>
      <c r="C1280" s="487"/>
      <c r="D1280" s="487"/>
      <c r="I1280" s="487"/>
      <c r="J1280" s="487"/>
      <c r="K1280" s="487"/>
      <c r="L1280" s="487"/>
      <c r="M1280" s="487"/>
      <c r="N1280" s="487"/>
      <c r="O1280" s="875"/>
      <c r="Q1280" s="704"/>
      <c r="R1280" s="1026"/>
      <c r="S1280" s="704"/>
      <c r="T1280" s="1026"/>
      <c r="AB1280" s="520"/>
      <c r="AC1280" s="520"/>
      <c r="AD1280" s="520"/>
      <c r="AE1280" s="520"/>
      <c r="AF1280" s="520"/>
      <c r="AG1280" s="520"/>
      <c r="AH1280" s="520"/>
      <c r="AI1280" s="520"/>
      <c r="AJ1280" s="520"/>
      <c r="AK1280" s="520"/>
      <c r="AL1280" s="520"/>
      <c r="AM1280" s="520"/>
      <c r="AN1280" s="520"/>
      <c r="AO1280" s="520"/>
      <c r="AP1280" s="520"/>
      <c r="AQ1280" s="520"/>
      <c r="AR1280" s="520"/>
      <c r="AS1280" s="520"/>
      <c r="AT1280" s="520"/>
      <c r="AU1280" s="520"/>
      <c r="AV1280" s="520"/>
      <c r="AY1280" s="507"/>
      <c r="BA1280" s="507"/>
      <c r="BJ1280" s="493"/>
      <c r="CU1280" s="488"/>
      <c r="CW1280" s="488"/>
      <c r="EV1280" s="821"/>
      <c r="EW1280" s="821"/>
    </row>
    <row r="1281" spans="1:153" s="757" customFormat="1" hidden="1">
      <c r="A1281" s="487"/>
      <c r="B1281" s="487"/>
      <c r="C1281" s="487"/>
      <c r="D1281" s="487"/>
      <c r="I1281" s="487"/>
      <c r="J1281" s="487"/>
      <c r="K1281" s="487"/>
      <c r="L1281" s="487"/>
      <c r="M1281" s="487"/>
      <c r="N1281" s="487"/>
      <c r="O1281" s="875"/>
      <c r="Q1281" s="704"/>
      <c r="R1281" s="1026"/>
      <c r="S1281" s="704"/>
      <c r="T1281" s="1026"/>
      <c r="AB1281" s="520"/>
      <c r="AC1281" s="520"/>
      <c r="AD1281" s="520"/>
      <c r="AE1281" s="520"/>
      <c r="AF1281" s="520"/>
      <c r="AG1281" s="520"/>
      <c r="AH1281" s="520"/>
      <c r="AI1281" s="520"/>
      <c r="AJ1281" s="520"/>
      <c r="AK1281" s="520"/>
      <c r="AL1281" s="520"/>
      <c r="AM1281" s="520"/>
      <c r="AN1281" s="520"/>
      <c r="AO1281" s="520"/>
      <c r="AP1281" s="520"/>
      <c r="AQ1281" s="520"/>
      <c r="AR1281" s="520"/>
      <c r="AS1281" s="520"/>
      <c r="AT1281" s="520"/>
      <c r="AU1281" s="520"/>
      <c r="AV1281" s="520"/>
      <c r="AY1281" s="507"/>
      <c r="BA1281" s="507"/>
      <c r="BJ1281" s="493"/>
      <c r="CU1281" s="488"/>
      <c r="CW1281" s="488"/>
      <c r="EV1281" s="821"/>
      <c r="EW1281" s="821"/>
    </row>
    <row r="1282" spans="1:153" s="757" customFormat="1" hidden="1">
      <c r="A1282" s="487"/>
      <c r="B1282" s="487"/>
      <c r="C1282" s="487"/>
      <c r="D1282" s="487"/>
      <c r="I1282" s="487"/>
      <c r="J1282" s="487"/>
      <c r="K1282" s="487"/>
      <c r="L1282" s="487"/>
      <c r="M1282" s="487"/>
      <c r="N1282" s="487"/>
      <c r="O1282" s="875"/>
      <c r="Q1282" s="704"/>
      <c r="R1282" s="1026"/>
      <c r="S1282" s="704"/>
      <c r="T1282" s="1026"/>
      <c r="AB1282" s="520"/>
      <c r="AC1282" s="520"/>
      <c r="AD1282" s="520"/>
      <c r="AE1282" s="520"/>
      <c r="AF1282" s="520"/>
      <c r="AG1282" s="520"/>
      <c r="AH1282" s="520"/>
      <c r="AI1282" s="520"/>
      <c r="AJ1282" s="520"/>
      <c r="AK1282" s="520"/>
      <c r="AL1282" s="520"/>
      <c r="AM1282" s="520"/>
      <c r="AN1282" s="520"/>
      <c r="AO1282" s="520"/>
      <c r="AP1282" s="520"/>
      <c r="AQ1282" s="520"/>
      <c r="AR1282" s="520"/>
      <c r="AS1282" s="520"/>
      <c r="AT1282" s="520"/>
      <c r="AU1282" s="520"/>
      <c r="AV1282" s="520"/>
      <c r="AY1282" s="507"/>
      <c r="BA1282" s="507"/>
      <c r="BJ1282" s="493"/>
      <c r="CU1282" s="488"/>
      <c r="CW1282" s="488"/>
      <c r="EV1282" s="821"/>
      <c r="EW1282" s="821"/>
    </row>
    <row r="1283" spans="1:153" s="757" customFormat="1" hidden="1">
      <c r="A1283" s="487"/>
      <c r="B1283" s="487"/>
      <c r="C1283" s="487"/>
      <c r="D1283" s="487"/>
      <c r="I1283" s="487"/>
      <c r="J1283" s="487"/>
      <c r="K1283" s="487"/>
      <c r="L1283" s="487"/>
      <c r="M1283" s="487"/>
      <c r="N1283" s="487"/>
      <c r="O1283" s="875"/>
      <c r="Q1283" s="704"/>
      <c r="R1283" s="1026"/>
      <c r="S1283" s="704"/>
      <c r="T1283" s="1026"/>
      <c r="AB1283" s="520"/>
      <c r="AC1283" s="520"/>
      <c r="AD1283" s="520"/>
      <c r="AE1283" s="520"/>
      <c r="AF1283" s="520"/>
      <c r="AG1283" s="520"/>
      <c r="AH1283" s="520"/>
      <c r="AI1283" s="520"/>
      <c r="AJ1283" s="520"/>
      <c r="AK1283" s="520"/>
      <c r="AL1283" s="520"/>
      <c r="AM1283" s="520"/>
      <c r="AN1283" s="520"/>
      <c r="AO1283" s="520"/>
      <c r="AP1283" s="520"/>
      <c r="AQ1283" s="520"/>
      <c r="AR1283" s="520"/>
      <c r="AS1283" s="520"/>
      <c r="AT1283" s="520"/>
      <c r="AU1283" s="520"/>
      <c r="AV1283" s="520"/>
      <c r="AY1283" s="507"/>
      <c r="BA1283" s="507"/>
      <c r="BJ1283" s="493"/>
      <c r="CU1283" s="488"/>
      <c r="CW1283" s="488"/>
      <c r="EV1283" s="821"/>
      <c r="EW1283" s="821"/>
    </row>
    <row r="1284" spans="1:153" s="757" customFormat="1" hidden="1">
      <c r="A1284" s="487"/>
      <c r="B1284" s="487"/>
      <c r="C1284" s="487"/>
      <c r="D1284" s="487"/>
      <c r="I1284" s="487"/>
      <c r="J1284" s="487"/>
      <c r="K1284" s="487"/>
      <c r="L1284" s="487"/>
      <c r="M1284" s="487"/>
      <c r="N1284" s="487"/>
      <c r="O1284" s="875"/>
      <c r="Q1284" s="704"/>
      <c r="R1284" s="1026"/>
      <c r="S1284" s="704"/>
      <c r="T1284" s="1026"/>
      <c r="AB1284" s="520"/>
      <c r="AC1284" s="520"/>
      <c r="AD1284" s="520"/>
      <c r="AE1284" s="520"/>
      <c r="AF1284" s="520"/>
      <c r="AG1284" s="520"/>
      <c r="AH1284" s="520"/>
      <c r="AI1284" s="520"/>
      <c r="AJ1284" s="520"/>
      <c r="AK1284" s="520"/>
      <c r="AL1284" s="520"/>
      <c r="AM1284" s="520"/>
      <c r="AN1284" s="520"/>
      <c r="AO1284" s="520"/>
      <c r="AP1284" s="520"/>
      <c r="AQ1284" s="520"/>
      <c r="AR1284" s="520"/>
      <c r="AS1284" s="520"/>
      <c r="AT1284" s="520"/>
      <c r="AU1284" s="520"/>
      <c r="AV1284" s="520"/>
      <c r="AY1284" s="507"/>
      <c r="BA1284" s="507"/>
      <c r="BJ1284" s="493"/>
      <c r="CU1284" s="488"/>
      <c r="CW1284" s="488"/>
      <c r="EV1284" s="821"/>
      <c r="EW1284" s="821"/>
    </row>
    <row r="1285" spans="1:153" s="757" customFormat="1" hidden="1">
      <c r="A1285" s="487"/>
      <c r="B1285" s="487"/>
      <c r="C1285" s="487"/>
      <c r="D1285" s="487"/>
      <c r="I1285" s="487"/>
      <c r="J1285" s="487"/>
      <c r="K1285" s="487"/>
      <c r="L1285" s="487"/>
      <c r="M1285" s="487"/>
      <c r="N1285" s="487"/>
      <c r="O1285" s="875"/>
      <c r="Q1285" s="704"/>
      <c r="R1285" s="1026"/>
      <c r="S1285" s="704"/>
      <c r="T1285" s="1026"/>
      <c r="AB1285" s="520"/>
      <c r="AC1285" s="520"/>
      <c r="AD1285" s="520"/>
      <c r="AE1285" s="520"/>
      <c r="AF1285" s="520"/>
      <c r="AG1285" s="520"/>
      <c r="AH1285" s="520"/>
      <c r="AI1285" s="520"/>
      <c r="AJ1285" s="520"/>
      <c r="AK1285" s="520"/>
      <c r="AL1285" s="520"/>
      <c r="AM1285" s="520"/>
      <c r="AN1285" s="520"/>
      <c r="AO1285" s="520"/>
      <c r="AP1285" s="520"/>
      <c r="AQ1285" s="520"/>
      <c r="AR1285" s="520"/>
      <c r="AS1285" s="520"/>
      <c r="AT1285" s="520"/>
      <c r="AU1285" s="520"/>
      <c r="AV1285" s="520"/>
      <c r="AY1285" s="507"/>
      <c r="BA1285" s="507"/>
      <c r="BJ1285" s="493"/>
      <c r="CU1285" s="488"/>
      <c r="CW1285" s="488"/>
      <c r="EV1285" s="821"/>
      <c r="EW1285" s="821"/>
    </row>
    <row r="1286" spans="1:153" s="757" customFormat="1" hidden="1">
      <c r="A1286" s="487"/>
      <c r="B1286" s="487"/>
      <c r="C1286" s="487"/>
      <c r="D1286" s="487"/>
      <c r="I1286" s="487"/>
      <c r="J1286" s="487"/>
      <c r="K1286" s="487"/>
      <c r="L1286" s="487"/>
      <c r="M1286" s="487"/>
      <c r="N1286" s="487"/>
      <c r="O1286" s="875"/>
      <c r="Q1286" s="704"/>
      <c r="R1286" s="1026"/>
      <c r="S1286" s="704"/>
      <c r="T1286" s="1026"/>
      <c r="AB1286" s="520"/>
      <c r="AC1286" s="520"/>
      <c r="AD1286" s="520"/>
      <c r="AE1286" s="520"/>
      <c r="AF1286" s="520"/>
      <c r="AG1286" s="520"/>
      <c r="AH1286" s="520"/>
      <c r="AI1286" s="520"/>
      <c r="AJ1286" s="520"/>
      <c r="AK1286" s="520"/>
      <c r="AL1286" s="520"/>
      <c r="AM1286" s="520"/>
      <c r="AN1286" s="520"/>
      <c r="AO1286" s="520"/>
      <c r="AP1286" s="520"/>
      <c r="AQ1286" s="520"/>
      <c r="AR1286" s="520"/>
      <c r="AS1286" s="520"/>
      <c r="AT1286" s="520"/>
      <c r="AU1286" s="520"/>
      <c r="AV1286" s="520"/>
      <c r="AY1286" s="507"/>
      <c r="BA1286" s="507"/>
      <c r="BJ1286" s="493"/>
      <c r="CU1286" s="488"/>
      <c r="CW1286" s="488"/>
      <c r="EV1286" s="821"/>
      <c r="EW1286" s="821"/>
    </row>
    <row r="1287" spans="1:153" s="757" customFormat="1" hidden="1">
      <c r="A1287" s="487"/>
      <c r="B1287" s="487"/>
      <c r="C1287" s="487"/>
      <c r="D1287" s="487"/>
      <c r="I1287" s="487"/>
      <c r="J1287" s="487"/>
      <c r="K1287" s="487"/>
      <c r="L1287" s="487"/>
      <c r="M1287" s="487"/>
      <c r="N1287" s="487"/>
      <c r="O1287" s="875"/>
      <c r="Q1287" s="704"/>
      <c r="R1287" s="1026"/>
      <c r="S1287" s="704"/>
      <c r="T1287" s="1026"/>
      <c r="AB1287" s="520"/>
      <c r="AC1287" s="520"/>
      <c r="AD1287" s="520"/>
      <c r="AE1287" s="520"/>
      <c r="AF1287" s="520"/>
      <c r="AG1287" s="520"/>
      <c r="AH1287" s="520"/>
      <c r="AI1287" s="520"/>
      <c r="AJ1287" s="520"/>
      <c r="AK1287" s="520"/>
      <c r="AL1287" s="520"/>
      <c r="AM1287" s="520"/>
      <c r="AN1287" s="520"/>
      <c r="AO1287" s="520"/>
      <c r="AP1287" s="520"/>
      <c r="AQ1287" s="520"/>
      <c r="AR1287" s="520"/>
      <c r="AS1287" s="520"/>
      <c r="AT1287" s="520"/>
      <c r="AU1287" s="520"/>
      <c r="AV1287" s="520"/>
      <c r="AY1287" s="507"/>
      <c r="BA1287" s="507"/>
      <c r="BJ1287" s="493"/>
      <c r="CU1287" s="488"/>
      <c r="CW1287" s="488"/>
      <c r="EV1287" s="821"/>
      <c r="EW1287" s="821"/>
    </row>
    <row r="1288" spans="1:153" s="757" customFormat="1" hidden="1">
      <c r="A1288" s="487"/>
      <c r="B1288" s="487"/>
      <c r="C1288" s="487"/>
      <c r="D1288" s="487"/>
      <c r="I1288" s="487"/>
      <c r="J1288" s="487"/>
      <c r="K1288" s="487"/>
      <c r="L1288" s="487"/>
      <c r="M1288" s="487"/>
      <c r="N1288" s="487"/>
      <c r="O1288" s="875"/>
      <c r="Q1288" s="704"/>
      <c r="R1288" s="1026"/>
      <c r="S1288" s="704"/>
      <c r="T1288" s="1026"/>
      <c r="AB1288" s="520"/>
      <c r="AC1288" s="520"/>
      <c r="AD1288" s="520"/>
      <c r="AE1288" s="520"/>
      <c r="AF1288" s="520"/>
      <c r="AG1288" s="520"/>
      <c r="AH1288" s="520"/>
      <c r="AI1288" s="520"/>
      <c r="AJ1288" s="520"/>
      <c r="AK1288" s="520"/>
      <c r="AL1288" s="520"/>
      <c r="AM1288" s="520"/>
      <c r="AN1288" s="520"/>
      <c r="AO1288" s="520"/>
      <c r="AP1288" s="520"/>
      <c r="AQ1288" s="520"/>
      <c r="AR1288" s="520"/>
      <c r="AS1288" s="520"/>
      <c r="AT1288" s="520"/>
      <c r="AU1288" s="520"/>
      <c r="AV1288" s="520"/>
      <c r="AY1288" s="507"/>
      <c r="BA1288" s="507"/>
      <c r="BJ1288" s="493"/>
      <c r="CU1288" s="488"/>
      <c r="CW1288" s="488"/>
      <c r="EV1288" s="821"/>
      <c r="EW1288" s="821"/>
    </row>
    <row r="1289" spans="1:153" s="757" customFormat="1" hidden="1">
      <c r="A1289" s="487"/>
      <c r="B1289" s="487"/>
      <c r="C1289" s="487"/>
      <c r="D1289" s="487"/>
      <c r="I1289" s="487"/>
      <c r="J1289" s="487"/>
      <c r="K1289" s="487"/>
      <c r="L1289" s="487"/>
      <c r="M1289" s="487"/>
      <c r="N1289" s="487"/>
      <c r="O1289" s="875"/>
      <c r="Q1289" s="704"/>
      <c r="R1289" s="1026"/>
      <c r="S1289" s="704"/>
      <c r="T1289" s="1026"/>
      <c r="AB1289" s="520"/>
      <c r="AC1289" s="520"/>
      <c r="AD1289" s="520"/>
      <c r="AE1289" s="520"/>
      <c r="AF1289" s="520"/>
      <c r="AG1289" s="520"/>
      <c r="AH1289" s="520"/>
      <c r="AI1289" s="520"/>
      <c r="AJ1289" s="520"/>
      <c r="AK1289" s="520"/>
      <c r="AL1289" s="520"/>
      <c r="AM1289" s="520"/>
      <c r="AN1289" s="520"/>
      <c r="AO1289" s="520"/>
      <c r="AP1289" s="520"/>
      <c r="AQ1289" s="520"/>
      <c r="AR1289" s="520"/>
      <c r="AS1289" s="520"/>
      <c r="AT1289" s="520"/>
      <c r="AU1289" s="520"/>
      <c r="AV1289" s="520"/>
      <c r="AY1289" s="507"/>
      <c r="BA1289" s="507"/>
      <c r="BJ1289" s="493"/>
      <c r="CU1289" s="488"/>
      <c r="CW1289" s="488"/>
      <c r="EV1289" s="821"/>
      <c r="EW1289" s="821"/>
    </row>
    <row r="1290" spans="1:153" s="757" customFormat="1" hidden="1">
      <c r="A1290" s="487"/>
      <c r="B1290" s="487"/>
      <c r="C1290" s="487"/>
      <c r="D1290" s="487"/>
      <c r="I1290" s="487"/>
      <c r="J1290" s="487"/>
      <c r="K1290" s="487"/>
      <c r="L1290" s="487"/>
      <c r="M1290" s="487"/>
      <c r="N1290" s="487"/>
      <c r="O1290" s="875"/>
      <c r="Q1290" s="704"/>
      <c r="R1290" s="1026"/>
      <c r="S1290" s="704"/>
      <c r="T1290" s="1026"/>
      <c r="AB1290" s="520"/>
      <c r="AC1290" s="520"/>
      <c r="AD1290" s="520"/>
      <c r="AE1290" s="520"/>
      <c r="AF1290" s="520"/>
      <c r="AG1290" s="520"/>
      <c r="AH1290" s="520"/>
      <c r="AI1290" s="520"/>
      <c r="AJ1290" s="520"/>
      <c r="AK1290" s="520"/>
      <c r="AL1290" s="520"/>
      <c r="AM1290" s="520"/>
      <c r="AN1290" s="520"/>
      <c r="AO1290" s="520"/>
      <c r="AP1290" s="520"/>
      <c r="AQ1290" s="520"/>
      <c r="AR1290" s="520"/>
      <c r="AS1290" s="520"/>
      <c r="AT1290" s="520"/>
      <c r="AU1290" s="520"/>
      <c r="AV1290" s="520"/>
      <c r="AY1290" s="507"/>
      <c r="BA1290" s="507"/>
      <c r="BJ1290" s="493"/>
      <c r="CU1290" s="488"/>
      <c r="CW1290" s="488"/>
      <c r="EV1290" s="821"/>
      <c r="EW1290" s="821"/>
    </row>
    <row r="1291" spans="1:153" s="757" customFormat="1" hidden="1">
      <c r="A1291" s="487"/>
      <c r="B1291" s="487"/>
      <c r="C1291" s="487"/>
      <c r="D1291" s="487"/>
      <c r="I1291" s="487"/>
      <c r="J1291" s="487"/>
      <c r="K1291" s="487"/>
      <c r="L1291" s="487"/>
      <c r="M1291" s="487"/>
      <c r="N1291" s="487"/>
      <c r="O1291" s="875"/>
      <c r="Q1291" s="704"/>
      <c r="R1291" s="1026"/>
      <c r="S1291" s="704"/>
      <c r="T1291" s="1026"/>
      <c r="AB1291" s="520"/>
      <c r="AC1291" s="520"/>
      <c r="AD1291" s="520"/>
      <c r="AE1291" s="520"/>
      <c r="AF1291" s="520"/>
      <c r="AG1291" s="520"/>
      <c r="AH1291" s="520"/>
      <c r="AI1291" s="520"/>
      <c r="AJ1291" s="520"/>
      <c r="AK1291" s="520"/>
      <c r="AL1291" s="520"/>
      <c r="AM1291" s="520"/>
      <c r="AN1291" s="520"/>
      <c r="AO1291" s="520"/>
      <c r="AP1291" s="520"/>
      <c r="AQ1291" s="520"/>
      <c r="AR1291" s="520"/>
      <c r="AS1291" s="520"/>
      <c r="AT1291" s="520"/>
      <c r="AU1291" s="520"/>
      <c r="AV1291" s="520"/>
      <c r="AY1291" s="507"/>
      <c r="BA1291" s="507"/>
      <c r="BJ1291" s="493"/>
      <c r="CU1291" s="488"/>
      <c r="CW1291" s="488"/>
      <c r="EV1291" s="821"/>
      <c r="EW1291" s="821"/>
    </row>
    <row r="1292" spans="1:153" s="757" customFormat="1" hidden="1">
      <c r="A1292" s="487"/>
      <c r="B1292" s="487"/>
      <c r="C1292" s="487"/>
      <c r="D1292" s="487"/>
      <c r="I1292" s="487"/>
      <c r="J1292" s="487"/>
      <c r="K1292" s="487"/>
      <c r="L1292" s="487"/>
      <c r="M1292" s="487"/>
      <c r="N1292" s="487"/>
      <c r="O1292" s="875"/>
      <c r="Q1292" s="704"/>
      <c r="R1292" s="1026"/>
      <c r="S1292" s="704"/>
      <c r="T1292" s="1026"/>
      <c r="AB1292" s="520"/>
      <c r="AC1292" s="520"/>
      <c r="AD1292" s="520"/>
      <c r="AE1292" s="520"/>
      <c r="AF1292" s="520"/>
      <c r="AG1292" s="520"/>
      <c r="AH1292" s="520"/>
      <c r="AI1292" s="520"/>
      <c r="AJ1292" s="520"/>
      <c r="AK1292" s="520"/>
      <c r="AL1292" s="520"/>
      <c r="AM1292" s="520"/>
      <c r="AN1292" s="520"/>
      <c r="AO1292" s="520"/>
      <c r="AP1292" s="520"/>
      <c r="AQ1292" s="520"/>
      <c r="AR1292" s="520"/>
      <c r="AS1292" s="520"/>
      <c r="AT1292" s="520"/>
      <c r="AU1292" s="520"/>
      <c r="AV1292" s="520"/>
      <c r="AY1292" s="507"/>
      <c r="BA1292" s="507"/>
      <c r="BJ1292" s="493"/>
      <c r="CU1292" s="488"/>
      <c r="CW1292" s="488"/>
      <c r="EV1292" s="821"/>
      <c r="EW1292" s="821"/>
    </row>
    <row r="1293" spans="1:153" s="757" customFormat="1" hidden="1">
      <c r="A1293" s="487"/>
      <c r="B1293" s="487"/>
      <c r="C1293" s="487"/>
      <c r="D1293" s="487"/>
      <c r="I1293" s="487"/>
      <c r="J1293" s="487"/>
      <c r="K1293" s="487"/>
      <c r="L1293" s="487"/>
      <c r="M1293" s="487"/>
      <c r="N1293" s="487"/>
      <c r="O1293" s="875"/>
      <c r="Q1293" s="704"/>
      <c r="R1293" s="1026"/>
      <c r="S1293" s="704"/>
      <c r="T1293" s="1026"/>
      <c r="AB1293" s="520"/>
      <c r="AC1293" s="520"/>
      <c r="AD1293" s="520"/>
      <c r="AE1293" s="520"/>
      <c r="AF1293" s="520"/>
      <c r="AG1293" s="520"/>
      <c r="AH1293" s="520"/>
      <c r="AI1293" s="520"/>
      <c r="AJ1293" s="520"/>
      <c r="AK1293" s="520"/>
      <c r="AL1293" s="520"/>
      <c r="AM1293" s="520"/>
      <c r="AN1293" s="520"/>
      <c r="AO1293" s="520"/>
      <c r="AP1293" s="520"/>
      <c r="AQ1293" s="520"/>
      <c r="AR1293" s="520"/>
      <c r="AS1293" s="520"/>
      <c r="AT1293" s="520"/>
      <c r="AU1293" s="520"/>
      <c r="AV1293" s="520"/>
      <c r="AY1293" s="507"/>
      <c r="BA1293" s="507"/>
      <c r="BJ1293" s="493"/>
      <c r="CU1293" s="488"/>
      <c r="CW1293" s="488"/>
      <c r="EV1293" s="821"/>
      <c r="EW1293" s="821"/>
    </row>
    <row r="1294" spans="1:153" s="757" customFormat="1" hidden="1">
      <c r="A1294" s="487"/>
      <c r="B1294" s="487"/>
      <c r="C1294" s="487"/>
      <c r="D1294" s="487"/>
      <c r="I1294" s="487"/>
      <c r="J1294" s="487"/>
      <c r="K1294" s="487"/>
      <c r="L1294" s="487"/>
      <c r="M1294" s="487"/>
      <c r="N1294" s="487"/>
      <c r="O1294" s="875"/>
      <c r="Q1294" s="704"/>
      <c r="R1294" s="1026"/>
      <c r="S1294" s="704"/>
      <c r="T1294" s="1026"/>
      <c r="AB1294" s="520"/>
      <c r="AC1294" s="520"/>
      <c r="AD1294" s="520"/>
      <c r="AE1294" s="520"/>
      <c r="AF1294" s="520"/>
      <c r="AG1294" s="520"/>
      <c r="AH1294" s="520"/>
      <c r="AI1294" s="520"/>
      <c r="AJ1294" s="520"/>
      <c r="AK1294" s="520"/>
      <c r="AL1294" s="520"/>
      <c r="AM1294" s="520"/>
      <c r="AN1294" s="520"/>
      <c r="AO1294" s="520"/>
      <c r="AP1294" s="520"/>
      <c r="AQ1294" s="520"/>
      <c r="AR1294" s="520"/>
      <c r="AS1294" s="520"/>
      <c r="AT1294" s="520"/>
      <c r="AU1294" s="520"/>
      <c r="AV1294" s="520"/>
      <c r="AY1294" s="507"/>
      <c r="BA1294" s="507"/>
      <c r="BJ1294" s="493"/>
      <c r="CU1294" s="488"/>
      <c r="CW1294" s="488"/>
      <c r="EV1294" s="821"/>
      <c r="EW1294" s="821"/>
    </row>
    <row r="1295" spans="1:153" s="757" customFormat="1" hidden="1">
      <c r="A1295" s="487"/>
      <c r="B1295" s="487"/>
      <c r="C1295" s="487"/>
      <c r="D1295" s="487"/>
      <c r="I1295" s="487"/>
      <c r="J1295" s="487"/>
      <c r="K1295" s="487"/>
      <c r="L1295" s="487"/>
      <c r="M1295" s="487"/>
      <c r="N1295" s="487"/>
      <c r="O1295" s="875"/>
      <c r="Q1295" s="704"/>
      <c r="R1295" s="1026"/>
      <c r="S1295" s="704"/>
      <c r="T1295" s="1026"/>
      <c r="AB1295" s="520"/>
      <c r="AC1295" s="520"/>
      <c r="AD1295" s="520"/>
      <c r="AE1295" s="520"/>
      <c r="AF1295" s="520"/>
      <c r="AG1295" s="520"/>
      <c r="AH1295" s="520"/>
      <c r="AI1295" s="520"/>
      <c r="AJ1295" s="520"/>
      <c r="AK1295" s="520"/>
      <c r="AL1295" s="520"/>
      <c r="AM1295" s="520"/>
      <c r="AN1295" s="520"/>
      <c r="AO1295" s="520"/>
      <c r="AP1295" s="520"/>
      <c r="AQ1295" s="520"/>
      <c r="AR1295" s="520"/>
      <c r="AS1295" s="520"/>
      <c r="AT1295" s="520"/>
      <c r="AU1295" s="520"/>
      <c r="AV1295" s="520"/>
      <c r="AY1295" s="507"/>
      <c r="BA1295" s="507"/>
      <c r="BJ1295" s="493"/>
      <c r="CU1295" s="488"/>
      <c r="CW1295" s="488"/>
      <c r="EV1295" s="821"/>
      <c r="EW1295" s="821"/>
    </row>
    <row r="1296" spans="1:153" s="757" customFormat="1" hidden="1">
      <c r="A1296" s="487"/>
      <c r="B1296" s="487"/>
      <c r="C1296" s="487"/>
      <c r="D1296" s="487"/>
      <c r="I1296" s="487"/>
      <c r="J1296" s="487"/>
      <c r="K1296" s="487"/>
      <c r="L1296" s="487"/>
      <c r="M1296" s="487"/>
      <c r="N1296" s="487"/>
      <c r="O1296" s="875"/>
      <c r="Q1296" s="704"/>
      <c r="R1296" s="1026"/>
      <c r="S1296" s="704"/>
      <c r="T1296" s="1026"/>
      <c r="AB1296" s="520"/>
      <c r="AC1296" s="520"/>
      <c r="AD1296" s="520"/>
      <c r="AE1296" s="520"/>
      <c r="AF1296" s="520"/>
      <c r="AG1296" s="520"/>
      <c r="AH1296" s="520"/>
      <c r="AI1296" s="520"/>
      <c r="AJ1296" s="520"/>
      <c r="AK1296" s="520"/>
      <c r="AL1296" s="520"/>
      <c r="AM1296" s="520"/>
      <c r="AN1296" s="520"/>
      <c r="AO1296" s="520"/>
      <c r="AP1296" s="520"/>
      <c r="AQ1296" s="520"/>
      <c r="AR1296" s="520"/>
      <c r="AS1296" s="520"/>
      <c r="AT1296" s="520"/>
      <c r="AU1296" s="520"/>
      <c r="AV1296" s="520"/>
      <c r="AY1296" s="507"/>
      <c r="BA1296" s="507"/>
      <c r="BJ1296" s="493"/>
      <c r="CU1296" s="488"/>
      <c r="CW1296" s="488"/>
      <c r="EV1296" s="821"/>
      <c r="EW1296" s="821"/>
    </row>
    <row r="1297" spans="1:153" s="757" customFormat="1" hidden="1">
      <c r="A1297" s="487"/>
      <c r="B1297" s="487"/>
      <c r="C1297" s="487"/>
      <c r="D1297" s="487"/>
      <c r="I1297" s="487"/>
      <c r="J1297" s="487"/>
      <c r="K1297" s="487"/>
      <c r="L1297" s="487"/>
      <c r="M1297" s="487"/>
      <c r="N1297" s="487"/>
      <c r="O1297" s="875"/>
      <c r="Q1297" s="704"/>
      <c r="R1297" s="1026"/>
      <c r="S1297" s="704"/>
      <c r="T1297" s="1026"/>
      <c r="AB1297" s="520"/>
      <c r="AC1297" s="520"/>
      <c r="AD1297" s="520"/>
      <c r="AE1297" s="520"/>
      <c r="AF1297" s="520"/>
      <c r="AG1297" s="520"/>
      <c r="AH1297" s="520"/>
      <c r="AI1297" s="520"/>
      <c r="AJ1297" s="520"/>
      <c r="AK1297" s="520"/>
      <c r="AL1297" s="520"/>
      <c r="AM1297" s="520"/>
      <c r="AN1297" s="520"/>
      <c r="AO1297" s="520"/>
      <c r="AP1297" s="520"/>
      <c r="AQ1297" s="520"/>
      <c r="AR1297" s="520"/>
      <c r="AS1297" s="520"/>
      <c r="AT1297" s="520"/>
      <c r="AU1297" s="520"/>
      <c r="AV1297" s="520"/>
      <c r="AY1297" s="507"/>
      <c r="BA1297" s="507"/>
      <c r="BJ1297" s="493"/>
      <c r="CU1297" s="488"/>
      <c r="CW1297" s="488"/>
      <c r="EV1297" s="821"/>
      <c r="EW1297" s="821"/>
    </row>
    <row r="1298" spans="1:153" s="757" customFormat="1" hidden="1">
      <c r="A1298" s="487"/>
      <c r="B1298" s="487"/>
      <c r="C1298" s="487"/>
      <c r="D1298" s="487"/>
      <c r="I1298" s="487"/>
      <c r="J1298" s="487"/>
      <c r="K1298" s="487"/>
      <c r="L1298" s="487"/>
      <c r="M1298" s="487"/>
      <c r="N1298" s="487"/>
      <c r="O1298" s="875"/>
      <c r="Q1298" s="704"/>
      <c r="R1298" s="1026"/>
      <c r="S1298" s="704"/>
      <c r="T1298" s="1026"/>
      <c r="AB1298" s="520"/>
      <c r="AC1298" s="520"/>
      <c r="AD1298" s="520"/>
      <c r="AE1298" s="520"/>
      <c r="AF1298" s="520"/>
      <c r="AG1298" s="520"/>
      <c r="AH1298" s="520"/>
      <c r="AI1298" s="520"/>
      <c r="AJ1298" s="520"/>
      <c r="AK1298" s="520"/>
      <c r="AL1298" s="520"/>
      <c r="AM1298" s="520"/>
      <c r="AN1298" s="520"/>
      <c r="AO1298" s="520"/>
      <c r="AP1298" s="520"/>
      <c r="AQ1298" s="520"/>
      <c r="AR1298" s="520"/>
      <c r="AS1298" s="520"/>
      <c r="AT1298" s="520"/>
      <c r="AU1298" s="520"/>
      <c r="AV1298" s="520"/>
      <c r="AY1298" s="507"/>
      <c r="BA1298" s="507"/>
      <c r="BJ1298" s="493"/>
      <c r="CU1298" s="488"/>
      <c r="CW1298" s="488"/>
      <c r="EV1298" s="821"/>
      <c r="EW1298" s="821"/>
    </row>
    <row r="1299" spans="1:153" s="757" customFormat="1" hidden="1">
      <c r="A1299" s="487"/>
      <c r="B1299" s="487"/>
      <c r="C1299" s="487"/>
      <c r="D1299" s="487"/>
      <c r="I1299" s="487"/>
      <c r="J1299" s="487"/>
      <c r="K1299" s="487"/>
      <c r="L1299" s="487"/>
      <c r="M1299" s="487"/>
      <c r="N1299" s="487"/>
      <c r="O1299" s="875"/>
      <c r="Q1299" s="704"/>
      <c r="R1299" s="1026"/>
      <c r="S1299" s="704"/>
      <c r="T1299" s="1026"/>
      <c r="AB1299" s="520"/>
      <c r="AC1299" s="520"/>
      <c r="AD1299" s="520"/>
      <c r="AE1299" s="520"/>
      <c r="AF1299" s="520"/>
      <c r="AG1299" s="520"/>
      <c r="AH1299" s="520"/>
      <c r="AI1299" s="520"/>
      <c r="AJ1299" s="520"/>
      <c r="AK1299" s="520"/>
      <c r="AL1299" s="520"/>
      <c r="AM1299" s="520"/>
      <c r="AN1299" s="520"/>
      <c r="AO1299" s="520"/>
      <c r="AP1299" s="520"/>
      <c r="AQ1299" s="520"/>
      <c r="AR1299" s="520"/>
      <c r="AS1299" s="520"/>
      <c r="AT1299" s="520"/>
      <c r="AU1299" s="520"/>
      <c r="AV1299" s="520"/>
      <c r="AY1299" s="507"/>
      <c r="BA1299" s="507"/>
      <c r="BJ1299" s="493"/>
      <c r="CU1299" s="488"/>
      <c r="CW1299" s="488"/>
      <c r="EV1299" s="821"/>
      <c r="EW1299" s="821"/>
    </row>
    <row r="1300" spans="1:153" s="757" customFormat="1" hidden="1">
      <c r="A1300" s="487"/>
      <c r="B1300" s="487"/>
      <c r="C1300" s="487"/>
      <c r="D1300" s="487"/>
      <c r="I1300" s="487"/>
      <c r="J1300" s="487"/>
      <c r="K1300" s="487"/>
      <c r="L1300" s="487"/>
      <c r="M1300" s="487"/>
      <c r="N1300" s="487"/>
      <c r="O1300" s="875"/>
      <c r="Q1300" s="704"/>
      <c r="R1300" s="1026"/>
      <c r="S1300" s="704"/>
      <c r="T1300" s="1026"/>
      <c r="AB1300" s="520"/>
      <c r="AC1300" s="520"/>
      <c r="AD1300" s="520"/>
      <c r="AE1300" s="520"/>
      <c r="AF1300" s="520"/>
      <c r="AG1300" s="520"/>
      <c r="AH1300" s="520"/>
      <c r="AI1300" s="520"/>
      <c r="AJ1300" s="520"/>
      <c r="AK1300" s="520"/>
      <c r="AL1300" s="520"/>
      <c r="AM1300" s="520"/>
      <c r="AN1300" s="520"/>
      <c r="AO1300" s="520"/>
      <c r="AP1300" s="520"/>
      <c r="AQ1300" s="520"/>
      <c r="AR1300" s="520"/>
      <c r="AS1300" s="520"/>
      <c r="AT1300" s="520"/>
      <c r="AU1300" s="520"/>
      <c r="AV1300" s="520"/>
      <c r="AY1300" s="507"/>
      <c r="BA1300" s="507"/>
      <c r="BJ1300" s="493"/>
      <c r="CU1300" s="488"/>
      <c r="CW1300" s="488"/>
      <c r="EV1300" s="821"/>
      <c r="EW1300" s="821"/>
    </row>
    <row r="1301" spans="1:153" s="757" customFormat="1" hidden="1">
      <c r="A1301" s="487"/>
      <c r="B1301" s="487"/>
      <c r="C1301" s="487"/>
      <c r="D1301" s="487"/>
      <c r="I1301" s="487"/>
      <c r="J1301" s="487"/>
      <c r="K1301" s="487"/>
      <c r="L1301" s="487"/>
      <c r="M1301" s="487"/>
      <c r="N1301" s="487"/>
      <c r="O1301" s="875"/>
      <c r="Q1301" s="704"/>
      <c r="R1301" s="1026"/>
      <c r="S1301" s="704"/>
      <c r="T1301" s="1026"/>
      <c r="AB1301" s="520"/>
      <c r="AC1301" s="520"/>
      <c r="AD1301" s="520"/>
      <c r="AE1301" s="520"/>
      <c r="AF1301" s="520"/>
      <c r="AG1301" s="520"/>
      <c r="AH1301" s="520"/>
      <c r="AI1301" s="520"/>
      <c r="AJ1301" s="520"/>
      <c r="AK1301" s="520"/>
      <c r="AL1301" s="520"/>
      <c r="AM1301" s="520"/>
      <c r="AN1301" s="520"/>
      <c r="AO1301" s="520"/>
      <c r="AP1301" s="520"/>
      <c r="AQ1301" s="520"/>
      <c r="AR1301" s="520"/>
      <c r="AS1301" s="520"/>
      <c r="AT1301" s="520"/>
      <c r="AU1301" s="520"/>
      <c r="AV1301" s="520"/>
      <c r="AY1301" s="507"/>
      <c r="BA1301" s="507"/>
      <c r="BJ1301" s="493"/>
      <c r="CU1301" s="488"/>
      <c r="CW1301" s="488"/>
      <c r="EV1301" s="821"/>
      <c r="EW1301" s="821"/>
    </row>
    <row r="1302" spans="1:153" s="757" customFormat="1" hidden="1">
      <c r="A1302" s="487"/>
      <c r="B1302" s="487"/>
      <c r="C1302" s="487"/>
      <c r="D1302" s="487"/>
      <c r="I1302" s="487"/>
      <c r="J1302" s="487"/>
      <c r="K1302" s="487"/>
      <c r="L1302" s="487"/>
      <c r="M1302" s="487"/>
      <c r="N1302" s="487"/>
      <c r="O1302" s="875"/>
      <c r="Q1302" s="704"/>
      <c r="R1302" s="1026"/>
      <c r="S1302" s="704"/>
      <c r="T1302" s="1026"/>
      <c r="AB1302" s="520"/>
      <c r="AC1302" s="520"/>
      <c r="AD1302" s="520"/>
      <c r="AE1302" s="520"/>
      <c r="AF1302" s="520"/>
      <c r="AG1302" s="520"/>
      <c r="AH1302" s="520"/>
      <c r="AI1302" s="520"/>
      <c r="AJ1302" s="520"/>
      <c r="AK1302" s="520"/>
      <c r="AL1302" s="520"/>
      <c r="AM1302" s="520"/>
      <c r="AN1302" s="520"/>
      <c r="AO1302" s="520"/>
      <c r="AP1302" s="520"/>
      <c r="AQ1302" s="520"/>
      <c r="AR1302" s="520"/>
      <c r="AS1302" s="520"/>
      <c r="AT1302" s="520"/>
      <c r="AU1302" s="520"/>
      <c r="AV1302" s="520"/>
      <c r="AY1302" s="507"/>
      <c r="BA1302" s="507"/>
      <c r="BJ1302" s="493"/>
      <c r="CU1302" s="488"/>
      <c r="CW1302" s="488"/>
      <c r="EV1302" s="821"/>
      <c r="EW1302" s="821"/>
    </row>
    <row r="1303" spans="1:153" s="757" customFormat="1" hidden="1">
      <c r="A1303" s="487"/>
      <c r="B1303" s="487"/>
      <c r="C1303" s="487"/>
      <c r="D1303" s="487"/>
      <c r="I1303" s="487"/>
      <c r="J1303" s="487"/>
      <c r="K1303" s="487"/>
      <c r="L1303" s="487"/>
      <c r="M1303" s="487"/>
      <c r="N1303" s="487"/>
      <c r="O1303" s="875"/>
      <c r="Q1303" s="704"/>
      <c r="R1303" s="1026"/>
      <c r="S1303" s="704"/>
      <c r="T1303" s="1026"/>
      <c r="AB1303" s="520"/>
      <c r="AC1303" s="520"/>
      <c r="AD1303" s="520"/>
      <c r="AE1303" s="520"/>
      <c r="AF1303" s="520"/>
      <c r="AG1303" s="520"/>
      <c r="AH1303" s="520"/>
      <c r="AI1303" s="520"/>
      <c r="AJ1303" s="520"/>
      <c r="AK1303" s="520"/>
      <c r="AL1303" s="520"/>
      <c r="AM1303" s="520"/>
      <c r="AN1303" s="520"/>
      <c r="AO1303" s="520"/>
      <c r="AP1303" s="520"/>
      <c r="AQ1303" s="520"/>
      <c r="AR1303" s="520"/>
      <c r="AS1303" s="520"/>
      <c r="AT1303" s="520"/>
      <c r="AU1303" s="520"/>
      <c r="AV1303" s="520"/>
      <c r="AY1303" s="507"/>
      <c r="BA1303" s="507"/>
      <c r="BJ1303" s="493"/>
      <c r="CU1303" s="488"/>
      <c r="CW1303" s="488"/>
      <c r="EV1303" s="821"/>
      <c r="EW1303" s="821"/>
    </row>
    <row r="1304" spans="1:153" s="757" customFormat="1" hidden="1">
      <c r="A1304" s="487"/>
      <c r="B1304" s="487"/>
      <c r="C1304" s="487"/>
      <c r="D1304" s="487"/>
      <c r="I1304" s="487"/>
      <c r="J1304" s="487"/>
      <c r="K1304" s="487"/>
      <c r="L1304" s="487"/>
      <c r="M1304" s="487"/>
      <c r="N1304" s="487"/>
      <c r="O1304" s="875"/>
      <c r="Q1304" s="704"/>
      <c r="R1304" s="1026"/>
      <c r="S1304" s="704"/>
      <c r="T1304" s="1026"/>
      <c r="AB1304" s="520"/>
      <c r="AC1304" s="520"/>
      <c r="AD1304" s="520"/>
      <c r="AE1304" s="520"/>
      <c r="AF1304" s="520"/>
      <c r="AG1304" s="520"/>
      <c r="AH1304" s="520"/>
      <c r="AI1304" s="520"/>
      <c r="AJ1304" s="520"/>
      <c r="AK1304" s="520"/>
      <c r="AL1304" s="520"/>
      <c r="AM1304" s="520"/>
      <c r="AN1304" s="520"/>
      <c r="AO1304" s="520"/>
      <c r="AP1304" s="520"/>
      <c r="AQ1304" s="520"/>
      <c r="AR1304" s="520"/>
      <c r="AS1304" s="520"/>
      <c r="AT1304" s="520"/>
      <c r="AU1304" s="520"/>
      <c r="AV1304" s="520"/>
      <c r="AY1304" s="507"/>
      <c r="BA1304" s="507"/>
      <c r="BJ1304" s="493"/>
      <c r="CU1304" s="488"/>
      <c r="CW1304" s="488"/>
      <c r="EV1304" s="821"/>
      <c r="EW1304" s="821"/>
    </row>
    <row r="1305" spans="1:153" s="757" customFormat="1" hidden="1">
      <c r="A1305" s="487"/>
      <c r="B1305" s="487"/>
      <c r="C1305" s="487"/>
      <c r="D1305" s="487"/>
      <c r="I1305" s="487"/>
      <c r="J1305" s="487"/>
      <c r="K1305" s="487"/>
      <c r="L1305" s="487"/>
      <c r="M1305" s="487"/>
      <c r="N1305" s="487"/>
      <c r="O1305" s="875"/>
      <c r="Q1305" s="704"/>
      <c r="R1305" s="1026"/>
      <c r="S1305" s="704"/>
      <c r="T1305" s="1026"/>
      <c r="AB1305" s="520"/>
      <c r="AC1305" s="520"/>
      <c r="AD1305" s="520"/>
      <c r="AE1305" s="520"/>
      <c r="AF1305" s="520"/>
      <c r="AG1305" s="520"/>
      <c r="AH1305" s="520"/>
      <c r="AI1305" s="520"/>
      <c r="AJ1305" s="520"/>
      <c r="AK1305" s="520"/>
      <c r="AL1305" s="520"/>
      <c r="AM1305" s="520"/>
      <c r="AN1305" s="520"/>
      <c r="AO1305" s="520"/>
      <c r="AP1305" s="520"/>
      <c r="AQ1305" s="520"/>
      <c r="AR1305" s="520"/>
      <c r="AS1305" s="520"/>
      <c r="AT1305" s="520"/>
      <c r="AU1305" s="520"/>
      <c r="AV1305" s="520"/>
      <c r="AY1305" s="507"/>
      <c r="BA1305" s="507"/>
      <c r="BJ1305" s="493"/>
      <c r="CU1305" s="488"/>
      <c r="CW1305" s="488"/>
      <c r="EV1305" s="821"/>
      <c r="EW1305" s="821"/>
    </row>
    <row r="1306" spans="1:153" s="757" customFormat="1" hidden="1">
      <c r="A1306" s="487"/>
      <c r="B1306" s="487"/>
      <c r="C1306" s="487"/>
      <c r="D1306" s="487"/>
      <c r="I1306" s="487"/>
      <c r="J1306" s="487"/>
      <c r="K1306" s="487"/>
      <c r="L1306" s="487"/>
      <c r="M1306" s="487"/>
      <c r="N1306" s="487"/>
      <c r="O1306" s="875"/>
      <c r="Q1306" s="704"/>
      <c r="R1306" s="1026"/>
      <c r="S1306" s="704"/>
      <c r="T1306" s="1026"/>
      <c r="AB1306" s="520"/>
      <c r="AC1306" s="520"/>
      <c r="AD1306" s="520"/>
      <c r="AE1306" s="520"/>
      <c r="AF1306" s="520"/>
      <c r="AG1306" s="520"/>
      <c r="AH1306" s="520"/>
      <c r="AI1306" s="520"/>
      <c r="AJ1306" s="520"/>
      <c r="AK1306" s="520"/>
      <c r="AL1306" s="520"/>
      <c r="AM1306" s="520"/>
      <c r="AN1306" s="520"/>
      <c r="AO1306" s="520"/>
      <c r="AP1306" s="520"/>
      <c r="AQ1306" s="520"/>
      <c r="AR1306" s="520"/>
      <c r="AS1306" s="520"/>
      <c r="AT1306" s="520"/>
      <c r="AU1306" s="520"/>
      <c r="AV1306" s="520"/>
      <c r="AY1306" s="507"/>
      <c r="BA1306" s="507"/>
      <c r="BJ1306" s="493"/>
      <c r="CU1306" s="488"/>
      <c r="CW1306" s="488"/>
      <c r="EV1306" s="821"/>
      <c r="EW1306" s="821"/>
    </row>
    <row r="1307" spans="1:153" s="757" customFormat="1" hidden="1">
      <c r="A1307" s="487"/>
      <c r="B1307" s="487"/>
      <c r="C1307" s="487"/>
      <c r="D1307" s="487"/>
      <c r="I1307" s="487"/>
      <c r="J1307" s="487"/>
      <c r="K1307" s="487"/>
      <c r="L1307" s="487"/>
      <c r="M1307" s="487"/>
      <c r="N1307" s="487"/>
      <c r="O1307" s="875"/>
      <c r="Q1307" s="704"/>
      <c r="R1307" s="1026"/>
      <c r="S1307" s="704"/>
      <c r="T1307" s="1026"/>
      <c r="AB1307" s="520"/>
      <c r="AC1307" s="520"/>
      <c r="AD1307" s="520"/>
      <c r="AE1307" s="520"/>
      <c r="AF1307" s="520"/>
      <c r="AG1307" s="520"/>
      <c r="AH1307" s="520"/>
      <c r="AI1307" s="520"/>
      <c r="AJ1307" s="520"/>
      <c r="AK1307" s="520"/>
      <c r="AL1307" s="520"/>
      <c r="AM1307" s="520"/>
      <c r="AN1307" s="520"/>
      <c r="AO1307" s="520"/>
      <c r="AP1307" s="520"/>
      <c r="AQ1307" s="520"/>
      <c r="AR1307" s="520"/>
      <c r="AS1307" s="520"/>
      <c r="AT1307" s="520"/>
      <c r="AU1307" s="520"/>
      <c r="AV1307" s="520"/>
      <c r="AY1307" s="507"/>
      <c r="BA1307" s="507"/>
      <c r="BJ1307" s="493"/>
      <c r="CU1307" s="488"/>
      <c r="CW1307" s="488"/>
      <c r="EV1307" s="821"/>
      <c r="EW1307" s="821"/>
    </row>
    <row r="1308" spans="1:153" s="757" customFormat="1" hidden="1">
      <c r="A1308" s="487"/>
      <c r="B1308" s="487"/>
      <c r="C1308" s="487"/>
      <c r="D1308" s="487"/>
      <c r="I1308" s="487"/>
      <c r="J1308" s="487"/>
      <c r="K1308" s="487"/>
      <c r="L1308" s="487"/>
      <c r="M1308" s="487"/>
      <c r="N1308" s="487"/>
      <c r="O1308" s="875"/>
      <c r="Q1308" s="704"/>
      <c r="R1308" s="1026"/>
      <c r="S1308" s="704"/>
      <c r="T1308" s="1026"/>
      <c r="AB1308" s="520"/>
      <c r="AC1308" s="520"/>
      <c r="AD1308" s="520"/>
      <c r="AE1308" s="520"/>
      <c r="AF1308" s="520"/>
      <c r="AG1308" s="520"/>
      <c r="AH1308" s="520"/>
      <c r="AI1308" s="520"/>
      <c r="AJ1308" s="520"/>
      <c r="AK1308" s="520"/>
      <c r="AL1308" s="520"/>
      <c r="AM1308" s="520"/>
      <c r="AN1308" s="520"/>
      <c r="AO1308" s="520"/>
      <c r="AP1308" s="520"/>
      <c r="AQ1308" s="520"/>
      <c r="AR1308" s="520"/>
      <c r="AS1308" s="520"/>
      <c r="AT1308" s="520"/>
      <c r="AU1308" s="520"/>
      <c r="AV1308" s="520"/>
      <c r="AY1308" s="507"/>
      <c r="BA1308" s="507"/>
      <c r="BJ1308" s="493"/>
      <c r="CU1308" s="488"/>
      <c r="CW1308" s="488"/>
      <c r="EV1308" s="821"/>
      <c r="EW1308" s="821"/>
    </row>
    <row r="1309" spans="1:153" s="757" customFormat="1" hidden="1">
      <c r="A1309" s="487"/>
      <c r="B1309" s="487"/>
      <c r="C1309" s="487"/>
      <c r="D1309" s="487"/>
      <c r="I1309" s="487"/>
      <c r="J1309" s="487"/>
      <c r="K1309" s="487"/>
      <c r="L1309" s="487"/>
      <c r="M1309" s="487"/>
      <c r="N1309" s="487"/>
      <c r="O1309" s="875"/>
      <c r="Q1309" s="704"/>
      <c r="R1309" s="1026"/>
      <c r="S1309" s="704"/>
      <c r="T1309" s="1026"/>
      <c r="AB1309" s="520"/>
      <c r="AC1309" s="520"/>
      <c r="AD1309" s="520"/>
      <c r="AE1309" s="520"/>
      <c r="AF1309" s="520"/>
      <c r="AG1309" s="520"/>
      <c r="AH1309" s="520"/>
      <c r="AI1309" s="520"/>
      <c r="AJ1309" s="520"/>
      <c r="AK1309" s="520"/>
      <c r="AL1309" s="520"/>
      <c r="AM1309" s="520"/>
      <c r="AN1309" s="520"/>
      <c r="AO1309" s="520"/>
      <c r="AP1309" s="520"/>
      <c r="AQ1309" s="520"/>
      <c r="AR1309" s="520"/>
      <c r="AS1309" s="520"/>
      <c r="AT1309" s="520"/>
      <c r="AU1309" s="520"/>
      <c r="AV1309" s="520"/>
      <c r="AY1309" s="507"/>
      <c r="BA1309" s="507"/>
      <c r="BJ1309" s="493"/>
      <c r="CU1309" s="488"/>
      <c r="CW1309" s="488"/>
      <c r="EV1309" s="821"/>
      <c r="EW1309" s="821"/>
    </row>
    <row r="1310" spans="1:153" s="757" customFormat="1" hidden="1">
      <c r="A1310" s="487"/>
      <c r="B1310" s="487"/>
      <c r="C1310" s="487"/>
      <c r="D1310" s="487"/>
      <c r="I1310" s="487"/>
      <c r="J1310" s="487"/>
      <c r="K1310" s="487"/>
      <c r="L1310" s="487"/>
      <c r="M1310" s="487"/>
      <c r="N1310" s="487"/>
      <c r="O1310" s="875"/>
      <c r="Q1310" s="704"/>
      <c r="R1310" s="1026"/>
      <c r="S1310" s="704"/>
      <c r="T1310" s="1026"/>
      <c r="AB1310" s="520"/>
      <c r="AC1310" s="520"/>
      <c r="AD1310" s="520"/>
      <c r="AE1310" s="520"/>
      <c r="AF1310" s="520"/>
      <c r="AG1310" s="520"/>
      <c r="AH1310" s="520"/>
      <c r="AI1310" s="520"/>
      <c r="AJ1310" s="520"/>
      <c r="AK1310" s="520"/>
      <c r="AL1310" s="520"/>
      <c r="AM1310" s="520"/>
      <c r="AN1310" s="520"/>
      <c r="AO1310" s="520"/>
      <c r="AP1310" s="520"/>
      <c r="AQ1310" s="520"/>
      <c r="AR1310" s="520"/>
      <c r="AS1310" s="520"/>
      <c r="AT1310" s="520"/>
      <c r="AU1310" s="520"/>
      <c r="AV1310" s="520"/>
      <c r="AY1310" s="507"/>
      <c r="BA1310" s="507"/>
      <c r="BJ1310" s="493"/>
      <c r="CU1310" s="488"/>
      <c r="CW1310" s="488"/>
      <c r="EV1310" s="821"/>
      <c r="EW1310" s="821"/>
    </row>
    <row r="1311" spans="1:153" s="757" customFormat="1" hidden="1">
      <c r="A1311" s="487"/>
      <c r="B1311" s="487"/>
      <c r="C1311" s="487"/>
      <c r="D1311" s="487"/>
      <c r="I1311" s="487"/>
      <c r="J1311" s="487"/>
      <c r="K1311" s="487"/>
      <c r="L1311" s="487"/>
      <c r="M1311" s="487"/>
      <c r="N1311" s="487"/>
      <c r="O1311" s="875"/>
      <c r="Q1311" s="704"/>
      <c r="R1311" s="1026"/>
      <c r="S1311" s="704"/>
      <c r="T1311" s="1026"/>
      <c r="AB1311" s="520"/>
      <c r="AC1311" s="520"/>
      <c r="AD1311" s="520"/>
      <c r="AE1311" s="520"/>
      <c r="AF1311" s="520"/>
      <c r="AG1311" s="520"/>
      <c r="AH1311" s="520"/>
      <c r="AI1311" s="520"/>
      <c r="AJ1311" s="520"/>
      <c r="AK1311" s="520"/>
      <c r="AL1311" s="520"/>
      <c r="AM1311" s="520"/>
      <c r="AN1311" s="520"/>
      <c r="AO1311" s="520"/>
      <c r="AP1311" s="520"/>
      <c r="AQ1311" s="520"/>
      <c r="AR1311" s="520"/>
      <c r="AS1311" s="520"/>
      <c r="AT1311" s="520"/>
      <c r="AU1311" s="520"/>
      <c r="AV1311" s="520"/>
      <c r="AY1311" s="507"/>
      <c r="BA1311" s="507"/>
      <c r="BJ1311" s="493"/>
      <c r="CU1311" s="488"/>
      <c r="CW1311" s="488"/>
      <c r="EV1311" s="821"/>
      <c r="EW1311" s="821"/>
    </row>
    <row r="1312" spans="1:153" s="757" customFormat="1" hidden="1">
      <c r="A1312" s="487"/>
      <c r="B1312" s="487"/>
      <c r="C1312" s="487"/>
      <c r="D1312" s="487"/>
      <c r="I1312" s="487"/>
      <c r="J1312" s="487"/>
      <c r="K1312" s="487"/>
      <c r="L1312" s="487"/>
      <c r="M1312" s="487"/>
      <c r="N1312" s="487"/>
      <c r="O1312" s="875"/>
      <c r="Q1312" s="704"/>
      <c r="R1312" s="1026"/>
      <c r="S1312" s="704"/>
      <c r="T1312" s="1026"/>
      <c r="AB1312" s="520"/>
      <c r="AC1312" s="520"/>
      <c r="AD1312" s="520"/>
      <c r="AE1312" s="520"/>
      <c r="AF1312" s="520"/>
      <c r="AG1312" s="520"/>
      <c r="AH1312" s="520"/>
      <c r="AI1312" s="520"/>
      <c r="AJ1312" s="520"/>
      <c r="AK1312" s="520"/>
      <c r="AL1312" s="520"/>
      <c r="AM1312" s="520"/>
      <c r="AN1312" s="520"/>
      <c r="AO1312" s="520"/>
      <c r="AP1312" s="520"/>
      <c r="AQ1312" s="520"/>
      <c r="AR1312" s="520"/>
      <c r="AS1312" s="520"/>
      <c r="AT1312" s="520"/>
      <c r="AU1312" s="520"/>
      <c r="AV1312" s="520"/>
      <c r="AY1312" s="507"/>
      <c r="BA1312" s="507"/>
      <c r="BJ1312" s="493"/>
      <c r="CU1312" s="488"/>
      <c r="CW1312" s="488"/>
      <c r="EV1312" s="821"/>
      <c r="EW1312" s="821"/>
    </row>
    <row r="1313" spans="1:153" s="757" customFormat="1" hidden="1">
      <c r="A1313" s="487"/>
      <c r="B1313" s="487"/>
      <c r="C1313" s="487"/>
      <c r="D1313" s="487"/>
      <c r="I1313" s="487"/>
      <c r="J1313" s="487"/>
      <c r="K1313" s="487"/>
      <c r="L1313" s="487"/>
      <c r="M1313" s="487"/>
      <c r="N1313" s="487"/>
      <c r="O1313" s="875"/>
      <c r="Q1313" s="704"/>
      <c r="R1313" s="1026"/>
      <c r="S1313" s="704"/>
      <c r="T1313" s="1026"/>
      <c r="AB1313" s="520"/>
      <c r="AC1313" s="520"/>
      <c r="AD1313" s="520"/>
      <c r="AE1313" s="520"/>
      <c r="AF1313" s="520"/>
      <c r="AG1313" s="520"/>
      <c r="AH1313" s="520"/>
      <c r="AI1313" s="520"/>
      <c r="AJ1313" s="520"/>
      <c r="AK1313" s="520"/>
      <c r="AL1313" s="520"/>
      <c r="AM1313" s="520"/>
      <c r="AN1313" s="520"/>
      <c r="AO1313" s="520"/>
      <c r="AP1313" s="520"/>
      <c r="AQ1313" s="520"/>
      <c r="AR1313" s="520"/>
      <c r="AS1313" s="520"/>
      <c r="AT1313" s="520"/>
      <c r="AU1313" s="520"/>
      <c r="AV1313" s="520"/>
      <c r="AY1313" s="507"/>
      <c r="BA1313" s="507"/>
      <c r="BJ1313" s="493"/>
      <c r="CU1313" s="488"/>
      <c r="CW1313" s="488"/>
      <c r="EV1313" s="821"/>
      <c r="EW1313" s="821"/>
    </row>
    <row r="1314" spans="1:153" s="757" customFormat="1" hidden="1">
      <c r="A1314" s="487"/>
      <c r="B1314" s="487"/>
      <c r="C1314" s="487"/>
      <c r="D1314" s="487"/>
      <c r="I1314" s="487"/>
      <c r="J1314" s="487"/>
      <c r="K1314" s="487"/>
      <c r="L1314" s="487"/>
      <c r="M1314" s="487"/>
      <c r="N1314" s="487"/>
      <c r="O1314" s="875"/>
      <c r="Q1314" s="704"/>
      <c r="R1314" s="1026"/>
      <c r="S1314" s="704"/>
      <c r="T1314" s="1026"/>
      <c r="AB1314" s="520"/>
      <c r="AC1314" s="520"/>
      <c r="AD1314" s="520"/>
      <c r="AE1314" s="520"/>
      <c r="AF1314" s="520"/>
      <c r="AG1314" s="520"/>
      <c r="AH1314" s="520"/>
      <c r="AI1314" s="520"/>
      <c r="AJ1314" s="520"/>
      <c r="AK1314" s="520"/>
      <c r="AL1314" s="520"/>
      <c r="AM1314" s="520"/>
      <c r="AN1314" s="520"/>
      <c r="AO1314" s="520"/>
      <c r="AP1314" s="520"/>
      <c r="AQ1314" s="520"/>
      <c r="AR1314" s="520"/>
      <c r="AS1314" s="520"/>
      <c r="AT1314" s="520"/>
      <c r="AU1314" s="520"/>
      <c r="AV1314" s="520"/>
      <c r="AY1314" s="507"/>
      <c r="BA1314" s="507"/>
      <c r="BJ1314" s="493"/>
      <c r="CU1314" s="488"/>
      <c r="CW1314" s="488"/>
      <c r="EV1314" s="821"/>
      <c r="EW1314" s="821"/>
    </row>
    <row r="1315" spans="1:153" s="757" customFormat="1" hidden="1">
      <c r="A1315" s="487"/>
      <c r="B1315" s="487"/>
      <c r="C1315" s="487"/>
      <c r="D1315" s="487"/>
      <c r="I1315" s="487"/>
      <c r="J1315" s="487"/>
      <c r="K1315" s="487"/>
      <c r="L1315" s="487"/>
      <c r="M1315" s="487"/>
      <c r="N1315" s="487"/>
      <c r="O1315" s="875"/>
      <c r="Q1315" s="704"/>
      <c r="R1315" s="1026"/>
      <c r="S1315" s="704"/>
      <c r="T1315" s="1026"/>
      <c r="AB1315" s="520"/>
      <c r="AC1315" s="520"/>
      <c r="AD1315" s="520"/>
      <c r="AE1315" s="520"/>
      <c r="AF1315" s="520"/>
      <c r="AG1315" s="520"/>
      <c r="AH1315" s="520"/>
      <c r="AI1315" s="520"/>
      <c r="AJ1315" s="520"/>
      <c r="AK1315" s="520"/>
      <c r="AL1315" s="520"/>
      <c r="AM1315" s="520"/>
      <c r="AN1315" s="520"/>
      <c r="AO1315" s="520"/>
      <c r="AP1315" s="520"/>
      <c r="AQ1315" s="520"/>
      <c r="AR1315" s="520"/>
      <c r="AS1315" s="520"/>
      <c r="AT1315" s="520"/>
      <c r="AU1315" s="520"/>
      <c r="AV1315" s="520"/>
      <c r="AY1315" s="507"/>
      <c r="BA1315" s="507"/>
      <c r="BJ1315" s="493"/>
      <c r="CU1315" s="488"/>
      <c r="CW1315" s="488"/>
      <c r="EV1315" s="821"/>
      <c r="EW1315" s="821"/>
    </row>
    <row r="1316" spans="1:153" s="757" customFormat="1" hidden="1">
      <c r="A1316" s="487"/>
      <c r="B1316" s="487"/>
      <c r="C1316" s="487"/>
      <c r="D1316" s="487"/>
      <c r="I1316" s="487"/>
      <c r="J1316" s="487"/>
      <c r="K1316" s="487"/>
      <c r="L1316" s="487"/>
      <c r="M1316" s="487"/>
      <c r="N1316" s="487"/>
      <c r="O1316" s="875"/>
      <c r="Q1316" s="704"/>
      <c r="R1316" s="1026"/>
      <c r="S1316" s="704"/>
      <c r="T1316" s="1026"/>
      <c r="AB1316" s="520"/>
      <c r="AC1316" s="520"/>
      <c r="AD1316" s="520"/>
      <c r="AE1316" s="520"/>
      <c r="AF1316" s="520"/>
      <c r="AG1316" s="520"/>
      <c r="AH1316" s="520"/>
      <c r="AI1316" s="520"/>
      <c r="AJ1316" s="520"/>
      <c r="AK1316" s="520"/>
      <c r="AL1316" s="520"/>
      <c r="AM1316" s="520"/>
      <c r="AN1316" s="520"/>
      <c r="AO1316" s="520"/>
      <c r="AP1316" s="520"/>
      <c r="AQ1316" s="520"/>
      <c r="AR1316" s="520"/>
      <c r="AS1316" s="520"/>
      <c r="AT1316" s="520"/>
      <c r="AU1316" s="520"/>
      <c r="AV1316" s="520"/>
      <c r="AY1316" s="507"/>
      <c r="BA1316" s="507"/>
      <c r="BJ1316" s="493"/>
      <c r="CU1316" s="488"/>
      <c r="CW1316" s="488"/>
      <c r="EV1316" s="821"/>
      <c r="EW1316" s="821"/>
    </row>
    <row r="1317" spans="1:153" s="757" customFormat="1" hidden="1">
      <c r="A1317" s="487"/>
      <c r="B1317" s="487"/>
      <c r="C1317" s="487"/>
      <c r="D1317" s="487"/>
      <c r="I1317" s="487"/>
      <c r="J1317" s="487"/>
      <c r="K1317" s="487"/>
      <c r="L1317" s="487"/>
      <c r="M1317" s="487"/>
      <c r="N1317" s="487"/>
      <c r="O1317" s="875"/>
      <c r="Q1317" s="704"/>
      <c r="R1317" s="1026"/>
      <c r="S1317" s="704"/>
      <c r="T1317" s="1026"/>
      <c r="AB1317" s="520"/>
      <c r="AC1317" s="520"/>
      <c r="AD1317" s="520"/>
      <c r="AE1317" s="520"/>
      <c r="AF1317" s="520"/>
      <c r="AG1317" s="520"/>
      <c r="AH1317" s="520"/>
      <c r="AI1317" s="520"/>
      <c r="AJ1317" s="520"/>
      <c r="AK1317" s="520"/>
      <c r="AL1317" s="520"/>
      <c r="AM1317" s="520"/>
      <c r="AN1317" s="520"/>
      <c r="AO1317" s="520"/>
      <c r="AP1317" s="520"/>
      <c r="AQ1317" s="520"/>
      <c r="AR1317" s="520"/>
      <c r="AS1317" s="520"/>
      <c r="AT1317" s="520"/>
      <c r="AU1317" s="520"/>
      <c r="AV1317" s="520"/>
      <c r="AY1317" s="507"/>
      <c r="BA1317" s="507"/>
      <c r="BJ1317" s="493"/>
      <c r="CU1317" s="488"/>
      <c r="CW1317" s="488"/>
      <c r="EV1317" s="821"/>
      <c r="EW1317" s="821"/>
    </row>
    <row r="1318" spans="1:153" s="757" customFormat="1" hidden="1">
      <c r="A1318" s="487"/>
      <c r="B1318" s="487"/>
      <c r="C1318" s="487"/>
      <c r="D1318" s="487"/>
      <c r="I1318" s="487"/>
      <c r="J1318" s="487"/>
      <c r="K1318" s="487"/>
      <c r="L1318" s="487"/>
      <c r="M1318" s="487"/>
      <c r="N1318" s="487"/>
      <c r="O1318" s="875"/>
      <c r="Q1318" s="704"/>
      <c r="R1318" s="1026"/>
      <c r="S1318" s="704"/>
      <c r="T1318" s="1026"/>
      <c r="AB1318" s="520"/>
      <c r="AC1318" s="520"/>
      <c r="AD1318" s="520"/>
      <c r="AE1318" s="520"/>
      <c r="AF1318" s="520"/>
      <c r="AG1318" s="520"/>
      <c r="AH1318" s="520"/>
      <c r="AI1318" s="520"/>
      <c r="AJ1318" s="520"/>
      <c r="AK1318" s="520"/>
      <c r="AL1318" s="520"/>
      <c r="AM1318" s="520"/>
      <c r="AN1318" s="520"/>
      <c r="AO1318" s="520"/>
      <c r="AP1318" s="520"/>
      <c r="AQ1318" s="520"/>
      <c r="AR1318" s="520"/>
      <c r="AS1318" s="520"/>
      <c r="AT1318" s="520"/>
      <c r="AU1318" s="520"/>
      <c r="AV1318" s="520"/>
      <c r="AY1318" s="507"/>
      <c r="BA1318" s="507"/>
      <c r="BJ1318" s="493"/>
      <c r="CU1318" s="488"/>
      <c r="CW1318" s="488"/>
      <c r="EV1318" s="821"/>
      <c r="EW1318" s="821"/>
    </row>
    <row r="1319" spans="1:153" s="757" customFormat="1" hidden="1">
      <c r="A1319" s="487"/>
      <c r="B1319" s="487"/>
      <c r="C1319" s="487"/>
      <c r="D1319" s="487"/>
      <c r="I1319" s="487"/>
      <c r="J1319" s="487"/>
      <c r="K1319" s="487"/>
      <c r="L1319" s="487"/>
      <c r="M1319" s="487"/>
      <c r="N1319" s="487"/>
      <c r="O1319" s="875"/>
      <c r="Q1319" s="704"/>
      <c r="R1319" s="1026"/>
      <c r="S1319" s="704"/>
      <c r="T1319" s="1026"/>
      <c r="AB1319" s="520"/>
      <c r="AC1319" s="520"/>
      <c r="AD1319" s="520"/>
      <c r="AE1319" s="520"/>
      <c r="AF1319" s="520"/>
      <c r="AG1319" s="520"/>
      <c r="AH1319" s="520"/>
      <c r="AI1319" s="520"/>
      <c r="AJ1319" s="520"/>
      <c r="AK1319" s="520"/>
      <c r="AL1319" s="520"/>
      <c r="AM1319" s="520"/>
      <c r="AN1319" s="520"/>
      <c r="AO1319" s="520"/>
      <c r="AP1319" s="520"/>
      <c r="AQ1319" s="520"/>
      <c r="AR1319" s="520"/>
      <c r="AS1319" s="520"/>
      <c r="AT1319" s="520"/>
      <c r="AU1319" s="520"/>
      <c r="AV1319" s="520"/>
      <c r="AY1319" s="507"/>
      <c r="BA1319" s="507"/>
      <c r="BJ1319" s="493"/>
      <c r="CU1319" s="488"/>
      <c r="CW1319" s="488"/>
      <c r="EV1319" s="821"/>
      <c r="EW1319" s="821"/>
    </row>
    <row r="1320" spans="1:153" s="757" customFormat="1" hidden="1">
      <c r="A1320" s="487"/>
      <c r="B1320" s="487"/>
      <c r="C1320" s="487"/>
      <c r="D1320" s="487"/>
      <c r="I1320" s="487"/>
      <c r="J1320" s="487"/>
      <c r="K1320" s="487"/>
      <c r="L1320" s="487"/>
      <c r="M1320" s="487"/>
      <c r="N1320" s="487"/>
      <c r="O1320" s="875"/>
      <c r="Q1320" s="704"/>
      <c r="R1320" s="1026"/>
      <c r="S1320" s="704"/>
      <c r="T1320" s="1026"/>
      <c r="AB1320" s="520"/>
      <c r="AC1320" s="520"/>
      <c r="AD1320" s="520"/>
      <c r="AE1320" s="520"/>
      <c r="AF1320" s="520"/>
      <c r="AG1320" s="520"/>
      <c r="AH1320" s="520"/>
      <c r="AI1320" s="520"/>
      <c r="AJ1320" s="520"/>
      <c r="AK1320" s="520"/>
      <c r="AL1320" s="520"/>
      <c r="AM1320" s="520"/>
      <c r="AN1320" s="520"/>
      <c r="AO1320" s="520"/>
      <c r="AP1320" s="520"/>
      <c r="AQ1320" s="520"/>
      <c r="AR1320" s="520"/>
      <c r="AS1320" s="520"/>
      <c r="AT1320" s="520"/>
      <c r="AU1320" s="520"/>
      <c r="AV1320" s="520"/>
      <c r="AY1320" s="507"/>
      <c r="BA1320" s="507"/>
      <c r="BJ1320" s="493"/>
      <c r="CU1320" s="488"/>
      <c r="CW1320" s="488"/>
      <c r="EV1320" s="821"/>
      <c r="EW1320" s="821"/>
    </row>
    <row r="1321" spans="1:153" s="757" customFormat="1" hidden="1">
      <c r="A1321" s="487"/>
      <c r="B1321" s="487"/>
      <c r="C1321" s="487"/>
      <c r="D1321" s="487"/>
      <c r="I1321" s="487"/>
      <c r="J1321" s="487"/>
      <c r="K1321" s="487"/>
      <c r="L1321" s="487"/>
      <c r="M1321" s="487"/>
      <c r="N1321" s="487"/>
      <c r="O1321" s="875"/>
      <c r="Q1321" s="704"/>
      <c r="R1321" s="1026"/>
      <c r="S1321" s="704"/>
      <c r="T1321" s="1026"/>
      <c r="AB1321" s="520"/>
      <c r="AC1321" s="520"/>
      <c r="AD1321" s="520"/>
      <c r="AE1321" s="520"/>
      <c r="AF1321" s="520"/>
      <c r="AG1321" s="520"/>
      <c r="AH1321" s="520"/>
      <c r="AI1321" s="520"/>
      <c r="AJ1321" s="520"/>
      <c r="AK1321" s="520"/>
      <c r="AL1321" s="520"/>
      <c r="AM1321" s="520"/>
      <c r="AN1321" s="520"/>
      <c r="AO1321" s="520"/>
      <c r="AP1321" s="520"/>
      <c r="AQ1321" s="520"/>
      <c r="AR1321" s="520"/>
      <c r="AS1321" s="520"/>
      <c r="AT1321" s="520"/>
      <c r="AU1321" s="520"/>
      <c r="AV1321" s="520"/>
      <c r="AY1321" s="507"/>
      <c r="BA1321" s="507"/>
      <c r="BJ1321" s="493"/>
      <c r="CU1321" s="488"/>
      <c r="CW1321" s="488"/>
      <c r="EV1321" s="821"/>
      <c r="EW1321" s="821"/>
    </row>
    <row r="1322" spans="1:153" s="757" customFormat="1" hidden="1">
      <c r="A1322" s="487"/>
      <c r="B1322" s="487"/>
      <c r="C1322" s="487"/>
      <c r="D1322" s="487"/>
      <c r="I1322" s="487"/>
      <c r="J1322" s="487"/>
      <c r="K1322" s="487"/>
      <c r="L1322" s="487"/>
      <c r="M1322" s="487"/>
      <c r="N1322" s="487"/>
      <c r="O1322" s="875"/>
      <c r="Q1322" s="704"/>
      <c r="R1322" s="1026"/>
      <c r="S1322" s="704"/>
      <c r="T1322" s="1026"/>
      <c r="AB1322" s="520"/>
      <c r="AC1322" s="520"/>
      <c r="AD1322" s="520"/>
      <c r="AE1322" s="520"/>
      <c r="AF1322" s="520"/>
      <c r="AG1322" s="520"/>
      <c r="AH1322" s="520"/>
      <c r="AI1322" s="520"/>
      <c r="AJ1322" s="520"/>
      <c r="AK1322" s="520"/>
      <c r="AL1322" s="520"/>
      <c r="AM1322" s="520"/>
      <c r="AN1322" s="520"/>
      <c r="AO1322" s="520"/>
      <c r="AP1322" s="520"/>
      <c r="AQ1322" s="520"/>
      <c r="AR1322" s="520"/>
      <c r="AS1322" s="520"/>
      <c r="AT1322" s="520"/>
      <c r="AU1322" s="520"/>
      <c r="AV1322" s="520"/>
      <c r="AY1322" s="507"/>
      <c r="BA1322" s="507"/>
      <c r="BJ1322" s="493"/>
      <c r="CU1322" s="488"/>
      <c r="CW1322" s="488"/>
      <c r="EV1322" s="821"/>
      <c r="EW1322" s="821"/>
    </row>
    <row r="1323" spans="1:153" s="757" customFormat="1" hidden="1">
      <c r="A1323" s="487"/>
      <c r="B1323" s="487"/>
      <c r="C1323" s="487"/>
      <c r="D1323" s="487"/>
      <c r="I1323" s="487"/>
      <c r="J1323" s="487"/>
      <c r="K1323" s="487"/>
      <c r="L1323" s="487"/>
      <c r="M1323" s="487"/>
      <c r="N1323" s="487"/>
      <c r="O1323" s="875"/>
      <c r="Q1323" s="704"/>
      <c r="R1323" s="1026"/>
      <c r="S1323" s="704"/>
      <c r="T1323" s="1026"/>
      <c r="AB1323" s="520"/>
      <c r="AC1323" s="520"/>
      <c r="AD1323" s="520"/>
      <c r="AE1323" s="520"/>
      <c r="AF1323" s="520"/>
      <c r="AG1323" s="520"/>
      <c r="AH1323" s="520"/>
      <c r="AI1323" s="520"/>
      <c r="AJ1323" s="520"/>
      <c r="AK1323" s="520"/>
      <c r="AL1323" s="520"/>
      <c r="AM1323" s="520"/>
      <c r="AN1323" s="520"/>
      <c r="AO1323" s="520"/>
      <c r="AP1323" s="520"/>
      <c r="AQ1323" s="520"/>
      <c r="AR1323" s="520"/>
      <c r="AS1323" s="520"/>
      <c r="AT1323" s="520"/>
      <c r="AU1323" s="520"/>
      <c r="AV1323" s="520"/>
      <c r="AY1323" s="507"/>
      <c r="BA1323" s="507"/>
      <c r="BJ1323" s="493"/>
      <c r="CU1323" s="488"/>
      <c r="CW1323" s="488"/>
      <c r="EV1323" s="821"/>
      <c r="EW1323" s="821"/>
    </row>
    <row r="1324" spans="1:153" s="757" customFormat="1" hidden="1">
      <c r="A1324" s="487"/>
      <c r="B1324" s="487"/>
      <c r="C1324" s="487"/>
      <c r="D1324" s="487"/>
      <c r="I1324" s="487"/>
      <c r="J1324" s="487"/>
      <c r="K1324" s="487"/>
      <c r="L1324" s="487"/>
      <c r="M1324" s="487"/>
      <c r="N1324" s="487"/>
      <c r="O1324" s="875"/>
      <c r="Q1324" s="704"/>
      <c r="R1324" s="1026"/>
      <c r="S1324" s="704"/>
      <c r="T1324" s="1026"/>
      <c r="AB1324" s="520"/>
      <c r="AC1324" s="520"/>
      <c r="AD1324" s="520"/>
      <c r="AE1324" s="520"/>
      <c r="AF1324" s="520"/>
      <c r="AG1324" s="520"/>
      <c r="AH1324" s="520"/>
      <c r="AI1324" s="520"/>
      <c r="AJ1324" s="520"/>
      <c r="AK1324" s="520"/>
      <c r="AL1324" s="520"/>
      <c r="AM1324" s="520"/>
      <c r="AN1324" s="520"/>
      <c r="AO1324" s="520"/>
      <c r="AP1324" s="520"/>
      <c r="AQ1324" s="520"/>
      <c r="AR1324" s="520"/>
      <c r="AS1324" s="520"/>
      <c r="AT1324" s="520"/>
      <c r="AU1324" s="520"/>
      <c r="AV1324" s="520"/>
      <c r="AY1324" s="507"/>
      <c r="BA1324" s="507"/>
      <c r="BJ1324" s="493"/>
      <c r="CU1324" s="488"/>
      <c r="CW1324" s="488"/>
      <c r="EV1324" s="821"/>
      <c r="EW1324" s="821"/>
    </row>
    <row r="1325" spans="1:153" s="757" customFormat="1" hidden="1">
      <c r="A1325" s="487"/>
      <c r="B1325" s="487"/>
      <c r="C1325" s="487"/>
      <c r="D1325" s="487"/>
      <c r="I1325" s="487"/>
      <c r="J1325" s="487"/>
      <c r="K1325" s="487"/>
      <c r="L1325" s="487"/>
      <c r="M1325" s="487"/>
      <c r="N1325" s="487"/>
      <c r="O1325" s="875"/>
      <c r="Q1325" s="704"/>
      <c r="R1325" s="1026"/>
      <c r="S1325" s="704"/>
      <c r="T1325" s="1026"/>
      <c r="AB1325" s="520"/>
      <c r="AC1325" s="520"/>
      <c r="AD1325" s="520"/>
      <c r="AE1325" s="520"/>
      <c r="AF1325" s="520"/>
      <c r="AG1325" s="520"/>
      <c r="AH1325" s="520"/>
      <c r="AI1325" s="520"/>
      <c r="AJ1325" s="520"/>
      <c r="AK1325" s="520"/>
      <c r="AL1325" s="520"/>
      <c r="AM1325" s="520"/>
      <c r="AN1325" s="520"/>
      <c r="AO1325" s="520"/>
      <c r="AP1325" s="520"/>
      <c r="AQ1325" s="520"/>
      <c r="AR1325" s="520"/>
      <c r="AS1325" s="520"/>
      <c r="AT1325" s="520"/>
      <c r="AU1325" s="520"/>
      <c r="AV1325" s="520"/>
      <c r="AY1325" s="507"/>
      <c r="BA1325" s="507"/>
      <c r="BJ1325" s="493"/>
      <c r="CU1325" s="488"/>
      <c r="CW1325" s="488"/>
      <c r="EV1325" s="821"/>
      <c r="EW1325" s="821"/>
    </row>
    <row r="1326" spans="1:153" s="757" customFormat="1" hidden="1">
      <c r="A1326" s="487"/>
      <c r="B1326" s="487"/>
      <c r="C1326" s="487"/>
      <c r="D1326" s="487"/>
      <c r="I1326" s="487"/>
      <c r="J1326" s="487"/>
      <c r="K1326" s="487"/>
      <c r="L1326" s="487"/>
      <c r="M1326" s="487"/>
      <c r="N1326" s="487"/>
      <c r="O1326" s="875"/>
      <c r="Q1326" s="704"/>
      <c r="R1326" s="1026"/>
      <c r="S1326" s="704"/>
      <c r="T1326" s="1026"/>
      <c r="AB1326" s="520"/>
      <c r="AC1326" s="520"/>
      <c r="AD1326" s="520"/>
      <c r="AE1326" s="520"/>
      <c r="AF1326" s="520"/>
      <c r="AG1326" s="520"/>
      <c r="AH1326" s="520"/>
      <c r="AI1326" s="520"/>
      <c r="AJ1326" s="520"/>
      <c r="AK1326" s="520"/>
      <c r="AL1326" s="520"/>
      <c r="AM1326" s="520"/>
      <c r="AN1326" s="520"/>
      <c r="AO1326" s="520"/>
      <c r="AP1326" s="520"/>
      <c r="AQ1326" s="520"/>
      <c r="AR1326" s="520"/>
      <c r="AS1326" s="520"/>
      <c r="AT1326" s="520"/>
      <c r="AU1326" s="520"/>
      <c r="AV1326" s="520"/>
      <c r="AY1326" s="507"/>
      <c r="BA1326" s="507"/>
      <c r="BJ1326" s="493"/>
      <c r="CU1326" s="488"/>
      <c r="CW1326" s="488"/>
      <c r="EV1326" s="821"/>
      <c r="EW1326" s="821"/>
    </row>
    <row r="1327" spans="1:153" s="757" customFormat="1" hidden="1">
      <c r="A1327" s="487"/>
      <c r="B1327" s="487"/>
      <c r="C1327" s="487"/>
      <c r="D1327" s="487"/>
      <c r="I1327" s="487"/>
      <c r="J1327" s="487"/>
      <c r="K1327" s="487"/>
      <c r="L1327" s="487"/>
      <c r="M1327" s="487"/>
      <c r="N1327" s="487"/>
      <c r="O1327" s="875"/>
      <c r="Q1327" s="704"/>
      <c r="R1327" s="1026"/>
      <c r="S1327" s="704"/>
      <c r="T1327" s="1026"/>
      <c r="AB1327" s="520"/>
      <c r="AC1327" s="520"/>
      <c r="AD1327" s="520"/>
      <c r="AE1327" s="520"/>
      <c r="AF1327" s="520"/>
      <c r="AG1327" s="520"/>
      <c r="AH1327" s="520"/>
      <c r="AI1327" s="520"/>
      <c r="AJ1327" s="520"/>
      <c r="AK1327" s="520"/>
      <c r="AL1327" s="520"/>
      <c r="AM1327" s="520"/>
      <c r="AN1327" s="520"/>
      <c r="AO1327" s="520"/>
      <c r="AP1327" s="520"/>
      <c r="AQ1327" s="520"/>
      <c r="AR1327" s="520"/>
      <c r="AS1327" s="520"/>
      <c r="AT1327" s="520"/>
      <c r="AU1327" s="520"/>
      <c r="AV1327" s="520"/>
      <c r="AY1327" s="507"/>
      <c r="BA1327" s="507"/>
      <c r="BJ1327" s="493"/>
      <c r="CU1327" s="488"/>
      <c r="CW1327" s="488"/>
      <c r="EV1327" s="821"/>
      <c r="EW1327" s="821"/>
    </row>
    <row r="1328" spans="1:153" s="757" customFormat="1" hidden="1">
      <c r="A1328" s="487"/>
      <c r="B1328" s="487"/>
      <c r="C1328" s="487"/>
      <c r="D1328" s="487"/>
      <c r="I1328" s="487"/>
      <c r="J1328" s="487"/>
      <c r="K1328" s="487"/>
      <c r="L1328" s="487"/>
      <c r="M1328" s="487"/>
      <c r="N1328" s="487"/>
      <c r="O1328" s="875"/>
      <c r="Q1328" s="704"/>
      <c r="R1328" s="1026"/>
      <c r="S1328" s="704"/>
      <c r="T1328" s="1026"/>
      <c r="AB1328" s="520"/>
      <c r="AC1328" s="520"/>
      <c r="AD1328" s="520"/>
      <c r="AE1328" s="520"/>
      <c r="AF1328" s="520"/>
      <c r="AG1328" s="520"/>
      <c r="AH1328" s="520"/>
      <c r="AI1328" s="520"/>
      <c r="AJ1328" s="520"/>
      <c r="AK1328" s="520"/>
      <c r="AL1328" s="520"/>
      <c r="AM1328" s="520"/>
      <c r="AN1328" s="520"/>
      <c r="AO1328" s="520"/>
      <c r="AP1328" s="520"/>
      <c r="AQ1328" s="520"/>
      <c r="AR1328" s="520"/>
      <c r="AS1328" s="520"/>
      <c r="AT1328" s="520"/>
      <c r="AU1328" s="520"/>
      <c r="AV1328" s="520"/>
      <c r="AY1328" s="507"/>
      <c r="BA1328" s="507"/>
      <c r="BJ1328" s="493"/>
      <c r="CU1328" s="488"/>
      <c r="CW1328" s="488"/>
      <c r="EV1328" s="821"/>
      <c r="EW1328" s="821"/>
    </row>
    <row r="1329" spans="1:153" s="757" customFormat="1" hidden="1">
      <c r="A1329" s="487"/>
      <c r="B1329" s="487"/>
      <c r="C1329" s="487"/>
      <c r="D1329" s="487"/>
      <c r="I1329" s="487"/>
      <c r="J1329" s="487"/>
      <c r="K1329" s="487"/>
      <c r="L1329" s="487"/>
      <c r="M1329" s="487"/>
      <c r="N1329" s="487"/>
      <c r="O1329" s="875"/>
      <c r="Q1329" s="704"/>
      <c r="R1329" s="1026"/>
      <c r="S1329" s="704"/>
      <c r="T1329" s="1026"/>
      <c r="AB1329" s="520"/>
      <c r="AC1329" s="520"/>
      <c r="AD1329" s="520"/>
      <c r="AE1329" s="520"/>
      <c r="AF1329" s="520"/>
      <c r="AG1329" s="520"/>
      <c r="AH1329" s="520"/>
      <c r="AI1329" s="520"/>
      <c r="AJ1329" s="520"/>
      <c r="AK1329" s="520"/>
      <c r="AL1329" s="520"/>
      <c r="AM1329" s="520"/>
      <c r="AN1329" s="520"/>
      <c r="AO1329" s="520"/>
      <c r="AP1329" s="520"/>
      <c r="AQ1329" s="520"/>
      <c r="AR1329" s="520"/>
      <c r="AS1329" s="520"/>
      <c r="AT1329" s="520"/>
      <c r="AU1329" s="520"/>
      <c r="AV1329" s="520"/>
      <c r="AY1329" s="507"/>
      <c r="BA1329" s="507"/>
      <c r="BJ1329" s="493"/>
      <c r="CU1329" s="488"/>
      <c r="CW1329" s="488"/>
      <c r="EV1329" s="821"/>
      <c r="EW1329" s="821"/>
    </row>
    <row r="1330" spans="1:153" s="757" customFormat="1" hidden="1">
      <c r="A1330" s="487"/>
      <c r="B1330" s="487"/>
      <c r="C1330" s="487"/>
      <c r="D1330" s="487"/>
      <c r="I1330" s="487"/>
      <c r="J1330" s="487"/>
      <c r="K1330" s="487"/>
      <c r="L1330" s="487"/>
      <c r="M1330" s="487"/>
      <c r="N1330" s="487"/>
      <c r="O1330" s="875"/>
      <c r="Q1330" s="704"/>
      <c r="R1330" s="1026"/>
      <c r="S1330" s="704"/>
      <c r="T1330" s="1026"/>
      <c r="AB1330" s="520"/>
      <c r="AC1330" s="520"/>
      <c r="AD1330" s="520"/>
      <c r="AE1330" s="520"/>
      <c r="AF1330" s="520"/>
      <c r="AG1330" s="520"/>
      <c r="AH1330" s="520"/>
      <c r="AI1330" s="520"/>
      <c r="AJ1330" s="520"/>
      <c r="AK1330" s="520"/>
      <c r="AL1330" s="520"/>
      <c r="AM1330" s="520"/>
      <c r="AN1330" s="520"/>
      <c r="AO1330" s="520"/>
      <c r="AP1330" s="520"/>
      <c r="AQ1330" s="520"/>
      <c r="AR1330" s="520"/>
      <c r="AS1330" s="520"/>
      <c r="AT1330" s="520"/>
      <c r="AU1330" s="520"/>
      <c r="AV1330" s="520"/>
      <c r="AY1330" s="507"/>
      <c r="BA1330" s="507"/>
      <c r="BJ1330" s="493"/>
      <c r="CU1330" s="488"/>
      <c r="CW1330" s="488"/>
      <c r="EV1330" s="821"/>
      <c r="EW1330" s="821"/>
    </row>
    <row r="1331" spans="1:153" s="757" customFormat="1" hidden="1">
      <c r="A1331" s="487"/>
      <c r="B1331" s="487"/>
      <c r="C1331" s="487"/>
      <c r="D1331" s="487"/>
      <c r="I1331" s="487"/>
      <c r="J1331" s="487"/>
      <c r="K1331" s="487"/>
      <c r="L1331" s="487"/>
      <c r="M1331" s="487"/>
      <c r="N1331" s="487"/>
      <c r="O1331" s="875"/>
      <c r="Q1331" s="704"/>
      <c r="R1331" s="1026"/>
      <c r="S1331" s="704"/>
      <c r="T1331" s="1026"/>
      <c r="AB1331" s="520"/>
      <c r="AC1331" s="520"/>
      <c r="AD1331" s="520"/>
      <c r="AE1331" s="520"/>
      <c r="AF1331" s="520"/>
      <c r="AG1331" s="520"/>
      <c r="AH1331" s="520"/>
      <c r="AI1331" s="520"/>
      <c r="AJ1331" s="520"/>
      <c r="AK1331" s="520"/>
      <c r="AL1331" s="520"/>
      <c r="AM1331" s="520"/>
      <c r="AN1331" s="520"/>
      <c r="AO1331" s="520"/>
      <c r="AP1331" s="520"/>
      <c r="AQ1331" s="520"/>
      <c r="AR1331" s="520"/>
      <c r="AS1331" s="520"/>
      <c r="AT1331" s="520"/>
      <c r="AU1331" s="520"/>
      <c r="AV1331" s="520"/>
      <c r="AY1331" s="507"/>
      <c r="BA1331" s="507"/>
      <c r="BJ1331" s="493"/>
      <c r="CU1331" s="488"/>
      <c r="CW1331" s="488"/>
      <c r="EV1331" s="821"/>
      <c r="EW1331" s="821"/>
    </row>
    <row r="1332" spans="1:153" s="757" customFormat="1" hidden="1">
      <c r="A1332" s="487"/>
      <c r="B1332" s="487"/>
      <c r="C1332" s="487"/>
      <c r="D1332" s="487"/>
      <c r="I1332" s="487"/>
      <c r="J1332" s="487"/>
      <c r="K1332" s="487"/>
      <c r="L1332" s="487"/>
      <c r="M1332" s="487"/>
      <c r="N1332" s="487"/>
      <c r="O1332" s="875"/>
      <c r="Q1332" s="704"/>
      <c r="R1332" s="1026"/>
      <c r="S1332" s="704"/>
      <c r="T1332" s="1026"/>
      <c r="AB1332" s="520"/>
      <c r="AC1332" s="520"/>
      <c r="AD1332" s="520"/>
      <c r="AE1332" s="520"/>
      <c r="AF1332" s="520"/>
      <c r="AG1332" s="520"/>
      <c r="AH1332" s="520"/>
      <c r="AI1332" s="520"/>
      <c r="AJ1332" s="520"/>
      <c r="AK1332" s="520"/>
      <c r="AL1332" s="520"/>
      <c r="AM1332" s="520"/>
      <c r="AN1332" s="520"/>
      <c r="AO1332" s="520"/>
      <c r="AP1332" s="520"/>
      <c r="AQ1332" s="520"/>
      <c r="AR1332" s="520"/>
      <c r="AS1332" s="520"/>
      <c r="AT1332" s="520"/>
      <c r="AU1332" s="520"/>
      <c r="AV1332" s="520"/>
      <c r="AY1332" s="507"/>
      <c r="BA1332" s="507"/>
      <c r="BJ1332" s="493"/>
      <c r="CU1332" s="488"/>
      <c r="CW1332" s="488"/>
      <c r="EV1332" s="821"/>
      <c r="EW1332" s="821"/>
    </row>
    <row r="1333" spans="1:153" s="757" customFormat="1" hidden="1">
      <c r="A1333" s="487"/>
      <c r="B1333" s="487"/>
      <c r="C1333" s="487"/>
      <c r="D1333" s="487"/>
      <c r="I1333" s="487"/>
      <c r="J1333" s="487"/>
      <c r="K1333" s="487"/>
      <c r="L1333" s="487"/>
      <c r="M1333" s="487"/>
      <c r="N1333" s="487"/>
      <c r="O1333" s="875"/>
      <c r="Q1333" s="704"/>
      <c r="R1333" s="1026"/>
      <c r="S1333" s="704"/>
      <c r="T1333" s="1026"/>
      <c r="AB1333" s="520"/>
      <c r="AC1333" s="520"/>
      <c r="AD1333" s="520"/>
      <c r="AE1333" s="520"/>
      <c r="AF1333" s="520"/>
      <c r="AG1333" s="520"/>
      <c r="AH1333" s="520"/>
      <c r="AI1333" s="520"/>
      <c r="AJ1333" s="520"/>
      <c r="AK1333" s="520"/>
      <c r="AL1333" s="520"/>
      <c r="AM1333" s="520"/>
      <c r="AN1333" s="520"/>
      <c r="AO1333" s="520"/>
      <c r="AP1333" s="520"/>
      <c r="AQ1333" s="520"/>
      <c r="AR1333" s="520"/>
      <c r="AS1333" s="520"/>
      <c r="AT1333" s="520"/>
      <c r="AU1333" s="520"/>
      <c r="AV1333" s="520"/>
      <c r="AY1333" s="507"/>
      <c r="BA1333" s="507"/>
      <c r="BJ1333" s="493"/>
      <c r="CU1333" s="488"/>
      <c r="CW1333" s="488"/>
      <c r="EV1333" s="821"/>
      <c r="EW1333" s="821"/>
    </row>
    <row r="1334" spans="1:153" s="757" customFormat="1" hidden="1">
      <c r="A1334" s="487"/>
      <c r="B1334" s="487"/>
      <c r="C1334" s="487"/>
      <c r="D1334" s="487"/>
      <c r="I1334" s="487"/>
      <c r="J1334" s="487"/>
      <c r="K1334" s="487"/>
      <c r="L1334" s="487"/>
      <c r="M1334" s="487"/>
      <c r="N1334" s="487"/>
      <c r="O1334" s="875"/>
      <c r="Q1334" s="704"/>
      <c r="R1334" s="1026"/>
      <c r="S1334" s="704"/>
      <c r="T1334" s="1026"/>
      <c r="AB1334" s="520"/>
      <c r="AC1334" s="520"/>
      <c r="AD1334" s="520"/>
      <c r="AE1334" s="520"/>
      <c r="AF1334" s="520"/>
      <c r="AG1334" s="520"/>
      <c r="AH1334" s="520"/>
      <c r="AI1334" s="520"/>
      <c r="AJ1334" s="520"/>
      <c r="AK1334" s="520"/>
      <c r="AL1334" s="520"/>
      <c r="AM1334" s="520"/>
      <c r="AN1334" s="520"/>
      <c r="AO1334" s="520"/>
      <c r="AP1334" s="520"/>
      <c r="AQ1334" s="520"/>
      <c r="AR1334" s="520"/>
      <c r="AS1334" s="520"/>
      <c r="AT1334" s="520"/>
      <c r="AU1334" s="520"/>
      <c r="AV1334" s="520"/>
      <c r="AY1334" s="507"/>
      <c r="BA1334" s="507"/>
      <c r="BJ1334" s="493"/>
      <c r="CU1334" s="488"/>
      <c r="CW1334" s="488"/>
      <c r="EV1334" s="821"/>
      <c r="EW1334" s="821"/>
    </row>
    <row r="1335" spans="1:153" s="757" customFormat="1" hidden="1">
      <c r="A1335" s="487"/>
      <c r="B1335" s="487"/>
      <c r="C1335" s="487"/>
      <c r="D1335" s="487"/>
      <c r="I1335" s="487"/>
      <c r="J1335" s="487"/>
      <c r="K1335" s="487"/>
      <c r="L1335" s="487"/>
      <c r="M1335" s="487"/>
      <c r="N1335" s="487"/>
      <c r="O1335" s="875"/>
      <c r="Q1335" s="704"/>
      <c r="R1335" s="1026"/>
      <c r="S1335" s="704"/>
      <c r="T1335" s="1026"/>
      <c r="AB1335" s="520"/>
      <c r="AC1335" s="520"/>
      <c r="AD1335" s="520"/>
      <c r="AE1335" s="520"/>
      <c r="AF1335" s="520"/>
      <c r="AG1335" s="520"/>
      <c r="AH1335" s="520"/>
      <c r="AI1335" s="520"/>
      <c r="AJ1335" s="520"/>
      <c r="AK1335" s="520"/>
      <c r="AL1335" s="520"/>
      <c r="AM1335" s="520"/>
      <c r="AN1335" s="520"/>
      <c r="AO1335" s="520"/>
      <c r="AP1335" s="520"/>
      <c r="AQ1335" s="520"/>
      <c r="AR1335" s="520"/>
      <c r="AS1335" s="520"/>
      <c r="AT1335" s="520"/>
      <c r="AU1335" s="520"/>
      <c r="AV1335" s="520"/>
      <c r="AY1335" s="507"/>
      <c r="BA1335" s="507"/>
      <c r="BJ1335" s="493"/>
      <c r="CU1335" s="488"/>
      <c r="CW1335" s="488"/>
      <c r="EV1335" s="821"/>
      <c r="EW1335" s="821"/>
    </row>
    <row r="1336" spans="1:153" s="757" customFormat="1" hidden="1">
      <c r="A1336" s="487"/>
      <c r="B1336" s="487"/>
      <c r="C1336" s="487"/>
      <c r="D1336" s="487"/>
      <c r="I1336" s="487"/>
      <c r="J1336" s="487"/>
      <c r="K1336" s="487"/>
      <c r="L1336" s="487"/>
      <c r="M1336" s="487"/>
      <c r="N1336" s="487"/>
      <c r="O1336" s="875"/>
      <c r="Q1336" s="704"/>
      <c r="R1336" s="1026"/>
      <c r="S1336" s="704"/>
      <c r="T1336" s="1026"/>
      <c r="AB1336" s="520"/>
      <c r="AC1336" s="520"/>
      <c r="AD1336" s="520"/>
      <c r="AE1336" s="520"/>
      <c r="AF1336" s="520"/>
      <c r="AG1336" s="520"/>
      <c r="AH1336" s="520"/>
      <c r="AI1336" s="520"/>
      <c r="AJ1336" s="520"/>
      <c r="AK1336" s="520"/>
      <c r="AL1336" s="520"/>
      <c r="AM1336" s="520"/>
      <c r="AN1336" s="520"/>
      <c r="AO1336" s="520"/>
      <c r="AP1336" s="520"/>
      <c r="AQ1336" s="520"/>
      <c r="AR1336" s="520"/>
      <c r="AS1336" s="520"/>
      <c r="AT1336" s="520"/>
      <c r="AU1336" s="520"/>
      <c r="AV1336" s="520"/>
      <c r="AY1336" s="507"/>
      <c r="BA1336" s="507"/>
      <c r="BJ1336" s="493"/>
      <c r="CU1336" s="488"/>
      <c r="CW1336" s="488"/>
      <c r="EV1336" s="821"/>
      <c r="EW1336" s="821"/>
    </row>
    <row r="1337" spans="1:153" s="757" customFormat="1" hidden="1">
      <c r="A1337" s="487"/>
      <c r="B1337" s="487"/>
      <c r="C1337" s="487"/>
      <c r="D1337" s="487"/>
      <c r="I1337" s="487"/>
      <c r="J1337" s="487"/>
      <c r="K1337" s="487"/>
      <c r="L1337" s="487"/>
      <c r="M1337" s="487"/>
      <c r="N1337" s="487"/>
      <c r="O1337" s="875"/>
      <c r="Q1337" s="704"/>
      <c r="R1337" s="1026"/>
      <c r="S1337" s="704"/>
      <c r="T1337" s="1026"/>
      <c r="AB1337" s="520"/>
      <c r="AC1337" s="520"/>
      <c r="AD1337" s="520"/>
      <c r="AE1337" s="520"/>
      <c r="AF1337" s="520"/>
      <c r="AG1337" s="520"/>
      <c r="AH1337" s="520"/>
      <c r="AI1337" s="520"/>
      <c r="AJ1337" s="520"/>
      <c r="AK1337" s="520"/>
      <c r="AL1337" s="520"/>
      <c r="AM1337" s="520"/>
      <c r="AN1337" s="520"/>
      <c r="AO1337" s="520"/>
      <c r="AP1337" s="520"/>
      <c r="AQ1337" s="520"/>
      <c r="AR1337" s="520"/>
      <c r="AS1337" s="520"/>
      <c r="AT1337" s="520"/>
      <c r="AU1337" s="520"/>
      <c r="AV1337" s="520"/>
      <c r="AY1337" s="507"/>
      <c r="BA1337" s="507"/>
      <c r="BJ1337" s="493"/>
      <c r="CU1337" s="488"/>
      <c r="CW1337" s="488"/>
      <c r="EV1337" s="821"/>
      <c r="EW1337" s="821"/>
    </row>
    <row r="1338" spans="1:153" s="757" customFormat="1" hidden="1">
      <c r="A1338" s="487"/>
      <c r="B1338" s="487"/>
      <c r="C1338" s="487"/>
      <c r="D1338" s="487"/>
      <c r="I1338" s="487"/>
      <c r="J1338" s="487"/>
      <c r="K1338" s="487"/>
      <c r="L1338" s="487"/>
      <c r="M1338" s="487"/>
      <c r="N1338" s="487"/>
      <c r="O1338" s="875"/>
      <c r="Q1338" s="704"/>
      <c r="R1338" s="1026"/>
      <c r="S1338" s="704"/>
      <c r="T1338" s="1026"/>
      <c r="AB1338" s="520"/>
      <c r="AC1338" s="520"/>
      <c r="AD1338" s="520"/>
      <c r="AE1338" s="520"/>
      <c r="AF1338" s="520"/>
      <c r="AG1338" s="520"/>
      <c r="AH1338" s="520"/>
      <c r="AI1338" s="520"/>
      <c r="AJ1338" s="520"/>
      <c r="AK1338" s="520"/>
      <c r="AL1338" s="520"/>
      <c r="AM1338" s="520"/>
      <c r="AN1338" s="520"/>
      <c r="AO1338" s="520"/>
      <c r="AP1338" s="520"/>
      <c r="AQ1338" s="520"/>
      <c r="AR1338" s="520"/>
      <c r="AS1338" s="520"/>
      <c r="AT1338" s="520"/>
      <c r="AU1338" s="520"/>
      <c r="AV1338" s="520"/>
      <c r="AY1338" s="507"/>
      <c r="BA1338" s="507"/>
      <c r="BJ1338" s="493"/>
      <c r="CU1338" s="488"/>
      <c r="CW1338" s="488"/>
      <c r="EV1338" s="821"/>
      <c r="EW1338" s="821"/>
    </row>
    <row r="1339" spans="1:153" s="757" customFormat="1" hidden="1">
      <c r="A1339" s="487"/>
      <c r="B1339" s="487"/>
      <c r="C1339" s="487"/>
      <c r="D1339" s="487"/>
      <c r="I1339" s="487"/>
      <c r="J1339" s="487"/>
      <c r="K1339" s="487"/>
      <c r="L1339" s="487"/>
      <c r="M1339" s="487"/>
      <c r="N1339" s="487"/>
      <c r="O1339" s="875"/>
      <c r="Q1339" s="704"/>
      <c r="R1339" s="1026"/>
      <c r="S1339" s="704"/>
      <c r="T1339" s="1026"/>
      <c r="AB1339" s="520"/>
      <c r="AC1339" s="520"/>
      <c r="AD1339" s="520"/>
      <c r="AE1339" s="520"/>
      <c r="AF1339" s="520"/>
      <c r="AG1339" s="520"/>
      <c r="AH1339" s="520"/>
      <c r="AI1339" s="520"/>
      <c r="AJ1339" s="520"/>
      <c r="AK1339" s="520"/>
      <c r="AL1339" s="520"/>
      <c r="AM1339" s="520"/>
      <c r="AN1339" s="520"/>
      <c r="AO1339" s="520"/>
      <c r="AP1339" s="520"/>
      <c r="AQ1339" s="520"/>
      <c r="AR1339" s="520"/>
      <c r="AS1339" s="520"/>
      <c r="AT1339" s="520"/>
      <c r="AU1339" s="520"/>
      <c r="AV1339" s="520"/>
      <c r="AY1339" s="507"/>
      <c r="BA1339" s="507"/>
      <c r="BJ1339" s="493"/>
      <c r="CU1339" s="488"/>
      <c r="CW1339" s="488"/>
      <c r="EV1339" s="821"/>
      <c r="EW1339" s="821"/>
    </row>
    <row r="1340" spans="1:153" s="757" customFormat="1" hidden="1">
      <c r="A1340" s="487"/>
      <c r="B1340" s="487"/>
      <c r="C1340" s="487"/>
      <c r="D1340" s="487"/>
      <c r="I1340" s="487"/>
      <c r="J1340" s="487"/>
      <c r="K1340" s="487"/>
      <c r="L1340" s="487"/>
      <c r="M1340" s="487"/>
      <c r="N1340" s="487"/>
      <c r="O1340" s="875"/>
      <c r="Q1340" s="704"/>
      <c r="R1340" s="1026"/>
      <c r="S1340" s="704"/>
      <c r="T1340" s="1026"/>
      <c r="AB1340" s="520"/>
      <c r="AC1340" s="520"/>
      <c r="AD1340" s="520"/>
      <c r="AE1340" s="520"/>
      <c r="AF1340" s="520"/>
      <c r="AG1340" s="520"/>
      <c r="AH1340" s="520"/>
      <c r="AI1340" s="520"/>
      <c r="AJ1340" s="520"/>
      <c r="AK1340" s="520"/>
      <c r="AL1340" s="520"/>
      <c r="AM1340" s="520"/>
      <c r="AN1340" s="520"/>
      <c r="AO1340" s="520"/>
      <c r="AP1340" s="520"/>
      <c r="AQ1340" s="520"/>
      <c r="AR1340" s="520"/>
      <c r="AS1340" s="520"/>
      <c r="AT1340" s="520"/>
      <c r="AU1340" s="520"/>
      <c r="AV1340" s="520"/>
      <c r="AY1340" s="507"/>
      <c r="BA1340" s="507"/>
      <c r="BJ1340" s="493"/>
      <c r="CU1340" s="488"/>
      <c r="CW1340" s="488"/>
      <c r="EV1340" s="821"/>
      <c r="EW1340" s="821"/>
    </row>
    <row r="1341" spans="1:153" s="757" customFormat="1" hidden="1">
      <c r="A1341" s="487"/>
      <c r="B1341" s="487"/>
      <c r="C1341" s="487"/>
      <c r="D1341" s="487"/>
      <c r="I1341" s="487"/>
      <c r="J1341" s="487"/>
      <c r="K1341" s="487"/>
      <c r="L1341" s="487"/>
      <c r="M1341" s="487"/>
      <c r="N1341" s="487"/>
      <c r="O1341" s="875"/>
      <c r="Q1341" s="704"/>
      <c r="R1341" s="1026"/>
      <c r="S1341" s="704"/>
      <c r="T1341" s="1026"/>
      <c r="AB1341" s="520"/>
      <c r="AC1341" s="520"/>
      <c r="AD1341" s="520"/>
      <c r="AE1341" s="520"/>
      <c r="AF1341" s="520"/>
      <c r="AG1341" s="520"/>
      <c r="AH1341" s="520"/>
      <c r="AI1341" s="520"/>
      <c r="AJ1341" s="520"/>
      <c r="AK1341" s="520"/>
      <c r="AL1341" s="520"/>
      <c r="AM1341" s="520"/>
      <c r="AN1341" s="520"/>
      <c r="AO1341" s="520"/>
      <c r="AP1341" s="520"/>
      <c r="AQ1341" s="520"/>
      <c r="AR1341" s="520"/>
      <c r="AS1341" s="520"/>
      <c r="AT1341" s="520"/>
      <c r="AU1341" s="520"/>
      <c r="AV1341" s="520"/>
      <c r="AY1341" s="507"/>
      <c r="BA1341" s="507"/>
      <c r="BJ1341" s="493"/>
      <c r="CU1341" s="488"/>
      <c r="CW1341" s="488"/>
      <c r="EV1341" s="821"/>
      <c r="EW1341" s="821"/>
    </row>
    <row r="1342" spans="1:153" s="757" customFormat="1" hidden="1">
      <c r="A1342" s="487"/>
      <c r="B1342" s="487"/>
      <c r="C1342" s="487"/>
      <c r="D1342" s="487"/>
      <c r="I1342" s="487"/>
      <c r="J1342" s="487"/>
      <c r="K1342" s="487"/>
      <c r="L1342" s="487"/>
      <c r="M1342" s="487"/>
      <c r="N1342" s="487"/>
      <c r="O1342" s="875"/>
      <c r="Q1342" s="704"/>
      <c r="R1342" s="1026"/>
      <c r="S1342" s="704"/>
      <c r="T1342" s="1026"/>
      <c r="AB1342" s="520"/>
      <c r="AC1342" s="520"/>
      <c r="AD1342" s="520"/>
      <c r="AE1342" s="520"/>
      <c r="AF1342" s="520"/>
      <c r="AG1342" s="520"/>
      <c r="AH1342" s="520"/>
      <c r="AI1342" s="520"/>
      <c r="AJ1342" s="520"/>
      <c r="AK1342" s="520"/>
      <c r="AL1342" s="520"/>
      <c r="AM1342" s="520"/>
      <c r="AN1342" s="520"/>
      <c r="AO1342" s="520"/>
      <c r="AP1342" s="520"/>
      <c r="AQ1342" s="520"/>
      <c r="AR1342" s="520"/>
      <c r="AS1342" s="520"/>
      <c r="AT1342" s="520"/>
      <c r="AU1342" s="520"/>
      <c r="AV1342" s="520"/>
      <c r="AY1342" s="507"/>
      <c r="BA1342" s="507"/>
      <c r="BJ1342" s="493"/>
      <c r="CU1342" s="488"/>
      <c r="CW1342" s="488"/>
      <c r="EV1342" s="821"/>
      <c r="EW1342" s="821"/>
    </row>
    <row r="1343" spans="1:153" s="757" customFormat="1" hidden="1">
      <c r="A1343" s="487"/>
      <c r="B1343" s="487"/>
      <c r="C1343" s="487"/>
      <c r="D1343" s="487"/>
      <c r="I1343" s="487"/>
      <c r="J1343" s="487"/>
      <c r="K1343" s="487"/>
      <c r="L1343" s="487"/>
      <c r="M1343" s="487"/>
      <c r="N1343" s="487"/>
      <c r="O1343" s="875"/>
      <c r="Q1343" s="704"/>
      <c r="R1343" s="1026"/>
      <c r="S1343" s="704"/>
      <c r="T1343" s="1026"/>
      <c r="AB1343" s="520"/>
      <c r="AC1343" s="520"/>
      <c r="AD1343" s="520"/>
      <c r="AE1343" s="520"/>
      <c r="AF1343" s="520"/>
      <c r="AG1343" s="520"/>
      <c r="AH1343" s="520"/>
      <c r="AI1343" s="520"/>
      <c r="AJ1343" s="520"/>
      <c r="AK1343" s="520"/>
      <c r="AL1343" s="520"/>
      <c r="AM1343" s="520"/>
      <c r="AN1343" s="520"/>
      <c r="AO1343" s="520"/>
      <c r="AP1343" s="520"/>
      <c r="AQ1343" s="520"/>
      <c r="AR1343" s="520"/>
      <c r="AS1343" s="520"/>
      <c r="AT1343" s="520"/>
      <c r="AU1343" s="520"/>
      <c r="AV1343" s="520"/>
      <c r="AY1343" s="507"/>
      <c r="BA1343" s="507"/>
      <c r="BJ1343" s="493"/>
      <c r="CU1343" s="488"/>
      <c r="CW1343" s="488"/>
      <c r="EV1343" s="821"/>
      <c r="EW1343" s="821"/>
    </row>
    <row r="1344" spans="1:153" s="757" customFormat="1" hidden="1">
      <c r="A1344" s="487"/>
      <c r="B1344" s="487"/>
      <c r="C1344" s="487"/>
      <c r="D1344" s="487"/>
      <c r="I1344" s="487"/>
      <c r="J1344" s="487"/>
      <c r="K1344" s="487"/>
      <c r="L1344" s="487"/>
      <c r="M1344" s="487"/>
      <c r="N1344" s="487"/>
      <c r="O1344" s="875"/>
      <c r="Q1344" s="704"/>
      <c r="R1344" s="1026"/>
      <c r="S1344" s="704"/>
      <c r="T1344" s="1026"/>
      <c r="AB1344" s="520"/>
      <c r="AC1344" s="520"/>
      <c r="AD1344" s="520"/>
      <c r="AE1344" s="520"/>
      <c r="AF1344" s="520"/>
      <c r="AG1344" s="520"/>
      <c r="AH1344" s="520"/>
      <c r="AI1344" s="520"/>
      <c r="AJ1344" s="520"/>
      <c r="AK1344" s="520"/>
      <c r="AL1344" s="520"/>
      <c r="AM1344" s="520"/>
      <c r="AN1344" s="520"/>
      <c r="AO1344" s="520"/>
      <c r="AP1344" s="520"/>
      <c r="AQ1344" s="520"/>
      <c r="AR1344" s="520"/>
      <c r="AS1344" s="520"/>
      <c r="AT1344" s="520"/>
      <c r="AU1344" s="520"/>
      <c r="AV1344" s="520"/>
      <c r="AY1344" s="507"/>
      <c r="BA1344" s="507"/>
      <c r="BJ1344" s="493"/>
      <c r="CU1344" s="488"/>
      <c r="CW1344" s="488"/>
      <c r="EV1344" s="821"/>
      <c r="EW1344" s="821"/>
    </row>
    <row r="1345" spans="1:153" s="757" customFormat="1" hidden="1">
      <c r="A1345" s="487"/>
      <c r="B1345" s="487"/>
      <c r="C1345" s="487"/>
      <c r="D1345" s="487"/>
      <c r="I1345" s="487"/>
      <c r="J1345" s="487"/>
      <c r="K1345" s="487"/>
      <c r="L1345" s="487"/>
      <c r="M1345" s="487"/>
      <c r="N1345" s="487"/>
      <c r="O1345" s="875"/>
      <c r="Q1345" s="704"/>
      <c r="R1345" s="1026"/>
      <c r="S1345" s="704"/>
      <c r="T1345" s="1026"/>
      <c r="AB1345" s="520"/>
      <c r="AC1345" s="520"/>
      <c r="AD1345" s="520"/>
      <c r="AE1345" s="520"/>
      <c r="AF1345" s="520"/>
      <c r="AG1345" s="520"/>
      <c r="AH1345" s="520"/>
      <c r="AI1345" s="520"/>
      <c r="AJ1345" s="520"/>
      <c r="AK1345" s="520"/>
      <c r="AL1345" s="520"/>
      <c r="AM1345" s="520"/>
      <c r="AN1345" s="520"/>
      <c r="AO1345" s="520"/>
      <c r="AP1345" s="520"/>
      <c r="AQ1345" s="520"/>
      <c r="AR1345" s="520"/>
      <c r="AS1345" s="520"/>
      <c r="AT1345" s="520"/>
      <c r="AU1345" s="520"/>
      <c r="AV1345" s="520"/>
      <c r="AY1345" s="507"/>
      <c r="BA1345" s="507"/>
      <c r="BJ1345" s="493"/>
      <c r="CU1345" s="488"/>
      <c r="CW1345" s="488"/>
      <c r="EV1345" s="821"/>
      <c r="EW1345" s="821"/>
    </row>
    <row r="1346" spans="1:153" s="757" customFormat="1" hidden="1">
      <c r="A1346" s="487"/>
      <c r="B1346" s="487"/>
      <c r="C1346" s="487"/>
      <c r="D1346" s="487"/>
      <c r="I1346" s="487"/>
      <c r="J1346" s="487"/>
      <c r="K1346" s="487"/>
      <c r="L1346" s="487"/>
      <c r="M1346" s="487"/>
      <c r="N1346" s="487"/>
      <c r="O1346" s="875"/>
      <c r="Q1346" s="704"/>
      <c r="R1346" s="1026"/>
      <c r="S1346" s="704"/>
      <c r="T1346" s="1026"/>
      <c r="AB1346" s="520"/>
      <c r="AC1346" s="520"/>
      <c r="AD1346" s="520"/>
      <c r="AE1346" s="520"/>
      <c r="AF1346" s="520"/>
      <c r="AG1346" s="520"/>
      <c r="AH1346" s="520"/>
      <c r="AI1346" s="520"/>
      <c r="AJ1346" s="520"/>
      <c r="AK1346" s="520"/>
      <c r="AL1346" s="520"/>
      <c r="AM1346" s="520"/>
      <c r="AN1346" s="520"/>
      <c r="AO1346" s="520"/>
      <c r="AP1346" s="520"/>
      <c r="AQ1346" s="520"/>
      <c r="AR1346" s="520"/>
      <c r="AS1346" s="520"/>
      <c r="AT1346" s="520"/>
      <c r="AU1346" s="520"/>
      <c r="AV1346" s="520"/>
      <c r="AY1346" s="507"/>
      <c r="BA1346" s="507"/>
      <c r="BJ1346" s="493"/>
      <c r="CU1346" s="488"/>
      <c r="CW1346" s="488"/>
      <c r="EV1346" s="821"/>
      <c r="EW1346" s="821"/>
    </row>
    <row r="1347" spans="1:153" s="757" customFormat="1" hidden="1">
      <c r="A1347" s="487"/>
      <c r="B1347" s="487"/>
      <c r="C1347" s="487"/>
      <c r="D1347" s="487"/>
      <c r="I1347" s="487"/>
      <c r="J1347" s="487"/>
      <c r="K1347" s="487"/>
      <c r="L1347" s="487"/>
      <c r="M1347" s="487"/>
      <c r="N1347" s="487"/>
      <c r="O1347" s="875"/>
      <c r="Q1347" s="704"/>
      <c r="R1347" s="1026"/>
      <c r="S1347" s="704"/>
      <c r="T1347" s="1026"/>
      <c r="AB1347" s="520"/>
      <c r="AC1347" s="520"/>
      <c r="AD1347" s="520"/>
      <c r="AE1347" s="520"/>
      <c r="AF1347" s="520"/>
      <c r="AG1347" s="520"/>
      <c r="AH1347" s="520"/>
      <c r="AI1347" s="520"/>
      <c r="AJ1347" s="520"/>
      <c r="AK1347" s="520"/>
      <c r="AL1347" s="520"/>
      <c r="AM1347" s="520"/>
      <c r="AN1347" s="520"/>
      <c r="AO1347" s="520"/>
      <c r="AP1347" s="520"/>
      <c r="AQ1347" s="520"/>
      <c r="AR1347" s="520"/>
      <c r="AS1347" s="520"/>
      <c r="AT1347" s="520"/>
      <c r="AU1347" s="520"/>
      <c r="AV1347" s="520"/>
      <c r="AY1347" s="507"/>
      <c r="BA1347" s="507"/>
      <c r="BJ1347" s="493"/>
      <c r="CU1347" s="488"/>
      <c r="CW1347" s="488"/>
      <c r="EV1347" s="821"/>
      <c r="EW1347" s="821"/>
    </row>
    <row r="1348" spans="1:153" s="757" customFormat="1" hidden="1">
      <c r="A1348" s="487"/>
      <c r="B1348" s="487"/>
      <c r="C1348" s="487"/>
      <c r="D1348" s="487"/>
      <c r="I1348" s="487"/>
      <c r="J1348" s="487"/>
      <c r="K1348" s="487"/>
      <c r="L1348" s="487"/>
      <c r="M1348" s="487"/>
      <c r="N1348" s="487"/>
      <c r="O1348" s="875"/>
      <c r="Q1348" s="704"/>
      <c r="R1348" s="1026"/>
      <c r="S1348" s="704"/>
      <c r="T1348" s="1026"/>
      <c r="AB1348" s="520"/>
      <c r="AC1348" s="520"/>
      <c r="AD1348" s="520"/>
      <c r="AE1348" s="520"/>
      <c r="AF1348" s="520"/>
      <c r="AG1348" s="520"/>
      <c r="AH1348" s="520"/>
      <c r="AI1348" s="520"/>
      <c r="AJ1348" s="520"/>
      <c r="AK1348" s="520"/>
      <c r="AL1348" s="520"/>
      <c r="AM1348" s="520"/>
      <c r="AN1348" s="520"/>
      <c r="AO1348" s="520"/>
      <c r="AP1348" s="520"/>
      <c r="AQ1348" s="520"/>
      <c r="AR1348" s="520"/>
      <c r="AS1348" s="520"/>
      <c r="AT1348" s="520"/>
      <c r="AU1348" s="520"/>
      <c r="AV1348" s="520"/>
      <c r="AY1348" s="507"/>
      <c r="BA1348" s="507"/>
      <c r="BJ1348" s="493"/>
      <c r="CU1348" s="488"/>
      <c r="CW1348" s="488"/>
      <c r="EV1348" s="821"/>
      <c r="EW1348" s="821"/>
    </row>
    <row r="1349" spans="1:153" s="757" customFormat="1" hidden="1">
      <c r="A1349" s="487"/>
      <c r="B1349" s="487"/>
      <c r="C1349" s="487"/>
      <c r="D1349" s="487"/>
      <c r="I1349" s="487"/>
      <c r="J1349" s="487"/>
      <c r="K1349" s="487"/>
      <c r="L1349" s="487"/>
      <c r="M1349" s="487"/>
      <c r="N1349" s="487"/>
      <c r="O1349" s="875"/>
      <c r="Q1349" s="704"/>
      <c r="R1349" s="1026"/>
      <c r="S1349" s="704"/>
      <c r="T1349" s="1026"/>
      <c r="AB1349" s="520"/>
      <c r="AC1349" s="520"/>
      <c r="AD1349" s="520"/>
      <c r="AE1349" s="520"/>
      <c r="AF1349" s="520"/>
      <c r="AG1349" s="520"/>
      <c r="AH1349" s="520"/>
      <c r="AI1349" s="520"/>
      <c r="AJ1349" s="520"/>
      <c r="AK1349" s="520"/>
      <c r="AL1349" s="520"/>
      <c r="AM1349" s="520"/>
      <c r="AN1349" s="520"/>
      <c r="AO1349" s="520"/>
      <c r="AP1349" s="520"/>
      <c r="AQ1349" s="520"/>
      <c r="AR1349" s="520"/>
      <c r="AS1349" s="520"/>
      <c r="AT1349" s="520"/>
      <c r="AU1349" s="520"/>
      <c r="AV1349" s="520"/>
      <c r="AY1349" s="507"/>
      <c r="BA1349" s="507"/>
      <c r="BJ1349" s="493"/>
      <c r="CU1349" s="488"/>
      <c r="CW1349" s="488"/>
      <c r="EV1349" s="821"/>
      <c r="EW1349" s="821"/>
    </row>
    <row r="1350" spans="1:153" s="757" customFormat="1" hidden="1">
      <c r="A1350" s="487"/>
      <c r="B1350" s="487"/>
      <c r="C1350" s="487"/>
      <c r="D1350" s="487"/>
      <c r="I1350" s="487"/>
      <c r="J1350" s="487"/>
      <c r="K1350" s="487"/>
      <c r="L1350" s="487"/>
      <c r="M1350" s="487"/>
      <c r="N1350" s="487"/>
      <c r="O1350" s="875"/>
      <c r="Q1350" s="704"/>
      <c r="R1350" s="1026"/>
      <c r="S1350" s="704"/>
      <c r="T1350" s="1026"/>
      <c r="AB1350" s="520"/>
      <c r="AC1350" s="520"/>
      <c r="AD1350" s="520"/>
      <c r="AE1350" s="520"/>
      <c r="AF1350" s="520"/>
      <c r="AG1350" s="520"/>
      <c r="AH1350" s="520"/>
      <c r="AI1350" s="520"/>
      <c r="AJ1350" s="520"/>
      <c r="AK1350" s="520"/>
      <c r="AL1350" s="520"/>
      <c r="AM1350" s="520"/>
      <c r="AN1350" s="520"/>
      <c r="AO1350" s="520"/>
      <c r="AP1350" s="520"/>
      <c r="AQ1350" s="520"/>
      <c r="AR1350" s="520"/>
      <c r="AS1350" s="520"/>
      <c r="AT1350" s="520"/>
      <c r="AU1350" s="520"/>
      <c r="AV1350" s="520"/>
      <c r="AY1350" s="507"/>
      <c r="BA1350" s="507"/>
      <c r="BJ1350" s="493"/>
      <c r="CU1350" s="488"/>
      <c r="CW1350" s="488"/>
      <c r="EV1350" s="821"/>
      <c r="EW1350" s="821"/>
    </row>
    <row r="1351" spans="1:153" s="757" customFormat="1" hidden="1">
      <c r="A1351" s="487"/>
      <c r="B1351" s="487"/>
      <c r="C1351" s="487"/>
      <c r="D1351" s="487"/>
      <c r="I1351" s="487"/>
      <c r="J1351" s="487"/>
      <c r="K1351" s="487"/>
      <c r="L1351" s="487"/>
      <c r="M1351" s="487"/>
      <c r="N1351" s="487"/>
      <c r="O1351" s="875"/>
      <c r="Q1351" s="704"/>
      <c r="R1351" s="1026"/>
      <c r="S1351" s="704"/>
      <c r="T1351" s="1026"/>
      <c r="AB1351" s="520"/>
      <c r="AC1351" s="520"/>
      <c r="AD1351" s="520"/>
      <c r="AE1351" s="520"/>
      <c r="AF1351" s="520"/>
      <c r="AG1351" s="520"/>
      <c r="AH1351" s="520"/>
      <c r="AI1351" s="520"/>
      <c r="AJ1351" s="520"/>
      <c r="AK1351" s="520"/>
      <c r="AL1351" s="520"/>
      <c r="AM1351" s="520"/>
      <c r="AN1351" s="520"/>
      <c r="AO1351" s="520"/>
      <c r="AP1351" s="520"/>
      <c r="AQ1351" s="520"/>
      <c r="AR1351" s="520"/>
      <c r="AS1351" s="520"/>
      <c r="AT1351" s="520"/>
      <c r="AU1351" s="520"/>
      <c r="AV1351" s="520"/>
      <c r="AY1351" s="507"/>
      <c r="BA1351" s="507"/>
      <c r="BJ1351" s="493"/>
      <c r="CU1351" s="488"/>
      <c r="CW1351" s="488"/>
      <c r="EV1351" s="821"/>
      <c r="EW1351" s="821"/>
    </row>
    <row r="1352" spans="1:153" s="757" customFormat="1" hidden="1">
      <c r="A1352" s="487"/>
      <c r="B1352" s="487"/>
      <c r="C1352" s="487"/>
      <c r="D1352" s="487"/>
      <c r="I1352" s="487"/>
      <c r="J1352" s="487"/>
      <c r="K1352" s="487"/>
      <c r="L1352" s="487"/>
      <c r="M1352" s="487"/>
      <c r="N1352" s="487"/>
      <c r="O1352" s="875"/>
      <c r="Q1352" s="704"/>
      <c r="R1352" s="1026"/>
      <c r="S1352" s="704"/>
      <c r="T1352" s="1026"/>
      <c r="AB1352" s="520"/>
      <c r="AC1352" s="520"/>
      <c r="AD1352" s="520"/>
      <c r="AE1352" s="520"/>
      <c r="AF1352" s="520"/>
      <c r="AG1352" s="520"/>
      <c r="AH1352" s="520"/>
      <c r="AI1352" s="520"/>
      <c r="AJ1352" s="520"/>
      <c r="AK1352" s="520"/>
      <c r="AL1352" s="520"/>
      <c r="AM1352" s="520"/>
      <c r="AN1352" s="520"/>
      <c r="AO1352" s="520"/>
      <c r="AP1352" s="520"/>
      <c r="AQ1352" s="520"/>
      <c r="AR1352" s="520"/>
      <c r="AS1352" s="520"/>
      <c r="AT1352" s="520"/>
      <c r="AU1352" s="520"/>
      <c r="AV1352" s="520"/>
      <c r="AY1352" s="507"/>
      <c r="BA1352" s="507"/>
      <c r="BJ1352" s="493"/>
      <c r="CU1352" s="488"/>
      <c r="CW1352" s="488"/>
      <c r="EV1352" s="821"/>
      <c r="EW1352" s="821"/>
    </row>
    <row r="1353" spans="1:153" s="757" customFormat="1" hidden="1">
      <c r="A1353" s="487"/>
      <c r="B1353" s="487"/>
      <c r="C1353" s="487"/>
      <c r="D1353" s="487"/>
      <c r="I1353" s="487"/>
      <c r="J1353" s="487"/>
      <c r="K1353" s="487"/>
      <c r="L1353" s="487"/>
      <c r="M1353" s="487"/>
      <c r="N1353" s="487"/>
      <c r="O1353" s="875"/>
      <c r="Q1353" s="704"/>
      <c r="R1353" s="1026"/>
      <c r="S1353" s="704"/>
      <c r="T1353" s="1026"/>
      <c r="AB1353" s="520"/>
      <c r="AC1353" s="520"/>
      <c r="AD1353" s="520"/>
      <c r="AE1353" s="520"/>
      <c r="AF1353" s="520"/>
      <c r="AG1353" s="520"/>
      <c r="AH1353" s="520"/>
      <c r="AI1353" s="520"/>
      <c r="AJ1353" s="520"/>
      <c r="AK1353" s="520"/>
      <c r="AL1353" s="520"/>
      <c r="AM1353" s="520"/>
      <c r="AN1353" s="520"/>
      <c r="AO1353" s="520"/>
      <c r="AP1353" s="520"/>
      <c r="AQ1353" s="520"/>
      <c r="AR1353" s="520"/>
      <c r="AS1353" s="520"/>
      <c r="AT1353" s="520"/>
      <c r="AU1353" s="520"/>
      <c r="AV1353" s="520"/>
      <c r="AY1353" s="507"/>
      <c r="BA1353" s="507"/>
      <c r="BJ1353" s="493"/>
      <c r="CU1353" s="488"/>
      <c r="CW1353" s="488"/>
      <c r="EV1353" s="821"/>
      <c r="EW1353" s="821"/>
    </row>
    <row r="1354" spans="1:153" s="757" customFormat="1" hidden="1">
      <c r="A1354" s="487"/>
      <c r="B1354" s="487"/>
      <c r="C1354" s="487"/>
      <c r="D1354" s="487"/>
      <c r="I1354" s="487"/>
      <c r="J1354" s="487"/>
      <c r="K1354" s="487"/>
      <c r="L1354" s="487"/>
      <c r="M1354" s="487"/>
      <c r="N1354" s="487"/>
      <c r="O1354" s="875"/>
      <c r="Q1354" s="704"/>
      <c r="R1354" s="1026"/>
      <c r="S1354" s="704"/>
      <c r="T1354" s="1026"/>
      <c r="AB1354" s="520"/>
      <c r="AC1354" s="520"/>
      <c r="AD1354" s="520"/>
      <c r="AE1354" s="520"/>
      <c r="AF1354" s="520"/>
      <c r="AG1354" s="520"/>
      <c r="AH1354" s="520"/>
      <c r="AI1354" s="520"/>
      <c r="AJ1354" s="520"/>
      <c r="AK1354" s="520"/>
      <c r="AL1354" s="520"/>
      <c r="AM1354" s="520"/>
      <c r="AN1354" s="520"/>
      <c r="AO1354" s="520"/>
      <c r="AP1354" s="520"/>
      <c r="AQ1354" s="520"/>
      <c r="AR1354" s="520"/>
      <c r="AS1354" s="520"/>
      <c r="AT1354" s="520"/>
      <c r="AU1354" s="520"/>
      <c r="AV1354" s="520"/>
      <c r="AY1354" s="507"/>
      <c r="BA1354" s="507"/>
      <c r="BJ1354" s="493"/>
      <c r="CU1354" s="488"/>
      <c r="CW1354" s="488"/>
      <c r="EV1354" s="821"/>
      <c r="EW1354" s="821"/>
    </row>
    <row r="1355" spans="1:153" s="757" customFormat="1" hidden="1">
      <c r="A1355" s="487"/>
      <c r="B1355" s="487"/>
      <c r="C1355" s="487"/>
      <c r="D1355" s="487"/>
      <c r="I1355" s="487"/>
      <c r="J1355" s="487"/>
      <c r="K1355" s="487"/>
      <c r="L1355" s="487"/>
      <c r="M1355" s="487"/>
      <c r="N1355" s="487"/>
      <c r="O1355" s="875"/>
      <c r="Q1355" s="704"/>
      <c r="R1355" s="1026"/>
      <c r="S1355" s="704"/>
      <c r="T1355" s="1026"/>
      <c r="AB1355" s="520"/>
      <c r="AC1355" s="520"/>
      <c r="AD1355" s="520"/>
      <c r="AE1355" s="520"/>
      <c r="AF1355" s="520"/>
      <c r="AG1355" s="520"/>
      <c r="AH1355" s="520"/>
      <c r="AI1355" s="520"/>
      <c r="AJ1355" s="520"/>
      <c r="AK1355" s="520"/>
      <c r="AL1355" s="520"/>
      <c r="AM1355" s="520"/>
      <c r="AN1355" s="520"/>
      <c r="AO1355" s="520"/>
      <c r="AP1355" s="520"/>
      <c r="AQ1355" s="520"/>
      <c r="AR1355" s="520"/>
      <c r="AS1355" s="520"/>
      <c r="AT1355" s="520"/>
      <c r="AU1355" s="520"/>
      <c r="AV1355" s="520"/>
      <c r="AY1355" s="507"/>
      <c r="BA1355" s="507"/>
      <c r="BJ1355" s="493"/>
      <c r="CU1355" s="488"/>
      <c r="CW1355" s="488"/>
      <c r="EV1355" s="821"/>
      <c r="EW1355" s="821"/>
    </row>
    <row r="1356" spans="1:153" s="757" customFormat="1" hidden="1">
      <c r="A1356" s="487"/>
      <c r="B1356" s="487"/>
      <c r="C1356" s="487"/>
      <c r="D1356" s="487"/>
      <c r="I1356" s="487"/>
      <c r="J1356" s="487"/>
      <c r="K1356" s="487"/>
      <c r="L1356" s="487"/>
      <c r="M1356" s="487"/>
      <c r="N1356" s="487"/>
      <c r="O1356" s="875"/>
      <c r="Q1356" s="704"/>
      <c r="R1356" s="1026"/>
      <c r="S1356" s="704"/>
      <c r="T1356" s="1026"/>
      <c r="AB1356" s="520"/>
      <c r="AC1356" s="520"/>
      <c r="AD1356" s="520"/>
      <c r="AE1356" s="520"/>
      <c r="AF1356" s="520"/>
      <c r="AG1356" s="520"/>
      <c r="AH1356" s="520"/>
      <c r="AI1356" s="520"/>
      <c r="AJ1356" s="520"/>
      <c r="AK1356" s="520"/>
      <c r="AL1356" s="520"/>
      <c r="AM1356" s="520"/>
      <c r="AN1356" s="520"/>
      <c r="AO1356" s="520"/>
      <c r="AP1356" s="520"/>
      <c r="AQ1356" s="520"/>
      <c r="AR1356" s="520"/>
      <c r="AS1356" s="520"/>
      <c r="AT1356" s="520"/>
      <c r="AU1356" s="520"/>
      <c r="AV1356" s="520"/>
      <c r="AY1356" s="507"/>
      <c r="BA1356" s="507"/>
      <c r="BJ1356" s="493"/>
      <c r="CU1356" s="488"/>
      <c r="CW1356" s="488"/>
      <c r="EV1356" s="821"/>
      <c r="EW1356" s="821"/>
    </row>
    <row r="1357" spans="1:153" s="757" customFormat="1" hidden="1">
      <c r="A1357" s="487"/>
      <c r="B1357" s="487"/>
      <c r="C1357" s="487"/>
      <c r="D1357" s="487"/>
      <c r="I1357" s="487"/>
      <c r="J1357" s="487"/>
      <c r="K1357" s="487"/>
      <c r="L1357" s="487"/>
      <c r="M1357" s="487"/>
      <c r="N1357" s="487"/>
      <c r="O1357" s="875"/>
      <c r="Q1357" s="704"/>
      <c r="R1357" s="1026"/>
      <c r="S1357" s="704"/>
      <c r="T1357" s="1026"/>
      <c r="AB1357" s="520"/>
      <c r="AC1357" s="520"/>
      <c r="AD1357" s="520"/>
      <c r="AE1357" s="520"/>
      <c r="AF1357" s="520"/>
      <c r="AG1357" s="520"/>
      <c r="AH1357" s="520"/>
      <c r="AI1357" s="520"/>
      <c r="AJ1357" s="520"/>
      <c r="AK1357" s="520"/>
      <c r="AL1357" s="520"/>
      <c r="AM1357" s="520"/>
      <c r="AN1357" s="520"/>
      <c r="AO1357" s="520"/>
      <c r="AP1357" s="520"/>
      <c r="AQ1357" s="520"/>
      <c r="AR1357" s="520"/>
      <c r="AS1357" s="520"/>
      <c r="AT1357" s="520"/>
      <c r="AU1357" s="520"/>
      <c r="AV1357" s="520"/>
      <c r="AY1357" s="507"/>
      <c r="BA1357" s="507"/>
      <c r="BJ1357" s="493"/>
      <c r="CU1357" s="488"/>
      <c r="CW1357" s="488"/>
      <c r="EV1357" s="821"/>
      <c r="EW1357" s="821"/>
    </row>
    <row r="1358" spans="1:153" s="757" customFormat="1" hidden="1">
      <c r="A1358" s="487"/>
      <c r="B1358" s="487"/>
      <c r="C1358" s="487"/>
      <c r="D1358" s="487"/>
      <c r="I1358" s="487"/>
      <c r="J1358" s="487"/>
      <c r="K1358" s="487"/>
      <c r="L1358" s="487"/>
      <c r="M1358" s="487"/>
      <c r="N1358" s="487"/>
      <c r="O1358" s="875"/>
      <c r="Q1358" s="704"/>
      <c r="R1358" s="1026"/>
      <c r="S1358" s="704"/>
      <c r="T1358" s="1026"/>
      <c r="AB1358" s="520"/>
      <c r="AC1358" s="520"/>
      <c r="AD1358" s="520"/>
      <c r="AE1358" s="520"/>
      <c r="AF1358" s="520"/>
      <c r="AG1358" s="520"/>
      <c r="AH1358" s="520"/>
      <c r="AI1358" s="520"/>
      <c r="AJ1358" s="520"/>
      <c r="AK1358" s="520"/>
      <c r="AL1358" s="520"/>
      <c r="AM1358" s="520"/>
      <c r="AN1358" s="520"/>
      <c r="AO1358" s="520"/>
      <c r="AP1358" s="520"/>
      <c r="AQ1358" s="520"/>
      <c r="AR1358" s="520"/>
      <c r="AS1358" s="520"/>
      <c r="AT1358" s="520"/>
      <c r="AU1358" s="520"/>
      <c r="AV1358" s="520"/>
      <c r="AY1358" s="507"/>
      <c r="BA1358" s="507"/>
      <c r="BJ1358" s="493"/>
      <c r="CU1358" s="488"/>
      <c r="CW1358" s="488"/>
      <c r="EV1358" s="821"/>
      <c r="EW1358" s="821"/>
    </row>
    <row r="1359" spans="1:153" s="757" customFormat="1" hidden="1">
      <c r="A1359" s="487"/>
      <c r="B1359" s="487"/>
      <c r="C1359" s="487"/>
      <c r="D1359" s="487"/>
      <c r="I1359" s="487"/>
      <c r="J1359" s="487"/>
      <c r="K1359" s="487"/>
      <c r="L1359" s="487"/>
      <c r="M1359" s="487"/>
      <c r="N1359" s="487"/>
      <c r="O1359" s="875"/>
      <c r="Q1359" s="704"/>
      <c r="R1359" s="1026"/>
      <c r="S1359" s="704"/>
      <c r="T1359" s="1026"/>
      <c r="AB1359" s="520"/>
      <c r="AC1359" s="520"/>
      <c r="AD1359" s="520"/>
      <c r="AE1359" s="520"/>
      <c r="AF1359" s="520"/>
      <c r="AG1359" s="520"/>
      <c r="AH1359" s="520"/>
      <c r="AI1359" s="520"/>
      <c r="AJ1359" s="520"/>
      <c r="AK1359" s="520"/>
      <c r="AL1359" s="520"/>
      <c r="AM1359" s="520"/>
      <c r="AN1359" s="520"/>
      <c r="AO1359" s="520"/>
      <c r="AP1359" s="520"/>
      <c r="AQ1359" s="520"/>
      <c r="AR1359" s="520"/>
      <c r="AS1359" s="520"/>
      <c r="AT1359" s="520"/>
      <c r="AU1359" s="520"/>
      <c r="AV1359" s="520"/>
      <c r="AY1359" s="507"/>
      <c r="BA1359" s="507"/>
      <c r="BJ1359" s="493"/>
      <c r="CU1359" s="488"/>
      <c r="CW1359" s="488"/>
      <c r="EV1359" s="821"/>
      <c r="EW1359" s="821"/>
    </row>
    <row r="1360" spans="1:153" s="757" customFormat="1" hidden="1">
      <c r="A1360" s="487"/>
      <c r="B1360" s="487"/>
      <c r="C1360" s="487"/>
      <c r="D1360" s="487"/>
      <c r="I1360" s="487"/>
      <c r="J1360" s="487"/>
      <c r="K1360" s="487"/>
      <c r="L1360" s="487"/>
      <c r="M1360" s="487"/>
      <c r="N1360" s="487"/>
      <c r="O1360" s="875"/>
      <c r="Q1360" s="704"/>
      <c r="R1360" s="1026"/>
      <c r="S1360" s="704"/>
      <c r="T1360" s="1026"/>
      <c r="AB1360" s="520"/>
      <c r="AC1360" s="520"/>
      <c r="AD1360" s="520"/>
      <c r="AE1360" s="520"/>
      <c r="AF1360" s="520"/>
      <c r="AG1360" s="520"/>
      <c r="AH1360" s="520"/>
      <c r="AI1360" s="520"/>
      <c r="AJ1360" s="520"/>
      <c r="AK1360" s="520"/>
      <c r="AL1360" s="520"/>
      <c r="AM1360" s="520"/>
      <c r="AN1360" s="520"/>
      <c r="AO1360" s="520"/>
      <c r="AP1360" s="520"/>
      <c r="AQ1360" s="520"/>
      <c r="AR1360" s="520"/>
      <c r="AS1360" s="520"/>
      <c r="AT1360" s="520"/>
      <c r="AU1360" s="520"/>
      <c r="AV1360" s="520"/>
      <c r="AY1360" s="507"/>
      <c r="BA1360" s="507"/>
      <c r="BJ1360" s="493"/>
      <c r="CU1360" s="488"/>
      <c r="CW1360" s="488"/>
      <c r="EV1360" s="821"/>
      <c r="EW1360" s="821"/>
    </row>
    <row r="1361" spans="1:153" s="757" customFormat="1" hidden="1">
      <c r="A1361" s="487"/>
      <c r="B1361" s="487"/>
      <c r="C1361" s="487"/>
      <c r="D1361" s="487"/>
      <c r="I1361" s="487"/>
      <c r="J1361" s="487"/>
      <c r="K1361" s="487"/>
      <c r="L1361" s="487"/>
      <c r="M1361" s="487"/>
      <c r="N1361" s="487"/>
      <c r="O1361" s="875"/>
      <c r="Q1361" s="704"/>
      <c r="R1361" s="1026"/>
      <c r="S1361" s="704"/>
      <c r="T1361" s="1026"/>
      <c r="AB1361" s="520"/>
      <c r="AC1361" s="520"/>
      <c r="AD1361" s="520"/>
      <c r="AE1361" s="520"/>
      <c r="AF1361" s="520"/>
      <c r="AG1361" s="520"/>
      <c r="AH1361" s="520"/>
      <c r="AI1361" s="520"/>
      <c r="AJ1361" s="520"/>
      <c r="AK1361" s="520"/>
      <c r="AL1361" s="520"/>
      <c r="AM1361" s="520"/>
      <c r="AN1361" s="520"/>
      <c r="AO1361" s="520"/>
      <c r="AP1361" s="520"/>
      <c r="AQ1361" s="520"/>
      <c r="AR1361" s="520"/>
      <c r="AS1361" s="520"/>
      <c r="AT1361" s="520"/>
      <c r="AU1361" s="520"/>
      <c r="AV1361" s="520"/>
      <c r="AY1361" s="507"/>
      <c r="BA1361" s="507"/>
      <c r="BJ1361" s="493"/>
      <c r="CU1361" s="488"/>
      <c r="CW1361" s="488"/>
      <c r="EV1361" s="821"/>
      <c r="EW1361" s="821"/>
    </row>
    <row r="1362" spans="1:153" s="757" customFormat="1" hidden="1">
      <c r="A1362" s="487"/>
      <c r="B1362" s="487"/>
      <c r="C1362" s="487"/>
      <c r="D1362" s="487"/>
      <c r="I1362" s="487"/>
      <c r="J1362" s="487"/>
      <c r="K1362" s="487"/>
      <c r="L1362" s="487"/>
      <c r="M1362" s="487"/>
      <c r="N1362" s="487"/>
      <c r="O1362" s="875"/>
      <c r="Q1362" s="704"/>
      <c r="R1362" s="1026"/>
      <c r="S1362" s="704"/>
      <c r="T1362" s="1026"/>
      <c r="AB1362" s="520"/>
      <c r="AC1362" s="520"/>
      <c r="AD1362" s="520"/>
      <c r="AE1362" s="520"/>
      <c r="AF1362" s="520"/>
      <c r="AG1362" s="520"/>
      <c r="AH1362" s="520"/>
      <c r="AI1362" s="520"/>
      <c r="AJ1362" s="520"/>
      <c r="AK1362" s="520"/>
      <c r="AL1362" s="520"/>
      <c r="AM1362" s="520"/>
      <c r="AN1362" s="520"/>
      <c r="AO1362" s="520"/>
      <c r="AP1362" s="520"/>
      <c r="AQ1362" s="520"/>
      <c r="AR1362" s="520"/>
      <c r="AS1362" s="520"/>
      <c r="AT1362" s="520"/>
      <c r="AU1362" s="520"/>
      <c r="AV1362" s="520"/>
      <c r="AY1362" s="507"/>
      <c r="BA1362" s="507"/>
      <c r="BJ1362" s="493"/>
      <c r="CU1362" s="488"/>
      <c r="CW1362" s="488"/>
      <c r="EV1362" s="821"/>
      <c r="EW1362" s="821"/>
    </row>
    <row r="1363" spans="1:153" s="757" customFormat="1" hidden="1">
      <c r="A1363" s="487"/>
      <c r="B1363" s="487"/>
      <c r="C1363" s="487"/>
      <c r="D1363" s="487"/>
      <c r="I1363" s="487"/>
      <c r="J1363" s="487"/>
      <c r="K1363" s="487"/>
      <c r="L1363" s="487"/>
      <c r="M1363" s="487"/>
      <c r="N1363" s="487"/>
      <c r="O1363" s="875"/>
      <c r="Q1363" s="704"/>
      <c r="R1363" s="1026"/>
      <c r="S1363" s="704"/>
      <c r="T1363" s="1026"/>
      <c r="AB1363" s="520"/>
      <c r="AC1363" s="520"/>
      <c r="AD1363" s="520"/>
      <c r="AE1363" s="520"/>
      <c r="AF1363" s="520"/>
      <c r="AG1363" s="520"/>
      <c r="AH1363" s="520"/>
      <c r="AI1363" s="520"/>
      <c r="AJ1363" s="520"/>
      <c r="AK1363" s="520"/>
      <c r="AL1363" s="520"/>
      <c r="AM1363" s="520"/>
      <c r="AN1363" s="520"/>
      <c r="AO1363" s="520"/>
      <c r="AP1363" s="520"/>
      <c r="AQ1363" s="520"/>
      <c r="AR1363" s="520"/>
      <c r="AS1363" s="520"/>
      <c r="AT1363" s="520"/>
      <c r="AU1363" s="520"/>
      <c r="AV1363" s="520"/>
      <c r="AY1363" s="507"/>
      <c r="BA1363" s="507"/>
      <c r="BJ1363" s="493"/>
      <c r="CU1363" s="488"/>
      <c r="CW1363" s="488"/>
      <c r="EV1363" s="821"/>
      <c r="EW1363" s="821"/>
    </row>
    <row r="1364" spans="1:153" s="757" customFormat="1" hidden="1">
      <c r="A1364" s="487"/>
      <c r="B1364" s="487"/>
      <c r="C1364" s="487"/>
      <c r="D1364" s="487"/>
      <c r="I1364" s="487"/>
      <c r="J1364" s="487"/>
      <c r="K1364" s="487"/>
      <c r="L1364" s="487"/>
      <c r="M1364" s="487"/>
      <c r="N1364" s="487"/>
      <c r="O1364" s="875"/>
      <c r="Q1364" s="704"/>
      <c r="R1364" s="1026"/>
      <c r="S1364" s="704"/>
      <c r="T1364" s="1026"/>
      <c r="AB1364" s="520"/>
      <c r="AC1364" s="520"/>
      <c r="AD1364" s="520"/>
      <c r="AE1364" s="520"/>
      <c r="AF1364" s="520"/>
      <c r="AG1364" s="520"/>
      <c r="AH1364" s="520"/>
      <c r="AI1364" s="520"/>
      <c r="AJ1364" s="520"/>
      <c r="AK1364" s="520"/>
      <c r="AL1364" s="520"/>
      <c r="AM1364" s="520"/>
      <c r="AN1364" s="520"/>
      <c r="AO1364" s="520"/>
      <c r="AP1364" s="520"/>
      <c r="AQ1364" s="520"/>
      <c r="AR1364" s="520"/>
      <c r="AS1364" s="520"/>
      <c r="AT1364" s="520"/>
      <c r="AU1364" s="520"/>
      <c r="AV1364" s="520"/>
      <c r="AY1364" s="507"/>
      <c r="BA1364" s="507"/>
      <c r="BJ1364" s="493"/>
      <c r="CU1364" s="488"/>
      <c r="CW1364" s="488"/>
      <c r="EV1364" s="821"/>
      <c r="EW1364" s="821"/>
    </row>
    <row r="1365" spans="1:153" s="757" customFormat="1" hidden="1">
      <c r="A1365" s="487"/>
      <c r="B1365" s="487"/>
      <c r="C1365" s="487"/>
      <c r="D1365" s="487"/>
      <c r="I1365" s="487"/>
      <c r="J1365" s="487"/>
      <c r="K1365" s="487"/>
      <c r="L1365" s="487"/>
      <c r="M1365" s="487"/>
      <c r="N1365" s="487"/>
      <c r="O1365" s="875"/>
      <c r="Q1365" s="704"/>
      <c r="R1365" s="1026"/>
      <c r="S1365" s="704"/>
      <c r="T1365" s="1026"/>
      <c r="AB1365" s="520"/>
      <c r="AC1365" s="520"/>
      <c r="AD1365" s="520"/>
      <c r="AE1365" s="520"/>
      <c r="AF1365" s="520"/>
      <c r="AG1365" s="520"/>
      <c r="AH1365" s="520"/>
      <c r="AI1365" s="520"/>
      <c r="AJ1365" s="520"/>
      <c r="AK1365" s="520"/>
      <c r="AL1365" s="520"/>
      <c r="AM1365" s="520"/>
      <c r="AN1365" s="520"/>
      <c r="AO1365" s="520"/>
      <c r="AP1365" s="520"/>
      <c r="AQ1365" s="520"/>
      <c r="AR1365" s="520"/>
      <c r="AS1365" s="520"/>
      <c r="AT1365" s="520"/>
      <c r="AU1365" s="520"/>
      <c r="AV1365" s="520"/>
      <c r="AY1365" s="507"/>
      <c r="BA1365" s="507"/>
      <c r="BJ1365" s="493"/>
      <c r="CU1365" s="488"/>
      <c r="CW1365" s="488"/>
      <c r="EV1365" s="821"/>
      <c r="EW1365" s="821"/>
    </row>
    <row r="1366" spans="1:153" s="757" customFormat="1" hidden="1">
      <c r="A1366" s="487"/>
      <c r="B1366" s="487"/>
      <c r="C1366" s="487"/>
      <c r="D1366" s="487"/>
      <c r="I1366" s="487"/>
      <c r="J1366" s="487"/>
      <c r="K1366" s="487"/>
      <c r="L1366" s="487"/>
      <c r="M1366" s="487"/>
      <c r="N1366" s="487"/>
      <c r="O1366" s="875"/>
      <c r="Q1366" s="704"/>
      <c r="R1366" s="1026"/>
      <c r="S1366" s="704"/>
      <c r="T1366" s="1026"/>
      <c r="AB1366" s="520"/>
      <c r="AC1366" s="520"/>
      <c r="AD1366" s="520"/>
      <c r="AE1366" s="520"/>
      <c r="AF1366" s="520"/>
      <c r="AG1366" s="520"/>
      <c r="AH1366" s="520"/>
      <c r="AI1366" s="520"/>
      <c r="AJ1366" s="520"/>
      <c r="AK1366" s="520"/>
      <c r="AL1366" s="520"/>
      <c r="AM1366" s="520"/>
      <c r="AN1366" s="520"/>
      <c r="AO1366" s="520"/>
      <c r="AP1366" s="520"/>
      <c r="AQ1366" s="520"/>
      <c r="AR1366" s="520"/>
      <c r="AS1366" s="520"/>
      <c r="AT1366" s="520"/>
      <c r="AU1366" s="520"/>
      <c r="AV1366" s="520"/>
      <c r="AY1366" s="507"/>
      <c r="BA1366" s="507"/>
      <c r="BJ1366" s="493"/>
      <c r="CU1366" s="488"/>
      <c r="CW1366" s="488"/>
      <c r="EV1366" s="821"/>
      <c r="EW1366" s="821"/>
    </row>
    <row r="1367" spans="1:153" s="757" customFormat="1" hidden="1">
      <c r="A1367" s="487"/>
      <c r="B1367" s="487"/>
      <c r="C1367" s="487"/>
      <c r="D1367" s="487"/>
      <c r="I1367" s="487"/>
      <c r="J1367" s="487"/>
      <c r="K1367" s="487"/>
      <c r="L1367" s="487"/>
      <c r="M1367" s="487"/>
      <c r="N1367" s="487"/>
      <c r="O1367" s="875"/>
      <c r="Q1367" s="704"/>
      <c r="R1367" s="1026"/>
      <c r="S1367" s="704"/>
      <c r="T1367" s="1026"/>
      <c r="AB1367" s="520"/>
      <c r="AC1367" s="520"/>
      <c r="AD1367" s="520"/>
      <c r="AE1367" s="520"/>
      <c r="AF1367" s="520"/>
      <c r="AG1367" s="520"/>
      <c r="AH1367" s="520"/>
      <c r="AI1367" s="520"/>
      <c r="AJ1367" s="520"/>
      <c r="AK1367" s="520"/>
      <c r="AL1367" s="520"/>
      <c r="AM1367" s="520"/>
      <c r="AN1367" s="520"/>
      <c r="AO1367" s="520"/>
      <c r="AP1367" s="520"/>
      <c r="AQ1367" s="520"/>
      <c r="AR1367" s="520"/>
      <c r="AS1367" s="520"/>
      <c r="AT1367" s="520"/>
      <c r="AU1367" s="520"/>
      <c r="AV1367" s="520"/>
      <c r="AY1367" s="507"/>
      <c r="BA1367" s="507"/>
      <c r="BJ1367" s="493"/>
      <c r="CU1367" s="488"/>
      <c r="CW1367" s="488"/>
      <c r="EV1367" s="821"/>
      <c r="EW1367" s="821"/>
    </row>
    <row r="1368" spans="1:153" s="757" customFormat="1" hidden="1">
      <c r="A1368" s="487"/>
      <c r="B1368" s="487"/>
      <c r="C1368" s="487"/>
      <c r="D1368" s="487"/>
      <c r="I1368" s="487"/>
      <c r="J1368" s="487"/>
      <c r="K1368" s="487"/>
      <c r="L1368" s="487"/>
      <c r="M1368" s="487"/>
      <c r="N1368" s="487"/>
      <c r="O1368" s="875"/>
      <c r="Q1368" s="704"/>
      <c r="R1368" s="1026"/>
      <c r="S1368" s="704"/>
      <c r="T1368" s="1026"/>
      <c r="AB1368" s="520"/>
      <c r="AC1368" s="520"/>
      <c r="AD1368" s="520"/>
      <c r="AE1368" s="520"/>
      <c r="AF1368" s="520"/>
      <c r="AG1368" s="520"/>
      <c r="AH1368" s="520"/>
      <c r="AI1368" s="520"/>
      <c r="AJ1368" s="520"/>
      <c r="AK1368" s="520"/>
      <c r="AL1368" s="520"/>
      <c r="AM1368" s="520"/>
      <c r="AN1368" s="520"/>
      <c r="AO1368" s="520"/>
      <c r="AP1368" s="520"/>
      <c r="AQ1368" s="520"/>
      <c r="AR1368" s="520"/>
      <c r="AS1368" s="520"/>
      <c r="AT1368" s="520"/>
      <c r="AU1368" s="520"/>
      <c r="AV1368" s="520"/>
      <c r="AY1368" s="507"/>
      <c r="BA1368" s="507"/>
      <c r="BJ1368" s="493"/>
      <c r="CU1368" s="488"/>
      <c r="CW1368" s="488"/>
      <c r="EV1368" s="821"/>
      <c r="EW1368" s="821"/>
    </row>
    <row r="1369" spans="1:153" s="757" customFormat="1" hidden="1">
      <c r="A1369" s="487"/>
      <c r="B1369" s="487"/>
      <c r="C1369" s="487"/>
      <c r="D1369" s="487"/>
      <c r="I1369" s="487"/>
      <c r="J1369" s="487"/>
      <c r="K1369" s="487"/>
      <c r="L1369" s="487"/>
      <c r="M1369" s="487"/>
      <c r="N1369" s="487"/>
      <c r="O1369" s="875"/>
      <c r="Q1369" s="704"/>
      <c r="R1369" s="1026"/>
      <c r="S1369" s="704"/>
      <c r="T1369" s="1026"/>
      <c r="AB1369" s="520"/>
      <c r="AC1369" s="520"/>
      <c r="AD1369" s="520"/>
      <c r="AE1369" s="520"/>
      <c r="AF1369" s="520"/>
      <c r="AG1369" s="520"/>
      <c r="AH1369" s="520"/>
      <c r="AI1369" s="520"/>
      <c r="AJ1369" s="520"/>
      <c r="AK1369" s="520"/>
      <c r="AL1369" s="520"/>
      <c r="AM1369" s="520"/>
      <c r="AN1369" s="520"/>
      <c r="AO1369" s="520"/>
      <c r="AP1369" s="520"/>
      <c r="AQ1369" s="520"/>
      <c r="AR1369" s="520"/>
      <c r="AS1369" s="520"/>
      <c r="AT1369" s="520"/>
      <c r="AU1369" s="520"/>
      <c r="AV1369" s="520"/>
      <c r="AY1369" s="507"/>
      <c r="BA1369" s="507"/>
      <c r="BJ1369" s="493"/>
      <c r="CU1369" s="488"/>
      <c r="CW1369" s="488"/>
      <c r="EV1369" s="821"/>
      <c r="EW1369" s="821"/>
    </row>
    <row r="1370" spans="1:153" s="757" customFormat="1" hidden="1">
      <c r="A1370" s="487"/>
      <c r="B1370" s="487"/>
      <c r="C1370" s="487"/>
      <c r="D1370" s="487"/>
      <c r="I1370" s="487"/>
      <c r="J1370" s="487"/>
      <c r="K1370" s="487"/>
      <c r="L1370" s="487"/>
      <c r="M1370" s="487"/>
      <c r="N1370" s="487"/>
      <c r="O1370" s="875"/>
      <c r="Q1370" s="704"/>
      <c r="R1370" s="1026"/>
      <c r="S1370" s="704"/>
      <c r="T1370" s="1026"/>
      <c r="AB1370" s="520"/>
      <c r="AC1370" s="520"/>
      <c r="AD1370" s="520"/>
      <c r="AE1370" s="520"/>
      <c r="AF1370" s="520"/>
      <c r="AG1370" s="520"/>
      <c r="AH1370" s="520"/>
      <c r="AI1370" s="520"/>
      <c r="AJ1370" s="520"/>
      <c r="AK1370" s="520"/>
      <c r="AL1370" s="520"/>
      <c r="AM1370" s="520"/>
      <c r="AN1370" s="520"/>
      <c r="AO1370" s="520"/>
      <c r="AP1370" s="520"/>
      <c r="AQ1370" s="520"/>
      <c r="AR1370" s="520"/>
      <c r="AS1370" s="520"/>
      <c r="AT1370" s="520"/>
      <c r="AU1370" s="520"/>
      <c r="AV1370" s="520"/>
      <c r="AY1370" s="507"/>
      <c r="BA1370" s="507"/>
      <c r="BJ1370" s="493"/>
      <c r="CU1370" s="488"/>
      <c r="CW1370" s="488"/>
      <c r="EV1370" s="821"/>
      <c r="EW1370" s="821"/>
    </row>
    <row r="1371" spans="1:153" s="757" customFormat="1" hidden="1">
      <c r="A1371" s="487"/>
      <c r="B1371" s="487"/>
      <c r="C1371" s="487"/>
      <c r="D1371" s="487"/>
      <c r="I1371" s="487"/>
      <c r="J1371" s="487"/>
      <c r="K1371" s="487"/>
      <c r="L1371" s="487"/>
      <c r="M1371" s="487"/>
      <c r="N1371" s="487"/>
      <c r="O1371" s="875"/>
      <c r="Q1371" s="704"/>
      <c r="R1371" s="1026"/>
      <c r="S1371" s="704"/>
      <c r="T1371" s="1026"/>
      <c r="AB1371" s="520"/>
      <c r="AC1371" s="520"/>
      <c r="AD1371" s="520"/>
      <c r="AE1371" s="520"/>
      <c r="AF1371" s="520"/>
      <c r="AG1371" s="520"/>
      <c r="AH1371" s="520"/>
      <c r="AI1371" s="520"/>
      <c r="AJ1371" s="520"/>
      <c r="AK1371" s="520"/>
      <c r="AL1371" s="520"/>
      <c r="AM1371" s="520"/>
      <c r="AN1371" s="520"/>
      <c r="AO1371" s="520"/>
      <c r="AP1371" s="520"/>
      <c r="AQ1371" s="520"/>
      <c r="AR1371" s="520"/>
      <c r="AS1371" s="520"/>
      <c r="AT1371" s="520"/>
      <c r="AU1371" s="520"/>
      <c r="AV1371" s="520"/>
      <c r="AY1371" s="507"/>
      <c r="BA1371" s="507"/>
      <c r="BJ1371" s="493"/>
      <c r="CU1371" s="488"/>
      <c r="CW1371" s="488"/>
      <c r="EV1371" s="821"/>
      <c r="EW1371" s="821"/>
    </row>
    <row r="1372" spans="1:153" s="757" customFormat="1" hidden="1">
      <c r="A1372" s="487"/>
      <c r="B1372" s="487"/>
      <c r="C1372" s="487"/>
      <c r="D1372" s="487"/>
      <c r="I1372" s="487"/>
      <c r="J1372" s="487"/>
      <c r="K1372" s="487"/>
      <c r="L1372" s="487"/>
      <c r="M1372" s="487"/>
      <c r="N1372" s="487"/>
      <c r="O1372" s="875"/>
      <c r="Q1372" s="704"/>
      <c r="R1372" s="1026"/>
      <c r="S1372" s="704"/>
      <c r="T1372" s="1026"/>
      <c r="AB1372" s="520"/>
      <c r="AC1372" s="520"/>
      <c r="AD1372" s="520"/>
      <c r="AE1372" s="520"/>
      <c r="AF1372" s="520"/>
      <c r="AG1372" s="520"/>
      <c r="AH1372" s="520"/>
      <c r="AI1372" s="520"/>
      <c r="AJ1372" s="520"/>
      <c r="AK1372" s="520"/>
      <c r="AL1372" s="520"/>
      <c r="AM1372" s="520"/>
      <c r="AN1372" s="520"/>
      <c r="AO1372" s="520"/>
      <c r="AP1372" s="520"/>
      <c r="AQ1372" s="520"/>
      <c r="AR1372" s="520"/>
      <c r="AS1372" s="520"/>
      <c r="AT1372" s="520"/>
      <c r="AU1372" s="520"/>
      <c r="AV1372" s="520"/>
      <c r="AY1372" s="507"/>
      <c r="BA1372" s="507"/>
      <c r="BJ1372" s="493"/>
      <c r="CU1372" s="488"/>
      <c r="CW1372" s="488"/>
      <c r="EV1372" s="821"/>
      <c r="EW1372" s="821"/>
    </row>
    <row r="1373" spans="1:153" s="757" customFormat="1" hidden="1">
      <c r="A1373" s="487"/>
      <c r="B1373" s="487"/>
      <c r="C1373" s="487"/>
      <c r="D1373" s="487"/>
      <c r="I1373" s="487"/>
      <c r="J1373" s="487"/>
      <c r="K1373" s="487"/>
      <c r="L1373" s="487"/>
      <c r="M1373" s="487"/>
      <c r="N1373" s="487"/>
      <c r="O1373" s="875"/>
      <c r="Q1373" s="704"/>
      <c r="R1373" s="1026"/>
      <c r="S1373" s="704"/>
      <c r="T1373" s="1026"/>
      <c r="AB1373" s="520"/>
      <c r="AC1373" s="520"/>
      <c r="AD1373" s="520"/>
      <c r="AE1373" s="520"/>
      <c r="AF1373" s="520"/>
      <c r="AG1373" s="520"/>
      <c r="AH1373" s="520"/>
      <c r="AI1373" s="520"/>
      <c r="AJ1373" s="520"/>
      <c r="AK1373" s="520"/>
      <c r="AL1373" s="520"/>
      <c r="AM1373" s="520"/>
      <c r="AN1373" s="520"/>
      <c r="AO1373" s="520"/>
      <c r="AP1373" s="520"/>
      <c r="AQ1373" s="520"/>
      <c r="AR1373" s="520"/>
      <c r="AS1373" s="520"/>
      <c r="AT1373" s="520"/>
      <c r="AU1373" s="520"/>
      <c r="AV1373" s="520"/>
      <c r="AY1373" s="507"/>
      <c r="BA1373" s="507"/>
      <c r="BJ1373" s="493"/>
      <c r="CU1373" s="488"/>
      <c r="CW1373" s="488"/>
      <c r="EV1373" s="821"/>
      <c r="EW1373" s="821"/>
    </row>
    <row r="1374" spans="1:153" s="757" customFormat="1" hidden="1">
      <c r="A1374" s="487"/>
      <c r="B1374" s="487"/>
      <c r="C1374" s="487"/>
      <c r="D1374" s="487"/>
      <c r="I1374" s="487"/>
      <c r="J1374" s="487"/>
      <c r="K1374" s="487"/>
      <c r="L1374" s="487"/>
      <c r="M1374" s="487"/>
      <c r="N1374" s="487"/>
      <c r="O1374" s="875"/>
      <c r="Q1374" s="704"/>
      <c r="R1374" s="1026"/>
      <c r="S1374" s="704"/>
      <c r="T1374" s="1026"/>
      <c r="AB1374" s="520"/>
      <c r="AC1374" s="520"/>
      <c r="AD1374" s="520"/>
      <c r="AE1374" s="520"/>
      <c r="AF1374" s="520"/>
      <c r="AG1374" s="520"/>
      <c r="AH1374" s="520"/>
      <c r="AI1374" s="520"/>
      <c r="AJ1374" s="520"/>
      <c r="AK1374" s="520"/>
      <c r="AL1374" s="520"/>
      <c r="AM1374" s="520"/>
      <c r="AN1374" s="520"/>
      <c r="AO1374" s="520"/>
      <c r="AP1374" s="520"/>
      <c r="AQ1374" s="520"/>
      <c r="AR1374" s="520"/>
      <c r="AS1374" s="520"/>
      <c r="AT1374" s="520"/>
      <c r="AU1374" s="520"/>
      <c r="AV1374" s="520"/>
      <c r="AY1374" s="507"/>
      <c r="BA1374" s="507"/>
      <c r="BJ1374" s="493"/>
      <c r="CU1374" s="488"/>
      <c r="CW1374" s="488"/>
      <c r="EV1374" s="821"/>
      <c r="EW1374" s="821"/>
    </row>
    <row r="1375" spans="1:153" s="757" customFormat="1" hidden="1">
      <c r="A1375" s="487"/>
      <c r="B1375" s="487"/>
      <c r="C1375" s="487"/>
      <c r="D1375" s="487"/>
      <c r="I1375" s="487"/>
      <c r="J1375" s="487"/>
      <c r="K1375" s="487"/>
      <c r="L1375" s="487"/>
      <c r="M1375" s="487"/>
      <c r="N1375" s="487"/>
      <c r="O1375" s="875"/>
      <c r="Q1375" s="704"/>
      <c r="R1375" s="1026"/>
      <c r="S1375" s="704"/>
      <c r="T1375" s="1026"/>
      <c r="AB1375" s="520"/>
      <c r="AC1375" s="520"/>
      <c r="AD1375" s="520"/>
      <c r="AE1375" s="520"/>
      <c r="AF1375" s="520"/>
      <c r="AG1375" s="520"/>
      <c r="AH1375" s="520"/>
      <c r="AI1375" s="520"/>
      <c r="AJ1375" s="520"/>
      <c r="AK1375" s="520"/>
      <c r="AL1375" s="520"/>
      <c r="AM1375" s="520"/>
      <c r="AN1375" s="520"/>
      <c r="AO1375" s="520"/>
      <c r="AP1375" s="520"/>
      <c r="AQ1375" s="520"/>
      <c r="AR1375" s="520"/>
      <c r="AS1375" s="520"/>
      <c r="AT1375" s="520"/>
      <c r="AU1375" s="520"/>
      <c r="AV1375" s="520"/>
      <c r="AY1375" s="507"/>
      <c r="BA1375" s="507"/>
      <c r="BJ1375" s="493"/>
      <c r="CU1375" s="488"/>
      <c r="CW1375" s="488"/>
      <c r="EV1375" s="821"/>
      <c r="EW1375" s="821"/>
    </row>
    <row r="1376" spans="1:153" s="757" customFormat="1" hidden="1">
      <c r="A1376" s="487"/>
      <c r="B1376" s="487"/>
      <c r="C1376" s="487"/>
      <c r="D1376" s="487"/>
      <c r="I1376" s="487"/>
      <c r="J1376" s="487"/>
      <c r="K1376" s="487"/>
      <c r="L1376" s="487"/>
      <c r="M1376" s="487"/>
      <c r="N1376" s="487"/>
      <c r="O1376" s="875"/>
      <c r="Q1376" s="704"/>
      <c r="R1376" s="1026"/>
      <c r="S1376" s="704"/>
      <c r="T1376" s="1026"/>
      <c r="AB1376" s="520"/>
      <c r="AC1376" s="520"/>
      <c r="AD1376" s="520"/>
      <c r="AE1376" s="520"/>
      <c r="AF1376" s="520"/>
      <c r="AG1376" s="520"/>
      <c r="AH1376" s="520"/>
      <c r="AI1376" s="520"/>
      <c r="AJ1376" s="520"/>
      <c r="AK1376" s="520"/>
      <c r="AL1376" s="520"/>
      <c r="AM1376" s="520"/>
      <c r="AN1376" s="520"/>
      <c r="AO1376" s="520"/>
      <c r="AP1376" s="520"/>
      <c r="AQ1376" s="520"/>
      <c r="AR1376" s="520"/>
      <c r="AS1376" s="520"/>
      <c r="AT1376" s="520"/>
      <c r="AU1376" s="520"/>
      <c r="AV1376" s="520"/>
      <c r="AY1376" s="507"/>
      <c r="BA1376" s="507"/>
      <c r="BJ1376" s="493"/>
      <c r="CU1376" s="488"/>
      <c r="CW1376" s="488"/>
      <c r="EV1376" s="821"/>
      <c r="EW1376" s="821"/>
    </row>
    <row r="1377" spans="1:153" s="757" customFormat="1" hidden="1">
      <c r="A1377" s="487"/>
      <c r="B1377" s="487"/>
      <c r="C1377" s="487"/>
      <c r="D1377" s="487"/>
      <c r="I1377" s="487"/>
      <c r="J1377" s="487"/>
      <c r="K1377" s="487"/>
      <c r="L1377" s="487"/>
      <c r="M1377" s="487"/>
      <c r="N1377" s="487"/>
      <c r="O1377" s="875"/>
      <c r="Q1377" s="704"/>
      <c r="R1377" s="1026"/>
      <c r="S1377" s="704"/>
      <c r="T1377" s="1026"/>
      <c r="AB1377" s="520"/>
      <c r="AC1377" s="520"/>
      <c r="AD1377" s="520"/>
      <c r="AE1377" s="520"/>
      <c r="AF1377" s="520"/>
      <c r="AG1377" s="520"/>
      <c r="AH1377" s="520"/>
      <c r="AI1377" s="520"/>
      <c r="AJ1377" s="520"/>
      <c r="AK1377" s="520"/>
      <c r="AL1377" s="520"/>
      <c r="AM1377" s="520"/>
      <c r="AN1377" s="520"/>
      <c r="AO1377" s="520"/>
      <c r="AP1377" s="520"/>
      <c r="AQ1377" s="520"/>
      <c r="AR1377" s="520"/>
      <c r="AS1377" s="520"/>
      <c r="AT1377" s="520"/>
      <c r="AU1377" s="520"/>
      <c r="AV1377" s="520"/>
      <c r="AY1377" s="507"/>
      <c r="BA1377" s="507"/>
      <c r="BJ1377" s="493"/>
      <c r="CU1377" s="488"/>
      <c r="CW1377" s="488"/>
      <c r="EV1377" s="821"/>
      <c r="EW1377" s="821"/>
    </row>
    <row r="1378" spans="1:153" s="757" customFormat="1" hidden="1">
      <c r="A1378" s="487"/>
      <c r="B1378" s="487"/>
      <c r="C1378" s="487"/>
      <c r="D1378" s="487"/>
      <c r="I1378" s="487"/>
      <c r="J1378" s="487"/>
      <c r="K1378" s="487"/>
      <c r="L1378" s="487"/>
      <c r="M1378" s="487"/>
      <c r="N1378" s="487"/>
      <c r="O1378" s="875"/>
      <c r="Q1378" s="704"/>
      <c r="R1378" s="1026"/>
      <c r="S1378" s="704"/>
      <c r="T1378" s="1026"/>
      <c r="AB1378" s="520"/>
      <c r="AC1378" s="520"/>
      <c r="AD1378" s="520"/>
      <c r="AE1378" s="520"/>
      <c r="AF1378" s="520"/>
      <c r="AG1378" s="520"/>
      <c r="AH1378" s="520"/>
      <c r="AI1378" s="520"/>
      <c r="AJ1378" s="520"/>
      <c r="AK1378" s="520"/>
      <c r="AL1378" s="520"/>
      <c r="AM1378" s="520"/>
      <c r="AN1378" s="520"/>
      <c r="AO1378" s="520"/>
      <c r="AP1378" s="520"/>
      <c r="AQ1378" s="520"/>
      <c r="AR1378" s="520"/>
      <c r="AS1378" s="520"/>
      <c r="AT1378" s="520"/>
      <c r="AU1378" s="520"/>
      <c r="AV1378" s="520"/>
      <c r="AY1378" s="507"/>
      <c r="BA1378" s="507"/>
      <c r="BJ1378" s="493"/>
      <c r="CU1378" s="488"/>
      <c r="CW1378" s="488"/>
      <c r="EV1378" s="821"/>
      <c r="EW1378" s="821"/>
    </row>
    <row r="1379" spans="1:153" s="757" customFormat="1" hidden="1">
      <c r="A1379" s="487"/>
      <c r="B1379" s="487"/>
      <c r="C1379" s="487"/>
      <c r="D1379" s="487"/>
      <c r="I1379" s="487"/>
      <c r="J1379" s="487"/>
      <c r="K1379" s="487"/>
      <c r="L1379" s="487"/>
      <c r="M1379" s="487"/>
      <c r="N1379" s="487"/>
      <c r="O1379" s="875"/>
      <c r="Q1379" s="704"/>
      <c r="R1379" s="1026"/>
      <c r="S1379" s="704"/>
      <c r="T1379" s="1026"/>
      <c r="AB1379" s="520"/>
      <c r="AC1379" s="520"/>
      <c r="AD1379" s="520"/>
      <c r="AE1379" s="520"/>
      <c r="AF1379" s="520"/>
      <c r="AG1379" s="520"/>
      <c r="AH1379" s="520"/>
      <c r="AI1379" s="520"/>
      <c r="AJ1379" s="520"/>
      <c r="AK1379" s="520"/>
      <c r="AL1379" s="520"/>
      <c r="AM1379" s="520"/>
      <c r="AN1379" s="520"/>
      <c r="AO1379" s="520"/>
      <c r="AP1379" s="520"/>
      <c r="AQ1379" s="520"/>
      <c r="AR1379" s="520"/>
      <c r="AS1379" s="520"/>
      <c r="AT1379" s="520"/>
      <c r="AU1379" s="520"/>
      <c r="AV1379" s="520"/>
      <c r="AY1379" s="507"/>
      <c r="BA1379" s="507"/>
      <c r="BJ1379" s="493"/>
      <c r="CU1379" s="488"/>
      <c r="CW1379" s="488"/>
      <c r="EV1379" s="821"/>
      <c r="EW1379" s="821"/>
    </row>
    <row r="1380" spans="1:153" s="757" customFormat="1" hidden="1">
      <c r="A1380" s="487"/>
      <c r="B1380" s="487"/>
      <c r="C1380" s="487"/>
      <c r="D1380" s="487"/>
      <c r="I1380" s="487"/>
      <c r="J1380" s="487"/>
      <c r="K1380" s="487"/>
      <c r="L1380" s="487"/>
      <c r="M1380" s="487"/>
      <c r="N1380" s="487"/>
      <c r="O1380" s="875"/>
      <c r="Q1380" s="704"/>
      <c r="R1380" s="1026"/>
      <c r="S1380" s="704"/>
      <c r="T1380" s="1026"/>
      <c r="AB1380" s="520"/>
      <c r="AC1380" s="520"/>
      <c r="AD1380" s="520"/>
      <c r="AE1380" s="520"/>
      <c r="AF1380" s="520"/>
      <c r="AG1380" s="520"/>
      <c r="AH1380" s="520"/>
      <c r="AI1380" s="520"/>
      <c r="AJ1380" s="520"/>
      <c r="AK1380" s="520"/>
      <c r="AL1380" s="520"/>
      <c r="AM1380" s="520"/>
      <c r="AN1380" s="520"/>
      <c r="AO1380" s="520"/>
      <c r="AP1380" s="520"/>
      <c r="AQ1380" s="520"/>
      <c r="AR1380" s="520"/>
      <c r="AS1380" s="520"/>
      <c r="AT1380" s="520"/>
      <c r="AU1380" s="520"/>
      <c r="AV1380" s="520"/>
      <c r="AY1380" s="507"/>
      <c r="BA1380" s="507"/>
      <c r="BJ1380" s="493"/>
      <c r="CU1380" s="488"/>
      <c r="CW1380" s="488"/>
      <c r="EV1380" s="821"/>
      <c r="EW1380" s="821"/>
    </row>
    <row r="1381" spans="1:153" s="757" customFormat="1" hidden="1">
      <c r="A1381" s="487"/>
      <c r="B1381" s="487"/>
      <c r="C1381" s="487"/>
      <c r="D1381" s="487"/>
      <c r="I1381" s="487"/>
      <c r="J1381" s="487"/>
      <c r="K1381" s="487"/>
      <c r="L1381" s="487"/>
      <c r="M1381" s="487"/>
      <c r="N1381" s="487"/>
      <c r="O1381" s="875"/>
      <c r="Q1381" s="704"/>
      <c r="R1381" s="1026"/>
      <c r="S1381" s="704"/>
      <c r="T1381" s="1026"/>
      <c r="AB1381" s="520"/>
      <c r="AC1381" s="520"/>
      <c r="AD1381" s="520"/>
      <c r="AE1381" s="520"/>
      <c r="AF1381" s="520"/>
      <c r="AG1381" s="520"/>
      <c r="AH1381" s="520"/>
      <c r="AI1381" s="520"/>
      <c r="AJ1381" s="520"/>
      <c r="AK1381" s="520"/>
      <c r="AL1381" s="520"/>
      <c r="AM1381" s="520"/>
      <c r="AN1381" s="520"/>
      <c r="AO1381" s="520"/>
      <c r="AP1381" s="520"/>
      <c r="AQ1381" s="520"/>
      <c r="AR1381" s="520"/>
      <c r="AS1381" s="520"/>
      <c r="AT1381" s="520"/>
      <c r="AU1381" s="520"/>
      <c r="AV1381" s="520"/>
      <c r="AY1381" s="507"/>
      <c r="BA1381" s="507"/>
      <c r="BJ1381" s="493"/>
      <c r="CU1381" s="488"/>
      <c r="CW1381" s="488"/>
      <c r="EV1381" s="821"/>
      <c r="EW1381" s="821"/>
    </row>
    <row r="1382" spans="1:153" s="757" customFormat="1" hidden="1">
      <c r="A1382" s="487"/>
      <c r="B1382" s="487"/>
      <c r="C1382" s="487"/>
      <c r="D1382" s="487"/>
      <c r="I1382" s="487"/>
      <c r="J1382" s="487"/>
      <c r="K1382" s="487"/>
      <c r="L1382" s="487"/>
      <c r="M1382" s="487"/>
      <c r="N1382" s="487"/>
      <c r="O1382" s="875"/>
      <c r="Q1382" s="704"/>
      <c r="R1382" s="1026"/>
      <c r="S1382" s="704"/>
      <c r="T1382" s="1026"/>
      <c r="AB1382" s="520"/>
      <c r="AC1382" s="520"/>
      <c r="AD1382" s="520"/>
      <c r="AE1382" s="520"/>
      <c r="AF1382" s="520"/>
      <c r="AG1382" s="520"/>
      <c r="AH1382" s="520"/>
      <c r="AI1382" s="520"/>
      <c r="AJ1382" s="520"/>
      <c r="AK1382" s="520"/>
      <c r="AL1382" s="520"/>
      <c r="AM1382" s="520"/>
      <c r="AN1382" s="520"/>
      <c r="AO1382" s="520"/>
      <c r="AP1382" s="520"/>
      <c r="AQ1382" s="520"/>
      <c r="AR1382" s="520"/>
      <c r="AS1382" s="520"/>
      <c r="AT1382" s="520"/>
      <c r="AU1382" s="520"/>
      <c r="AV1382" s="520"/>
      <c r="AY1382" s="507"/>
      <c r="BA1382" s="507"/>
      <c r="BJ1382" s="493"/>
      <c r="CU1382" s="488"/>
      <c r="CW1382" s="488"/>
      <c r="EV1382" s="821"/>
      <c r="EW1382" s="821"/>
    </row>
    <row r="1383" spans="1:153" s="757" customFormat="1" hidden="1">
      <c r="A1383" s="487"/>
      <c r="B1383" s="487"/>
      <c r="C1383" s="487"/>
      <c r="D1383" s="487"/>
      <c r="I1383" s="487"/>
      <c r="J1383" s="487"/>
      <c r="K1383" s="487"/>
      <c r="L1383" s="487"/>
      <c r="M1383" s="487"/>
      <c r="N1383" s="487"/>
      <c r="O1383" s="875"/>
      <c r="Q1383" s="704"/>
      <c r="R1383" s="1026"/>
      <c r="S1383" s="704"/>
      <c r="T1383" s="1026"/>
      <c r="AB1383" s="520"/>
      <c r="AC1383" s="520"/>
      <c r="AD1383" s="520"/>
      <c r="AE1383" s="520"/>
      <c r="AF1383" s="520"/>
      <c r="AG1383" s="520"/>
      <c r="AH1383" s="520"/>
      <c r="AI1383" s="520"/>
      <c r="AJ1383" s="520"/>
      <c r="AK1383" s="520"/>
      <c r="AL1383" s="520"/>
      <c r="AM1383" s="520"/>
      <c r="AN1383" s="520"/>
      <c r="AO1383" s="520"/>
      <c r="AP1383" s="520"/>
      <c r="AQ1383" s="520"/>
      <c r="AR1383" s="520"/>
      <c r="AS1383" s="520"/>
      <c r="AT1383" s="520"/>
      <c r="AU1383" s="520"/>
      <c r="AV1383" s="520"/>
      <c r="AY1383" s="507"/>
      <c r="BA1383" s="507"/>
      <c r="BJ1383" s="493"/>
      <c r="CU1383" s="488"/>
      <c r="CW1383" s="488"/>
      <c r="EV1383" s="821"/>
      <c r="EW1383" s="821"/>
    </row>
    <row r="1384" spans="1:153" s="757" customFormat="1" hidden="1">
      <c r="A1384" s="487"/>
      <c r="B1384" s="487"/>
      <c r="C1384" s="487"/>
      <c r="D1384" s="487"/>
      <c r="I1384" s="487"/>
      <c r="J1384" s="487"/>
      <c r="K1384" s="487"/>
      <c r="L1384" s="487"/>
      <c r="M1384" s="487"/>
      <c r="N1384" s="487"/>
      <c r="O1384" s="875"/>
      <c r="Q1384" s="704"/>
      <c r="R1384" s="1026"/>
      <c r="S1384" s="704"/>
      <c r="T1384" s="1026"/>
      <c r="AB1384" s="520"/>
      <c r="AC1384" s="520"/>
      <c r="AD1384" s="520"/>
      <c r="AE1384" s="520"/>
      <c r="AF1384" s="520"/>
      <c r="AG1384" s="520"/>
      <c r="AH1384" s="520"/>
      <c r="AI1384" s="520"/>
      <c r="AJ1384" s="520"/>
      <c r="AK1384" s="520"/>
      <c r="AL1384" s="520"/>
      <c r="AM1384" s="520"/>
      <c r="AN1384" s="520"/>
      <c r="AO1384" s="520"/>
      <c r="AP1384" s="520"/>
      <c r="AQ1384" s="520"/>
      <c r="AR1384" s="520"/>
      <c r="AS1384" s="520"/>
      <c r="AT1384" s="520"/>
      <c r="AU1384" s="520"/>
      <c r="AV1384" s="520"/>
      <c r="AY1384" s="507"/>
      <c r="BA1384" s="507"/>
      <c r="BJ1384" s="493"/>
      <c r="CU1384" s="488"/>
      <c r="CW1384" s="488"/>
      <c r="EV1384" s="821"/>
      <c r="EW1384" s="821"/>
    </row>
    <row r="1385" spans="1:153" s="757" customFormat="1" hidden="1">
      <c r="A1385" s="487"/>
      <c r="B1385" s="487"/>
      <c r="C1385" s="487"/>
      <c r="D1385" s="487"/>
      <c r="I1385" s="487"/>
      <c r="J1385" s="487"/>
      <c r="K1385" s="487"/>
      <c r="L1385" s="487"/>
      <c r="M1385" s="487"/>
      <c r="N1385" s="487"/>
      <c r="O1385" s="875"/>
      <c r="Q1385" s="704"/>
      <c r="R1385" s="1026"/>
      <c r="S1385" s="704"/>
      <c r="T1385" s="1026"/>
      <c r="AB1385" s="520"/>
      <c r="AC1385" s="520"/>
      <c r="AD1385" s="520"/>
      <c r="AE1385" s="520"/>
      <c r="AF1385" s="520"/>
      <c r="AG1385" s="520"/>
      <c r="AH1385" s="520"/>
      <c r="AI1385" s="520"/>
      <c r="AJ1385" s="520"/>
      <c r="AK1385" s="520"/>
      <c r="AL1385" s="520"/>
      <c r="AM1385" s="520"/>
      <c r="AN1385" s="520"/>
      <c r="AO1385" s="520"/>
      <c r="AP1385" s="520"/>
      <c r="AQ1385" s="520"/>
      <c r="AR1385" s="520"/>
      <c r="AS1385" s="520"/>
      <c r="AT1385" s="520"/>
      <c r="AU1385" s="520"/>
      <c r="AV1385" s="520"/>
      <c r="AY1385" s="507"/>
      <c r="BA1385" s="507"/>
      <c r="BJ1385" s="493"/>
      <c r="CU1385" s="488"/>
      <c r="CW1385" s="488"/>
      <c r="EV1385" s="821"/>
      <c r="EW1385" s="821"/>
    </row>
    <row r="1386" spans="1:153" s="757" customFormat="1" hidden="1">
      <c r="A1386" s="487"/>
      <c r="B1386" s="487"/>
      <c r="C1386" s="487"/>
      <c r="D1386" s="487"/>
      <c r="I1386" s="487"/>
      <c r="J1386" s="487"/>
      <c r="K1386" s="487"/>
      <c r="L1386" s="487"/>
      <c r="M1386" s="487"/>
      <c r="N1386" s="487"/>
      <c r="O1386" s="875"/>
      <c r="Q1386" s="704"/>
      <c r="R1386" s="1026"/>
      <c r="S1386" s="704"/>
      <c r="T1386" s="1026"/>
      <c r="AB1386" s="520"/>
      <c r="AC1386" s="520"/>
      <c r="AD1386" s="520"/>
      <c r="AE1386" s="520"/>
      <c r="AF1386" s="520"/>
      <c r="AG1386" s="520"/>
      <c r="AH1386" s="520"/>
      <c r="AI1386" s="520"/>
      <c r="AJ1386" s="520"/>
      <c r="AK1386" s="520"/>
      <c r="AL1386" s="520"/>
      <c r="AM1386" s="520"/>
      <c r="AN1386" s="520"/>
      <c r="AO1386" s="520"/>
      <c r="AP1386" s="520"/>
      <c r="AQ1386" s="520"/>
      <c r="AR1386" s="520"/>
      <c r="AS1386" s="520"/>
      <c r="AT1386" s="520"/>
      <c r="AU1386" s="520"/>
      <c r="AV1386" s="520"/>
      <c r="AY1386" s="507"/>
      <c r="BA1386" s="507"/>
      <c r="BJ1386" s="493"/>
      <c r="CU1386" s="488"/>
      <c r="CW1386" s="488"/>
      <c r="EV1386" s="821"/>
      <c r="EW1386" s="821"/>
    </row>
    <row r="1387" spans="1:153" s="757" customFormat="1" hidden="1">
      <c r="A1387" s="487"/>
      <c r="B1387" s="487"/>
      <c r="C1387" s="487"/>
      <c r="D1387" s="487"/>
      <c r="I1387" s="487"/>
      <c r="J1387" s="487"/>
      <c r="K1387" s="487"/>
      <c r="L1387" s="487"/>
      <c r="M1387" s="487"/>
      <c r="N1387" s="487"/>
      <c r="O1387" s="875"/>
      <c r="Q1387" s="704"/>
      <c r="R1387" s="1026"/>
      <c r="S1387" s="704"/>
      <c r="T1387" s="1026"/>
      <c r="AB1387" s="520"/>
      <c r="AC1387" s="520"/>
      <c r="AD1387" s="520"/>
      <c r="AE1387" s="520"/>
      <c r="AF1387" s="520"/>
      <c r="AG1387" s="520"/>
      <c r="AH1387" s="520"/>
      <c r="AI1387" s="520"/>
      <c r="AJ1387" s="520"/>
      <c r="AK1387" s="520"/>
      <c r="AL1387" s="520"/>
      <c r="AM1387" s="520"/>
      <c r="AN1387" s="520"/>
      <c r="AO1387" s="520"/>
      <c r="AP1387" s="520"/>
      <c r="AQ1387" s="520"/>
      <c r="AR1387" s="520"/>
      <c r="AS1387" s="520"/>
      <c r="AT1387" s="520"/>
      <c r="AU1387" s="520"/>
      <c r="AV1387" s="520"/>
      <c r="AY1387" s="507"/>
      <c r="BA1387" s="507"/>
      <c r="BJ1387" s="493"/>
      <c r="CU1387" s="488"/>
      <c r="CW1387" s="488"/>
      <c r="EV1387" s="821"/>
      <c r="EW1387" s="821"/>
    </row>
    <row r="1388" spans="1:153" s="757" customFormat="1" hidden="1">
      <c r="A1388" s="487"/>
      <c r="B1388" s="487"/>
      <c r="C1388" s="487"/>
      <c r="D1388" s="487"/>
      <c r="I1388" s="487"/>
      <c r="J1388" s="487"/>
      <c r="K1388" s="487"/>
      <c r="L1388" s="487"/>
      <c r="M1388" s="487"/>
      <c r="N1388" s="487"/>
      <c r="O1388" s="875"/>
      <c r="Q1388" s="704"/>
      <c r="R1388" s="1026"/>
      <c r="S1388" s="704"/>
      <c r="T1388" s="1026"/>
      <c r="AB1388" s="520"/>
      <c r="AC1388" s="520"/>
      <c r="AD1388" s="520"/>
      <c r="AE1388" s="520"/>
      <c r="AF1388" s="520"/>
      <c r="AG1388" s="520"/>
      <c r="AH1388" s="520"/>
      <c r="AI1388" s="520"/>
      <c r="AJ1388" s="520"/>
      <c r="AK1388" s="520"/>
      <c r="AL1388" s="520"/>
      <c r="AM1388" s="520"/>
      <c r="AN1388" s="520"/>
      <c r="AO1388" s="520"/>
      <c r="AP1388" s="520"/>
      <c r="AQ1388" s="520"/>
      <c r="AR1388" s="520"/>
      <c r="AS1388" s="520"/>
      <c r="AT1388" s="520"/>
      <c r="AU1388" s="520"/>
      <c r="AV1388" s="520"/>
      <c r="AY1388" s="507"/>
      <c r="BA1388" s="507"/>
      <c r="BJ1388" s="493"/>
      <c r="CU1388" s="488"/>
      <c r="CW1388" s="488"/>
      <c r="EV1388" s="821"/>
      <c r="EW1388" s="821"/>
    </row>
    <row r="1389" spans="1:153" s="757" customFormat="1" hidden="1">
      <c r="A1389" s="487"/>
      <c r="B1389" s="487"/>
      <c r="C1389" s="487"/>
      <c r="D1389" s="487"/>
      <c r="I1389" s="487"/>
      <c r="J1389" s="487"/>
      <c r="K1389" s="487"/>
      <c r="L1389" s="487"/>
      <c r="M1389" s="487"/>
      <c r="N1389" s="487"/>
      <c r="O1389" s="875"/>
      <c r="Q1389" s="704"/>
      <c r="R1389" s="1026"/>
      <c r="S1389" s="704"/>
      <c r="T1389" s="1026"/>
      <c r="AB1389" s="520"/>
      <c r="AC1389" s="520"/>
      <c r="AD1389" s="520"/>
      <c r="AE1389" s="520"/>
      <c r="AF1389" s="520"/>
      <c r="AG1389" s="520"/>
      <c r="AH1389" s="520"/>
      <c r="AI1389" s="520"/>
      <c r="AJ1389" s="520"/>
      <c r="AK1389" s="520"/>
      <c r="AL1389" s="520"/>
      <c r="AM1389" s="520"/>
      <c r="AN1389" s="520"/>
      <c r="AO1389" s="520"/>
      <c r="AP1389" s="520"/>
      <c r="AQ1389" s="520"/>
      <c r="AR1389" s="520"/>
      <c r="AS1389" s="520"/>
      <c r="AT1389" s="520"/>
      <c r="AU1389" s="520"/>
      <c r="AV1389" s="520"/>
      <c r="AY1389" s="507"/>
      <c r="BA1389" s="507"/>
      <c r="BJ1389" s="493"/>
      <c r="CU1389" s="488"/>
      <c r="CW1389" s="488"/>
      <c r="EV1389" s="821"/>
      <c r="EW1389" s="821"/>
    </row>
    <row r="1390" spans="1:153" s="757" customFormat="1" hidden="1">
      <c r="A1390" s="487"/>
      <c r="B1390" s="487"/>
      <c r="C1390" s="487"/>
      <c r="D1390" s="487"/>
      <c r="I1390" s="487"/>
      <c r="J1390" s="487"/>
      <c r="K1390" s="487"/>
      <c r="L1390" s="487"/>
      <c r="M1390" s="487"/>
      <c r="N1390" s="487"/>
      <c r="O1390" s="875"/>
      <c r="Q1390" s="704"/>
      <c r="R1390" s="1026"/>
      <c r="S1390" s="704"/>
      <c r="T1390" s="1026"/>
      <c r="AB1390" s="520"/>
      <c r="AC1390" s="520"/>
      <c r="AD1390" s="520"/>
      <c r="AE1390" s="520"/>
      <c r="AF1390" s="520"/>
      <c r="AG1390" s="520"/>
      <c r="AH1390" s="520"/>
      <c r="AI1390" s="520"/>
      <c r="AJ1390" s="520"/>
      <c r="AK1390" s="520"/>
      <c r="AL1390" s="520"/>
      <c r="AM1390" s="520"/>
      <c r="AN1390" s="520"/>
      <c r="AO1390" s="520"/>
      <c r="AP1390" s="520"/>
      <c r="AQ1390" s="520"/>
      <c r="AR1390" s="520"/>
      <c r="AS1390" s="520"/>
      <c r="AT1390" s="520"/>
      <c r="AU1390" s="520"/>
      <c r="AV1390" s="520"/>
      <c r="AY1390" s="507"/>
      <c r="BA1390" s="507"/>
      <c r="BJ1390" s="493"/>
      <c r="CU1390" s="488"/>
      <c r="CW1390" s="488"/>
      <c r="EV1390" s="821"/>
      <c r="EW1390" s="821"/>
    </row>
    <row r="1391" spans="1:153" s="757" customFormat="1" hidden="1">
      <c r="A1391" s="487"/>
      <c r="B1391" s="487"/>
      <c r="C1391" s="487"/>
      <c r="D1391" s="487"/>
      <c r="I1391" s="487"/>
      <c r="J1391" s="487"/>
      <c r="K1391" s="487"/>
      <c r="L1391" s="487"/>
      <c r="M1391" s="487"/>
      <c r="N1391" s="487"/>
      <c r="O1391" s="875"/>
      <c r="Q1391" s="704"/>
      <c r="R1391" s="1026"/>
      <c r="S1391" s="704"/>
      <c r="T1391" s="1026"/>
      <c r="AB1391" s="520"/>
      <c r="AC1391" s="520"/>
      <c r="AD1391" s="520"/>
      <c r="AE1391" s="520"/>
      <c r="AF1391" s="520"/>
      <c r="AG1391" s="520"/>
      <c r="AH1391" s="520"/>
      <c r="AI1391" s="520"/>
      <c r="AJ1391" s="520"/>
      <c r="AK1391" s="520"/>
      <c r="AL1391" s="520"/>
      <c r="AM1391" s="520"/>
      <c r="AN1391" s="520"/>
      <c r="AO1391" s="520"/>
      <c r="AP1391" s="520"/>
      <c r="AQ1391" s="520"/>
      <c r="AR1391" s="520"/>
      <c r="AS1391" s="520"/>
      <c r="AT1391" s="520"/>
      <c r="AU1391" s="520"/>
      <c r="AV1391" s="520"/>
      <c r="AY1391" s="507"/>
      <c r="BA1391" s="507"/>
      <c r="BJ1391" s="493"/>
      <c r="CU1391" s="488"/>
      <c r="CW1391" s="488"/>
      <c r="EV1391" s="821"/>
      <c r="EW1391" s="821"/>
    </row>
    <row r="1392" spans="1:153" s="757" customFormat="1" hidden="1">
      <c r="A1392" s="487"/>
      <c r="B1392" s="487"/>
      <c r="C1392" s="487"/>
      <c r="D1392" s="487"/>
      <c r="I1392" s="487"/>
      <c r="J1392" s="487"/>
      <c r="K1392" s="487"/>
      <c r="L1392" s="487"/>
      <c r="M1392" s="487"/>
      <c r="N1392" s="487"/>
      <c r="O1392" s="875"/>
      <c r="Q1392" s="704"/>
      <c r="R1392" s="1026"/>
      <c r="S1392" s="704"/>
      <c r="T1392" s="1026"/>
      <c r="AB1392" s="520"/>
      <c r="AC1392" s="520"/>
      <c r="AD1392" s="520"/>
      <c r="AE1392" s="520"/>
      <c r="AF1392" s="520"/>
      <c r="AG1392" s="520"/>
      <c r="AH1392" s="520"/>
      <c r="AI1392" s="520"/>
      <c r="AJ1392" s="520"/>
      <c r="AK1392" s="520"/>
      <c r="AL1392" s="520"/>
      <c r="AM1392" s="520"/>
      <c r="AN1392" s="520"/>
      <c r="AO1392" s="520"/>
      <c r="AP1392" s="520"/>
      <c r="AQ1392" s="520"/>
      <c r="AR1392" s="520"/>
      <c r="AS1392" s="520"/>
      <c r="AT1392" s="520"/>
      <c r="AU1392" s="520"/>
      <c r="AV1392" s="520"/>
      <c r="AY1392" s="507"/>
      <c r="BA1392" s="507"/>
      <c r="BJ1392" s="493"/>
      <c r="CU1392" s="488"/>
      <c r="CW1392" s="488"/>
      <c r="EV1392" s="821"/>
      <c r="EW1392" s="821"/>
    </row>
    <row r="1393" spans="1:153" s="757" customFormat="1" hidden="1">
      <c r="A1393" s="487"/>
      <c r="B1393" s="487"/>
      <c r="C1393" s="487"/>
      <c r="D1393" s="487"/>
      <c r="I1393" s="487"/>
      <c r="J1393" s="487"/>
      <c r="K1393" s="487"/>
      <c r="L1393" s="487"/>
      <c r="M1393" s="487"/>
      <c r="N1393" s="487"/>
      <c r="O1393" s="875"/>
      <c r="Q1393" s="704"/>
      <c r="R1393" s="1026"/>
      <c r="S1393" s="704"/>
      <c r="T1393" s="1026"/>
      <c r="AB1393" s="520"/>
      <c r="AC1393" s="520"/>
      <c r="AD1393" s="520"/>
      <c r="AE1393" s="520"/>
      <c r="AF1393" s="520"/>
      <c r="AG1393" s="520"/>
      <c r="AH1393" s="520"/>
      <c r="AI1393" s="520"/>
      <c r="AJ1393" s="520"/>
      <c r="AK1393" s="520"/>
      <c r="AL1393" s="520"/>
      <c r="AM1393" s="520"/>
      <c r="AN1393" s="520"/>
      <c r="AO1393" s="520"/>
      <c r="AP1393" s="520"/>
      <c r="AQ1393" s="520"/>
      <c r="AR1393" s="520"/>
      <c r="AS1393" s="520"/>
      <c r="AT1393" s="520"/>
      <c r="AU1393" s="520"/>
      <c r="AV1393" s="520"/>
      <c r="AY1393" s="507"/>
      <c r="BA1393" s="507"/>
      <c r="BJ1393" s="493"/>
      <c r="CU1393" s="488"/>
      <c r="CW1393" s="488"/>
      <c r="EV1393" s="821"/>
      <c r="EW1393" s="821"/>
    </row>
    <row r="1394" spans="1:153" s="757" customFormat="1" hidden="1">
      <c r="A1394" s="487"/>
      <c r="B1394" s="487"/>
      <c r="C1394" s="487"/>
      <c r="D1394" s="487"/>
      <c r="I1394" s="487"/>
      <c r="J1394" s="487"/>
      <c r="K1394" s="487"/>
      <c r="L1394" s="487"/>
      <c r="M1394" s="487"/>
      <c r="N1394" s="487"/>
      <c r="O1394" s="875"/>
      <c r="Q1394" s="704"/>
      <c r="R1394" s="1026"/>
      <c r="S1394" s="704"/>
      <c r="T1394" s="1026"/>
      <c r="AB1394" s="520"/>
      <c r="AC1394" s="520"/>
      <c r="AD1394" s="520"/>
      <c r="AE1394" s="520"/>
      <c r="AF1394" s="520"/>
      <c r="AG1394" s="520"/>
      <c r="AH1394" s="520"/>
      <c r="AI1394" s="520"/>
      <c r="AJ1394" s="520"/>
      <c r="AK1394" s="520"/>
      <c r="AL1394" s="520"/>
      <c r="AM1394" s="520"/>
      <c r="AN1394" s="520"/>
      <c r="AO1394" s="520"/>
      <c r="AP1394" s="520"/>
      <c r="AQ1394" s="520"/>
      <c r="AR1394" s="520"/>
      <c r="AS1394" s="520"/>
      <c r="AT1394" s="520"/>
      <c r="AU1394" s="520"/>
      <c r="AV1394" s="520"/>
      <c r="AY1394" s="507"/>
      <c r="BA1394" s="507"/>
      <c r="BJ1394" s="493"/>
      <c r="CU1394" s="488"/>
      <c r="CW1394" s="488"/>
      <c r="EV1394" s="821"/>
      <c r="EW1394" s="821"/>
    </row>
    <row r="1395" spans="1:153" s="757" customFormat="1" hidden="1">
      <c r="A1395" s="487"/>
      <c r="B1395" s="487"/>
      <c r="C1395" s="487"/>
      <c r="D1395" s="487"/>
      <c r="I1395" s="487"/>
      <c r="J1395" s="487"/>
      <c r="K1395" s="487"/>
      <c r="L1395" s="487"/>
      <c r="M1395" s="487"/>
      <c r="N1395" s="487"/>
      <c r="O1395" s="875"/>
      <c r="Q1395" s="704"/>
      <c r="R1395" s="1026"/>
      <c r="S1395" s="704"/>
      <c r="T1395" s="1026"/>
      <c r="AB1395" s="520"/>
      <c r="AC1395" s="520"/>
      <c r="AD1395" s="520"/>
      <c r="AE1395" s="520"/>
      <c r="AF1395" s="520"/>
      <c r="AG1395" s="520"/>
      <c r="AH1395" s="520"/>
      <c r="AI1395" s="520"/>
      <c r="AJ1395" s="520"/>
      <c r="AK1395" s="520"/>
      <c r="AL1395" s="520"/>
      <c r="AM1395" s="520"/>
      <c r="AN1395" s="520"/>
      <c r="AO1395" s="520"/>
      <c r="AP1395" s="520"/>
      <c r="AQ1395" s="520"/>
      <c r="AR1395" s="520"/>
      <c r="AS1395" s="520"/>
      <c r="AT1395" s="520"/>
      <c r="AU1395" s="520"/>
      <c r="AV1395" s="520"/>
      <c r="AY1395" s="507"/>
      <c r="BA1395" s="507"/>
      <c r="BJ1395" s="493"/>
      <c r="CU1395" s="488"/>
      <c r="CW1395" s="488"/>
      <c r="EV1395" s="821"/>
      <c r="EW1395" s="821"/>
    </row>
    <row r="1396" spans="1:153" s="757" customFormat="1" hidden="1">
      <c r="A1396" s="487"/>
      <c r="B1396" s="487"/>
      <c r="C1396" s="487"/>
      <c r="D1396" s="487"/>
      <c r="I1396" s="487"/>
      <c r="J1396" s="487"/>
      <c r="K1396" s="487"/>
      <c r="L1396" s="487"/>
      <c r="M1396" s="487"/>
      <c r="N1396" s="487"/>
      <c r="O1396" s="875"/>
      <c r="Q1396" s="704"/>
      <c r="R1396" s="1026"/>
      <c r="S1396" s="704"/>
      <c r="T1396" s="1026"/>
      <c r="AB1396" s="520"/>
      <c r="AC1396" s="520"/>
      <c r="AD1396" s="520"/>
      <c r="AE1396" s="520"/>
      <c r="AF1396" s="520"/>
      <c r="AG1396" s="520"/>
      <c r="AH1396" s="520"/>
      <c r="AI1396" s="520"/>
      <c r="AJ1396" s="520"/>
      <c r="AK1396" s="520"/>
      <c r="AL1396" s="520"/>
      <c r="AM1396" s="520"/>
      <c r="AN1396" s="520"/>
      <c r="AO1396" s="520"/>
      <c r="AP1396" s="520"/>
      <c r="AQ1396" s="520"/>
      <c r="AR1396" s="520"/>
      <c r="AS1396" s="520"/>
      <c r="AT1396" s="520"/>
      <c r="AU1396" s="520"/>
      <c r="AV1396" s="520"/>
      <c r="AY1396" s="507"/>
      <c r="BA1396" s="507"/>
      <c r="BJ1396" s="493"/>
      <c r="CU1396" s="488"/>
      <c r="CW1396" s="488"/>
      <c r="EV1396" s="821"/>
      <c r="EW1396" s="821"/>
    </row>
    <row r="1397" spans="1:153" s="757" customFormat="1" hidden="1">
      <c r="A1397" s="487"/>
      <c r="B1397" s="487"/>
      <c r="C1397" s="487"/>
      <c r="D1397" s="487"/>
      <c r="I1397" s="487"/>
      <c r="J1397" s="487"/>
      <c r="K1397" s="487"/>
      <c r="L1397" s="487"/>
      <c r="M1397" s="487"/>
      <c r="N1397" s="487"/>
      <c r="O1397" s="875"/>
      <c r="Q1397" s="704"/>
      <c r="R1397" s="1026"/>
      <c r="S1397" s="704"/>
      <c r="T1397" s="1026"/>
      <c r="AB1397" s="520"/>
      <c r="AC1397" s="520"/>
      <c r="AD1397" s="520"/>
      <c r="AE1397" s="520"/>
      <c r="AF1397" s="520"/>
      <c r="AG1397" s="520"/>
      <c r="AH1397" s="520"/>
      <c r="AI1397" s="520"/>
      <c r="AJ1397" s="520"/>
      <c r="AK1397" s="520"/>
      <c r="AL1397" s="520"/>
      <c r="AM1397" s="520"/>
      <c r="AN1397" s="520"/>
      <c r="AO1397" s="520"/>
      <c r="AP1397" s="520"/>
      <c r="AQ1397" s="520"/>
      <c r="AR1397" s="520"/>
      <c r="AS1397" s="520"/>
      <c r="AT1397" s="520"/>
      <c r="AU1397" s="520"/>
      <c r="AV1397" s="520"/>
      <c r="AY1397" s="507"/>
      <c r="BA1397" s="507"/>
      <c r="BJ1397" s="493"/>
      <c r="CU1397" s="488"/>
      <c r="CW1397" s="488"/>
      <c r="EV1397" s="821"/>
      <c r="EW1397" s="821"/>
    </row>
    <row r="1398" spans="1:153" s="757" customFormat="1" hidden="1">
      <c r="A1398" s="487"/>
      <c r="B1398" s="487"/>
      <c r="C1398" s="487"/>
      <c r="D1398" s="487"/>
      <c r="I1398" s="487"/>
      <c r="J1398" s="487"/>
      <c r="K1398" s="487"/>
      <c r="L1398" s="487"/>
      <c r="M1398" s="487"/>
      <c r="N1398" s="487"/>
      <c r="O1398" s="875"/>
      <c r="Q1398" s="704"/>
      <c r="R1398" s="1026"/>
      <c r="S1398" s="704"/>
      <c r="T1398" s="1026"/>
      <c r="AB1398" s="520"/>
      <c r="AC1398" s="520"/>
      <c r="AD1398" s="520"/>
      <c r="AE1398" s="520"/>
      <c r="AF1398" s="520"/>
      <c r="AG1398" s="520"/>
      <c r="AH1398" s="520"/>
      <c r="AI1398" s="520"/>
      <c r="AJ1398" s="520"/>
      <c r="AK1398" s="520"/>
      <c r="AL1398" s="520"/>
      <c r="AM1398" s="520"/>
      <c r="AN1398" s="520"/>
      <c r="AO1398" s="520"/>
      <c r="AP1398" s="520"/>
      <c r="AQ1398" s="520"/>
      <c r="AR1398" s="520"/>
      <c r="AS1398" s="520"/>
      <c r="AT1398" s="520"/>
      <c r="AU1398" s="520"/>
      <c r="AV1398" s="520"/>
      <c r="AY1398" s="507"/>
      <c r="BA1398" s="507"/>
      <c r="BJ1398" s="493"/>
      <c r="CU1398" s="488"/>
      <c r="CW1398" s="488"/>
      <c r="EV1398" s="821"/>
      <c r="EW1398" s="821"/>
    </row>
    <row r="1399" spans="1:153" s="757" customFormat="1" hidden="1">
      <c r="A1399" s="487"/>
      <c r="B1399" s="487"/>
      <c r="C1399" s="487"/>
      <c r="D1399" s="487"/>
      <c r="I1399" s="487"/>
      <c r="J1399" s="487"/>
      <c r="K1399" s="487"/>
      <c r="L1399" s="487"/>
      <c r="M1399" s="487"/>
      <c r="N1399" s="487"/>
      <c r="O1399" s="875"/>
      <c r="Q1399" s="704"/>
      <c r="R1399" s="1026"/>
      <c r="S1399" s="704"/>
      <c r="T1399" s="1026"/>
      <c r="AB1399" s="520"/>
      <c r="AC1399" s="520"/>
      <c r="AD1399" s="520"/>
      <c r="AE1399" s="520"/>
      <c r="AF1399" s="520"/>
      <c r="AG1399" s="520"/>
      <c r="AH1399" s="520"/>
      <c r="AI1399" s="520"/>
      <c r="AJ1399" s="520"/>
      <c r="AK1399" s="520"/>
      <c r="AL1399" s="520"/>
      <c r="AM1399" s="520"/>
      <c r="AN1399" s="520"/>
      <c r="AO1399" s="520"/>
      <c r="AP1399" s="520"/>
      <c r="AQ1399" s="520"/>
      <c r="AR1399" s="520"/>
      <c r="AS1399" s="520"/>
      <c r="AT1399" s="520"/>
      <c r="AU1399" s="520"/>
      <c r="AV1399" s="520"/>
      <c r="AY1399" s="507"/>
      <c r="BA1399" s="507"/>
      <c r="BJ1399" s="493"/>
      <c r="CU1399" s="488"/>
      <c r="CW1399" s="488"/>
      <c r="EV1399" s="821"/>
      <c r="EW1399" s="821"/>
    </row>
    <row r="1400" spans="1:153" s="757" customFormat="1" hidden="1">
      <c r="A1400" s="487"/>
      <c r="B1400" s="487"/>
      <c r="C1400" s="487"/>
      <c r="D1400" s="487"/>
      <c r="I1400" s="487"/>
      <c r="J1400" s="487"/>
      <c r="K1400" s="487"/>
      <c r="L1400" s="487"/>
      <c r="M1400" s="487"/>
      <c r="N1400" s="487"/>
      <c r="O1400" s="875"/>
      <c r="Q1400" s="704"/>
      <c r="R1400" s="1026"/>
      <c r="S1400" s="704"/>
      <c r="T1400" s="1026"/>
      <c r="AB1400" s="520"/>
      <c r="AC1400" s="520"/>
      <c r="AD1400" s="520"/>
      <c r="AE1400" s="520"/>
      <c r="AF1400" s="520"/>
      <c r="AG1400" s="520"/>
      <c r="AH1400" s="520"/>
      <c r="AI1400" s="520"/>
      <c r="AJ1400" s="520"/>
      <c r="AK1400" s="520"/>
      <c r="AL1400" s="520"/>
      <c r="AM1400" s="520"/>
      <c r="AN1400" s="520"/>
      <c r="AO1400" s="520"/>
      <c r="AP1400" s="520"/>
      <c r="AQ1400" s="520"/>
      <c r="AR1400" s="520"/>
      <c r="AS1400" s="520"/>
      <c r="AT1400" s="520"/>
      <c r="AU1400" s="520"/>
      <c r="AV1400" s="520"/>
      <c r="AY1400" s="507"/>
      <c r="BA1400" s="507"/>
      <c r="BJ1400" s="493"/>
      <c r="CU1400" s="488"/>
      <c r="CW1400" s="488"/>
      <c r="EV1400" s="821"/>
      <c r="EW1400" s="821"/>
    </row>
    <row r="1401" spans="1:153" s="757" customFormat="1" hidden="1">
      <c r="A1401" s="487"/>
      <c r="B1401" s="487"/>
      <c r="C1401" s="487"/>
      <c r="D1401" s="487"/>
      <c r="I1401" s="487"/>
      <c r="J1401" s="487"/>
      <c r="K1401" s="487"/>
      <c r="L1401" s="487"/>
      <c r="M1401" s="487"/>
      <c r="N1401" s="487"/>
      <c r="O1401" s="875"/>
      <c r="Q1401" s="704"/>
      <c r="R1401" s="1026"/>
      <c r="S1401" s="704"/>
      <c r="T1401" s="1026"/>
      <c r="AB1401" s="520"/>
      <c r="AC1401" s="520"/>
      <c r="AD1401" s="520"/>
      <c r="AE1401" s="520"/>
      <c r="AF1401" s="520"/>
      <c r="AG1401" s="520"/>
      <c r="AH1401" s="520"/>
      <c r="AI1401" s="520"/>
      <c r="AJ1401" s="520"/>
      <c r="AK1401" s="520"/>
      <c r="AL1401" s="520"/>
      <c r="AM1401" s="520"/>
      <c r="AN1401" s="520"/>
      <c r="AO1401" s="520"/>
      <c r="AP1401" s="520"/>
      <c r="AQ1401" s="520"/>
      <c r="AR1401" s="520"/>
      <c r="AS1401" s="520"/>
      <c r="AT1401" s="520"/>
      <c r="AU1401" s="520"/>
      <c r="AV1401" s="520"/>
      <c r="AY1401" s="507"/>
      <c r="BA1401" s="507"/>
      <c r="BJ1401" s="493"/>
      <c r="CU1401" s="488"/>
      <c r="CW1401" s="488"/>
      <c r="EV1401" s="821"/>
      <c r="EW1401" s="821"/>
    </row>
    <row r="1402" spans="1:153" s="757" customFormat="1" hidden="1">
      <c r="A1402" s="487"/>
      <c r="B1402" s="487"/>
      <c r="C1402" s="487"/>
      <c r="D1402" s="487"/>
      <c r="I1402" s="487"/>
      <c r="J1402" s="487"/>
      <c r="K1402" s="487"/>
      <c r="L1402" s="487"/>
      <c r="M1402" s="487"/>
      <c r="N1402" s="487"/>
      <c r="O1402" s="875"/>
      <c r="Q1402" s="704"/>
      <c r="R1402" s="1026"/>
      <c r="S1402" s="704"/>
      <c r="T1402" s="1026"/>
      <c r="AB1402" s="520"/>
      <c r="AC1402" s="520"/>
      <c r="AD1402" s="520"/>
      <c r="AE1402" s="520"/>
      <c r="AF1402" s="520"/>
      <c r="AG1402" s="520"/>
      <c r="AH1402" s="520"/>
      <c r="AI1402" s="520"/>
      <c r="AJ1402" s="520"/>
      <c r="AK1402" s="520"/>
      <c r="AL1402" s="520"/>
      <c r="AM1402" s="520"/>
      <c r="AN1402" s="520"/>
      <c r="AO1402" s="520"/>
      <c r="AP1402" s="520"/>
      <c r="AQ1402" s="520"/>
      <c r="AR1402" s="520"/>
      <c r="AS1402" s="520"/>
      <c r="AT1402" s="520"/>
      <c r="AU1402" s="520"/>
      <c r="AV1402" s="520"/>
      <c r="AY1402" s="507"/>
      <c r="BA1402" s="507"/>
      <c r="BJ1402" s="493"/>
      <c r="CU1402" s="488"/>
      <c r="CW1402" s="488"/>
      <c r="EV1402" s="821"/>
      <c r="EW1402" s="821"/>
    </row>
    <row r="1403" spans="1:153" s="757" customFormat="1" hidden="1">
      <c r="A1403" s="487"/>
      <c r="B1403" s="487"/>
      <c r="C1403" s="487"/>
      <c r="D1403" s="487"/>
      <c r="I1403" s="487"/>
      <c r="J1403" s="487"/>
      <c r="K1403" s="487"/>
      <c r="L1403" s="487"/>
      <c r="M1403" s="487"/>
      <c r="N1403" s="487"/>
      <c r="O1403" s="875"/>
      <c r="Q1403" s="704"/>
      <c r="R1403" s="1026"/>
      <c r="S1403" s="704"/>
      <c r="T1403" s="1026"/>
      <c r="AB1403" s="520"/>
      <c r="AC1403" s="520"/>
      <c r="AD1403" s="520"/>
      <c r="AE1403" s="520"/>
      <c r="AF1403" s="520"/>
      <c r="AG1403" s="520"/>
      <c r="AH1403" s="520"/>
      <c r="AI1403" s="520"/>
      <c r="AJ1403" s="520"/>
      <c r="AK1403" s="520"/>
      <c r="AL1403" s="520"/>
      <c r="AM1403" s="520"/>
      <c r="AN1403" s="520"/>
      <c r="AO1403" s="520"/>
      <c r="AP1403" s="520"/>
      <c r="AQ1403" s="520"/>
      <c r="AR1403" s="520"/>
      <c r="AS1403" s="520"/>
      <c r="AT1403" s="520"/>
      <c r="AU1403" s="520"/>
      <c r="AV1403" s="520"/>
      <c r="AY1403" s="507"/>
      <c r="BA1403" s="507"/>
      <c r="BJ1403" s="493"/>
      <c r="CU1403" s="488"/>
      <c r="CW1403" s="488"/>
      <c r="EV1403" s="821"/>
      <c r="EW1403" s="821"/>
    </row>
    <row r="1404" spans="1:153" s="757" customFormat="1" hidden="1">
      <c r="A1404" s="487"/>
      <c r="B1404" s="487"/>
      <c r="C1404" s="487"/>
      <c r="D1404" s="487"/>
      <c r="I1404" s="487"/>
      <c r="J1404" s="487"/>
      <c r="K1404" s="487"/>
      <c r="L1404" s="487"/>
      <c r="M1404" s="487"/>
      <c r="N1404" s="487"/>
      <c r="O1404" s="875"/>
      <c r="Q1404" s="704"/>
      <c r="R1404" s="1026"/>
      <c r="S1404" s="704"/>
      <c r="T1404" s="1026"/>
      <c r="AB1404" s="520"/>
      <c r="AC1404" s="520"/>
      <c r="AD1404" s="520"/>
      <c r="AE1404" s="520"/>
      <c r="AF1404" s="520"/>
      <c r="AG1404" s="520"/>
      <c r="AH1404" s="520"/>
      <c r="AI1404" s="520"/>
      <c r="AJ1404" s="520"/>
      <c r="AK1404" s="520"/>
      <c r="AL1404" s="520"/>
      <c r="AM1404" s="520"/>
      <c r="AN1404" s="520"/>
      <c r="AO1404" s="520"/>
      <c r="AP1404" s="520"/>
      <c r="AQ1404" s="520"/>
      <c r="AR1404" s="520"/>
      <c r="AS1404" s="520"/>
      <c r="AT1404" s="520"/>
      <c r="AU1404" s="520"/>
      <c r="AV1404" s="520"/>
      <c r="AY1404" s="507"/>
      <c r="BA1404" s="507"/>
      <c r="BJ1404" s="493"/>
      <c r="CU1404" s="488"/>
      <c r="CW1404" s="488"/>
      <c r="EV1404" s="821"/>
      <c r="EW1404" s="821"/>
    </row>
    <row r="1405" spans="1:153" s="757" customFormat="1" hidden="1">
      <c r="A1405" s="487"/>
      <c r="B1405" s="487"/>
      <c r="C1405" s="487"/>
      <c r="D1405" s="487"/>
      <c r="I1405" s="487"/>
      <c r="J1405" s="487"/>
      <c r="K1405" s="487"/>
      <c r="L1405" s="487"/>
      <c r="M1405" s="487"/>
      <c r="N1405" s="487"/>
      <c r="O1405" s="875"/>
      <c r="Q1405" s="704"/>
      <c r="R1405" s="1026"/>
      <c r="S1405" s="704"/>
      <c r="T1405" s="1026"/>
      <c r="AB1405" s="520"/>
      <c r="AC1405" s="520"/>
      <c r="AD1405" s="520"/>
      <c r="AE1405" s="520"/>
      <c r="AF1405" s="520"/>
      <c r="AG1405" s="520"/>
      <c r="AH1405" s="520"/>
      <c r="AI1405" s="520"/>
      <c r="AJ1405" s="520"/>
      <c r="AK1405" s="520"/>
      <c r="AL1405" s="520"/>
      <c r="AM1405" s="520"/>
      <c r="AN1405" s="520"/>
      <c r="AO1405" s="520"/>
      <c r="AP1405" s="520"/>
      <c r="AQ1405" s="520"/>
      <c r="AR1405" s="520"/>
      <c r="AS1405" s="520"/>
      <c r="AT1405" s="520"/>
      <c r="AU1405" s="520"/>
      <c r="AV1405" s="520"/>
      <c r="AY1405" s="507"/>
      <c r="BA1405" s="507"/>
      <c r="BJ1405" s="493"/>
      <c r="CU1405" s="488"/>
      <c r="CW1405" s="488"/>
      <c r="EV1405" s="821"/>
      <c r="EW1405" s="821"/>
    </row>
    <row r="1406" spans="1:153" s="757" customFormat="1" hidden="1">
      <c r="A1406" s="487"/>
      <c r="B1406" s="487"/>
      <c r="C1406" s="487"/>
      <c r="D1406" s="487"/>
      <c r="I1406" s="487"/>
      <c r="J1406" s="487"/>
      <c r="K1406" s="487"/>
      <c r="L1406" s="487"/>
      <c r="M1406" s="487"/>
      <c r="N1406" s="487"/>
      <c r="O1406" s="875"/>
      <c r="Q1406" s="704"/>
      <c r="R1406" s="1026"/>
      <c r="S1406" s="704"/>
      <c r="T1406" s="1026"/>
      <c r="AB1406" s="520"/>
      <c r="AC1406" s="520"/>
      <c r="AD1406" s="520"/>
      <c r="AE1406" s="520"/>
      <c r="AF1406" s="520"/>
      <c r="AG1406" s="520"/>
      <c r="AH1406" s="520"/>
      <c r="AI1406" s="520"/>
      <c r="AJ1406" s="520"/>
      <c r="AK1406" s="520"/>
      <c r="AL1406" s="520"/>
      <c r="AM1406" s="520"/>
      <c r="AN1406" s="520"/>
      <c r="AO1406" s="520"/>
      <c r="AP1406" s="520"/>
      <c r="AQ1406" s="520"/>
      <c r="AR1406" s="520"/>
      <c r="AS1406" s="520"/>
      <c r="AT1406" s="520"/>
      <c r="AU1406" s="520"/>
      <c r="AV1406" s="520"/>
      <c r="AY1406" s="507"/>
      <c r="BA1406" s="507"/>
      <c r="BJ1406" s="493"/>
      <c r="CU1406" s="488"/>
      <c r="CW1406" s="488"/>
      <c r="EV1406" s="821"/>
      <c r="EW1406" s="821"/>
    </row>
    <row r="1407" spans="1:153" s="757" customFormat="1" hidden="1">
      <c r="A1407" s="487"/>
      <c r="B1407" s="487"/>
      <c r="C1407" s="487"/>
      <c r="D1407" s="487"/>
      <c r="I1407" s="487"/>
      <c r="J1407" s="487"/>
      <c r="K1407" s="487"/>
      <c r="L1407" s="487"/>
      <c r="M1407" s="487"/>
      <c r="N1407" s="487"/>
      <c r="O1407" s="875"/>
      <c r="Q1407" s="704"/>
      <c r="R1407" s="1026"/>
      <c r="S1407" s="704"/>
      <c r="T1407" s="1026"/>
      <c r="AB1407" s="520"/>
      <c r="AC1407" s="520"/>
      <c r="AD1407" s="520"/>
      <c r="AE1407" s="520"/>
      <c r="AF1407" s="520"/>
      <c r="AG1407" s="520"/>
      <c r="AH1407" s="520"/>
      <c r="AI1407" s="520"/>
      <c r="AJ1407" s="520"/>
      <c r="AK1407" s="520"/>
      <c r="AL1407" s="520"/>
      <c r="AM1407" s="520"/>
      <c r="AN1407" s="520"/>
      <c r="AO1407" s="520"/>
      <c r="AP1407" s="520"/>
      <c r="AQ1407" s="520"/>
      <c r="AR1407" s="520"/>
      <c r="AS1407" s="520"/>
      <c r="AT1407" s="520"/>
      <c r="AU1407" s="520"/>
      <c r="AV1407" s="520"/>
      <c r="AY1407" s="507"/>
      <c r="BA1407" s="507"/>
      <c r="BJ1407" s="493"/>
      <c r="CU1407" s="488"/>
      <c r="CW1407" s="488"/>
      <c r="EV1407" s="821"/>
      <c r="EW1407" s="821"/>
    </row>
    <row r="1408" spans="1:153" s="757" customFormat="1" hidden="1">
      <c r="A1408" s="487"/>
      <c r="B1408" s="487"/>
      <c r="C1408" s="487"/>
      <c r="D1408" s="487"/>
      <c r="I1408" s="487"/>
      <c r="J1408" s="487"/>
      <c r="K1408" s="487"/>
      <c r="L1408" s="487"/>
      <c r="M1408" s="487"/>
      <c r="N1408" s="487"/>
      <c r="O1408" s="875"/>
      <c r="Q1408" s="704"/>
      <c r="R1408" s="1026"/>
      <c r="S1408" s="704"/>
      <c r="T1408" s="1026"/>
      <c r="AB1408" s="520"/>
      <c r="AC1408" s="520"/>
      <c r="AD1408" s="520"/>
      <c r="AE1408" s="520"/>
      <c r="AF1408" s="520"/>
      <c r="AG1408" s="520"/>
      <c r="AH1408" s="520"/>
      <c r="AI1408" s="520"/>
      <c r="AJ1408" s="520"/>
      <c r="AK1408" s="520"/>
      <c r="AL1408" s="520"/>
      <c r="AM1408" s="520"/>
      <c r="AN1408" s="520"/>
      <c r="AO1408" s="520"/>
      <c r="AP1408" s="520"/>
      <c r="AQ1408" s="520"/>
      <c r="AR1408" s="520"/>
      <c r="AS1408" s="520"/>
      <c r="AT1408" s="520"/>
      <c r="AU1408" s="520"/>
      <c r="AV1408" s="520"/>
      <c r="AY1408" s="507"/>
      <c r="BA1408" s="507"/>
      <c r="BJ1408" s="493"/>
      <c r="CU1408" s="488"/>
      <c r="CW1408" s="488"/>
      <c r="EV1408" s="821"/>
      <c r="EW1408" s="821"/>
    </row>
    <row r="1409" spans="1:153" s="757" customFormat="1" hidden="1">
      <c r="A1409" s="487"/>
      <c r="B1409" s="487"/>
      <c r="C1409" s="487"/>
      <c r="D1409" s="487"/>
      <c r="I1409" s="487"/>
      <c r="J1409" s="487"/>
      <c r="K1409" s="487"/>
      <c r="L1409" s="487"/>
      <c r="M1409" s="487"/>
      <c r="N1409" s="487"/>
      <c r="O1409" s="875"/>
      <c r="Q1409" s="704"/>
      <c r="R1409" s="1026"/>
      <c r="S1409" s="704"/>
      <c r="T1409" s="1026"/>
      <c r="AB1409" s="520"/>
      <c r="AC1409" s="520"/>
      <c r="AD1409" s="520"/>
      <c r="AE1409" s="520"/>
      <c r="AF1409" s="520"/>
      <c r="AG1409" s="520"/>
      <c r="AH1409" s="520"/>
      <c r="AI1409" s="520"/>
      <c r="AJ1409" s="520"/>
      <c r="AK1409" s="520"/>
      <c r="AL1409" s="520"/>
      <c r="AM1409" s="520"/>
      <c r="AN1409" s="520"/>
      <c r="AO1409" s="520"/>
      <c r="AP1409" s="520"/>
      <c r="AQ1409" s="520"/>
      <c r="AR1409" s="520"/>
      <c r="AS1409" s="520"/>
      <c r="AT1409" s="520"/>
      <c r="AU1409" s="520"/>
      <c r="AV1409" s="520"/>
      <c r="AY1409" s="507"/>
      <c r="BA1409" s="507"/>
      <c r="BJ1409" s="493"/>
      <c r="CU1409" s="488"/>
      <c r="CW1409" s="488"/>
      <c r="EV1409" s="821"/>
      <c r="EW1409" s="821"/>
    </row>
    <row r="1410" spans="1:153" s="757" customFormat="1" hidden="1">
      <c r="A1410" s="487"/>
      <c r="B1410" s="487"/>
      <c r="C1410" s="487"/>
      <c r="D1410" s="487"/>
      <c r="I1410" s="487"/>
      <c r="J1410" s="487"/>
      <c r="K1410" s="487"/>
      <c r="L1410" s="487"/>
      <c r="M1410" s="487"/>
      <c r="N1410" s="487"/>
      <c r="O1410" s="875"/>
      <c r="Q1410" s="704"/>
      <c r="R1410" s="1026"/>
      <c r="S1410" s="704"/>
      <c r="T1410" s="1026"/>
      <c r="AB1410" s="520"/>
      <c r="AC1410" s="520"/>
      <c r="AD1410" s="520"/>
      <c r="AE1410" s="520"/>
      <c r="AF1410" s="520"/>
      <c r="AG1410" s="520"/>
      <c r="AH1410" s="520"/>
      <c r="AI1410" s="520"/>
      <c r="AJ1410" s="520"/>
      <c r="AK1410" s="520"/>
      <c r="AL1410" s="520"/>
      <c r="AM1410" s="520"/>
      <c r="AN1410" s="520"/>
      <c r="AO1410" s="520"/>
      <c r="AP1410" s="520"/>
      <c r="AQ1410" s="520"/>
      <c r="AR1410" s="520"/>
      <c r="AS1410" s="520"/>
      <c r="AT1410" s="520"/>
      <c r="AU1410" s="520"/>
      <c r="AV1410" s="520"/>
      <c r="AY1410" s="507"/>
      <c r="BA1410" s="507"/>
      <c r="BJ1410" s="493"/>
      <c r="CU1410" s="488"/>
      <c r="CW1410" s="488"/>
      <c r="EV1410" s="821"/>
      <c r="EW1410" s="821"/>
    </row>
    <row r="1411" spans="1:153" s="757" customFormat="1" hidden="1">
      <c r="A1411" s="487"/>
      <c r="B1411" s="487"/>
      <c r="C1411" s="487"/>
      <c r="D1411" s="487"/>
      <c r="I1411" s="487"/>
      <c r="J1411" s="487"/>
      <c r="K1411" s="487"/>
      <c r="L1411" s="487"/>
      <c r="M1411" s="487"/>
      <c r="N1411" s="487"/>
      <c r="O1411" s="875"/>
      <c r="Q1411" s="704"/>
      <c r="R1411" s="1026"/>
      <c r="S1411" s="704"/>
      <c r="T1411" s="1026"/>
      <c r="AB1411" s="520"/>
      <c r="AC1411" s="520"/>
      <c r="AD1411" s="520"/>
      <c r="AE1411" s="520"/>
      <c r="AF1411" s="520"/>
      <c r="AG1411" s="520"/>
      <c r="AH1411" s="520"/>
      <c r="AI1411" s="520"/>
      <c r="AJ1411" s="520"/>
      <c r="AK1411" s="520"/>
      <c r="AL1411" s="520"/>
      <c r="AM1411" s="520"/>
      <c r="AN1411" s="520"/>
      <c r="AO1411" s="520"/>
      <c r="AP1411" s="520"/>
      <c r="AQ1411" s="520"/>
      <c r="AR1411" s="520"/>
      <c r="AS1411" s="520"/>
      <c r="AT1411" s="520"/>
      <c r="AU1411" s="520"/>
      <c r="AV1411" s="520"/>
      <c r="AY1411" s="507"/>
      <c r="BA1411" s="507"/>
      <c r="BJ1411" s="493"/>
      <c r="CU1411" s="488"/>
      <c r="CW1411" s="488"/>
      <c r="EV1411" s="821"/>
      <c r="EW1411" s="821"/>
    </row>
    <row r="1412" spans="1:153" s="757" customFormat="1" hidden="1">
      <c r="A1412" s="487"/>
      <c r="B1412" s="487"/>
      <c r="C1412" s="487"/>
      <c r="D1412" s="487"/>
      <c r="I1412" s="487"/>
      <c r="J1412" s="487"/>
      <c r="K1412" s="487"/>
      <c r="L1412" s="487"/>
      <c r="M1412" s="487"/>
      <c r="N1412" s="487"/>
      <c r="O1412" s="875"/>
      <c r="Q1412" s="704"/>
      <c r="R1412" s="1026"/>
      <c r="S1412" s="704"/>
      <c r="T1412" s="1026"/>
      <c r="AB1412" s="520"/>
      <c r="AC1412" s="520"/>
      <c r="AD1412" s="520"/>
      <c r="AE1412" s="520"/>
      <c r="AF1412" s="520"/>
      <c r="AG1412" s="520"/>
      <c r="AH1412" s="520"/>
      <c r="AI1412" s="520"/>
      <c r="AJ1412" s="520"/>
      <c r="AK1412" s="520"/>
      <c r="AL1412" s="520"/>
      <c r="AM1412" s="520"/>
      <c r="AN1412" s="520"/>
      <c r="AO1412" s="520"/>
      <c r="AP1412" s="520"/>
      <c r="AQ1412" s="520"/>
      <c r="AR1412" s="520"/>
      <c r="AS1412" s="520"/>
      <c r="AT1412" s="520"/>
      <c r="AU1412" s="520"/>
      <c r="AV1412" s="520"/>
      <c r="AY1412" s="507"/>
      <c r="BA1412" s="507"/>
      <c r="BJ1412" s="493"/>
      <c r="CU1412" s="488"/>
      <c r="CW1412" s="488"/>
      <c r="EV1412" s="821"/>
      <c r="EW1412" s="821"/>
    </row>
    <row r="1413" spans="1:153" s="757" customFormat="1" hidden="1">
      <c r="A1413" s="487"/>
      <c r="B1413" s="487"/>
      <c r="C1413" s="487"/>
      <c r="D1413" s="487"/>
      <c r="I1413" s="487"/>
      <c r="J1413" s="487"/>
      <c r="K1413" s="487"/>
      <c r="L1413" s="487"/>
      <c r="M1413" s="487"/>
      <c r="N1413" s="487"/>
      <c r="O1413" s="875"/>
      <c r="Q1413" s="704"/>
      <c r="R1413" s="1026"/>
      <c r="S1413" s="704"/>
      <c r="T1413" s="1026"/>
      <c r="AB1413" s="520"/>
      <c r="AC1413" s="520"/>
      <c r="AD1413" s="520"/>
      <c r="AE1413" s="520"/>
      <c r="AF1413" s="520"/>
      <c r="AG1413" s="520"/>
      <c r="AH1413" s="520"/>
      <c r="AI1413" s="520"/>
      <c r="AJ1413" s="520"/>
      <c r="AK1413" s="520"/>
      <c r="AL1413" s="520"/>
      <c r="AM1413" s="520"/>
      <c r="AN1413" s="520"/>
      <c r="AO1413" s="520"/>
      <c r="AP1413" s="520"/>
      <c r="AQ1413" s="520"/>
      <c r="AR1413" s="520"/>
      <c r="AS1413" s="520"/>
      <c r="AT1413" s="520"/>
      <c r="AU1413" s="520"/>
      <c r="AV1413" s="520"/>
      <c r="AY1413" s="507"/>
      <c r="BA1413" s="507"/>
      <c r="BJ1413" s="493"/>
      <c r="CU1413" s="488"/>
      <c r="CW1413" s="488"/>
      <c r="EV1413" s="821"/>
      <c r="EW1413" s="821"/>
    </row>
    <row r="1414" spans="1:153" s="757" customFormat="1" hidden="1">
      <c r="A1414" s="487"/>
      <c r="B1414" s="487"/>
      <c r="C1414" s="487"/>
      <c r="D1414" s="487"/>
      <c r="I1414" s="487"/>
      <c r="J1414" s="487"/>
      <c r="K1414" s="487"/>
      <c r="L1414" s="487"/>
      <c r="M1414" s="487"/>
      <c r="N1414" s="487"/>
      <c r="O1414" s="875"/>
      <c r="Q1414" s="704"/>
      <c r="R1414" s="1026"/>
      <c r="S1414" s="704"/>
      <c r="T1414" s="1026"/>
      <c r="AB1414" s="520"/>
      <c r="AC1414" s="520"/>
      <c r="AD1414" s="520"/>
      <c r="AE1414" s="520"/>
      <c r="AF1414" s="520"/>
      <c r="AG1414" s="520"/>
      <c r="AH1414" s="520"/>
      <c r="AI1414" s="520"/>
      <c r="AJ1414" s="520"/>
      <c r="AK1414" s="520"/>
      <c r="AL1414" s="520"/>
      <c r="AM1414" s="520"/>
      <c r="AN1414" s="520"/>
      <c r="AO1414" s="520"/>
      <c r="AP1414" s="520"/>
      <c r="AQ1414" s="520"/>
      <c r="AR1414" s="520"/>
      <c r="AS1414" s="520"/>
      <c r="AT1414" s="520"/>
      <c r="AU1414" s="520"/>
      <c r="AV1414" s="520"/>
      <c r="AY1414" s="507"/>
      <c r="BA1414" s="507"/>
      <c r="BJ1414" s="493"/>
      <c r="CU1414" s="488"/>
      <c r="CW1414" s="488"/>
      <c r="EV1414" s="821"/>
      <c r="EW1414" s="821"/>
    </row>
    <row r="1415" spans="1:153" s="757" customFormat="1" hidden="1">
      <c r="A1415" s="487"/>
      <c r="B1415" s="487"/>
      <c r="C1415" s="487"/>
      <c r="D1415" s="487"/>
      <c r="I1415" s="487"/>
      <c r="J1415" s="487"/>
      <c r="K1415" s="487"/>
      <c r="L1415" s="487"/>
      <c r="M1415" s="487"/>
      <c r="N1415" s="487"/>
      <c r="O1415" s="875"/>
      <c r="Q1415" s="704"/>
      <c r="R1415" s="1026"/>
      <c r="S1415" s="704"/>
      <c r="T1415" s="1026"/>
      <c r="AB1415" s="520"/>
      <c r="AC1415" s="520"/>
      <c r="AD1415" s="520"/>
      <c r="AE1415" s="520"/>
      <c r="AF1415" s="520"/>
      <c r="AG1415" s="520"/>
      <c r="AH1415" s="520"/>
      <c r="AI1415" s="520"/>
      <c r="AJ1415" s="520"/>
      <c r="AK1415" s="520"/>
      <c r="AL1415" s="520"/>
      <c r="AM1415" s="520"/>
      <c r="AN1415" s="520"/>
      <c r="AO1415" s="520"/>
      <c r="AP1415" s="520"/>
      <c r="AQ1415" s="520"/>
      <c r="AR1415" s="520"/>
      <c r="AS1415" s="520"/>
      <c r="AT1415" s="520"/>
      <c r="AU1415" s="520"/>
      <c r="AV1415" s="520"/>
      <c r="AY1415" s="507"/>
      <c r="BA1415" s="507"/>
      <c r="BJ1415" s="493"/>
      <c r="CU1415" s="488"/>
      <c r="CW1415" s="488"/>
      <c r="EV1415" s="821"/>
      <c r="EW1415" s="821"/>
    </row>
    <row r="1416" spans="1:153" s="757" customFormat="1" hidden="1">
      <c r="A1416" s="487"/>
      <c r="B1416" s="487"/>
      <c r="C1416" s="487"/>
      <c r="D1416" s="487"/>
      <c r="I1416" s="487"/>
      <c r="J1416" s="487"/>
      <c r="K1416" s="487"/>
      <c r="L1416" s="487"/>
      <c r="M1416" s="487"/>
      <c r="N1416" s="487"/>
      <c r="O1416" s="875"/>
      <c r="Q1416" s="704"/>
      <c r="R1416" s="1026"/>
      <c r="S1416" s="704"/>
      <c r="T1416" s="1026"/>
      <c r="AB1416" s="520"/>
      <c r="AC1416" s="520"/>
      <c r="AD1416" s="520"/>
      <c r="AE1416" s="520"/>
      <c r="AF1416" s="520"/>
      <c r="AG1416" s="520"/>
      <c r="AH1416" s="520"/>
      <c r="AI1416" s="520"/>
      <c r="AJ1416" s="520"/>
      <c r="AK1416" s="520"/>
      <c r="AL1416" s="520"/>
      <c r="AM1416" s="520"/>
      <c r="AN1416" s="520"/>
      <c r="AO1416" s="520"/>
      <c r="AP1416" s="520"/>
      <c r="AQ1416" s="520"/>
      <c r="AR1416" s="520"/>
      <c r="AS1416" s="520"/>
      <c r="AT1416" s="520"/>
      <c r="AU1416" s="520"/>
      <c r="AV1416" s="520"/>
      <c r="AY1416" s="507"/>
      <c r="BA1416" s="507"/>
      <c r="BJ1416" s="493"/>
      <c r="CU1416" s="488"/>
      <c r="CW1416" s="488"/>
      <c r="EV1416" s="821"/>
      <c r="EW1416" s="821"/>
    </row>
    <row r="1417" spans="1:153" s="757" customFormat="1" hidden="1">
      <c r="A1417" s="487"/>
      <c r="B1417" s="487"/>
      <c r="C1417" s="487"/>
      <c r="D1417" s="487"/>
      <c r="I1417" s="487"/>
      <c r="J1417" s="487"/>
      <c r="K1417" s="487"/>
      <c r="L1417" s="487"/>
      <c r="M1417" s="487"/>
      <c r="N1417" s="487"/>
      <c r="O1417" s="875"/>
      <c r="Q1417" s="704"/>
      <c r="R1417" s="1026"/>
      <c r="S1417" s="704"/>
      <c r="T1417" s="1026"/>
      <c r="AB1417" s="520"/>
      <c r="AC1417" s="520"/>
      <c r="AD1417" s="520"/>
      <c r="AE1417" s="520"/>
      <c r="AF1417" s="520"/>
      <c r="AG1417" s="520"/>
      <c r="AH1417" s="520"/>
      <c r="AI1417" s="520"/>
      <c r="AJ1417" s="520"/>
      <c r="AK1417" s="520"/>
      <c r="AL1417" s="520"/>
      <c r="AM1417" s="520"/>
      <c r="AN1417" s="520"/>
      <c r="AO1417" s="520"/>
      <c r="AP1417" s="520"/>
      <c r="AQ1417" s="520"/>
      <c r="AR1417" s="520"/>
      <c r="AS1417" s="520"/>
      <c r="AT1417" s="520"/>
      <c r="AU1417" s="520"/>
      <c r="AV1417" s="520"/>
      <c r="AY1417" s="507"/>
      <c r="BA1417" s="507"/>
      <c r="BJ1417" s="493"/>
      <c r="CU1417" s="488"/>
      <c r="CW1417" s="488"/>
      <c r="EV1417" s="821"/>
      <c r="EW1417" s="821"/>
    </row>
    <row r="1418" spans="1:153" s="757" customFormat="1" hidden="1">
      <c r="A1418" s="487"/>
      <c r="B1418" s="487"/>
      <c r="C1418" s="487"/>
      <c r="D1418" s="487"/>
      <c r="I1418" s="487"/>
      <c r="J1418" s="487"/>
      <c r="K1418" s="487"/>
      <c r="L1418" s="487"/>
      <c r="M1418" s="487"/>
      <c r="N1418" s="487"/>
      <c r="O1418" s="875"/>
      <c r="Q1418" s="704"/>
      <c r="R1418" s="1026"/>
      <c r="S1418" s="704"/>
      <c r="T1418" s="1026"/>
      <c r="AB1418" s="520"/>
      <c r="AC1418" s="520"/>
      <c r="AD1418" s="520"/>
      <c r="AE1418" s="520"/>
      <c r="AF1418" s="520"/>
      <c r="AG1418" s="520"/>
      <c r="AH1418" s="520"/>
      <c r="AI1418" s="520"/>
      <c r="AJ1418" s="520"/>
      <c r="AK1418" s="520"/>
      <c r="AL1418" s="520"/>
      <c r="AM1418" s="520"/>
      <c r="AN1418" s="520"/>
      <c r="AO1418" s="520"/>
      <c r="AP1418" s="520"/>
      <c r="AQ1418" s="520"/>
      <c r="AR1418" s="520"/>
      <c r="AS1418" s="520"/>
      <c r="AT1418" s="520"/>
      <c r="AU1418" s="520"/>
      <c r="AV1418" s="520"/>
      <c r="AY1418" s="507"/>
      <c r="BA1418" s="507"/>
      <c r="BJ1418" s="493"/>
      <c r="CU1418" s="488"/>
      <c r="CW1418" s="488"/>
      <c r="EV1418" s="821"/>
      <c r="EW1418" s="821"/>
    </row>
    <row r="1419" spans="1:153" s="757" customFormat="1" hidden="1">
      <c r="A1419" s="487"/>
      <c r="B1419" s="487"/>
      <c r="C1419" s="487"/>
      <c r="D1419" s="487"/>
      <c r="I1419" s="487"/>
      <c r="J1419" s="487"/>
      <c r="K1419" s="487"/>
      <c r="L1419" s="487"/>
      <c r="M1419" s="487"/>
      <c r="N1419" s="487"/>
      <c r="O1419" s="875"/>
      <c r="Q1419" s="704"/>
      <c r="R1419" s="1026"/>
      <c r="S1419" s="704"/>
      <c r="T1419" s="1026"/>
      <c r="AB1419" s="520"/>
      <c r="AC1419" s="520"/>
      <c r="AD1419" s="520"/>
      <c r="AE1419" s="520"/>
      <c r="AF1419" s="520"/>
      <c r="AG1419" s="520"/>
      <c r="AH1419" s="520"/>
      <c r="AI1419" s="520"/>
      <c r="AJ1419" s="520"/>
      <c r="AK1419" s="520"/>
      <c r="AL1419" s="520"/>
      <c r="AM1419" s="520"/>
      <c r="AN1419" s="520"/>
      <c r="AO1419" s="520"/>
      <c r="AP1419" s="520"/>
      <c r="AQ1419" s="520"/>
      <c r="AR1419" s="520"/>
      <c r="AS1419" s="520"/>
      <c r="AT1419" s="520"/>
      <c r="AU1419" s="520"/>
      <c r="AV1419" s="520"/>
      <c r="AY1419" s="507"/>
      <c r="BA1419" s="507"/>
      <c r="BJ1419" s="493"/>
      <c r="CU1419" s="488"/>
      <c r="CW1419" s="488"/>
      <c r="EV1419" s="821"/>
      <c r="EW1419" s="821"/>
    </row>
    <row r="1420" spans="1:153" s="757" customFormat="1" hidden="1">
      <c r="A1420" s="487"/>
      <c r="B1420" s="487"/>
      <c r="C1420" s="487"/>
      <c r="D1420" s="487"/>
      <c r="I1420" s="487"/>
      <c r="J1420" s="487"/>
      <c r="K1420" s="487"/>
      <c r="L1420" s="487"/>
      <c r="M1420" s="487"/>
      <c r="N1420" s="487"/>
      <c r="O1420" s="875"/>
      <c r="Q1420" s="704"/>
      <c r="R1420" s="1026"/>
      <c r="S1420" s="704"/>
      <c r="T1420" s="1026"/>
      <c r="AB1420" s="520"/>
      <c r="AC1420" s="520"/>
      <c r="AD1420" s="520"/>
      <c r="AE1420" s="520"/>
      <c r="AF1420" s="520"/>
      <c r="AG1420" s="520"/>
      <c r="AH1420" s="520"/>
      <c r="AI1420" s="520"/>
      <c r="AJ1420" s="520"/>
      <c r="AK1420" s="520"/>
      <c r="AL1420" s="520"/>
      <c r="AM1420" s="520"/>
      <c r="AN1420" s="520"/>
      <c r="AO1420" s="520"/>
      <c r="AP1420" s="520"/>
      <c r="AQ1420" s="520"/>
      <c r="AR1420" s="520"/>
      <c r="AS1420" s="520"/>
      <c r="AT1420" s="520"/>
      <c r="AU1420" s="520"/>
      <c r="AV1420" s="520"/>
      <c r="AY1420" s="507"/>
      <c r="BA1420" s="507"/>
      <c r="BJ1420" s="493"/>
      <c r="CU1420" s="488"/>
      <c r="CW1420" s="488"/>
      <c r="EV1420" s="821"/>
      <c r="EW1420" s="821"/>
    </row>
    <row r="1421" spans="1:153" s="757" customFormat="1" hidden="1">
      <c r="A1421" s="487"/>
      <c r="B1421" s="487"/>
      <c r="C1421" s="487"/>
      <c r="D1421" s="487"/>
      <c r="I1421" s="487"/>
      <c r="J1421" s="487"/>
      <c r="K1421" s="487"/>
      <c r="L1421" s="487"/>
      <c r="M1421" s="487"/>
      <c r="N1421" s="487"/>
      <c r="O1421" s="875"/>
      <c r="Q1421" s="704"/>
      <c r="R1421" s="1026"/>
      <c r="S1421" s="704"/>
      <c r="T1421" s="1026"/>
      <c r="AB1421" s="520"/>
      <c r="AC1421" s="520"/>
      <c r="AD1421" s="520"/>
      <c r="AE1421" s="520"/>
      <c r="AF1421" s="520"/>
      <c r="AG1421" s="520"/>
      <c r="AH1421" s="520"/>
      <c r="AI1421" s="520"/>
      <c r="AJ1421" s="520"/>
      <c r="AK1421" s="520"/>
      <c r="AL1421" s="520"/>
      <c r="AM1421" s="520"/>
      <c r="AN1421" s="520"/>
      <c r="AO1421" s="520"/>
      <c r="AP1421" s="520"/>
      <c r="AQ1421" s="520"/>
      <c r="AR1421" s="520"/>
      <c r="AS1421" s="520"/>
      <c r="AT1421" s="520"/>
      <c r="AU1421" s="520"/>
      <c r="AV1421" s="520"/>
      <c r="AY1421" s="507"/>
      <c r="BA1421" s="507"/>
      <c r="BJ1421" s="493"/>
      <c r="CU1421" s="488"/>
      <c r="CW1421" s="488"/>
      <c r="EV1421" s="821"/>
      <c r="EW1421" s="821"/>
    </row>
    <row r="1422" spans="1:153" s="757" customFormat="1" hidden="1">
      <c r="A1422" s="487"/>
      <c r="B1422" s="487"/>
      <c r="C1422" s="487"/>
      <c r="D1422" s="487"/>
      <c r="I1422" s="487"/>
      <c r="J1422" s="487"/>
      <c r="K1422" s="487"/>
      <c r="L1422" s="487"/>
      <c r="M1422" s="487"/>
      <c r="N1422" s="487"/>
      <c r="O1422" s="875"/>
      <c r="Q1422" s="704"/>
      <c r="R1422" s="1026"/>
      <c r="S1422" s="704"/>
      <c r="T1422" s="1026"/>
      <c r="AB1422" s="520"/>
      <c r="AC1422" s="520"/>
      <c r="AD1422" s="520"/>
      <c r="AE1422" s="520"/>
      <c r="AF1422" s="520"/>
      <c r="AG1422" s="520"/>
      <c r="AH1422" s="520"/>
      <c r="AI1422" s="520"/>
      <c r="AJ1422" s="520"/>
      <c r="AK1422" s="520"/>
      <c r="AL1422" s="520"/>
      <c r="AM1422" s="520"/>
      <c r="AN1422" s="520"/>
      <c r="AO1422" s="520"/>
      <c r="AP1422" s="520"/>
      <c r="AQ1422" s="520"/>
      <c r="AR1422" s="520"/>
      <c r="AS1422" s="520"/>
      <c r="AT1422" s="520"/>
      <c r="AU1422" s="520"/>
      <c r="AV1422" s="520"/>
      <c r="AY1422" s="507"/>
      <c r="BA1422" s="507"/>
      <c r="BJ1422" s="493"/>
      <c r="CU1422" s="488"/>
      <c r="CW1422" s="488"/>
      <c r="EV1422" s="821"/>
      <c r="EW1422" s="821"/>
    </row>
    <row r="1423" spans="1:153" s="757" customFormat="1" hidden="1">
      <c r="A1423" s="487"/>
      <c r="B1423" s="487"/>
      <c r="C1423" s="487"/>
      <c r="D1423" s="487"/>
      <c r="I1423" s="487"/>
      <c r="J1423" s="487"/>
      <c r="K1423" s="487"/>
      <c r="L1423" s="487"/>
      <c r="M1423" s="487"/>
      <c r="N1423" s="487"/>
      <c r="O1423" s="875"/>
      <c r="Q1423" s="704"/>
      <c r="R1423" s="1026"/>
      <c r="S1423" s="704"/>
      <c r="T1423" s="1026"/>
      <c r="AB1423" s="520"/>
      <c r="AC1423" s="520"/>
      <c r="AD1423" s="520"/>
      <c r="AE1423" s="520"/>
      <c r="AF1423" s="520"/>
      <c r="AG1423" s="520"/>
      <c r="AH1423" s="520"/>
      <c r="AI1423" s="520"/>
      <c r="AJ1423" s="520"/>
      <c r="AK1423" s="520"/>
      <c r="AL1423" s="520"/>
      <c r="AM1423" s="520"/>
      <c r="AN1423" s="520"/>
      <c r="AO1423" s="520"/>
      <c r="AP1423" s="520"/>
      <c r="AQ1423" s="520"/>
      <c r="AR1423" s="520"/>
      <c r="AS1423" s="520"/>
      <c r="AT1423" s="520"/>
      <c r="AU1423" s="520"/>
      <c r="AV1423" s="520"/>
      <c r="AY1423" s="507"/>
      <c r="BA1423" s="507"/>
      <c r="BJ1423" s="493"/>
      <c r="CU1423" s="488"/>
      <c r="CW1423" s="488"/>
      <c r="EV1423" s="821"/>
      <c r="EW1423" s="821"/>
    </row>
    <row r="1424" spans="1:153" s="757" customFormat="1" hidden="1">
      <c r="A1424" s="487"/>
      <c r="B1424" s="487"/>
      <c r="C1424" s="487"/>
      <c r="D1424" s="487"/>
      <c r="I1424" s="487"/>
      <c r="J1424" s="487"/>
      <c r="K1424" s="487"/>
      <c r="L1424" s="487"/>
      <c r="M1424" s="487"/>
      <c r="N1424" s="487"/>
      <c r="O1424" s="875"/>
      <c r="Q1424" s="704"/>
      <c r="R1424" s="1026"/>
      <c r="S1424" s="704"/>
      <c r="T1424" s="1026"/>
      <c r="AB1424" s="520"/>
      <c r="AC1424" s="520"/>
      <c r="AD1424" s="520"/>
      <c r="AE1424" s="520"/>
      <c r="AF1424" s="520"/>
      <c r="AG1424" s="520"/>
      <c r="AH1424" s="520"/>
      <c r="AI1424" s="520"/>
      <c r="AJ1424" s="520"/>
      <c r="AK1424" s="520"/>
      <c r="AL1424" s="520"/>
      <c r="AM1424" s="520"/>
      <c r="AN1424" s="520"/>
      <c r="AO1424" s="520"/>
      <c r="AP1424" s="520"/>
      <c r="AQ1424" s="520"/>
      <c r="AR1424" s="520"/>
      <c r="AS1424" s="520"/>
      <c r="AT1424" s="520"/>
      <c r="AU1424" s="520"/>
      <c r="AV1424" s="520"/>
      <c r="AY1424" s="507"/>
      <c r="BA1424" s="507"/>
      <c r="BJ1424" s="493"/>
      <c r="CU1424" s="488"/>
      <c r="CW1424" s="488"/>
      <c r="EV1424" s="821"/>
      <c r="EW1424" s="821"/>
    </row>
    <row r="1425" spans="1:153" s="757" customFormat="1" hidden="1">
      <c r="A1425" s="487"/>
      <c r="B1425" s="487"/>
      <c r="C1425" s="487"/>
      <c r="D1425" s="487"/>
      <c r="I1425" s="487"/>
      <c r="J1425" s="487"/>
      <c r="K1425" s="487"/>
      <c r="L1425" s="487"/>
      <c r="M1425" s="487"/>
      <c r="N1425" s="487"/>
      <c r="O1425" s="875"/>
      <c r="Q1425" s="704"/>
      <c r="R1425" s="1026"/>
      <c r="S1425" s="704"/>
      <c r="T1425" s="1026"/>
      <c r="AB1425" s="520"/>
      <c r="AC1425" s="520"/>
      <c r="AD1425" s="520"/>
      <c r="AE1425" s="520"/>
      <c r="AF1425" s="520"/>
      <c r="AG1425" s="520"/>
      <c r="AH1425" s="520"/>
      <c r="AI1425" s="520"/>
      <c r="AJ1425" s="520"/>
      <c r="AK1425" s="520"/>
      <c r="AL1425" s="520"/>
      <c r="AM1425" s="520"/>
      <c r="AN1425" s="520"/>
      <c r="AO1425" s="520"/>
      <c r="AP1425" s="520"/>
      <c r="AQ1425" s="520"/>
      <c r="AR1425" s="520"/>
      <c r="AS1425" s="520"/>
      <c r="AT1425" s="520"/>
      <c r="AU1425" s="520"/>
      <c r="AV1425" s="520"/>
      <c r="AY1425" s="507"/>
      <c r="BA1425" s="507"/>
      <c r="BJ1425" s="493"/>
      <c r="CU1425" s="488"/>
      <c r="CW1425" s="488"/>
      <c r="EV1425" s="821"/>
      <c r="EW1425" s="821"/>
    </row>
    <row r="1426" spans="1:153" s="757" customFormat="1" hidden="1">
      <c r="A1426" s="487"/>
      <c r="B1426" s="487"/>
      <c r="C1426" s="487"/>
      <c r="D1426" s="487"/>
      <c r="I1426" s="487"/>
      <c r="J1426" s="487"/>
      <c r="K1426" s="487"/>
      <c r="L1426" s="487"/>
      <c r="M1426" s="487"/>
      <c r="N1426" s="487"/>
      <c r="O1426" s="875"/>
      <c r="Q1426" s="704"/>
      <c r="R1426" s="1026"/>
      <c r="S1426" s="704"/>
      <c r="T1426" s="1026"/>
      <c r="AB1426" s="520"/>
      <c r="AC1426" s="520"/>
      <c r="AD1426" s="520"/>
      <c r="AE1426" s="520"/>
      <c r="AF1426" s="520"/>
      <c r="AG1426" s="520"/>
      <c r="AH1426" s="520"/>
      <c r="AI1426" s="520"/>
      <c r="AJ1426" s="520"/>
      <c r="AK1426" s="520"/>
      <c r="AL1426" s="520"/>
      <c r="AM1426" s="520"/>
      <c r="AN1426" s="520"/>
      <c r="AO1426" s="520"/>
      <c r="AP1426" s="520"/>
      <c r="AQ1426" s="520"/>
      <c r="AR1426" s="520"/>
      <c r="AS1426" s="520"/>
      <c r="AT1426" s="520"/>
      <c r="AU1426" s="520"/>
      <c r="AV1426" s="520"/>
      <c r="AY1426" s="507"/>
      <c r="BA1426" s="507"/>
      <c r="BJ1426" s="493"/>
      <c r="CU1426" s="488"/>
      <c r="CW1426" s="488"/>
      <c r="EV1426" s="821"/>
      <c r="EW1426" s="821"/>
    </row>
    <row r="1427" spans="1:153" s="757" customFormat="1" hidden="1">
      <c r="A1427" s="487"/>
      <c r="B1427" s="487"/>
      <c r="C1427" s="487"/>
      <c r="D1427" s="487"/>
      <c r="I1427" s="487"/>
      <c r="J1427" s="487"/>
      <c r="K1427" s="487"/>
      <c r="L1427" s="487"/>
      <c r="M1427" s="487"/>
      <c r="N1427" s="487"/>
      <c r="O1427" s="875"/>
      <c r="Q1427" s="704"/>
      <c r="R1427" s="1026"/>
      <c r="S1427" s="704"/>
      <c r="T1427" s="1026"/>
      <c r="AB1427" s="520"/>
      <c r="AC1427" s="520"/>
      <c r="AD1427" s="520"/>
      <c r="AE1427" s="520"/>
      <c r="AF1427" s="520"/>
      <c r="AG1427" s="520"/>
      <c r="AH1427" s="520"/>
      <c r="AI1427" s="520"/>
      <c r="AJ1427" s="520"/>
      <c r="AK1427" s="520"/>
      <c r="AL1427" s="520"/>
      <c r="AM1427" s="520"/>
      <c r="AN1427" s="520"/>
      <c r="AO1427" s="520"/>
      <c r="AP1427" s="520"/>
      <c r="AQ1427" s="520"/>
      <c r="AR1427" s="520"/>
      <c r="AS1427" s="520"/>
      <c r="AT1427" s="520"/>
      <c r="AU1427" s="520"/>
      <c r="AV1427" s="520"/>
      <c r="AY1427" s="507"/>
      <c r="BA1427" s="507"/>
      <c r="BJ1427" s="493"/>
      <c r="CU1427" s="488"/>
      <c r="CW1427" s="488"/>
      <c r="EV1427" s="821"/>
      <c r="EW1427" s="821"/>
    </row>
    <row r="1428" spans="1:153" s="757" customFormat="1" hidden="1">
      <c r="A1428" s="487"/>
      <c r="B1428" s="487"/>
      <c r="C1428" s="487"/>
      <c r="D1428" s="487"/>
      <c r="I1428" s="487"/>
      <c r="J1428" s="487"/>
      <c r="K1428" s="487"/>
      <c r="L1428" s="487"/>
      <c r="M1428" s="487"/>
      <c r="N1428" s="487"/>
      <c r="O1428" s="875"/>
      <c r="Q1428" s="704"/>
      <c r="R1428" s="1026"/>
      <c r="S1428" s="704"/>
      <c r="T1428" s="1026"/>
      <c r="AB1428" s="520"/>
      <c r="AC1428" s="520"/>
      <c r="AD1428" s="520"/>
      <c r="AE1428" s="520"/>
      <c r="AF1428" s="520"/>
      <c r="AG1428" s="520"/>
      <c r="AH1428" s="520"/>
      <c r="AI1428" s="520"/>
      <c r="AJ1428" s="520"/>
      <c r="AK1428" s="520"/>
      <c r="AL1428" s="520"/>
      <c r="AM1428" s="520"/>
      <c r="AN1428" s="520"/>
      <c r="AO1428" s="520"/>
      <c r="AP1428" s="520"/>
      <c r="AQ1428" s="520"/>
      <c r="AR1428" s="520"/>
      <c r="AS1428" s="520"/>
      <c r="AT1428" s="520"/>
      <c r="AU1428" s="520"/>
      <c r="AV1428" s="520"/>
      <c r="AY1428" s="507"/>
      <c r="BA1428" s="507"/>
      <c r="BJ1428" s="493"/>
      <c r="CU1428" s="488"/>
      <c r="CW1428" s="488"/>
      <c r="EV1428" s="821"/>
      <c r="EW1428" s="821"/>
    </row>
    <row r="1429" spans="1:153" s="757" customFormat="1" hidden="1">
      <c r="A1429" s="487"/>
      <c r="B1429" s="487"/>
      <c r="C1429" s="487"/>
      <c r="D1429" s="487"/>
      <c r="I1429" s="487"/>
      <c r="J1429" s="487"/>
      <c r="K1429" s="487"/>
      <c r="L1429" s="487"/>
      <c r="M1429" s="487"/>
      <c r="N1429" s="487"/>
      <c r="O1429" s="875"/>
      <c r="Q1429" s="704"/>
      <c r="R1429" s="1026"/>
      <c r="S1429" s="704"/>
      <c r="T1429" s="1026"/>
      <c r="AB1429" s="520"/>
      <c r="AC1429" s="520"/>
      <c r="AD1429" s="520"/>
      <c r="AE1429" s="520"/>
      <c r="AF1429" s="520"/>
      <c r="AG1429" s="520"/>
      <c r="AH1429" s="520"/>
      <c r="AI1429" s="520"/>
      <c r="AJ1429" s="520"/>
      <c r="AK1429" s="520"/>
      <c r="AL1429" s="520"/>
      <c r="AM1429" s="520"/>
      <c r="AN1429" s="520"/>
      <c r="AO1429" s="520"/>
      <c r="AP1429" s="520"/>
      <c r="AQ1429" s="520"/>
      <c r="AR1429" s="520"/>
      <c r="AS1429" s="520"/>
      <c r="AT1429" s="520"/>
      <c r="AU1429" s="520"/>
      <c r="AV1429" s="520"/>
      <c r="AY1429" s="507"/>
      <c r="BA1429" s="507"/>
      <c r="BJ1429" s="493"/>
      <c r="CU1429" s="488"/>
      <c r="CW1429" s="488"/>
      <c r="EV1429" s="821"/>
      <c r="EW1429" s="821"/>
    </row>
    <row r="1430" spans="1:153" s="757" customFormat="1" hidden="1">
      <c r="A1430" s="487"/>
      <c r="B1430" s="487"/>
      <c r="C1430" s="487"/>
      <c r="D1430" s="487"/>
      <c r="I1430" s="487"/>
      <c r="J1430" s="487"/>
      <c r="K1430" s="487"/>
      <c r="L1430" s="487"/>
      <c r="M1430" s="487"/>
      <c r="N1430" s="487"/>
      <c r="O1430" s="875"/>
      <c r="Q1430" s="704"/>
      <c r="R1430" s="1026"/>
      <c r="S1430" s="704"/>
      <c r="T1430" s="1026"/>
      <c r="AB1430" s="520"/>
      <c r="AC1430" s="520"/>
      <c r="AD1430" s="520"/>
      <c r="AE1430" s="520"/>
      <c r="AF1430" s="520"/>
      <c r="AG1430" s="520"/>
      <c r="AH1430" s="520"/>
      <c r="AI1430" s="520"/>
      <c r="AJ1430" s="520"/>
      <c r="AK1430" s="520"/>
      <c r="AL1430" s="520"/>
      <c r="AM1430" s="520"/>
      <c r="AN1430" s="520"/>
      <c r="AO1430" s="520"/>
      <c r="AP1430" s="520"/>
      <c r="AQ1430" s="520"/>
      <c r="AR1430" s="520"/>
      <c r="AS1430" s="520"/>
      <c r="AT1430" s="520"/>
      <c r="AU1430" s="520"/>
      <c r="AV1430" s="520"/>
      <c r="AY1430" s="507"/>
      <c r="BA1430" s="507"/>
      <c r="BJ1430" s="493"/>
      <c r="CU1430" s="488"/>
      <c r="CW1430" s="488"/>
      <c r="EV1430" s="821"/>
      <c r="EW1430" s="821"/>
    </row>
    <row r="1431" spans="1:153" s="757" customFormat="1" hidden="1">
      <c r="A1431" s="487"/>
      <c r="B1431" s="487"/>
      <c r="C1431" s="487"/>
      <c r="D1431" s="487"/>
      <c r="I1431" s="487"/>
      <c r="J1431" s="487"/>
      <c r="K1431" s="487"/>
      <c r="L1431" s="487"/>
      <c r="M1431" s="487"/>
      <c r="N1431" s="487"/>
      <c r="O1431" s="875"/>
      <c r="Q1431" s="704"/>
      <c r="R1431" s="1026"/>
      <c r="S1431" s="704"/>
      <c r="T1431" s="1026"/>
      <c r="AB1431" s="520"/>
      <c r="AC1431" s="520"/>
      <c r="AD1431" s="520"/>
      <c r="AE1431" s="520"/>
      <c r="AF1431" s="520"/>
      <c r="AG1431" s="520"/>
      <c r="AH1431" s="520"/>
      <c r="AI1431" s="520"/>
      <c r="AJ1431" s="520"/>
      <c r="AK1431" s="520"/>
      <c r="AL1431" s="520"/>
      <c r="AM1431" s="520"/>
      <c r="AN1431" s="520"/>
      <c r="AO1431" s="520"/>
      <c r="AP1431" s="520"/>
      <c r="AQ1431" s="520"/>
      <c r="AR1431" s="520"/>
      <c r="AS1431" s="520"/>
      <c r="AT1431" s="520"/>
      <c r="AU1431" s="520"/>
      <c r="AV1431" s="520"/>
      <c r="AY1431" s="507"/>
      <c r="BA1431" s="507"/>
      <c r="BJ1431" s="493"/>
      <c r="CU1431" s="488"/>
      <c r="CW1431" s="488"/>
      <c r="EV1431" s="821"/>
      <c r="EW1431" s="821"/>
    </row>
    <row r="1432" spans="1:153" s="757" customFormat="1" hidden="1">
      <c r="A1432" s="487"/>
      <c r="B1432" s="487"/>
      <c r="C1432" s="487"/>
      <c r="D1432" s="487"/>
      <c r="I1432" s="487"/>
      <c r="J1432" s="487"/>
      <c r="K1432" s="487"/>
      <c r="L1432" s="487"/>
      <c r="M1432" s="487"/>
      <c r="N1432" s="487"/>
      <c r="O1432" s="875"/>
      <c r="Q1432" s="704"/>
      <c r="R1432" s="1026"/>
      <c r="S1432" s="704"/>
      <c r="T1432" s="1026"/>
      <c r="AB1432" s="520"/>
      <c r="AC1432" s="520"/>
      <c r="AD1432" s="520"/>
      <c r="AE1432" s="520"/>
      <c r="AF1432" s="520"/>
      <c r="AG1432" s="520"/>
      <c r="AH1432" s="520"/>
      <c r="AI1432" s="520"/>
      <c r="AJ1432" s="520"/>
      <c r="AK1432" s="520"/>
      <c r="AL1432" s="520"/>
      <c r="AM1432" s="520"/>
      <c r="AN1432" s="520"/>
      <c r="AO1432" s="520"/>
      <c r="AP1432" s="520"/>
      <c r="AQ1432" s="520"/>
      <c r="AR1432" s="520"/>
      <c r="AS1432" s="520"/>
      <c r="AT1432" s="520"/>
      <c r="AU1432" s="520"/>
      <c r="AV1432" s="520"/>
      <c r="AY1432" s="507"/>
      <c r="BA1432" s="507"/>
      <c r="BJ1432" s="493"/>
      <c r="CU1432" s="488"/>
      <c r="CW1432" s="488"/>
      <c r="EV1432" s="821"/>
      <c r="EW1432" s="821"/>
    </row>
    <row r="1433" spans="1:153" s="757" customFormat="1" hidden="1">
      <c r="A1433" s="487"/>
      <c r="B1433" s="487"/>
      <c r="C1433" s="487"/>
      <c r="D1433" s="487"/>
      <c r="I1433" s="487"/>
      <c r="J1433" s="487"/>
      <c r="K1433" s="487"/>
      <c r="L1433" s="487"/>
      <c r="M1433" s="487"/>
      <c r="N1433" s="487"/>
      <c r="O1433" s="875"/>
      <c r="Q1433" s="704"/>
      <c r="R1433" s="1026"/>
      <c r="S1433" s="704"/>
      <c r="T1433" s="1026"/>
      <c r="AB1433" s="520"/>
      <c r="AC1433" s="520"/>
      <c r="AD1433" s="520"/>
      <c r="AE1433" s="520"/>
      <c r="AF1433" s="520"/>
      <c r="AG1433" s="520"/>
      <c r="AH1433" s="520"/>
      <c r="AI1433" s="520"/>
      <c r="AJ1433" s="520"/>
      <c r="AK1433" s="520"/>
      <c r="AL1433" s="520"/>
      <c r="AM1433" s="520"/>
      <c r="AN1433" s="520"/>
      <c r="AO1433" s="520"/>
      <c r="AP1433" s="520"/>
      <c r="AQ1433" s="520"/>
      <c r="AR1433" s="520"/>
      <c r="AS1433" s="520"/>
      <c r="AT1433" s="520"/>
      <c r="AU1433" s="520"/>
      <c r="AV1433" s="520"/>
      <c r="AY1433" s="507"/>
      <c r="BA1433" s="507"/>
      <c r="BJ1433" s="493"/>
      <c r="CU1433" s="488"/>
      <c r="CW1433" s="488"/>
      <c r="EV1433" s="821"/>
      <c r="EW1433" s="821"/>
    </row>
    <row r="1434" spans="1:153" s="757" customFormat="1" hidden="1">
      <c r="A1434" s="487"/>
      <c r="B1434" s="487"/>
      <c r="C1434" s="487"/>
      <c r="D1434" s="487"/>
      <c r="I1434" s="487"/>
      <c r="J1434" s="487"/>
      <c r="K1434" s="487"/>
      <c r="L1434" s="487"/>
      <c r="M1434" s="487"/>
      <c r="N1434" s="487"/>
      <c r="O1434" s="875"/>
      <c r="Q1434" s="704"/>
      <c r="R1434" s="1026"/>
      <c r="S1434" s="704"/>
      <c r="T1434" s="1026"/>
      <c r="AB1434" s="520"/>
      <c r="AC1434" s="520"/>
      <c r="AD1434" s="520"/>
      <c r="AE1434" s="520"/>
      <c r="AF1434" s="520"/>
      <c r="AG1434" s="520"/>
      <c r="AH1434" s="520"/>
      <c r="AI1434" s="520"/>
      <c r="AJ1434" s="520"/>
      <c r="AK1434" s="520"/>
      <c r="AL1434" s="520"/>
      <c r="AM1434" s="520"/>
      <c r="AN1434" s="520"/>
      <c r="AO1434" s="520"/>
      <c r="AP1434" s="520"/>
      <c r="AQ1434" s="520"/>
      <c r="AR1434" s="520"/>
      <c r="AS1434" s="520"/>
      <c r="AT1434" s="520"/>
      <c r="AU1434" s="520"/>
      <c r="AV1434" s="520"/>
      <c r="AY1434" s="507"/>
      <c r="BA1434" s="507"/>
      <c r="BJ1434" s="493"/>
      <c r="CU1434" s="488"/>
      <c r="CW1434" s="488"/>
      <c r="EV1434" s="821"/>
      <c r="EW1434" s="821"/>
    </row>
    <row r="1435" spans="1:153" s="757" customFormat="1" hidden="1">
      <c r="A1435" s="487"/>
      <c r="B1435" s="487"/>
      <c r="C1435" s="487"/>
      <c r="D1435" s="487"/>
      <c r="I1435" s="487"/>
      <c r="J1435" s="487"/>
      <c r="K1435" s="487"/>
      <c r="L1435" s="487"/>
      <c r="M1435" s="487"/>
      <c r="N1435" s="487"/>
      <c r="O1435" s="875"/>
      <c r="Q1435" s="704"/>
      <c r="R1435" s="1026"/>
      <c r="S1435" s="704"/>
      <c r="T1435" s="1026"/>
      <c r="AB1435" s="520"/>
      <c r="AC1435" s="520"/>
      <c r="AD1435" s="520"/>
      <c r="AE1435" s="520"/>
      <c r="AF1435" s="520"/>
      <c r="AG1435" s="520"/>
      <c r="AH1435" s="520"/>
      <c r="AI1435" s="520"/>
      <c r="AJ1435" s="520"/>
      <c r="AK1435" s="520"/>
      <c r="AL1435" s="520"/>
      <c r="AM1435" s="520"/>
      <c r="AN1435" s="520"/>
      <c r="AO1435" s="520"/>
      <c r="AP1435" s="520"/>
      <c r="AQ1435" s="520"/>
      <c r="AR1435" s="520"/>
      <c r="AS1435" s="520"/>
      <c r="AT1435" s="520"/>
      <c r="AU1435" s="520"/>
      <c r="AV1435" s="520"/>
      <c r="AY1435" s="507"/>
      <c r="BA1435" s="507"/>
      <c r="BJ1435" s="493"/>
      <c r="CU1435" s="488"/>
      <c r="CW1435" s="488"/>
      <c r="EV1435" s="821"/>
      <c r="EW1435" s="821"/>
    </row>
    <row r="1436" spans="1:153" s="757" customFormat="1" hidden="1">
      <c r="A1436" s="487"/>
      <c r="B1436" s="487"/>
      <c r="C1436" s="487"/>
      <c r="D1436" s="487"/>
      <c r="I1436" s="487"/>
      <c r="J1436" s="487"/>
      <c r="K1436" s="487"/>
      <c r="L1436" s="487"/>
      <c r="M1436" s="487"/>
      <c r="N1436" s="487"/>
      <c r="O1436" s="875"/>
      <c r="Q1436" s="704"/>
      <c r="R1436" s="1026"/>
      <c r="S1436" s="704"/>
      <c r="T1436" s="1026"/>
      <c r="AB1436" s="520"/>
      <c r="AC1436" s="520"/>
      <c r="AD1436" s="520"/>
      <c r="AE1436" s="520"/>
      <c r="AF1436" s="520"/>
      <c r="AG1436" s="520"/>
      <c r="AH1436" s="520"/>
      <c r="AI1436" s="520"/>
      <c r="AJ1436" s="520"/>
      <c r="AK1436" s="520"/>
      <c r="AL1436" s="520"/>
      <c r="AM1436" s="520"/>
      <c r="AN1436" s="520"/>
      <c r="AO1436" s="520"/>
      <c r="AP1436" s="520"/>
      <c r="AQ1436" s="520"/>
      <c r="AR1436" s="520"/>
      <c r="AS1436" s="520"/>
      <c r="AT1436" s="520"/>
      <c r="AU1436" s="520"/>
      <c r="AV1436" s="520"/>
      <c r="AY1436" s="507"/>
      <c r="BA1436" s="507"/>
      <c r="BJ1436" s="493"/>
      <c r="CU1436" s="488"/>
      <c r="CW1436" s="488"/>
      <c r="EV1436" s="821"/>
      <c r="EW1436" s="821"/>
    </row>
    <row r="1437" spans="1:153" s="757" customFormat="1" hidden="1">
      <c r="A1437" s="487"/>
      <c r="B1437" s="487"/>
      <c r="C1437" s="487"/>
      <c r="D1437" s="487"/>
      <c r="I1437" s="487"/>
      <c r="J1437" s="487"/>
      <c r="K1437" s="487"/>
      <c r="L1437" s="487"/>
      <c r="M1437" s="487"/>
      <c r="N1437" s="487"/>
      <c r="O1437" s="875"/>
      <c r="Q1437" s="704"/>
      <c r="R1437" s="1026"/>
      <c r="S1437" s="704"/>
      <c r="T1437" s="1026"/>
      <c r="AB1437" s="520"/>
      <c r="AC1437" s="520"/>
      <c r="AD1437" s="520"/>
      <c r="AE1437" s="520"/>
      <c r="AF1437" s="520"/>
      <c r="AG1437" s="520"/>
      <c r="AH1437" s="520"/>
      <c r="AI1437" s="520"/>
      <c r="AJ1437" s="520"/>
      <c r="AK1437" s="520"/>
      <c r="AL1437" s="520"/>
      <c r="AM1437" s="520"/>
      <c r="AN1437" s="520"/>
      <c r="AO1437" s="520"/>
      <c r="AP1437" s="520"/>
      <c r="AQ1437" s="520"/>
      <c r="AR1437" s="520"/>
      <c r="AS1437" s="520"/>
      <c r="AT1437" s="520"/>
      <c r="AU1437" s="520"/>
      <c r="AV1437" s="520"/>
      <c r="AY1437" s="507"/>
      <c r="BA1437" s="507"/>
      <c r="BJ1437" s="493"/>
      <c r="CU1437" s="488"/>
      <c r="CW1437" s="488"/>
      <c r="EV1437" s="821"/>
      <c r="EW1437" s="821"/>
    </row>
    <row r="1438" spans="1:153" s="757" customFormat="1" hidden="1">
      <c r="A1438" s="487"/>
      <c r="B1438" s="487"/>
      <c r="C1438" s="487"/>
      <c r="D1438" s="487"/>
      <c r="I1438" s="487"/>
      <c r="J1438" s="487"/>
      <c r="K1438" s="487"/>
      <c r="L1438" s="487"/>
      <c r="M1438" s="487"/>
      <c r="N1438" s="487"/>
      <c r="O1438" s="875"/>
      <c r="Q1438" s="704"/>
      <c r="R1438" s="1026"/>
      <c r="S1438" s="704"/>
      <c r="T1438" s="1026"/>
      <c r="AB1438" s="520"/>
      <c r="AC1438" s="520"/>
      <c r="AD1438" s="520"/>
      <c r="AE1438" s="520"/>
      <c r="AF1438" s="520"/>
      <c r="AG1438" s="520"/>
      <c r="AH1438" s="520"/>
      <c r="AI1438" s="520"/>
      <c r="AJ1438" s="520"/>
      <c r="AK1438" s="520"/>
      <c r="AL1438" s="520"/>
      <c r="AM1438" s="520"/>
      <c r="AN1438" s="520"/>
      <c r="AO1438" s="520"/>
      <c r="AP1438" s="520"/>
      <c r="AQ1438" s="520"/>
      <c r="AR1438" s="520"/>
      <c r="AS1438" s="520"/>
      <c r="AT1438" s="520"/>
      <c r="AU1438" s="520"/>
      <c r="AV1438" s="520"/>
      <c r="AY1438" s="507"/>
      <c r="BA1438" s="507"/>
      <c r="BJ1438" s="493"/>
      <c r="CU1438" s="488"/>
      <c r="CW1438" s="488"/>
      <c r="EV1438" s="821"/>
      <c r="EW1438" s="821"/>
    </row>
    <row r="1439" spans="1:153" s="757" customFormat="1" hidden="1">
      <c r="A1439" s="487"/>
      <c r="B1439" s="487"/>
      <c r="C1439" s="487"/>
      <c r="D1439" s="487"/>
      <c r="I1439" s="487"/>
      <c r="J1439" s="487"/>
      <c r="K1439" s="487"/>
      <c r="L1439" s="487"/>
      <c r="M1439" s="487"/>
      <c r="N1439" s="487"/>
      <c r="O1439" s="875"/>
      <c r="Q1439" s="704"/>
      <c r="R1439" s="1026"/>
      <c r="S1439" s="704"/>
      <c r="T1439" s="1026"/>
      <c r="AB1439" s="520"/>
      <c r="AC1439" s="520"/>
      <c r="AD1439" s="520"/>
      <c r="AE1439" s="520"/>
      <c r="AF1439" s="520"/>
      <c r="AG1439" s="520"/>
      <c r="AH1439" s="520"/>
      <c r="AI1439" s="520"/>
      <c r="AJ1439" s="520"/>
      <c r="AK1439" s="520"/>
      <c r="AL1439" s="520"/>
      <c r="AM1439" s="520"/>
      <c r="AN1439" s="520"/>
      <c r="AO1439" s="520"/>
      <c r="AP1439" s="520"/>
      <c r="AQ1439" s="520"/>
      <c r="AR1439" s="520"/>
      <c r="AS1439" s="520"/>
      <c r="AT1439" s="520"/>
      <c r="AU1439" s="520"/>
      <c r="AV1439" s="520"/>
      <c r="AY1439" s="507"/>
      <c r="BA1439" s="507"/>
      <c r="BJ1439" s="493"/>
      <c r="CU1439" s="488"/>
      <c r="CW1439" s="488"/>
      <c r="EV1439" s="821"/>
      <c r="EW1439" s="821"/>
    </row>
    <row r="1440" spans="1:153" s="757" customFormat="1" hidden="1">
      <c r="A1440" s="487"/>
      <c r="B1440" s="487"/>
      <c r="C1440" s="487"/>
      <c r="D1440" s="487"/>
      <c r="I1440" s="487"/>
      <c r="J1440" s="487"/>
      <c r="K1440" s="487"/>
      <c r="L1440" s="487"/>
      <c r="M1440" s="487"/>
      <c r="N1440" s="487"/>
      <c r="O1440" s="875"/>
      <c r="Q1440" s="704"/>
      <c r="R1440" s="1026"/>
      <c r="S1440" s="704"/>
      <c r="T1440" s="1026"/>
      <c r="AB1440" s="520"/>
      <c r="AC1440" s="520"/>
      <c r="AD1440" s="520"/>
      <c r="AE1440" s="520"/>
      <c r="AF1440" s="520"/>
      <c r="AG1440" s="520"/>
      <c r="AH1440" s="520"/>
      <c r="AI1440" s="520"/>
      <c r="AJ1440" s="520"/>
      <c r="AK1440" s="520"/>
      <c r="AL1440" s="520"/>
      <c r="AM1440" s="520"/>
      <c r="AN1440" s="520"/>
      <c r="AO1440" s="520"/>
      <c r="AP1440" s="520"/>
      <c r="AQ1440" s="520"/>
      <c r="AR1440" s="520"/>
      <c r="AS1440" s="520"/>
      <c r="AT1440" s="520"/>
      <c r="AU1440" s="520"/>
      <c r="AV1440" s="520"/>
      <c r="AY1440" s="507"/>
      <c r="BA1440" s="507"/>
      <c r="BJ1440" s="493"/>
      <c r="CU1440" s="488"/>
      <c r="CW1440" s="488"/>
      <c r="EV1440" s="821"/>
      <c r="EW1440" s="821"/>
    </row>
    <row r="1441" spans="1:153" s="757" customFormat="1" hidden="1">
      <c r="A1441" s="487"/>
      <c r="B1441" s="487"/>
      <c r="C1441" s="487"/>
      <c r="D1441" s="487"/>
      <c r="I1441" s="487"/>
      <c r="J1441" s="487"/>
      <c r="K1441" s="487"/>
      <c r="L1441" s="487"/>
      <c r="M1441" s="487"/>
      <c r="N1441" s="487"/>
      <c r="O1441" s="875"/>
      <c r="Q1441" s="704"/>
      <c r="R1441" s="1026"/>
      <c r="S1441" s="704"/>
      <c r="T1441" s="1026"/>
      <c r="AB1441" s="520"/>
      <c r="AC1441" s="520"/>
      <c r="AD1441" s="520"/>
      <c r="AE1441" s="520"/>
      <c r="AF1441" s="520"/>
      <c r="AG1441" s="520"/>
      <c r="AH1441" s="520"/>
      <c r="AI1441" s="520"/>
      <c r="AJ1441" s="520"/>
      <c r="AK1441" s="520"/>
      <c r="AL1441" s="520"/>
      <c r="AM1441" s="520"/>
      <c r="AN1441" s="520"/>
      <c r="AO1441" s="520"/>
      <c r="AP1441" s="520"/>
      <c r="AQ1441" s="520"/>
      <c r="AR1441" s="520"/>
      <c r="AS1441" s="520"/>
      <c r="AT1441" s="520"/>
      <c r="AU1441" s="520"/>
      <c r="AV1441" s="520"/>
      <c r="AY1441" s="507"/>
      <c r="BA1441" s="507"/>
      <c r="BJ1441" s="493"/>
      <c r="CU1441" s="488"/>
      <c r="CW1441" s="488"/>
      <c r="EV1441" s="821"/>
      <c r="EW1441" s="821"/>
    </row>
    <row r="1442" spans="1:153" s="757" customFormat="1" hidden="1">
      <c r="A1442" s="487"/>
      <c r="B1442" s="487"/>
      <c r="C1442" s="487"/>
      <c r="D1442" s="487"/>
      <c r="I1442" s="487"/>
      <c r="J1442" s="487"/>
      <c r="K1442" s="487"/>
      <c r="L1442" s="487"/>
      <c r="M1442" s="487"/>
      <c r="N1442" s="487"/>
      <c r="O1442" s="875"/>
      <c r="Q1442" s="704"/>
      <c r="R1442" s="1026"/>
      <c r="S1442" s="704"/>
      <c r="T1442" s="1026"/>
      <c r="AB1442" s="520"/>
      <c r="AC1442" s="520"/>
      <c r="AD1442" s="520"/>
      <c r="AE1442" s="520"/>
      <c r="AF1442" s="520"/>
      <c r="AG1442" s="520"/>
      <c r="AH1442" s="520"/>
      <c r="AI1442" s="520"/>
      <c r="AJ1442" s="520"/>
      <c r="AK1442" s="520"/>
      <c r="AL1442" s="520"/>
      <c r="AM1442" s="520"/>
      <c r="AN1442" s="520"/>
      <c r="AO1442" s="520"/>
      <c r="AP1442" s="520"/>
      <c r="AQ1442" s="520"/>
      <c r="AR1442" s="520"/>
      <c r="AS1442" s="520"/>
      <c r="AT1442" s="520"/>
      <c r="AU1442" s="520"/>
      <c r="AV1442" s="520"/>
      <c r="AY1442" s="507"/>
      <c r="BA1442" s="507"/>
      <c r="BJ1442" s="493"/>
      <c r="CU1442" s="488"/>
      <c r="CW1442" s="488"/>
      <c r="EV1442" s="821"/>
      <c r="EW1442" s="821"/>
    </row>
    <row r="1443" spans="1:153" s="757" customFormat="1" hidden="1">
      <c r="A1443" s="487"/>
      <c r="B1443" s="487"/>
      <c r="C1443" s="487"/>
      <c r="D1443" s="487"/>
      <c r="I1443" s="487"/>
      <c r="J1443" s="487"/>
      <c r="K1443" s="487"/>
      <c r="L1443" s="487"/>
      <c r="M1443" s="487"/>
      <c r="N1443" s="487"/>
      <c r="O1443" s="875"/>
      <c r="Q1443" s="704"/>
      <c r="R1443" s="1026"/>
      <c r="S1443" s="704"/>
      <c r="T1443" s="1026"/>
      <c r="AB1443" s="520"/>
      <c r="AC1443" s="520"/>
      <c r="AD1443" s="520"/>
      <c r="AE1443" s="520"/>
      <c r="AF1443" s="520"/>
      <c r="AG1443" s="520"/>
      <c r="AH1443" s="520"/>
      <c r="AI1443" s="520"/>
      <c r="AJ1443" s="520"/>
      <c r="AK1443" s="520"/>
      <c r="AL1443" s="520"/>
      <c r="AM1443" s="520"/>
      <c r="AN1443" s="520"/>
      <c r="AO1443" s="520"/>
      <c r="AP1443" s="520"/>
      <c r="AQ1443" s="520"/>
      <c r="AR1443" s="520"/>
      <c r="AS1443" s="520"/>
      <c r="AT1443" s="520"/>
      <c r="AU1443" s="520"/>
      <c r="AV1443" s="520"/>
      <c r="AY1443" s="507"/>
      <c r="BA1443" s="507"/>
      <c r="BJ1443" s="493"/>
      <c r="CU1443" s="488"/>
      <c r="CW1443" s="488"/>
      <c r="EV1443" s="821"/>
      <c r="EW1443" s="821"/>
    </row>
    <row r="1444" spans="1:153" s="757" customFormat="1" hidden="1">
      <c r="A1444" s="487"/>
      <c r="B1444" s="487"/>
      <c r="C1444" s="487"/>
      <c r="D1444" s="487"/>
      <c r="I1444" s="487"/>
      <c r="J1444" s="487"/>
      <c r="K1444" s="487"/>
      <c r="L1444" s="487"/>
      <c r="M1444" s="487"/>
      <c r="N1444" s="487"/>
      <c r="O1444" s="875"/>
      <c r="Q1444" s="704"/>
      <c r="R1444" s="1026"/>
      <c r="S1444" s="704"/>
      <c r="T1444" s="1026"/>
      <c r="AB1444" s="520"/>
      <c r="AC1444" s="520"/>
      <c r="AD1444" s="520"/>
      <c r="AE1444" s="520"/>
      <c r="AF1444" s="520"/>
      <c r="AG1444" s="520"/>
      <c r="AH1444" s="520"/>
      <c r="AI1444" s="520"/>
      <c r="AJ1444" s="520"/>
      <c r="AK1444" s="520"/>
      <c r="AL1444" s="520"/>
      <c r="AM1444" s="520"/>
      <c r="AN1444" s="520"/>
      <c r="AO1444" s="520"/>
      <c r="AP1444" s="520"/>
      <c r="AQ1444" s="520"/>
      <c r="AR1444" s="520"/>
      <c r="AS1444" s="520"/>
      <c r="AT1444" s="520"/>
      <c r="AU1444" s="520"/>
      <c r="AV1444" s="520"/>
      <c r="AY1444" s="507"/>
      <c r="BA1444" s="507"/>
      <c r="BJ1444" s="493"/>
      <c r="CU1444" s="488"/>
      <c r="CW1444" s="488"/>
      <c r="EV1444" s="821"/>
      <c r="EW1444" s="821"/>
    </row>
    <row r="1445" spans="1:153" s="757" customFormat="1" hidden="1">
      <c r="A1445" s="487"/>
      <c r="B1445" s="487"/>
      <c r="C1445" s="487"/>
      <c r="D1445" s="487"/>
      <c r="I1445" s="487"/>
      <c r="J1445" s="487"/>
      <c r="K1445" s="487"/>
      <c r="L1445" s="487"/>
      <c r="M1445" s="487"/>
      <c r="N1445" s="487"/>
      <c r="O1445" s="875"/>
      <c r="Q1445" s="704"/>
      <c r="R1445" s="1026"/>
      <c r="S1445" s="704"/>
      <c r="T1445" s="1026"/>
      <c r="AB1445" s="520"/>
      <c r="AC1445" s="520"/>
      <c r="AD1445" s="520"/>
      <c r="AE1445" s="520"/>
      <c r="AF1445" s="520"/>
      <c r="AG1445" s="520"/>
      <c r="AH1445" s="520"/>
      <c r="AI1445" s="520"/>
      <c r="AJ1445" s="520"/>
      <c r="AK1445" s="520"/>
      <c r="AL1445" s="520"/>
      <c r="AM1445" s="520"/>
      <c r="AN1445" s="520"/>
      <c r="AO1445" s="520"/>
      <c r="AP1445" s="520"/>
      <c r="AQ1445" s="520"/>
      <c r="AR1445" s="520"/>
      <c r="AS1445" s="520"/>
      <c r="AT1445" s="520"/>
      <c r="AU1445" s="520"/>
      <c r="AV1445" s="520"/>
      <c r="AY1445" s="507"/>
      <c r="BA1445" s="507"/>
      <c r="BJ1445" s="493"/>
      <c r="CU1445" s="488"/>
      <c r="CW1445" s="488"/>
      <c r="EV1445" s="821"/>
      <c r="EW1445" s="821"/>
    </row>
    <row r="1446" spans="1:153" s="757" customFormat="1" hidden="1">
      <c r="A1446" s="487"/>
      <c r="B1446" s="487"/>
      <c r="C1446" s="487"/>
      <c r="D1446" s="487"/>
      <c r="I1446" s="487"/>
      <c r="J1446" s="487"/>
      <c r="K1446" s="487"/>
      <c r="L1446" s="487"/>
      <c r="M1446" s="487"/>
      <c r="N1446" s="487"/>
      <c r="O1446" s="875"/>
      <c r="Q1446" s="704"/>
      <c r="R1446" s="1026"/>
      <c r="S1446" s="704"/>
      <c r="T1446" s="1026"/>
      <c r="AB1446" s="520"/>
      <c r="AC1446" s="520"/>
      <c r="AD1446" s="520"/>
      <c r="AE1446" s="520"/>
      <c r="AF1446" s="520"/>
      <c r="AG1446" s="520"/>
      <c r="AH1446" s="520"/>
      <c r="AI1446" s="520"/>
      <c r="AJ1446" s="520"/>
      <c r="AK1446" s="520"/>
      <c r="AL1446" s="520"/>
      <c r="AM1446" s="520"/>
      <c r="AN1446" s="520"/>
      <c r="AO1446" s="520"/>
      <c r="AP1446" s="520"/>
      <c r="AQ1446" s="520"/>
      <c r="AR1446" s="520"/>
      <c r="AS1446" s="520"/>
      <c r="AT1446" s="520"/>
      <c r="AU1446" s="520"/>
      <c r="AV1446" s="520"/>
      <c r="AY1446" s="507"/>
      <c r="BA1446" s="507"/>
      <c r="BJ1446" s="493"/>
      <c r="CU1446" s="488"/>
      <c r="CW1446" s="488"/>
      <c r="EV1446" s="821"/>
      <c r="EW1446" s="821"/>
    </row>
    <row r="1447" spans="1:153" s="757" customFormat="1" hidden="1">
      <c r="A1447" s="487"/>
      <c r="B1447" s="487"/>
      <c r="C1447" s="487"/>
      <c r="D1447" s="487"/>
      <c r="I1447" s="487"/>
      <c r="J1447" s="487"/>
      <c r="K1447" s="487"/>
      <c r="L1447" s="487"/>
      <c r="M1447" s="487"/>
      <c r="N1447" s="487"/>
      <c r="O1447" s="875"/>
      <c r="Q1447" s="704"/>
      <c r="R1447" s="1026"/>
      <c r="S1447" s="704"/>
      <c r="T1447" s="1026"/>
      <c r="AB1447" s="520"/>
      <c r="AC1447" s="520"/>
      <c r="AD1447" s="520"/>
      <c r="AE1447" s="520"/>
      <c r="AF1447" s="520"/>
      <c r="AG1447" s="520"/>
      <c r="AH1447" s="520"/>
      <c r="AI1447" s="520"/>
      <c r="AJ1447" s="520"/>
      <c r="AK1447" s="520"/>
      <c r="AL1447" s="520"/>
      <c r="AM1447" s="520"/>
      <c r="AN1447" s="520"/>
      <c r="AO1447" s="520"/>
      <c r="AP1447" s="520"/>
      <c r="AQ1447" s="520"/>
      <c r="AR1447" s="520"/>
      <c r="AS1447" s="520"/>
      <c r="AT1447" s="520"/>
      <c r="AU1447" s="520"/>
      <c r="AV1447" s="520"/>
      <c r="AY1447" s="507"/>
      <c r="BA1447" s="507"/>
      <c r="BJ1447" s="493"/>
      <c r="CU1447" s="488"/>
      <c r="CW1447" s="488"/>
      <c r="EV1447" s="821"/>
      <c r="EW1447" s="821"/>
    </row>
    <row r="1448" spans="1:153" s="757" customFormat="1" hidden="1">
      <c r="A1448" s="487"/>
      <c r="B1448" s="487"/>
      <c r="C1448" s="487"/>
      <c r="D1448" s="487"/>
      <c r="I1448" s="487"/>
      <c r="J1448" s="487"/>
      <c r="K1448" s="487"/>
      <c r="L1448" s="487"/>
      <c r="M1448" s="487"/>
      <c r="N1448" s="487"/>
      <c r="O1448" s="875"/>
      <c r="Q1448" s="704"/>
      <c r="R1448" s="1026"/>
      <c r="S1448" s="704"/>
      <c r="T1448" s="1026"/>
      <c r="AB1448" s="520"/>
      <c r="AC1448" s="520"/>
      <c r="AD1448" s="520"/>
      <c r="AE1448" s="520"/>
      <c r="AF1448" s="520"/>
      <c r="AG1448" s="520"/>
      <c r="AH1448" s="520"/>
      <c r="AI1448" s="520"/>
      <c r="AJ1448" s="520"/>
      <c r="AK1448" s="520"/>
      <c r="AL1448" s="520"/>
      <c r="AM1448" s="520"/>
      <c r="AN1448" s="520"/>
      <c r="AO1448" s="520"/>
      <c r="AP1448" s="520"/>
      <c r="AQ1448" s="520"/>
      <c r="AR1448" s="520"/>
      <c r="AS1448" s="520"/>
      <c r="AT1448" s="520"/>
      <c r="AU1448" s="520"/>
      <c r="AV1448" s="520"/>
      <c r="AY1448" s="507"/>
      <c r="BA1448" s="507"/>
      <c r="BJ1448" s="493"/>
      <c r="CU1448" s="488"/>
      <c r="CW1448" s="488"/>
      <c r="EV1448" s="821"/>
      <c r="EW1448" s="821"/>
    </row>
    <row r="1449" spans="1:153" s="757" customFormat="1" hidden="1">
      <c r="A1449" s="487"/>
      <c r="B1449" s="487"/>
      <c r="C1449" s="487"/>
      <c r="D1449" s="487"/>
      <c r="I1449" s="487"/>
      <c r="J1449" s="487"/>
      <c r="K1449" s="487"/>
      <c r="L1449" s="487"/>
      <c r="M1449" s="487"/>
      <c r="N1449" s="487"/>
      <c r="O1449" s="875"/>
      <c r="Q1449" s="704"/>
      <c r="R1449" s="1026"/>
      <c r="S1449" s="704"/>
      <c r="T1449" s="1026"/>
      <c r="AB1449" s="520"/>
      <c r="AC1449" s="520"/>
      <c r="AD1449" s="520"/>
      <c r="AE1449" s="520"/>
      <c r="AF1449" s="520"/>
      <c r="AG1449" s="520"/>
      <c r="AH1449" s="520"/>
      <c r="AI1449" s="520"/>
      <c r="AJ1449" s="520"/>
      <c r="AK1449" s="520"/>
      <c r="AL1449" s="520"/>
      <c r="AM1449" s="520"/>
      <c r="AN1449" s="520"/>
      <c r="AO1449" s="520"/>
      <c r="AP1449" s="520"/>
      <c r="AQ1449" s="520"/>
      <c r="AR1449" s="520"/>
      <c r="AS1449" s="520"/>
      <c r="AT1449" s="520"/>
      <c r="AU1449" s="520"/>
      <c r="AV1449" s="520"/>
      <c r="AY1449" s="507"/>
      <c r="BA1449" s="507"/>
      <c r="BJ1449" s="493"/>
      <c r="CU1449" s="488"/>
      <c r="CW1449" s="488"/>
      <c r="EV1449" s="821"/>
      <c r="EW1449" s="821"/>
    </row>
    <row r="1450" spans="1:153" s="757" customFormat="1" hidden="1">
      <c r="A1450" s="487"/>
      <c r="B1450" s="487"/>
      <c r="C1450" s="487"/>
      <c r="D1450" s="487"/>
      <c r="I1450" s="487"/>
      <c r="J1450" s="487"/>
      <c r="K1450" s="487"/>
      <c r="L1450" s="487"/>
      <c r="M1450" s="487"/>
      <c r="N1450" s="487"/>
      <c r="O1450" s="875"/>
      <c r="Q1450" s="704"/>
      <c r="R1450" s="1026"/>
      <c r="S1450" s="704"/>
      <c r="T1450" s="1026"/>
      <c r="AB1450" s="520"/>
      <c r="AC1450" s="520"/>
      <c r="AD1450" s="520"/>
      <c r="AE1450" s="520"/>
      <c r="AF1450" s="520"/>
      <c r="AG1450" s="520"/>
      <c r="AH1450" s="520"/>
      <c r="AI1450" s="520"/>
      <c r="AJ1450" s="520"/>
      <c r="AK1450" s="520"/>
      <c r="AL1450" s="520"/>
      <c r="AM1450" s="520"/>
      <c r="AN1450" s="520"/>
      <c r="AO1450" s="520"/>
      <c r="AP1450" s="520"/>
      <c r="AQ1450" s="520"/>
      <c r="AR1450" s="520"/>
      <c r="AS1450" s="520"/>
      <c r="AT1450" s="520"/>
      <c r="AU1450" s="520"/>
      <c r="AV1450" s="520"/>
      <c r="AY1450" s="507"/>
      <c r="BA1450" s="507"/>
      <c r="BJ1450" s="493"/>
      <c r="CU1450" s="488"/>
      <c r="CW1450" s="488"/>
      <c r="EV1450" s="821"/>
      <c r="EW1450" s="821"/>
    </row>
    <row r="1451" spans="1:153" s="757" customFormat="1" hidden="1">
      <c r="A1451" s="487"/>
      <c r="B1451" s="487"/>
      <c r="C1451" s="487"/>
      <c r="D1451" s="487"/>
      <c r="I1451" s="487"/>
      <c r="J1451" s="487"/>
      <c r="K1451" s="487"/>
      <c r="L1451" s="487"/>
      <c r="M1451" s="487"/>
      <c r="N1451" s="487"/>
      <c r="O1451" s="875"/>
      <c r="Q1451" s="704"/>
      <c r="R1451" s="1026"/>
      <c r="S1451" s="704"/>
      <c r="T1451" s="1026"/>
      <c r="AB1451" s="520"/>
      <c r="AC1451" s="520"/>
      <c r="AD1451" s="520"/>
      <c r="AE1451" s="520"/>
      <c r="AF1451" s="520"/>
      <c r="AG1451" s="520"/>
      <c r="AH1451" s="520"/>
      <c r="AI1451" s="520"/>
      <c r="AJ1451" s="520"/>
      <c r="AK1451" s="520"/>
      <c r="AL1451" s="520"/>
      <c r="AM1451" s="520"/>
      <c r="AN1451" s="520"/>
      <c r="AO1451" s="520"/>
      <c r="AP1451" s="520"/>
      <c r="AQ1451" s="520"/>
      <c r="AR1451" s="520"/>
      <c r="AS1451" s="520"/>
      <c r="AT1451" s="520"/>
      <c r="AU1451" s="520"/>
      <c r="AV1451" s="520"/>
      <c r="AY1451" s="507"/>
      <c r="BA1451" s="507"/>
      <c r="BJ1451" s="493"/>
      <c r="CU1451" s="488"/>
      <c r="CW1451" s="488"/>
      <c r="EV1451" s="821"/>
      <c r="EW1451" s="821"/>
    </row>
    <row r="1452" spans="1:153" s="757" customFormat="1" hidden="1">
      <c r="A1452" s="487"/>
      <c r="B1452" s="487"/>
      <c r="C1452" s="487"/>
      <c r="D1452" s="487"/>
      <c r="I1452" s="487"/>
      <c r="J1452" s="487"/>
      <c r="K1452" s="487"/>
      <c r="L1452" s="487"/>
      <c r="M1452" s="487"/>
      <c r="N1452" s="487"/>
      <c r="O1452" s="875"/>
      <c r="Q1452" s="704"/>
      <c r="R1452" s="1026"/>
      <c r="S1452" s="704"/>
      <c r="T1452" s="1026"/>
      <c r="AB1452" s="520"/>
      <c r="AC1452" s="520"/>
      <c r="AD1452" s="520"/>
      <c r="AE1452" s="520"/>
      <c r="AF1452" s="520"/>
      <c r="AG1452" s="520"/>
      <c r="AH1452" s="520"/>
      <c r="AI1452" s="520"/>
      <c r="AJ1452" s="520"/>
      <c r="AK1452" s="520"/>
      <c r="AL1452" s="520"/>
      <c r="AM1452" s="520"/>
      <c r="AN1452" s="520"/>
      <c r="AO1452" s="520"/>
      <c r="AP1452" s="520"/>
      <c r="AQ1452" s="520"/>
      <c r="AR1452" s="520"/>
      <c r="AS1452" s="520"/>
      <c r="AT1452" s="520"/>
      <c r="AU1452" s="520"/>
      <c r="AV1452" s="520"/>
      <c r="AY1452" s="507"/>
      <c r="BA1452" s="507"/>
      <c r="BJ1452" s="493"/>
      <c r="CU1452" s="488"/>
      <c r="CW1452" s="488"/>
      <c r="EV1452" s="821"/>
      <c r="EW1452" s="821"/>
    </row>
    <row r="1453" spans="1:153" s="757" customFormat="1" hidden="1">
      <c r="A1453" s="487"/>
      <c r="B1453" s="487"/>
      <c r="C1453" s="487"/>
      <c r="D1453" s="487"/>
      <c r="I1453" s="487"/>
      <c r="J1453" s="487"/>
      <c r="K1453" s="487"/>
      <c r="L1453" s="487"/>
      <c r="M1453" s="487"/>
      <c r="N1453" s="487"/>
      <c r="O1453" s="875"/>
      <c r="Q1453" s="704"/>
      <c r="R1453" s="1026"/>
      <c r="S1453" s="704"/>
      <c r="T1453" s="1026"/>
      <c r="AB1453" s="520"/>
      <c r="AC1453" s="520"/>
      <c r="AD1453" s="520"/>
      <c r="AE1453" s="520"/>
      <c r="AF1453" s="520"/>
      <c r="AG1453" s="520"/>
      <c r="AH1453" s="520"/>
      <c r="AI1453" s="520"/>
      <c r="AJ1453" s="520"/>
      <c r="AK1453" s="520"/>
      <c r="AL1453" s="520"/>
      <c r="AM1453" s="520"/>
      <c r="AN1453" s="520"/>
      <c r="AO1453" s="520"/>
      <c r="AP1453" s="520"/>
      <c r="AQ1453" s="520"/>
      <c r="AR1453" s="520"/>
      <c r="AS1453" s="520"/>
      <c r="AT1453" s="520"/>
      <c r="AU1453" s="520"/>
      <c r="AV1453" s="520"/>
      <c r="AY1453" s="507"/>
      <c r="BA1453" s="507"/>
      <c r="BJ1453" s="493"/>
      <c r="CU1453" s="488"/>
      <c r="CW1453" s="488"/>
      <c r="EV1453" s="821"/>
      <c r="EW1453" s="821"/>
    </row>
    <row r="1454" spans="1:153" s="757" customFormat="1" hidden="1">
      <c r="A1454" s="487"/>
      <c r="B1454" s="487"/>
      <c r="C1454" s="487"/>
      <c r="D1454" s="487"/>
      <c r="I1454" s="487"/>
      <c r="J1454" s="487"/>
      <c r="K1454" s="487"/>
      <c r="L1454" s="487"/>
      <c r="M1454" s="487"/>
      <c r="N1454" s="487"/>
      <c r="O1454" s="875"/>
      <c r="Q1454" s="704"/>
      <c r="R1454" s="1026"/>
      <c r="S1454" s="704"/>
      <c r="T1454" s="1026"/>
      <c r="AB1454" s="520"/>
      <c r="AC1454" s="520"/>
      <c r="AD1454" s="520"/>
      <c r="AE1454" s="520"/>
      <c r="AF1454" s="520"/>
      <c r="AG1454" s="520"/>
      <c r="AH1454" s="520"/>
      <c r="AI1454" s="520"/>
      <c r="AJ1454" s="520"/>
      <c r="AK1454" s="520"/>
      <c r="AL1454" s="520"/>
      <c r="AM1454" s="520"/>
      <c r="AN1454" s="520"/>
      <c r="AO1454" s="520"/>
      <c r="AP1454" s="520"/>
      <c r="AQ1454" s="520"/>
      <c r="AR1454" s="520"/>
      <c r="AS1454" s="520"/>
      <c r="AT1454" s="520"/>
      <c r="AU1454" s="520"/>
      <c r="AV1454" s="520"/>
      <c r="AY1454" s="507"/>
      <c r="BA1454" s="507"/>
      <c r="BJ1454" s="493"/>
      <c r="CU1454" s="488"/>
      <c r="CW1454" s="488"/>
      <c r="EV1454" s="821"/>
      <c r="EW1454" s="821"/>
    </row>
    <row r="1455" spans="1:153" s="757" customFormat="1" hidden="1">
      <c r="A1455" s="487"/>
      <c r="B1455" s="487"/>
      <c r="C1455" s="487"/>
      <c r="D1455" s="487"/>
      <c r="I1455" s="487"/>
      <c r="J1455" s="487"/>
      <c r="K1455" s="487"/>
      <c r="L1455" s="487"/>
      <c r="M1455" s="487"/>
      <c r="N1455" s="487"/>
      <c r="O1455" s="875"/>
      <c r="Q1455" s="704"/>
      <c r="R1455" s="1026"/>
      <c r="S1455" s="704"/>
      <c r="T1455" s="1026"/>
      <c r="AB1455" s="520"/>
      <c r="AC1455" s="520"/>
      <c r="AD1455" s="520"/>
      <c r="AE1455" s="520"/>
      <c r="AF1455" s="520"/>
      <c r="AG1455" s="520"/>
      <c r="AH1455" s="520"/>
      <c r="AI1455" s="520"/>
      <c r="AJ1455" s="520"/>
      <c r="AK1455" s="520"/>
      <c r="AL1455" s="520"/>
      <c r="AM1455" s="520"/>
      <c r="AN1455" s="520"/>
      <c r="AO1455" s="520"/>
      <c r="AP1455" s="520"/>
      <c r="AQ1455" s="520"/>
      <c r="AR1455" s="520"/>
      <c r="AS1455" s="520"/>
      <c r="AT1455" s="520"/>
      <c r="AU1455" s="520"/>
      <c r="AV1455" s="520"/>
      <c r="AY1455" s="507"/>
      <c r="BA1455" s="507"/>
      <c r="BJ1455" s="493"/>
      <c r="CU1455" s="488"/>
      <c r="CW1455" s="488"/>
      <c r="EV1455" s="821"/>
      <c r="EW1455" s="821"/>
    </row>
    <row r="1456" spans="1:153" s="757" customFormat="1" hidden="1">
      <c r="A1456" s="487"/>
      <c r="B1456" s="487"/>
      <c r="C1456" s="487"/>
      <c r="D1456" s="487"/>
      <c r="I1456" s="487"/>
      <c r="J1456" s="487"/>
      <c r="K1456" s="487"/>
      <c r="L1456" s="487"/>
      <c r="M1456" s="487"/>
      <c r="N1456" s="487"/>
      <c r="O1456" s="875"/>
      <c r="Q1456" s="704"/>
      <c r="R1456" s="1026"/>
      <c r="S1456" s="704"/>
      <c r="T1456" s="1026"/>
      <c r="AB1456" s="520"/>
      <c r="AC1456" s="520"/>
      <c r="AD1456" s="520"/>
      <c r="AE1456" s="520"/>
      <c r="AF1456" s="520"/>
      <c r="AG1456" s="520"/>
      <c r="AH1456" s="520"/>
      <c r="AI1456" s="520"/>
      <c r="AJ1456" s="520"/>
      <c r="AK1456" s="520"/>
      <c r="AL1456" s="520"/>
      <c r="AM1456" s="520"/>
      <c r="AN1456" s="520"/>
      <c r="AO1456" s="520"/>
      <c r="AP1456" s="520"/>
      <c r="AQ1456" s="520"/>
      <c r="AR1456" s="520"/>
      <c r="AS1456" s="520"/>
      <c r="AT1456" s="520"/>
      <c r="AU1456" s="520"/>
      <c r="AV1456" s="520"/>
      <c r="AY1456" s="507"/>
      <c r="BA1456" s="507"/>
      <c r="BJ1456" s="493"/>
      <c r="CU1456" s="488"/>
      <c r="CW1456" s="488"/>
      <c r="EV1456" s="821"/>
      <c r="EW1456" s="821"/>
    </row>
    <row r="1457" spans="1:153" s="757" customFormat="1" hidden="1">
      <c r="A1457" s="487"/>
      <c r="B1457" s="487"/>
      <c r="C1457" s="487"/>
      <c r="D1457" s="487"/>
      <c r="I1457" s="487"/>
      <c r="J1457" s="487"/>
      <c r="K1457" s="487"/>
      <c r="L1457" s="487"/>
      <c r="M1457" s="487"/>
      <c r="N1457" s="487"/>
      <c r="O1457" s="875"/>
      <c r="Q1457" s="704"/>
      <c r="R1457" s="1026"/>
      <c r="S1457" s="704"/>
      <c r="T1457" s="1026"/>
      <c r="AB1457" s="520"/>
      <c r="AC1457" s="520"/>
      <c r="AD1457" s="520"/>
      <c r="AE1457" s="520"/>
      <c r="AF1457" s="520"/>
      <c r="AG1457" s="520"/>
      <c r="AH1457" s="520"/>
      <c r="AI1457" s="520"/>
      <c r="AJ1457" s="520"/>
      <c r="AK1457" s="520"/>
      <c r="AL1457" s="520"/>
      <c r="AM1457" s="520"/>
      <c r="AN1457" s="520"/>
      <c r="AO1457" s="520"/>
      <c r="AP1457" s="520"/>
      <c r="AQ1457" s="520"/>
      <c r="AR1457" s="520"/>
      <c r="AS1457" s="520"/>
      <c r="AT1457" s="520"/>
      <c r="AU1457" s="520"/>
      <c r="AV1457" s="520"/>
      <c r="AY1457" s="507"/>
      <c r="BA1457" s="507"/>
      <c r="BJ1457" s="493"/>
      <c r="CU1457" s="488"/>
      <c r="CW1457" s="488"/>
      <c r="EV1457" s="821"/>
      <c r="EW1457" s="821"/>
    </row>
    <row r="1458" spans="1:153" s="757" customFormat="1" hidden="1">
      <c r="A1458" s="487"/>
      <c r="B1458" s="487"/>
      <c r="C1458" s="487"/>
      <c r="D1458" s="487"/>
      <c r="I1458" s="487"/>
      <c r="J1458" s="487"/>
      <c r="K1458" s="487"/>
      <c r="L1458" s="487"/>
      <c r="M1458" s="487"/>
      <c r="N1458" s="487"/>
      <c r="O1458" s="875"/>
      <c r="Q1458" s="704"/>
      <c r="R1458" s="1026"/>
      <c r="S1458" s="704"/>
      <c r="T1458" s="1026"/>
      <c r="AB1458" s="520"/>
      <c r="AC1458" s="520"/>
      <c r="AD1458" s="520"/>
      <c r="AE1458" s="520"/>
      <c r="AF1458" s="520"/>
      <c r="AG1458" s="520"/>
      <c r="AH1458" s="520"/>
      <c r="AI1458" s="520"/>
      <c r="AJ1458" s="520"/>
      <c r="AK1458" s="520"/>
      <c r="AL1458" s="520"/>
      <c r="AM1458" s="520"/>
      <c r="AN1458" s="520"/>
      <c r="AO1458" s="520"/>
      <c r="AP1458" s="520"/>
      <c r="AQ1458" s="520"/>
      <c r="AR1458" s="520"/>
      <c r="AS1458" s="520"/>
      <c r="AT1458" s="520"/>
      <c r="AU1458" s="520"/>
      <c r="AV1458" s="520"/>
      <c r="AY1458" s="507"/>
      <c r="BA1458" s="507"/>
      <c r="BJ1458" s="493"/>
      <c r="CU1458" s="488"/>
      <c r="CW1458" s="488"/>
      <c r="EV1458" s="821"/>
      <c r="EW1458" s="821"/>
    </row>
    <row r="1459" spans="1:153" s="757" customFormat="1" hidden="1">
      <c r="A1459" s="487"/>
      <c r="B1459" s="487"/>
      <c r="C1459" s="487"/>
      <c r="D1459" s="487"/>
      <c r="I1459" s="487"/>
      <c r="J1459" s="487"/>
      <c r="K1459" s="487"/>
      <c r="L1459" s="487"/>
      <c r="M1459" s="487"/>
      <c r="N1459" s="487"/>
      <c r="O1459" s="875"/>
      <c r="Q1459" s="704"/>
      <c r="R1459" s="1026"/>
      <c r="S1459" s="704"/>
      <c r="T1459" s="1026"/>
      <c r="AB1459" s="520"/>
      <c r="AC1459" s="520"/>
      <c r="AD1459" s="520"/>
      <c r="AE1459" s="520"/>
      <c r="AF1459" s="520"/>
      <c r="AG1459" s="520"/>
      <c r="AH1459" s="520"/>
      <c r="AI1459" s="520"/>
      <c r="AJ1459" s="520"/>
      <c r="AK1459" s="520"/>
      <c r="AL1459" s="520"/>
      <c r="AM1459" s="520"/>
      <c r="AN1459" s="520"/>
      <c r="AO1459" s="520"/>
      <c r="AP1459" s="520"/>
      <c r="AQ1459" s="520"/>
      <c r="AR1459" s="520"/>
      <c r="AS1459" s="520"/>
      <c r="AT1459" s="520"/>
      <c r="AU1459" s="520"/>
      <c r="AV1459" s="520"/>
      <c r="AY1459" s="507"/>
      <c r="BA1459" s="507"/>
      <c r="BJ1459" s="493"/>
      <c r="CU1459" s="488"/>
      <c r="CW1459" s="488"/>
      <c r="EV1459" s="821"/>
      <c r="EW1459" s="821"/>
    </row>
    <row r="1460" spans="1:153" s="757" customFormat="1" hidden="1">
      <c r="A1460" s="487"/>
      <c r="B1460" s="487"/>
      <c r="C1460" s="487"/>
      <c r="D1460" s="487"/>
      <c r="I1460" s="487"/>
      <c r="J1460" s="487"/>
      <c r="K1460" s="487"/>
      <c r="L1460" s="487"/>
      <c r="M1460" s="487"/>
      <c r="N1460" s="487"/>
      <c r="O1460" s="875"/>
      <c r="Q1460" s="704"/>
      <c r="R1460" s="1026"/>
      <c r="S1460" s="704"/>
      <c r="T1460" s="1026"/>
      <c r="AB1460" s="520"/>
      <c r="AC1460" s="520"/>
      <c r="AD1460" s="520"/>
      <c r="AE1460" s="520"/>
      <c r="AF1460" s="520"/>
      <c r="AG1460" s="520"/>
      <c r="AH1460" s="520"/>
      <c r="AI1460" s="520"/>
      <c r="AJ1460" s="520"/>
      <c r="AK1460" s="520"/>
      <c r="AL1460" s="520"/>
      <c r="AM1460" s="520"/>
      <c r="AN1460" s="520"/>
      <c r="AO1460" s="520"/>
      <c r="AP1460" s="520"/>
      <c r="AQ1460" s="520"/>
      <c r="AR1460" s="520"/>
      <c r="AS1460" s="520"/>
      <c r="AT1460" s="520"/>
      <c r="AU1460" s="520"/>
      <c r="AV1460" s="520"/>
      <c r="AY1460" s="507"/>
      <c r="BA1460" s="507"/>
      <c r="BJ1460" s="493"/>
      <c r="CU1460" s="488"/>
      <c r="CW1460" s="488"/>
      <c r="EV1460" s="821"/>
      <c r="EW1460" s="821"/>
    </row>
    <row r="1461" spans="1:153" s="757" customFormat="1" hidden="1">
      <c r="A1461" s="487"/>
      <c r="B1461" s="487"/>
      <c r="C1461" s="487"/>
      <c r="D1461" s="487"/>
      <c r="I1461" s="487"/>
      <c r="J1461" s="487"/>
      <c r="K1461" s="487"/>
      <c r="L1461" s="487"/>
      <c r="M1461" s="487"/>
      <c r="N1461" s="487"/>
      <c r="O1461" s="875"/>
      <c r="Q1461" s="704"/>
      <c r="R1461" s="1026"/>
      <c r="S1461" s="704"/>
      <c r="T1461" s="1026"/>
      <c r="AB1461" s="520"/>
      <c r="AC1461" s="520"/>
      <c r="AD1461" s="520"/>
      <c r="AE1461" s="520"/>
      <c r="AF1461" s="520"/>
      <c r="AG1461" s="520"/>
      <c r="AH1461" s="520"/>
      <c r="AI1461" s="520"/>
      <c r="AJ1461" s="520"/>
      <c r="AK1461" s="520"/>
      <c r="AL1461" s="520"/>
      <c r="AM1461" s="520"/>
      <c r="AN1461" s="520"/>
      <c r="AO1461" s="520"/>
      <c r="AP1461" s="520"/>
      <c r="AQ1461" s="520"/>
      <c r="AR1461" s="520"/>
      <c r="AS1461" s="520"/>
      <c r="AT1461" s="520"/>
      <c r="AU1461" s="520"/>
      <c r="AV1461" s="520"/>
      <c r="AY1461" s="507"/>
      <c r="BA1461" s="507"/>
      <c r="BJ1461" s="493"/>
      <c r="CU1461" s="488"/>
      <c r="CW1461" s="488"/>
      <c r="EV1461" s="821"/>
      <c r="EW1461" s="821"/>
    </row>
    <row r="1462" spans="1:153" s="757" customFormat="1" hidden="1">
      <c r="A1462" s="487"/>
      <c r="B1462" s="487"/>
      <c r="C1462" s="487"/>
      <c r="D1462" s="487"/>
      <c r="I1462" s="487"/>
      <c r="J1462" s="487"/>
      <c r="K1462" s="487"/>
      <c r="L1462" s="487"/>
      <c r="M1462" s="487"/>
      <c r="N1462" s="487"/>
      <c r="O1462" s="875"/>
      <c r="Q1462" s="704"/>
      <c r="R1462" s="1026"/>
      <c r="S1462" s="704"/>
      <c r="T1462" s="1026"/>
      <c r="AB1462" s="520"/>
      <c r="AC1462" s="520"/>
      <c r="AD1462" s="520"/>
      <c r="AE1462" s="520"/>
      <c r="AF1462" s="520"/>
      <c r="AG1462" s="520"/>
      <c r="AH1462" s="520"/>
      <c r="AI1462" s="520"/>
      <c r="AJ1462" s="520"/>
      <c r="AK1462" s="520"/>
      <c r="AL1462" s="520"/>
      <c r="AM1462" s="520"/>
      <c r="AN1462" s="520"/>
      <c r="AO1462" s="520"/>
      <c r="AP1462" s="520"/>
      <c r="AQ1462" s="520"/>
      <c r="AR1462" s="520"/>
      <c r="AS1462" s="520"/>
      <c r="AT1462" s="520"/>
      <c r="AU1462" s="520"/>
      <c r="AV1462" s="520"/>
      <c r="AY1462" s="507"/>
      <c r="BA1462" s="507"/>
      <c r="BJ1462" s="493"/>
      <c r="CU1462" s="488"/>
      <c r="CW1462" s="488"/>
      <c r="EV1462" s="821"/>
      <c r="EW1462" s="821"/>
    </row>
    <row r="1463" spans="1:153" s="757" customFormat="1" hidden="1">
      <c r="A1463" s="487"/>
      <c r="B1463" s="487"/>
      <c r="C1463" s="487"/>
      <c r="D1463" s="487"/>
      <c r="I1463" s="487"/>
      <c r="J1463" s="487"/>
      <c r="K1463" s="487"/>
      <c r="L1463" s="487"/>
      <c r="M1463" s="487"/>
      <c r="N1463" s="487"/>
      <c r="O1463" s="875"/>
      <c r="Q1463" s="704"/>
      <c r="R1463" s="1026"/>
      <c r="S1463" s="704"/>
      <c r="T1463" s="1026"/>
      <c r="AB1463" s="520"/>
      <c r="AC1463" s="520"/>
      <c r="AD1463" s="520"/>
      <c r="AE1463" s="520"/>
      <c r="AF1463" s="520"/>
      <c r="AG1463" s="520"/>
      <c r="AH1463" s="520"/>
      <c r="AI1463" s="520"/>
      <c r="AJ1463" s="520"/>
      <c r="AK1463" s="520"/>
      <c r="AL1463" s="520"/>
      <c r="AM1463" s="520"/>
      <c r="AN1463" s="520"/>
      <c r="AO1463" s="520"/>
      <c r="AP1463" s="520"/>
      <c r="AQ1463" s="520"/>
      <c r="AR1463" s="520"/>
      <c r="AS1463" s="520"/>
      <c r="AT1463" s="520"/>
      <c r="AU1463" s="520"/>
      <c r="AV1463" s="520"/>
      <c r="AY1463" s="507"/>
      <c r="BA1463" s="507"/>
      <c r="BJ1463" s="493"/>
      <c r="CU1463" s="488"/>
      <c r="CW1463" s="488"/>
      <c r="EV1463" s="821"/>
      <c r="EW1463" s="821"/>
    </row>
    <row r="1464" spans="1:153" s="757" customFormat="1" hidden="1">
      <c r="A1464" s="487"/>
      <c r="B1464" s="487"/>
      <c r="C1464" s="487"/>
      <c r="D1464" s="487"/>
      <c r="I1464" s="487"/>
      <c r="J1464" s="487"/>
      <c r="K1464" s="487"/>
      <c r="L1464" s="487"/>
      <c r="M1464" s="487"/>
      <c r="N1464" s="487"/>
      <c r="O1464" s="875"/>
      <c r="Q1464" s="704"/>
      <c r="R1464" s="1026"/>
      <c r="S1464" s="704"/>
      <c r="T1464" s="1026"/>
      <c r="AB1464" s="520"/>
      <c r="AC1464" s="520"/>
      <c r="AD1464" s="520"/>
      <c r="AE1464" s="520"/>
      <c r="AF1464" s="520"/>
      <c r="AG1464" s="520"/>
      <c r="AH1464" s="520"/>
      <c r="AI1464" s="520"/>
      <c r="AJ1464" s="520"/>
      <c r="AK1464" s="520"/>
      <c r="AL1464" s="520"/>
      <c r="AM1464" s="520"/>
      <c r="AN1464" s="520"/>
      <c r="AO1464" s="520"/>
      <c r="AP1464" s="520"/>
      <c r="AQ1464" s="520"/>
      <c r="AR1464" s="520"/>
      <c r="AS1464" s="520"/>
      <c r="AT1464" s="520"/>
      <c r="AU1464" s="520"/>
      <c r="AV1464" s="520"/>
      <c r="AY1464" s="507"/>
      <c r="BA1464" s="507"/>
      <c r="BJ1464" s="493"/>
      <c r="CU1464" s="488"/>
      <c r="CW1464" s="488"/>
      <c r="EV1464" s="821"/>
      <c r="EW1464" s="821"/>
    </row>
    <row r="1465" spans="1:153" s="757" customFormat="1" hidden="1">
      <c r="A1465" s="487"/>
      <c r="B1465" s="487"/>
      <c r="C1465" s="487"/>
      <c r="D1465" s="487"/>
      <c r="I1465" s="487"/>
      <c r="J1465" s="487"/>
      <c r="K1465" s="487"/>
      <c r="L1465" s="487"/>
      <c r="M1465" s="487"/>
      <c r="N1465" s="487"/>
      <c r="O1465" s="875"/>
      <c r="Q1465" s="704"/>
      <c r="R1465" s="1026"/>
      <c r="S1465" s="704"/>
      <c r="T1465" s="1026"/>
      <c r="AB1465" s="520"/>
      <c r="AC1465" s="520"/>
      <c r="AD1465" s="520"/>
      <c r="AE1465" s="520"/>
      <c r="AF1465" s="520"/>
      <c r="AG1465" s="520"/>
      <c r="AH1465" s="520"/>
      <c r="AI1465" s="520"/>
      <c r="AJ1465" s="520"/>
      <c r="AK1465" s="520"/>
      <c r="AL1465" s="520"/>
      <c r="AM1465" s="520"/>
      <c r="AN1465" s="520"/>
      <c r="AO1465" s="520"/>
      <c r="AP1465" s="520"/>
      <c r="AQ1465" s="520"/>
      <c r="AR1465" s="520"/>
      <c r="AS1465" s="520"/>
      <c r="AT1465" s="520"/>
      <c r="AU1465" s="520"/>
      <c r="AV1465" s="520"/>
      <c r="AY1465" s="507"/>
      <c r="BA1465" s="507"/>
      <c r="BJ1465" s="493"/>
      <c r="CU1465" s="488"/>
      <c r="CW1465" s="488"/>
      <c r="EV1465" s="821"/>
      <c r="EW1465" s="821"/>
    </row>
    <row r="1466" spans="1:153" s="757" customFormat="1" hidden="1">
      <c r="A1466" s="487"/>
      <c r="B1466" s="487"/>
      <c r="C1466" s="487"/>
      <c r="D1466" s="487"/>
      <c r="I1466" s="487"/>
      <c r="J1466" s="487"/>
      <c r="K1466" s="487"/>
      <c r="L1466" s="487"/>
      <c r="M1466" s="487"/>
      <c r="N1466" s="487"/>
      <c r="O1466" s="875"/>
      <c r="Q1466" s="704"/>
      <c r="R1466" s="1026"/>
      <c r="S1466" s="704"/>
      <c r="T1466" s="1026"/>
      <c r="AB1466" s="520"/>
      <c r="AC1466" s="520"/>
      <c r="AD1466" s="520"/>
      <c r="AE1466" s="520"/>
      <c r="AF1466" s="520"/>
      <c r="AG1466" s="520"/>
      <c r="AH1466" s="520"/>
      <c r="AI1466" s="520"/>
      <c r="AJ1466" s="520"/>
      <c r="AK1466" s="520"/>
      <c r="AL1466" s="520"/>
      <c r="AM1466" s="520"/>
      <c r="AN1466" s="520"/>
      <c r="AO1466" s="520"/>
      <c r="AP1466" s="520"/>
      <c r="AQ1466" s="520"/>
      <c r="AR1466" s="520"/>
      <c r="AS1466" s="520"/>
      <c r="AT1466" s="520"/>
      <c r="AU1466" s="520"/>
      <c r="AV1466" s="520"/>
      <c r="AY1466" s="507"/>
      <c r="BA1466" s="507"/>
      <c r="BJ1466" s="493"/>
      <c r="CU1466" s="488"/>
      <c r="CW1466" s="488"/>
      <c r="EV1466" s="821"/>
      <c r="EW1466" s="821"/>
    </row>
    <row r="1467" spans="1:153" s="757" customFormat="1" hidden="1">
      <c r="A1467" s="487"/>
      <c r="B1467" s="487"/>
      <c r="C1467" s="487"/>
      <c r="D1467" s="487"/>
      <c r="I1467" s="487"/>
      <c r="J1467" s="487"/>
      <c r="K1467" s="487"/>
      <c r="L1467" s="487"/>
      <c r="M1467" s="487"/>
      <c r="N1467" s="487"/>
      <c r="O1467" s="875"/>
      <c r="Q1467" s="704"/>
      <c r="R1467" s="1026"/>
      <c r="S1467" s="704"/>
      <c r="T1467" s="1026"/>
      <c r="AB1467" s="520"/>
      <c r="AC1467" s="520"/>
      <c r="AD1467" s="520"/>
      <c r="AE1467" s="520"/>
      <c r="AF1467" s="520"/>
      <c r="AG1467" s="520"/>
      <c r="AH1467" s="520"/>
      <c r="AI1467" s="520"/>
      <c r="AJ1467" s="520"/>
      <c r="AK1467" s="520"/>
      <c r="AL1467" s="520"/>
      <c r="AM1467" s="520"/>
      <c r="AN1467" s="520"/>
      <c r="AO1467" s="520"/>
      <c r="AP1467" s="520"/>
      <c r="AQ1467" s="520"/>
      <c r="AR1467" s="520"/>
      <c r="AS1467" s="520"/>
      <c r="AT1467" s="520"/>
      <c r="AU1467" s="520"/>
      <c r="AV1467" s="520"/>
      <c r="AY1467" s="507"/>
      <c r="BA1467" s="507"/>
      <c r="BJ1467" s="493"/>
      <c r="CU1467" s="488"/>
      <c r="CW1467" s="488"/>
      <c r="EV1467" s="821"/>
      <c r="EW1467" s="821"/>
    </row>
    <row r="1468" spans="1:153" s="757" customFormat="1" hidden="1">
      <c r="A1468" s="487"/>
      <c r="B1468" s="487"/>
      <c r="C1468" s="487"/>
      <c r="D1468" s="487"/>
      <c r="I1468" s="487"/>
      <c r="J1468" s="487"/>
      <c r="K1468" s="487"/>
      <c r="L1468" s="487"/>
      <c r="M1468" s="487"/>
      <c r="N1468" s="487"/>
      <c r="O1468" s="875"/>
      <c r="Q1468" s="704"/>
      <c r="R1468" s="1026"/>
      <c r="S1468" s="704"/>
      <c r="T1468" s="1026"/>
      <c r="AB1468" s="520"/>
      <c r="AC1468" s="520"/>
      <c r="AD1468" s="520"/>
      <c r="AE1468" s="520"/>
      <c r="AF1468" s="520"/>
      <c r="AG1468" s="520"/>
      <c r="AH1468" s="520"/>
      <c r="AI1468" s="520"/>
      <c r="AJ1468" s="520"/>
      <c r="AK1468" s="520"/>
      <c r="AL1468" s="520"/>
      <c r="AM1468" s="520"/>
      <c r="AN1468" s="520"/>
      <c r="AO1468" s="520"/>
      <c r="AP1468" s="520"/>
      <c r="AQ1468" s="520"/>
      <c r="AR1468" s="520"/>
      <c r="AS1468" s="520"/>
      <c r="AT1468" s="520"/>
      <c r="AU1468" s="520"/>
      <c r="AV1468" s="520"/>
      <c r="AY1468" s="507"/>
      <c r="BA1468" s="507"/>
      <c r="BJ1468" s="493"/>
      <c r="CU1468" s="488"/>
      <c r="CW1468" s="488"/>
      <c r="EV1468" s="821"/>
      <c r="EW1468" s="821"/>
    </row>
    <row r="1469" spans="1:153" s="757" customFormat="1" hidden="1">
      <c r="A1469" s="487"/>
      <c r="B1469" s="487"/>
      <c r="C1469" s="487"/>
      <c r="D1469" s="487"/>
      <c r="I1469" s="487"/>
      <c r="J1469" s="487"/>
      <c r="K1469" s="487"/>
      <c r="L1469" s="487"/>
      <c r="M1469" s="487"/>
      <c r="N1469" s="487"/>
      <c r="O1469" s="875"/>
      <c r="Q1469" s="704"/>
      <c r="R1469" s="1026"/>
      <c r="S1469" s="704"/>
      <c r="T1469" s="1026"/>
      <c r="AB1469" s="520"/>
      <c r="AC1469" s="520"/>
      <c r="AD1469" s="520"/>
      <c r="AE1469" s="520"/>
      <c r="AF1469" s="520"/>
      <c r="AG1469" s="520"/>
      <c r="AH1469" s="520"/>
      <c r="AI1469" s="520"/>
      <c r="AJ1469" s="520"/>
      <c r="AK1469" s="520"/>
      <c r="AL1469" s="520"/>
      <c r="AM1469" s="520"/>
      <c r="AN1469" s="520"/>
      <c r="AO1469" s="520"/>
      <c r="AP1469" s="520"/>
      <c r="AQ1469" s="520"/>
      <c r="AR1469" s="520"/>
      <c r="AS1469" s="520"/>
      <c r="AT1469" s="520"/>
      <c r="AU1469" s="520"/>
      <c r="AV1469" s="520"/>
      <c r="AY1469" s="507"/>
      <c r="BA1469" s="507"/>
      <c r="BJ1469" s="493"/>
      <c r="CU1469" s="488"/>
      <c r="CW1469" s="488"/>
      <c r="EV1469" s="821"/>
      <c r="EW1469" s="821"/>
    </row>
    <row r="1470" spans="1:153" s="757" customFormat="1" hidden="1">
      <c r="A1470" s="487"/>
      <c r="B1470" s="487"/>
      <c r="C1470" s="487"/>
      <c r="D1470" s="487"/>
      <c r="I1470" s="487"/>
      <c r="J1470" s="487"/>
      <c r="K1470" s="487"/>
      <c r="L1470" s="487"/>
      <c r="M1470" s="487"/>
      <c r="N1470" s="487"/>
      <c r="O1470" s="875"/>
      <c r="Q1470" s="704"/>
      <c r="R1470" s="1026"/>
      <c r="S1470" s="704"/>
      <c r="T1470" s="1026"/>
      <c r="AB1470" s="520"/>
      <c r="AC1470" s="520"/>
      <c r="AD1470" s="520"/>
      <c r="AE1470" s="520"/>
      <c r="AF1470" s="520"/>
      <c r="AG1470" s="520"/>
      <c r="AH1470" s="520"/>
      <c r="AI1470" s="520"/>
      <c r="AJ1470" s="520"/>
      <c r="AK1470" s="520"/>
      <c r="AL1470" s="520"/>
      <c r="AM1470" s="520"/>
      <c r="AN1470" s="520"/>
      <c r="AO1470" s="520"/>
      <c r="AP1470" s="520"/>
      <c r="AQ1470" s="520"/>
      <c r="AR1470" s="520"/>
      <c r="AS1470" s="520"/>
      <c r="AT1470" s="520"/>
      <c r="AU1470" s="520"/>
      <c r="AV1470" s="520"/>
      <c r="AY1470" s="507"/>
      <c r="BA1470" s="507"/>
      <c r="BJ1470" s="493"/>
      <c r="CU1470" s="488"/>
      <c r="CW1470" s="488"/>
      <c r="EV1470" s="821"/>
      <c r="EW1470" s="821"/>
    </row>
    <row r="1471" spans="1:153" s="757" customFormat="1" hidden="1">
      <c r="A1471" s="487"/>
      <c r="B1471" s="487"/>
      <c r="C1471" s="487"/>
      <c r="D1471" s="487"/>
      <c r="I1471" s="487"/>
      <c r="J1471" s="487"/>
      <c r="K1471" s="487"/>
      <c r="L1471" s="487"/>
      <c r="M1471" s="487"/>
      <c r="N1471" s="487"/>
      <c r="O1471" s="875"/>
      <c r="Q1471" s="704"/>
      <c r="R1471" s="1026"/>
      <c r="S1471" s="704"/>
      <c r="T1471" s="1026"/>
      <c r="AB1471" s="520"/>
      <c r="AC1471" s="520"/>
      <c r="AD1471" s="520"/>
      <c r="AE1471" s="520"/>
      <c r="AF1471" s="520"/>
      <c r="AG1471" s="520"/>
      <c r="AH1471" s="520"/>
      <c r="AI1471" s="520"/>
      <c r="AJ1471" s="520"/>
      <c r="AK1471" s="520"/>
      <c r="AL1471" s="520"/>
      <c r="AM1471" s="520"/>
      <c r="AN1471" s="520"/>
      <c r="AO1471" s="520"/>
      <c r="AP1471" s="520"/>
      <c r="AQ1471" s="520"/>
      <c r="AR1471" s="520"/>
      <c r="AS1471" s="520"/>
      <c r="AT1471" s="520"/>
      <c r="AU1471" s="520"/>
      <c r="AV1471" s="520"/>
      <c r="AY1471" s="507"/>
      <c r="BA1471" s="507"/>
      <c r="BJ1471" s="493"/>
      <c r="CU1471" s="488"/>
      <c r="CW1471" s="488"/>
      <c r="EV1471" s="821"/>
      <c r="EW1471" s="821"/>
    </row>
    <row r="1472" spans="1:153" s="757" customFormat="1" hidden="1">
      <c r="A1472" s="487"/>
      <c r="B1472" s="487"/>
      <c r="C1472" s="487"/>
      <c r="D1472" s="487"/>
      <c r="I1472" s="487"/>
      <c r="J1472" s="487"/>
      <c r="K1472" s="487"/>
      <c r="L1472" s="487"/>
      <c r="M1472" s="487"/>
      <c r="N1472" s="487"/>
      <c r="O1472" s="875"/>
      <c r="Q1472" s="704"/>
      <c r="R1472" s="1026"/>
      <c r="S1472" s="704"/>
      <c r="T1472" s="1026"/>
      <c r="AB1472" s="520"/>
      <c r="AC1472" s="520"/>
      <c r="AD1472" s="520"/>
      <c r="AE1472" s="520"/>
      <c r="AF1472" s="520"/>
      <c r="AG1472" s="520"/>
      <c r="AH1472" s="520"/>
      <c r="AI1472" s="520"/>
      <c r="AJ1472" s="520"/>
      <c r="AK1472" s="520"/>
      <c r="AL1472" s="520"/>
      <c r="AM1472" s="520"/>
      <c r="AN1472" s="520"/>
      <c r="AO1472" s="520"/>
      <c r="AP1472" s="520"/>
      <c r="AQ1472" s="520"/>
      <c r="AR1472" s="520"/>
      <c r="AS1472" s="520"/>
      <c r="AT1472" s="520"/>
      <c r="AU1472" s="520"/>
      <c r="AV1472" s="520"/>
      <c r="AY1472" s="507"/>
      <c r="BA1472" s="507"/>
      <c r="BJ1472" s="493"/>
      <c r="CU1472" s="488"/>
      <c r="CW1472" s="488"/>
      <c r="EV1472" s="821"/>
      <c r="EW1472" s="821"/>
    </row>
    <row r="1473" spans="1:153" s="757" customFormat="1" hidden="1">
      <c r="A1473" s="487"/>
      <c r="B1473" s="487"/>
      <c r="C1473" s="487"/>
      <c r="D1473" s="487"/>
      <c r="I1473" s="487"/>
      <c r="J1473" s="487"/>
      <c r="K1473" s="487"/>
      <c r="L1473" s="487"/>
      <c r="M1473" s="487"/>
      <c r="N1473" s="487"/>
      <c r="O1473" s="875"/>
      <c r="Q1473" s="704"/>
      <c r="R1473" s="1026"/>
      <c r="S1473" s="704"/>
      <c r="T1473" s="1026"/>
      <c r="AB1473" s="520"/>
      <c r="AC1473" s="520"/>
      <c r="AD1473" s="520"/>
      <c r="AE1473" s="520"/>
      <c r="AF1473" s="520"/>
      <c r="AG1473" s="520"/>
      <c r="AH1473" s="520"/>
      <c r="AI1473" s="520"/>
      <c r="AJ1473" s="520"/>
      <c r="AK1473" s="520"/>
      <c r="AL1473" s="520"/>
      <c r="AM1473" s="520"/>
      <c r="AN1473" s="520"/>
      <c r="AO1473" s="520"/>
      <c r="AP1473" s="520"/>
      <c r="AQ1473" s="520"/>
      <c r="AR1473" s="520"/>
      <c r="AS1473" s="520"/>
      <c r="AT1473" s="520"/>
      <c r="AU1473" s="520"/>
      <c r="AV1473" s="520"/>
      <c r="AY1473" s="507"/>
      <c r="BA1473" s="507"/>
      <c r="BJ1473" s="493"/>
      <c r="CU1473" s="488"/>
      <c r="CW1473" s="488"/>
      <c r="EV1473" s="821"/>
      <c r="EW1473" s="821"/>
    </row>
    <row r="1474" spans="1:153" s="757" customFormat="1" hidden="1">
      <c r="A1474" s="487"/>
      <c r="B1474" s="487"/>
      <c r="C1474" s="487"/>
      <c r="D1474" s="487"/>
      <c r="I1474" s="487"/>
      <c r="J1474" s="487"/>
      <c r="K1474" s="487"/>
      <c r="L1474" s="487"/>
      <c r="M1474" s="487"/>
      <c r="N1474" s="487"/>
      <c r="O1474" s="875"/>
      <c r="Q1474" s="704"/>
      <c r="R1474" s="1026"/>
      <c r="S1474" s="704"/>
      <c r="T1474" s="1026"/>
      <c r="AB1474" s="520"/>
      <c r="AC1474" s="520"/>
      <c r="AD1474" s="520"/>
      <c r="AE1474" s="520"/>
      <c r="AF1474" s="520"/>
      <c r="AG1474" s="520"/>
      <c r="AH1474" s="520"/>
      <c r="AI1474" s="520"/>
      <c r="AJ1474" s="520"/>
      <c r="AK1474" s="520"/>
      <c r="AL1474" s="520"/>
      <c r="AM1474" s="520"/>
      <c r="AN1474" s="520"/>
      <c r="AO1474" s="520"/>
      <c r="AP1474" s="520"/>
      <c r="AQ1474" s="520"/>
      <c r="AR1474" s="520"/>
      <c r="AS1474" s="520"/>
      <c r="AT1474" s="520"/>
      <c r="AU1474" s="520"/>
      <c r="AV1474" s="520"/>
      <c r="AY1474" s="507"/>
      <c r="BA1474" s="507"/>
      <c r="BJ1474" s="493"/>
      <c r="CU1474" s="488"/>
      <c r="CW1474" s="488"/>
      <c r="EV1474" s="821"/>
      <c r="EW1474" s="821"/>
    </row>
    <row r="1475" spans="1:153" s="757" customFormat="1" hidden="1">
      <c r="A1475" s="487"/>
      <c r="B1475" s="487"/>
      <c r="C1475" s="487"/>
      <c r="D1475" s="487"/>
      <c r="I1475" s="487"/>
      <c r="J1475" s="487"/>
      <c r="K1475" s="487"/>
      <c r="L1475" s="487"/>
      <c r="M1475" s="487"/>
      <c r="N1475" s="487"/>
      <c r="O1475" s="875"/>
      <c r="Q1475" s="704"/>
      <c r="R1475" s="1026"/>
      <c r="S1475" s="704"/>
      <c r="T1475" s="1026"/>
      <c r="AB1475" s="520"/>
      <c r="AC1475" s="520"/>
      <c r="AD1475" s="520"/>
      <c r="AE1475" s="520"/>
      <c r="AF1475" s="520"/>
      <c r="AG1475" s="520"/>
      <c r="AH1475" s="520"/>
      <c r="AI1475" s="520"/>
      <c r="AJ1475" s="520"/>
      <c r="AK1475" s="520"/>
      <c r="AL1475" s="520"/>
      <c r="AM1475" s="520"/>
      <c r="AN1475" s="520"/>
      <c r="AO1475" s="520"/>
      <c r="AP1475" s="520"/>
      <c r="AQ1475" s="520"/>
      <c r="AR1475" s="520"/>
      <c r="AS1475" s="520"/>
      <c r="AT1475" s="520"/>
      <c r="AU1475" s="520"/>
      <c r="AV1475" s="520"/>
      <c r="AY1475" s="507"/>
      <c r="BA1475" s="507"/>
      <c r="BJ1475" s="493"/>
      <c r="CU1475" s="488"/>
      <c r="CW1475" s="488"/>
      <c r="EV1475" s="821"/>
      <c r="EW1475" s="821"/>
    </row>
    <row r="1476" spans="1:153" s="757" customFormat="1" hidden="1">
      <c r="A1476" s="487"/>
      <c r="B1476" s="487"/>
      <c r="C1476" s="487"/>
      <c r="D1476" s="487"/>
      <c r="I1476" s="487"/>
      <c r="J1476" s="487"/>
      <c r="K1476" s="487"/>
      <c r="L1476" s="487"/>
      <c r="M1476" s="487"/>
      <c r="N1476" s="487"/>
      <c r="O1476" s="875"/>
      <c r="Q1476" s="704"/>
      <c r="R1476" s="1026"/>
      <c r="S1476" s="704"/>
      <c r="T1476" s="1026"/>
      <c r="AB1476" s="520"/>
      <c r="AC1476" s="520"/>
      <c r="AD1476" s="520"/>
      <c r="AE1476" s="520"/>
      <c r="AF1476" s="520"/>
      <c r="AG1476" s="520"/>
      <c r="AH1476" s="520"/>
      <c r="AI1476" s="520"/>
      <c r="AJ1476" s="520"/>
      <c r="AK1476" s="520"/>
      <c r="AL1476" s="520"/>
      <c r="AM1476" s="520"/>
      <c r="AN1476" s="520"/>
      <c r="AO1476" s="520"/>
      <c r="AP1476" s="520"/>
      <c r="AQ1476" s="520"/>
      <c r="AR1476" s="520"/>
      <c r="AS1476" s="520"/>
      <c r="AT1476" s="520"/>
      <c r="AU1476" s="520"/>
      <c r="AV1476" s="520"/>
      <c r="AY1476" s="507"/>
      <c r="BA1476" s="507"/>
      <c r="BJ1476" s="493"/>
      <c r="CU1476" s="488"/>
      <c r="CW1476" s="488"/>
      <c r="EV1476" s="821"/>
      <c r="EW1476" s="821"/>
    </row>
    <row r="1477" spans="1:153" s="757" customFormat="1" hidden="1">
      <c r="A1477" s="487"/>
      <c r="B1477" s="487"/>
      <c r="C1477" s="487"/>
      <c r="D1477" s="487"/>
      <c r="I1477" s="487"/>
      <c r="J1477" s="487"/>
      <c r="K1477" s="487"/>
      <c r="L1477" s="487"/>
      <c r="M1477" s="487"/>
      <c r="N1477" s="487"/>
      <c r="O1477" s="875"/>
      <c r="Q1477" s="704"/>
      <c r="R1477" s="1026"/>
      <c r="S1477" s="704"/>
      <c r="T1477" s="1026"/>
      <c r="AB1477" s="520"/>
      <c r="AC1477" s="520"/>
      <c r="AD1477" s="520"/>
      <c r="AE1477" s="520"/>
      <c r="AF1477" s="520"/>
      <c r="AG1477" s="520"/>
      <c r="AH1477" s="520"/>
      <c r="AI1477" s="520"/>
      <c r="AJ1477" s="520"/>
      <c r="AK1477" s="520"/>
      <c r="AL1477" s="520"/>
      <c r="AM1477" s="520"/>
      <c r="AN1477" s="520"/>
      <c r="AO1477" s="520"/>
      <c r="AP1477" s="520"/>
      <c r="AQ1477" s="520"/>
      <c r="AR1477" s="520"/>
      <c r="AS1477" s="520"/>
      <c r="AT1477" s="520"/>
      <c r="AU1477" s="520"/>
      <c r="AV1477" s="520"/>
      <c r="AY1477" s="507"/>
      <c r="BA1477" s="507"/>
      <c r="BJ1477" s="493"/>
      <c r="CU1477" s="488"/>
      <c r="CW1477" s="488"/>
      <c r="EV1477" s="821"/>
      <c r="EW1477" s="821"/>
    </row>
    <row r="1478" spans="1:153" s="757" customFormat="1" hidden="1">
      <c r="A1478" s="487"/>
      <c r="B1478" s="487"/>
      <c r="C1478" s="487"/>
      <c r="D1478" s="487"/>
      <c r="I1478" s="487"/>
      <c r="J1478" s="487"/>
      <c r="K1478" s="487"/>
      <c r="L1478" s="487"/>
      <c r="M1478" s="487"/>
      <c r="N1478" s="487"/>
      <c r="O1478" s="875"/>
      <c r="Q1478" s="704"/>
      <c r="R1478" s="1026"/>
      <c r="S1478" s="704"/>
      <c r="T1478" s="1026"/>
      <c r="AB1478" s="520"/>
      <c r="AC1478" s="520"/>
      <c r="AD1478" s="520"/>
      <c r="AE1478" s="520"/>
      <c r="AF1478" s="520"/>
      <c r="AG1478" s="520"/>
      <c r="AH1478" s="520"/>
      <c r="AI1478" s="520"/>
      <c r="AJ1478" s="520"/>
      <c r="AK1478" s="520"/>
      <c r="AL1478" s="520"/>
      <c r="AM1478" s="520"/>
      <c r="AN1478" s="520"/>
      <c r="AO1478" s="520"/>
      <c r="AP1478" s="520"/>
      <c r="AQ1478" s="520"/>
      <c r="AR1478" s="520"/>
      <c r="AS1478" s="520"/>
      <c r="AT1478" s="520"/>
      <c r="AU1478" s="520"/>
      <c r="AV1478" s="520"/>
      <c r="AY1478" s="507"/>
      <c r="BA1478" s="507"/>
      <c r="BJ1478" s="493"/>
      <c r="CU1478" s="488"/>
      <c r="CW1478" s="488"/>
      <c r="EV1478" s="821"/>
      <c r="EW1478" s="821"/>
    </row>
    <row r="1479" spans="1:153" s="757" customFormat="1" hidden="1">
      <c r="A1479" s="487"/>
      <c r="B1479" s="487"/>
      <c r="C1479" s="487"/>
      <c r="D1479" s="487"/>
      <c r="I1479" s="487"/>
      <c r="J1479" s="487"/>
      <c r="K1479" s="487"/>
      <c r="L1479" s="487"/>
      <c r="M1479" s="487"/>
      <c r="N1479" s="487"/>
      <c r="O1479" s="875"/>
      <c r="Q1479" s="704"/>
      <c r="R1479" s="1026"/>
      <c r="S1479" s="704"/>
      <c r="T1479" s="1026"/>
      <c r="AB1479" s="520"/>
      <c r="AC1479" s="520"/>
      <c r="AD1479" s="520"/>
      <c r="AE1479" s="520"/>
      <c r="AF1479" s="520"/>
      <c r="AG1479" s="520"/>
      <c r="AH1479" s="520"/>
      <c r="AI1479" s="520"/>
      <c r="AJ1479" s="520"/>
      <c r="AK1479" s="520"/>
      <c r="AL1479" s="520"/>
      <c r="AM1479" s="520"/>
      <c r="AN1479" s="520"/>
      <c r="AO1479" s="520"/>
      <c r="AP1479" s="520"/>
      <c r="AQ1479" s="520"/>
      <c r="AR1479" s="520"/>
      <c r="AS1479" s="520"/>
      <c r="AT1479" s="520"/>
      <c r="AU1479" s="520"/>
      <c r="AV1479" s="520"/>
      <c r="AY1479" s="507"/>
      <c r="BA1479" s="507"/>
      <c r="BJ1479" s="493"/>
      <c r="CU1479" s="488"/>
      <c r="CW1479" s="488"/>
      <c r="EV1479" s="821"/>
      <c r="EW1479" s="821"/>
    </row>
    <row r="1480" spans="1:153" s="757" customFormat="1" hidden="1">
      <c r="A1480" s="487"/>
      <c r="B1480" s="487"/>
      <c r="C1480" s="487"/>
      <c r="D1480" s="487"/>
      <c r="I1480" s="487"/>
      <c r="J1480" s="487"/>
      <c r="K1480" s="487"/>
      <c r="L1480" s="487"/>
      <c r="M1480" s="487"/>
      <c r="N1480" s="487"/>
      <c r="O1480" s="875"/>
      <c r="Q1480" s="704"/>
      <c r="R1480" s="1026"/>
      <c r="S1480" s="704"/>
      <c r="T1480" s="1026"/>
      <c r="AB1480" s="520"/>
      <c r="AC1480" s="520"/>
      <c r="AD1480" s="520"/>
      <c r="AE1480" s="520"/>
      <c r="AF1480" s="520"/>
      <c r="AG1480" s="520"/>
      <c r="AH1480" s="520"/>
      <c r="AI1480" s="520"/>
      <c r="AJ1480" s="520"/>
      <c r="AK1480" s="520"/>
      <c r="AL1480" s="520"/>
      <c r="AM1480" s="520"/>
      <c r="AN1480" s="520"/>
      <c r="AO1480" s="520"/>
      <c r="AP1480" s="520"/>
      <c r="AQ1480" s="520"/>
      <c r="AR1480" s="520"/>
      <c r="AS1480" s="520"/>
      <c r="AT1480" s="520"/>
      <c r="AU1480" s="520"/>
      <c r="AV1480" s="520"/>
      <c r="AY1480" s="507"/>
      <c r="BA1480" s="507"/>
      <c r="BJ1480" s="493"/>
      <c r="CU1480" s="488"/>
      <c r="CW1480" s="488"/>
      <c r="EV1480" s="821"/>
      <c r="EW1480" s="821"/>
    </row>
    <row r="1481" spans="1:153" s="757" customFormat="1" hidden="1">
      <c r="A1481" s="487"/>
      <c r="B1481" s="487"/>
      <c r="C1481" s="487"/>
      <c r="D1481" s="487"/>
      <c r="I1481" s="487"/>
      <c r="J1481" s="487"/>
      <c r="K1481" s="487"/>
      <c r="L1481" s="487"/>
      <c r="M1481" s="487"/>
      <c r="N1481" s="487"/>
      <c r="O1481" s="875"/>
      <c r="Q1481" s="704"/>
      <c r="R1481" s="1026"/>
      <c r="S1481" s="704"/>
      <c r="T1481" s="1026"/>
      <c r="AB1481" s="520"/>
      <c r="AC1481" s="520"/>
      <c r="AD1481" s="520"/>
      <c r="AE1481" s="520"/>
      <c r="AF1481" s="520"/>
      <c r="AG1481" s="520"/>
      <c r="AH1481" s="520"/>
      <c r="AI1481" s="520"/>
      <c r="AJ1481" s="520"/>
      <c r="AK1481" s="520"/>
      <c r="AL1481" s="520"/>
      <c r="AM1481" s="520"/>
      <c r="AN1481" s="520"/>
      <c r="AO1481" s="520"/>
      <c r="AP1481" s="520"/>
      <c r="AQ1481" s="520"/>
      <c r="AR1481" s="520"/>
      <c r="AS1481" s="520"/>
      <c r="AT1481" s="520"/>
      <c r="AU1481" s="520"/>
      <c r="AV1481" s="520"/>
      <c r="AY1481" s="507"/>
      <c r="BA1481" s="507"/>
      <c r="BJ1481" s="493"/>
      <c r="CU1481" s="488"/>
      <c r="CW1481" s="488"/>
      <c r="EV1481" s="821"/>
      <c r="EW1481" s="821"/>
    </row>
    <row r="1482" spans="1:153" s="757" customFormat="1" hidden="1">
      <c r="A1482" s="487"/>
      <c r="B1482" s="487"/>
      <c r="C1482" s="487"/>
      <c r="D1482" s="487"/>
      <c r="I1482" s="487"/>
      <c r="J1482" s="487"/>
      <c r="K1482" s="487"/>
      <c r="L1482" s="487"/>
      <c r="M1482" s="487"/>
      <c r="N1482" s="487"/>
      <c r="O1482" s="875"/>
      <c r="Q1482" s="704"/>
      <c r="R1482" s="1026"/>
      <c r="S1482" s="704"/>
      <c r="T1482" s="1026"/>
      <c r="AB1482" s="520"/>
      <c r="AC1482" s="520"/>
      <c r="AD1482" s="520"/>
      <c r="AE1482" s="520"/>
      <c r="AF1482" s="520"/>
      <c r="AG1482" s="520"/>
      <c r="AH1482" s="520"/>
      <c r="AI1482" s="520"/>
      <c r="AJ1482" s="520"/>
      <c r="AK1482" s="520"/>
      <c r="AL1482" s="520"/>
      <c r="AM1482" s="520"/>
      <c r="AN1482" s="520"/>
      <c r="AO1482" s="520"/>
      <c r="AP1482" s="520"/>
      <c r="AQ1482" s="520"/>
      <c r="AR1482" s="520"/>
      <c r="AS1482" s="520"/>
      <c r="AT1482" s="520"/>
      <c r="AU1482" s="520"/>
      <c r="AV1482" s="520"/>
      <c r="AY1482" s="507"/>
      <c r="BA1482" s="507"/>
      <c r="BJ1482" s="493"/>
      <c r="CU1482" s="488"/>
      <c r="CW1482" s="488"/>
      <c r="EV1482" s="821"/>
      <c r="EW1482" s="821"/>
    </row>
    <row r="1483" spans="1:153" s="757" customFormat="1" hidden="1">
      <c r="A1483" s="487"/>
      <c r="B1483" s="487"/>
      <c r="C1483" s="487"/>
      <c r="D1483" s="487"/>
      <c r="I1483" s="487"/>
      <c r="J1483" s="487"/>
      <c r="K1483" s="487"/>
      <c r="L1483" s="487"/>
      <c r="M1483" s="487"/>
      <c r="N1483" s="487"/>
      <c r="O1483" s="875"/>
      <c r="Q1483" s="704"/>
      <c r="R1483" s="1026"/>
      <c r="S1483" s="704"/>
      <c r="T1483" s="1026"/>
      <c r="AB1483" s="520"/>
      <c r="AC1483" s="520"/>
      <c r="AD1483" s="520"/>
      <c r="AE1483" s="520"/>
      <c r="AF1483" s="520"/>
      <c r="AG1483" s="520"/>
      <c r="AH1483" s="520"/>
      <c r="AI1483" s="520"/>
      <c r="AJ1483" s="520"/>
      <c r="AK1483" s="520"/>
      <c r="AL1483" s="520"/>
      <c r="AM1483" s="520"/>
      <c r="AN1483" s="520"/>
      <c r="AO1483" s="520"/>
      <c r="AP1483" s="520"/>
      <c r="AQ1483" s="520"/>
      <c r="AR1483" s="520"/>
      <c r="AS1483" s="520"/>
      <c r="AT1483" s="520"/>
      <c r="AU1483" s="520"/>
      <c r="AV1483" s="520"/>
      <c r="AY1483" s="507"/>
      <c r="BA1483" s="507"/>
      <c r="BJ1483" s="493"/>
      <c r="CU1483" s="488"/>
      <c r="CW1483" s="488"/>
      <c r="EV1483" s="821"/>
      <c r="EW1483" s="821"/>
    </row>
    <row r="1484" spans="1:153" s="757" customFormat="1" hidden="1">
      <c r="A1484" s="487"/>
      <c r="B1484" s="487"/>
      <c r="C1484" s="487"/>
      <c r="D1484" s="487"/>
      <c r="I1484" s="487"/>
      <c r="J1484" s="487"/>
      <c r="K1484" s="487"/>
      <c r="L1484" s="487"/>
      <c r="M1484" s="487"/>
      <c r="N1484" s="487"/>
      <c r="O1484" s="875"/>
      <c r="Q1484" s="704"/>
      <c r="R1484" s="1026"/>
      <c r="S1484" s="704"/>
      <c r="T1484" s="1026"/>
      <c r="AB1484" s="520"/>
      <c r="AC1484" s="520"/>
      <c r="AD1484" s="520"/>
      <c r="AE1484" s="520"/>
      <c r="AF1484" s="520"/>
      <c r="AG1484" s="520"/>
      <c r="AH1484" s="520"/>
      <c r="AI1484" s="520"/>
      <c r="AJ1484" s="520"/>
      <c r="AK1484" s="520"/>
      <c r="AL1484" s="520"/>
      <c r="AM1484" s="520"/>
      <c r="AN1484" s="520"/>
      <c r="AO1484" s="520"/>
      <c r="AP1484" s="520"/>
      <c r="AQ1484" s="520"/>
      <c r="AR1484" s="520"/>
      <c r="AS1484" s="520"/>
      <c r="AT1484" s="520"/>
      <c r="AU1484" s="520"/>
      <c r="AV1484" s="520"/>
      <c r="AY1484" s="507"/>
      <c r="BA1484" s="507"/>
      <c r="BJ1484" s="493"/>
      <c r="CU1484" s="488"/>
      <c r="CW1484" s="488"/>
      <c r="EV1484" s="821"/>
      <c r="EW1484" s="821"/>
    </row>
    <row r="1485" spans="1:153" s="757" customFormat="1" hidden="1">
      <c r="A1485" s="487"/>
      <c r="B1485" s="487"/>
      <c r="C1485" s="487"/>
      <c r="D1485" s="487"/>
      <c r="I1485" s="487"/>
      <c r="J1485" s="487"/>
      <c r="K1485" s="487"/>
      <c r="L1485" s="487"/>
      <c r="M1485" s="487"/>
      <c r="N1485" s="487"/>
      <c r="O1485" s="875"/>
      <c r="Q1485" s="704"/>
      <c r="R1485" s="1026"/>
      <c r="S1485" s="704"/>
      <c r="T1485" s="1026"/>
      <c r="AB1485" s="520"/>
      <c r="AC1485" s="520"/>
      <c r="AD1485" s="520"/>
      <c r="AE1485" s="520"/>
      <c r="AF1485" s="520"/>
      <c r="AG1485" s="520"/>
      <c r="AH1485" s="520"/>
      <c r="AI1485" s="520"/>
      <c r="AJ1485" s="520"/>
      <c r="AK1485" s="520"/>
      <c r="AL1485" s="520"/>
      <c r="AM1485" s="520"/>
      <c r="AN1485" s="520"/>
      <c r="AO1485" s="520"/>
      <c r="AP1485" s="520"/>
      <c r="AQ1485" s="520"/>
      <c r="AR1485" s="520"/>
      <c r="AS1485" s="520"/>
      <c r="AT1485" s="520"/>
      <c r="AU1485" s="520"/>
      <c r="AV1485" s="520"/>
      <c r="AY1485" s="507"/>
      <c r="BA1485" s="507"/>
      <c r="BJ1485" s="493"/>
      <c r="CU1485" s="488"/>
      <c r="CW1485" s="488"/>
      <c r="EV1485" s="821"/>
      <c r="EW1485" s="821"/>
    </row>
    <row r="1486" spans="1:153" s="757" customFormat="1" hidden="1">
      <c r="A1486" s="487"/>
      <c r="B1486" s="487"/>
      <c r="C1486" s="487"/>
      <c r="D1486" s="487"/>
      <c r="I1486" s="487"/>
      <c r="J1486" s="487"/>
      <c r="K1486" s="487"/>
      <c r="L1486" s="487"/>
      <c r="M1486" s="487"/>
      <c r="N1486" s="487"/>
      <c r="O1486" s="875"/>
      <c r="Q1486" s="704"/>
      <c r="R1486" s="1026"/>
      <c r="S1486" s="704"/>
      <c r="T1486" s="1026"/>
      <c r="AB1486" s="520"/>
      <c r="AC1486" s="520"/>
      <c r="AD1486" s="520"/>
      <c r="AE1486" s="520"/>
      <c r="AF1486" s="520"/>
      <c r="AG1486" s="520"/>
      <c r="AH1486" s="520"/>
      <c r="AI1486" s="520"/>
      <c r="AJ1486" s="520"/>
      <c r="AK1486" s="520"/>
      <c r="AL1486" s="520"/>
      <c r="AM1486" s="520"/>
      <c r="AN1486" s="520"/>
      <c r="AO1486" s="520"/>
      <c r="AP1486" s="520"/>
      <c r="AQ1486" s="520"/>
      <c r="AR1486" s="520"/>
      <c r="AS1486" s="520"/>
      <c r="AT1486" s="520"/>
      <c r="AU1486" s="520"/>
      <c r="AV1486" s="520"/>
      <c r="AY1486" s="507"/>
      <c r="BA1486" s="507"/>
      <c r="BJ1486" s="493"/>
      <c r="CU1486" s="488"/>
      <c r="CW1486" s="488"/>
      <c r="EV1486" s="821"/>
      <c r="EW1486" s="821"/>
    </row>
    <row r="1487" spans="1:153" s="757" customFormat="1" hidden="1">
      <c r="A1487" s="487"/>
      <c r="B1487" s="487"/>
      <c r="C1487" s="487"/>
      <c r="D1487" s="487"/>
      <c r="I1487" s="487"/>
      <c r="J1487" s="487"/>
      <c r="K1487" s="487"/>
      <c r="L1487" s="487"/>
      <c r="M1487" s="487"/>
      <c r="N1487" s="487"/>
      <c r="O1487" s="875"/>
      <c r="Q1487" s="704"/>
      <c r="R1487" s="1026"/>
      <c r="S1487" s="704"/>
      <c r="T1487" s="1026"/>
      <c r="AB1487" s="520"/>
      <c r="AC1487" s="520"/>
      <c r="AD1487" s="520"/>
      <c r="AE1487" s="520"/>
      <c r="AF1487" s="520"/>
      <c r="AG1487" s="520"/>
      <c r="AH1487" s="520"/>
      <c r="AI1487" s="520"/>
      <c r="AJ1487" s="520"/>
      <c r="AK1487" s="520"/>
      <c r="AL1487" s="520"/>
      <c r="AM1487" s="520"/>
      <c r="AN1487" s="520"/>
      <c r="AO1487" s="520"/>
      <c r="AP1487" s="520"/>
      <c r="AQ1487" s="520"/>
      <c r="AR1487" s="520"/>
      <c r="AS1487" s="520"/>
      <c r="AT1487" s="520"/>
      <c r="AU1487" s="520"/>
      <c r="AV1487" s="520"/>
      <c r="AY1487" s="507"/>
      <c r="BA1487" s="507"/>
      <c r="BJ1487" s="493"/>
      <c r="CU1487" s="488"/>
      <c r="CW1487" s="488"/>
      <c r="EV1487" s="821"/>
      <c r="EW1487" s="821"/>
    </row>
    <row r="1488" spans="1:153" s="757" customFormat="1" hidden="1">
      <c r="A1488" s="487"/>
      <c r="B1488" s="487"/>
      <c r="C1488" s="487"/>
      <c r="D1488" s="487"/>
      <c r="I1488" s="487"/>
      <c r="J1488" s="487"/>
      <c r="K1488" s="487"/>
      <c r="L1488" s="487"/>
      <c r="M1488" s="487"/>
      <c r="N1488" s="487"/>
      <c r="O1488" s="875"/>
      <c r="Q1488" s="704"/>
      <c r="R1488" s="1026"/>
      <c r="S1488" s="704"/>
      <c r="T1488" s="1026"/>
      <c r="AB1488" s="520"/>
      <c r="AC1488" s="520"/>
      <c r="AD1488" s="520"/>
      <c r="AE1488" s="520"/>
      <c r="AF1488" s="520"/>
      <c r="AG1488" s="520"/>
      <c r="AH1488" s="520"/>
      <c r="AI1488" s="520"/>
      <c r="AJ1488" s="520"/>
      <c r="AK1488" s="520"/>
      <c r="AL1488" s="520"/>
      <c r="AM1488" s="520"/>
      <c r="AN1488" s="520"/>
      <c r="AO1488" s="520"/>
      <c r="AP1488" s="520"/>
      <c r="AQ1488" s="520"/>
      <c r="AR1488" s="520"/>
      <c r="AS1488" s="520"/>
      <c r="AT1488" s="520"/>
      <c r="AU1488" s="520"/>
      <c r="AV1488" s="520"/>
      <c r="AY1488" s="507"/>
      <c r="BA1488" s="507"/>
      <c r="BJ1488" s="493"/>
      <c r="CU1488" s="488"/>
      <c r="CW1488" s="488"/>
      <c r="EV1488" s="821"/>
      <c r="EW1488" s="821"/>
    </row>
    <row r="1489" spans="1:153" s="757" customFormat="1" hidden="1">
      <c r="A1489" s="487"/>
      <c r="B1489" s="487"/>
      <c r="C1489" s="487"/>
      <c r="D1489" s="487"/>
      <c r="I1489" s="487"/>
      <c r="J1489" s="487"/>
      <c r="K1489" s="487"/>
      <c r="L1489" s="487"/>
      <c r="M1489" s="487"/>
      <c r="N1489" s="487"/>
      <c r="O1489" s="875"/>
      <c r="Q1489" s="704"/>
      <c r="R1489" s="1026"/>
      <c r="S1489" s="704"/>
      <c r="T1489" s="1026"/>
      <c r="AB1489" s="520"/>
      <c r="AC1489" s="520"/>
      <c r="AD1489" s="520"/>
      <c r="AE1489" s="520"/>
      <c r="AF1489" s="520"/>
      <c r="AG1489" s="520"/>
      <c r="AH1489" s="520"/>
      <c r="AI1489" s="520"/>
      <c r="AJ1489" s="520"/>
      <c r="AK1489" s="520"/>
      <c r="AL1489" s="520"/>
      <c r="AM1489" s="520"/>
      <c r="AN1489" s="520"/>
      <c r="AO1489" s="520"/>
      <c r="AP1489" s="520"/>
      <c r="AQ1489" s="520"/>
      <c r="AR1489" s="520"/>
      <c r="AS1489" s="520"/>
      <c r="AT1489" s="520"/>
      <c r="AU1489" s="520"/>
      <c r="AV1489" s="520"/>
      <c r="AY1489" s="507"/>
      <c r="BA1489" s="507"/>
      <c r="BJ1489" s="493"/>
      <c r="CU1489" s="488"/>
      <c r="CW1489" s="488"/>
      <c r="EV1489" s="821"/>
      <c r="EW1489" s="821"/>
    </row>
    <row r="1490" spans="1:153" s="757" customFormat="1" hidden="1">
      <c r="A1490" s="487"/>
      <c r="B1490" s="487"/>
      <c r="C1490" s="487"/>
      <c r="D1490" s="487"/>
      <c r="I1490" s="487"/>
      <c r="J1490" s="487"/>
      <c r="K1490" s="487"/>
      <c r="L1490" s="487"/>
      <c r="M1490" s="487"/>
      <c r="N1490" s="487"/>
      <c r="O1490" s="875"/>
      <c r="Q1490" s="704"/>
      <c r="R1490" s="1026"/>
      <c r="S1490" s="704"/>
      <c r="T1490" s="1026"/>
      <c r="AB1490" s="520"/>
      <c r="AC1490" s="520"/>
      <c r="AD1490" s="520"/>
      <c r="AE1490" s="520"/>
      <c r="AF1490" s="520"/>
      <c r="AG1490" s="520"/>
      <c r="AH1490" s="520"/>
      <c r="AI1490" s="520"/>
      <c r="AJ1490" s="520"/>
      <c r="AK1490" s="520"/>
      <c r="AL1490" s="520"/>
      <c r="AM1490" s="520"/>
      <c r="AN1490" s="520"/>
      <c r="AO1490" s="520"/>
      <c r="AP1490" s="520"/>
      <c r="AQ1490" s="520"/>
      <c r="AR1490" s="520"/>
      <c r="AS1490" s="520"/>
      <c r="AT1490" s="520"/>
      <c r="AU1490" s="520"/>
      <c r="AV1490" s="520"/>
      <c r="AY1490" s="507"/>
      <c r="BA1490" s="507"/>
      <c r="BJ1490" s="493"/>
      <c r="CU1490" s="488"/>
      <c r="CW1490" s="488"/>
      <c r="EV1490" s="821"/>
      <c r="EW1490" s="821"/>
    </row>
    <row r="1491" spans="1:153" s="757" customFormat="1" hidden="1">
      <c r="A1491" s="487"/>
      <c r="B1491" s="487"/>
      <c r="C1491" s="487"/>
      <c r="D1491" s="487"/>
      <c r="I1491" s="487"/>
      <c r="J1491" s="487"/>
      <c r="K1491" s="487"/>
      <c r="L1491" s="487"/>
      <c r="M1491" s="487"/>
      <c r="N1491" s="487"/>
      <c r="O1491" s="875"/>
      <c r="Q1491" s="704"/>
      <c r="R1491" s="1026"/>
      <c r="S1491" s="704"/>
      <c r="T1491" s="1026"/>
      <c r="AB1491" s="520"/>
      <c r="AC1491" s="520"/>
      <c r="AD1491" s="520"/>
      <c r="AE1491" s="520"/>
      <c r="AF1491" s="520"/>
      <c r="AG1491" s="520"/>
      <c r="AH1491" s="520"/>
      <c r="AI1491" s="520"/>
      <c r="AJ1491" s="520"/>
      <c r="AK1491" s="520"/>
      <c r="AL1491" s="520"/>
      <c r="AM1491" s="520"/>
      <c r="AN1491" s="520"/>
      <c r="AO1491" s="520"/>
      <c r="AP1491" s="520"/>
      <c r="AQ1491" s="520"/>
      <c r="AR1491" s="520"/>
      <c r="AS1491" s="520"/>
      <c r="AT1491" s="520"/>
      <c r="AU1491" s="520"/>
      <c r="AV1491" s="520"/>
      <c r="AY1491" s="507"/>
      <c r="BA1491" s="507"/>
      <c r="BJ1491" s="493"/>
      <c r="CU1491" s="488"/>
      <c r="CW1491" s="488"/>
      <c r="EV1491" s="821"/>
      <c r="EW1491" s="821"/>
    </row>
    <row r="1492" spans="1:153" s="757" customFormat="1" hidden="1">
      <c r="A1492" s="487"/>
      <c r="B1492" s="487"/>
      <c r="C1492" s="487"/>
      <c r="D1492" s="487"/>
      <c r="I1492" s="487"/>
      <c r="J1492" s="487"/>
      <c r="K1492" s="487"/>
      <c r="L1492" s="487"/>
      <c r="M1492" s="487"/>
      <c r="N1492" s="487"/>
      <c r="O1492" s="875"/>
      <c r="Q1492" s="704"/>
      <c r="R1492" s="1026"/>
      <c r="S1492" s="704"/>
      <c r="T1492" s="1026"/>
      <c r="AB1492" s="520"/>
      <c r="AC1492" s="520"/>
      <c r="AD1492" s="520"/>
      <c r="AE1492" s="520"/>
      <c r="AF1492" s="520"/>
      <c r="AG1492" s="520"/>
      <c r="AH1492" s="520"/>
      <c r="AI1492" s="520"/>
      <c r="AJ1492" s="520"/>
      <c r="AK1492" s="520"/>
      <c r="AL1492" s="520"/>
      <c r="AM1492" s="520"/>
      <c r="AN1492" s="520"/>
      <c r="AO1492" s="520"/>
      <c r="AP1492" s="520"/>
      <c r="AQ1492" s="520"/>
      <c r="AR1492" s="520"/>
      <c r="AS1492" s="520"/>
      <c r="AT1492" s="520"/>
      <c r="AU1492" s="520"/>
      <c r="AV1492" s="520"/>
      <c r="AY1492" s="507"/>
      <c r="BA1492" s="507"/>
      <c r="BJ1492" s="493"/>
      <c r="CU1492" s="488"/>
      <c r="CW1492" s="488"/>
      <c r="EV1492" s="821"/>
      <c r="EW1492" s="821"/>
    </row>
    <row r="1493" spans="1:153" s="757" customFormat="1" hidden="1">
      <c r="A1493" s="487"/>
      <c r="B1493" s="487"/>
      <c r="C1493" s="487"/>
      <c r="D1493" s="487"/>
      <c r="I1493" s="487"/>
      <c r="J1493" s="487"/>
      <c r="K1493" s="487"/>
      <c r="L1493" s="487"/>
      <c r="M1493" s="487"/>
      <c r="N1493" s="487"/>
      <c r="O1493" s="875"/>
      <c r="Q1493" s="704"/>
      <c r="R1493" s="1026"/>
      <c r="S1493" s="704"/>
      <c r="T1493" s="1026"/>
      <c r="AB1493" s="520"/>
      <c r="AC1493" s="520"/>
      <c r="AD1493" s="520"/>
      <c r="AE1493" s="520"/>
      <c r="AF1493" s="520"/>
      <c r="AG1493" s="520"/>
      <c r="AH1493" s="520"/>
      <c r="AI1493" s="520"/>
      <c r="AJ1493" s="520"/>
      <c r="AK1493" s="520"/>
      <c r="AL1493" s="520"/>
      <c r="AM1493" s="520"/>
      <c r="AN1493" s="520"/>
      <c r="AO1493" s="520"/>
      <c r="AP1493" s="520"/>
      <c r="AQ1493" s="520"/>
      <c r="AR1493" s="520"/>
      <c r="AS1493" s="520"/>
      <c r="AT1493" s="520"/>
      <c r="AU1493" s="520"/>
      <c r="AV1493" s="520"/>
      <c r="AY1493" s="507"/>
      <c r="BA1493" s="507"/>
      <c r="BJ1493" s="493"/>
      <c r="CU1493" s="488"/>
      <c r="CW1493" s="488"/>
      <c r="EV1493" s="821"/>
      <c r="EW1493" s="821"/>
    </row>
    <row r="1494" spans="1:153" s="757" customFormat="1" hidden="1">
      <c r="A1494" s="487"/>
      <c r="B1494" s="487"/>
      <c r="C1494" s="487"/>
      <c r="D1494" s="487"/>
      <c r="I1494" s="487"/>
      <c r="J1494" s="487"/>
      <c r="K1494" s="487"/>
      <c r="L1494" s="487"/>
      <c r="M1494" s="487"/>
      <c r="N1494" s="487"/>
      <c r="O1494" s="875"/>
      <c r="Q1494" s="704"/>
      <c r="R1494" s="1026"/>
      <c r="S1494" s="704"/>
      <c r="T1494" s="1026"/>
      <c r="AB1494" s="520"/>
      <c r="AC1494" s="520"/>
      <c r="AD1494" s="520"/>
      <c r="AE1494" s="520"/>
      <c r="AF1494" s="520"/>
      <c r="AG1494" s="520"/>
      <c r="AH1494" s="520"/>
      <c r="AI1494" s="520"/>
      <c r="AJ1494" s="520"/>
      <c r="AK1494" s="520"/>
      <c r="AL1494" s="520"/>
      <c r="AM1494" s="520"/>
      <c r="AN1494" s="520"/>
      <c r="AO1494" s="520"/>
      <c r="AP1494" s="520"/>
      <c r="AQ1494" s="520"/>
      <c r="AR1494" s="520"/>
      <c r="AS1494" s="520"/>
      <c r="AT1494" s="520"/>
      <c r="AU1494" s="520"/>
      <c r="AV1494" s="520"/>
      <c r="AY1494" s="507"/>
      <c r="BA1494" s="507"/>
      <c r="BJ1494" s="493"/>
      <c r="CU1494" s="488"/>
      <c r="CW1494" s="488"/>
      <c r="EV1494" s="821"/>
      <c r="EW1494" s="821"/>
    </row>
    <row r="1495" spans="1:153" s="757" customFormat="1" hidden="1">
      <c r="A1495" s="487"/>
      <c r="B1495" s="487"/>
      <c r="C1495" s="487"/>
      <c r="D1495" s="487"/>
      <c r="I1495" s="487"/>
      <c r="J1495" s="487"/>
      <c r="K1495" s="487"/>
      <c r="L1495" s="487"/>
      <c r="M1495" s="487"/>
      <c r="N1495" s="487"/>
      <c r="O1495" s="875"/>
      <c r="Q1495" s="704"/>
      <c r="R1495" s="1026"/>
      <c r="S1495" s="704"/>
      <c r="T1495" s="1026"/>
      <c r="AB1495" s="520"/>
      <c r="AC1495" s="520"/>
      <c r="AD1495" s="520"/>
      <c r="AE1495" s="520"/>
      <c r="AF1495" s="520"/>
      <c r="AG1495" s="520"/>
      <c r="AH1495" s="520"/>
      <c r="AI1495" s="520"/>
      <c r="AJ1495" s="520"/>
      <c r="AK1495" s="520"/>
      <c r="AL1495" s="520"/>
      <c r="AM1495" s="520"/>
      <c r="AN1495" s="520"/>
      <c r="AO1495" s="520"/>
      <c r="AP1495" s="520"/>
      <c r="AQ1495" s="520"/>
      <c r="AR1495" s="520"/>
      <c r="AS1495" s="520"/>
      <c r="AT1495" s="520"/>
      <c r="AU1495" s="520"/>
      <c r="AV1495" s="520"/>
      <c r="AY1495" s="507"/>
      <c r="BA1495" s="507"/>
      <c r="BJ1495" s="493"/>
      <c r="CU1495" s="488"/>
      <c r="CW1495" s="488"/>
      <c r="EV1495" s="821"/>
      <c r="EW1495" s="821"/>
    </row>
    <row r="1496" spans="1:153" s="757" customFormat="1" hidden="1">
      <c r="A1496" s="487"/>
      <c r="B1496" s="487"/>
      <c r="C1496" s="487"/>
      <c r="D1496" s="487"/>
      <c r="I1496" s="487"/>
      <c r="J1496" s="487"/>
      <c r="K1496" s="487"/>
      <c r="L1496" s="487"/>
      <c r="M1496" s="487"/>
      <c r="N1496" s="487"/>
      <c r="O1496" s="875"/>
      <c r="Q1496" s="704"/>
      <c r="R1496" s="1026"/>
      <c r="S1496" s="704"/>
      <c r="T1496" s="1026"/>
      <c r="AB1496" s="520"/>
      <c r="AC1496" s="520"/>
      <c r="AD1496" s="520"/>
      <c r="AE1496" s="520"/>
      <c r="AF1496" s="520"/>
      <c r="AG1496" s="520"/>
      <c r="AH1496" s="520"/>
      <c r="AI1496" s="520"/>
      <c r="AJ1496" s="520"/>
      <c r="AK1496" s="520"/>
      <c r="AL1496" s="520"/>
      <c r="AM1496" s="520"/>
      <c r="AN1496" s="520"/>
      <c r="AO1496" s="520"/>
      <c r="AP1496" s="520"/>
      <c r="AQ1496" s="520"/>
      <c r="AR1496" s="520"/>
      <c r="AS1496" s="520"/>
      <c r="AT1496" s="520"/>
      <c r="AU1496" s="520"/>
      <c r="AV1496" s="520"/>
      <c r="AY1496" s="507"/>
      <c r="BA1496" s="507"/>
      <c r="BJ1496" s="493"/>
      <c r="CU1496" s="488"/>
      <c r="CW1496" s="488"/>
      <c r="EV1496" s="821"/>
      <c r="EW1496" s="821"/>
    </row>
    <row r="1497" spans="1:153" s="757" customFormat="1" hidden="1">
      <c r="A1497" s="487"/>
      <c r="B1497" s="487"/>
      <c r="C1497" s="487"/>
      <c r="D1497" s="487"/>
      <c r="I1497" s="487"/>
      <c r="J1497" s="487"/>
      <c r="K1497" s="487"/>
      <c r="L1497" s="487"/>
      <c r="M1497" s="487"/>
      <c r="N1497" s="487"/>
      <c r="O1497" s="875"/>
      <c r="Q1497" s="704"/>
      <c r="R1497" s="1026"/>
      <c r="S1497" s="704"/>
      <c r="T1497" s="1026"/>
      <c r="AB1497" s="520"/>
      <c r="AC1497" s="520"/>
      <c r="AD1497" s="520"/>
      <c r="AE1497" s="520"/>
      <c r="AF1497" s="520"/>
      <c r="AG1497" s="520"/>
      <c r="AH1497" s="520"/>
      <c r="AI1497" s="520"/>
      <c r="AJ1497" s="520"/>
      <c r="AK1497" s="520"/>
      <c r="AL1497" s="520"/>
      <c r="AM1497" s="520"/>
      <c r="AN1497" s="520"/>
      <c r="AO1497" s="520"/>
      <c r="AP1497" s="520"/>
      <c r="AQ1497" s="520"/>
      <c r="AR1497" s="520"/>
      <c r="AS1497" s="520"/>
      <c r="AT1497" s="520"/>
      <c r="AU1497" s="520"/>
      <c r="AV1497" s="520"/>
      <c r="AY1497" s="507"/>
      <c r="BA1497" s="507"/>
      <c r="BJ1497" s="493"/>
      <c r="CU1497" s="488"/>
      <c r="CW1497" s="488"/>
      <c r="EV1497" s="821"/>
      <c r="EW1497" s="821"/>
    </row>
    <row r="1498" spans="1:153" s="757" customFormat="1" hidden="1">
      <c r="A1498" s="487"/>
      <c r="B1498" s="487"/>
      <c r="C1498" s="487"/>
      <c r="D1498" s="487"/>
      <c r="I1498" s="487"/>
      <c r="J1498" s="487"/>
      <c r="K1498" s="487"/>
      <c r="L1498" s="487"/>
      <c r="M1498" s="487"/>
      <c r="N1498" s="487"/>
      <c r="O1498" s="875"/>
      <c r="Q1498" s="704"/>
      <c r="R1498" s="1026"/>
      <c r="S1498" s="704"/>
      <c r="T1498" s="1026"/>
      <c r="AB1498" s="520"/>
      <c r="AC1498" s="520"/>
      <c r="AD1498" s="520"/>
      <c r="AE1498" s="520"/>
      <c r="AF1498" s="520"/>
      <c r="AG1498" s="520"/>
      <c r="AH1498" s="520"/>
      <c r="AI1498" s="520"/>
      <c r="AJ1498" s="520"/>
      <c r="AK1498" s="520"/>
      <c r="AL1498" s="520"/>
      <c r="AM1498" s="520"/>
      <c r="AN1498" s="520"/>
      <c r="AO1498" s="520"/>
      <c r="AP1498" s="520"/>
      <c r="AQ1498" s="520"/>
      <c r="AR1498" s="520"/>
      <c r="AS1498" s="520"/>
      <c r="AT1498" s="520"/>
      <c r="AU1498" s="520"/>
      <c r="AV1498" s="520"/>
      <c r="AY1498" s="507"/>
      <c r="BA1498" s="507"/>
      <c r="BJ1498" s="493"/>
      <c r="CU1498" s="488"/>
      <c r="CW1498" s="488"/>
      <c r="EV1498" s="821"/>
      <c r="EW1498" s="821"/>
    </row>
    <row r="1499" spans="1:153" s="757" customFormat="1" hidden="1">
      <c r="A1499" s="487"/>
      <c r="B1499" s="487"/>
      <c r="C1499" s="487"/>
      <c r="D1499" s="487"/>
      <c r="I1499" s="487"/>
      <c r="J1499" s="487"/>
      <c r="K1499" s="487"/>
      <c r="L1499" s="487"/>
      <c r="M1499" s="487"/>
      <c r="N1499" s="487"/>
      <c r="O1499" s="875"/>
      <c r="Q1499" s="704"/>
      <c r="R1499" s="1026"/>
      <c r="S1499" s="704"/>
      <c r="T1499" s="1026"/>
      <c r="AB1499" s="520"/>
      <c r="AC1499" s="520"/>
      <c r="AD1499" s="520"/>
      <c r="AE1499" s="520"/>
      <c r="AF1499" s="520"/>
      <c r="AG1499" s="520"/>
      <c r="AH1499" s="520"/>
      <c r="AI1499" s="520"/>
      <c r="AJ1499" s="520"/>
      <c r="AK1499" s="520"/>
      <c r="AL1499" s="520"/>
      <c r="AM1499" s="520"/>
      <c r="AN1499" s="520"/>
      <c r="AO1499" s="520"/>
      <c r="AP1499" s="520"/>
      <c r="AQ1499" s="520"/>
      <c r="AR1499" s="520"/>
      <c r="AS1499" s="520"/>
      <c r="AT1499" s="520"/>
      <c r="AU1499" s="520"/>
      <c r="AV1499" s="520"/>
      <c r="AY1499" s="507"/>
      <c r="BA1499" s="507"/>
      <c r="BJ1499" s="493"/>
      <c r="CU1499" s="488"/>
      <c r="CW1499" s="488"/>
      <c r="EV1499" s="821"/>
      <c r="EW1499" s="821"/>
    </row>
    <row r="1500" spans="1:153" s="757" customFormat="1" hidden="1">
      <c r="A1500" s="487"/>
      <c r="B1500" s="487"/>
      <c r="C1500" s="487"/>
      <c r="D1500" s="487"/>
      <c r="I1500" s="487"/>
      <c r="J1500" s="487"/>
      <c r="K1500" s="487"/>
      <c r="L1500" s="487"/>
      <c r="M1500" s="487"/>
      <c r="N1500" s="487"/>
      <c r="O1500" s="875"/>
      <c r="Q1500" s="704"/>
      <c r="R1500" s="1026"/>
      <c r="S1500" s="704"/>
      <c r="T1500" s="1026"/>
      <c r="AB1500" s="520"/>
      <c r="AC1500" s="520"/>
      <c r="AD1500" s="520"/>
      <c r="AE1500" s="520"/>
      <c r="AF1500" s="520"/>
      <c r="AG1500" s="520"/>
      <c r="AH1500" s="520"/>
      <c r="AI1500" s="520"/>
      <c r="AJ1500" s="520"/>
      <c r="AK1500" s="520"/>
      <c r="AL1500" s="520"/>
      <c r="AM1500" s="520"/>
      <c r="AN1500" s="520"/>
      <c r="AO1500" s="520"/>
      <c r="AP1500" s="520"/>
      <c r="AQ1500" s="520"/>
      <c r="AR1500" s="520"/>
      <c r="AS1500" s="520"/>
      <c r="AT1500" s="520"/>
      <c r="AU1500" s="520"/>
      <c r="AV1500" s="520"/>
      <c r="AY1500" s="507"/>
      <c r="BA1500" s="507"/>
      <c r="BJ1500" s="493"/>
      <c r="CU1500" s="488"/>
      <c r="CW1500" s="488"/>
      <c r="EV1500" s="821"/>
      <c r="EW1500" s="821"/>
    </row>
    <row r="1501" spans="1:153" s="757" customFormat="1" hidden="1">
      <c r="A1501" s="487"/>
      <c r="B1501" s="487"/>
      <c r="C1501" s="487"/>
      <c r="D1501" s="487"/>
      <c r="I1501" s="487"/>
      <c r="J1501" s="487"/>
      <c r="K1501" s="487"/>
      <c r="L1501" s="487"/>
      <c r="M1501" s="487"/>
      <c r="N1501" s="487"/>
      <c r="O1501" s="875"/>
      <c r="Q1501" s="704"/>
      <c r="R1501" s="1026"/>
      <c r="S1501" s="704"/>
      <c r="T1501" s="1026"/>
      <c r="AB1501" s="520"/>
      <c r="AC1501" s="520"/>
      <c r="AD1501" s="520"/>
      <c r="AE1501" s="520"/>
      <c r="AF1501" s="520"/>
      <c r="AG1501" s="520"/>
      <c r="AH1501" s="520"/>
      <c r="AI1501" s="520"/>
      <c r="AJ1501" s="520"/>
      <c r="AK1501" s="520"/>
      <c r="AL1501" s="520"/>
      <c r="AM1501" s="520"/>
      <c r="AN1501" s="520"/>
      <c r="AO1501" s="520"/>
      <c r="AP1501" s="520"/>
      <c r="AQ1501" s="520"/>
      <c r="AR1501" s="520"/>
      <c r="AS1501" s="520"/>
      <c r="AT1501" s="520"/>
      <c r="AU1501" s="520"/>
      <c r="AV1501" s="520"/>
      <c r="AY1501" s="507"/>
      <c r="BA1501" s="507"/>
      <c r="BJ1501" s="493"/>
      <c r="CU1501" s="488"/>
      <c r="CW1501" s="488"/>
      <c r="EV1501" s="821"/>
      <c r="EW1501" s="821"/>
    </row>
    <row r="1502" spans="1:153" s="757" customFormat="1" hidden="1">
      <c r="A1502" s="487"/>
      <c r="B1502" s="487"/>
      <c r="C1502" s="487"/>
      <c r="D1502" s="487"/>
      <c r="I1502" s="487"/>
      <c r="J1502" s="487"/>
      <c r="K1502" s="487"/>
      <c r="L1502" s="487"/>
      <c r="M1502" s="487"/>
      <c r="N1502" s="487"/>
      <c r="O1502" s="875"/>
      <c r="Q1502" s="704"/>
      <c r="R1502" s="1026"/>
      <c r="S1502" s="704"/>
      <c r="T1502" s="1026"/>
      <c r="AB1502" s="520"/>
      <c r="AC1502" s="520"/>
      <c r="AD1502" s="520"/>
      <c r="AE1502" s="520"/>
      <c r="AF1502" s="520"/>
      <c r="AG1502" s="520"/>
      <c r="AH1502" s="520"/>
      <c r="AI1502" s="520"/>
      <c r="AJ1502" s="520"/>
      <c r="AK1502" s="520"/>
      <c r="AL1502" s="520"/>
      <c r="AM1502" s="520"/>
      <c r="AN1502" s="520"/>
      <c r="AO1502" s="520"/>
      <c r="AP1502" s="520"/>
      <c r="AQ1502" s="520"/>
      <c r="AR1502" s="520"/>
      <c r="AS1502" s="520"/>
      <c r="AT1502" s="520"/>
      <c r="AU1502" s="520"/>
      <c r="AV1502" s="520"/>
      <c r="AY1502" s="507"/>
      <c r="BA1502" s="507"/>
      <c r="BJ1502" s="493"/>
      <c r="CU1502" s="488"/>
      <c r="CW1502" s="488"/>
      <c r="EV1502" s="821"/>
      <c r="EW1502" s="821"/>
    </row>
    <row r="1503" spans="1:153" s="757" customFormat="1" hidden="1">
      <c r="A1503" s="487"/>
      <c r="B1503" s="487"/>
      <c r="C1503" s="487"/>
      <c r="D1503" s="487"/>
      <c r="I1503" s="487"/>
      <c r="J1503" s="487"/>
      <c r="K1503" s="487"/>
      <c r="L1503" s="487"/>
      <c r="M1503" s="487"/>
      <c r="N1503" s="487"/>
      <c r="O1503" s="875"/>
      <c r="Q1503" s="704"/>
      <c r="R1503" s="1026"/>
      <c r="S1503" s="704"/>
      <c r="T1503" s="1026"/>
      <c r="AB1503" s="520"/>
      <c r="AC1503" s="520"/>
      <c r="AD1503" s="520"/>
      <c r="AE1503" s="520"/>
      <c r="AF1503" s="520"/>
      <c r="AG1503" s="520"/>
      <c r="AH1503" s="520"/>
      <c r="AI1503" s="520"/>
      <c r="AJ1503" s="520"/>
      <c r="AK1503" s="520"/>
      <c r="AL1503" s="520"/>
      <c r="AM1503" s="520"/>
      <c r="AN1503" s="520"/>
      <c r="AO1503" s="520"/>
      <c r="AP1503" s="520"/>
      <c r="AQ1503" s="520"/>
      <c r="AR1503" s="520"/>
      <c r="AS1503" s="520"/>
      <c r="AT1503" s="520"/>
      <c r="AU1503" s="520"/>
      <c r="AV1503" s="520"/>
      <c r="AY1503" s="507"/>
      <c r="BA1503" s="507"/>
      <c r="BJ1503" s="493"/>
      <c r="CU1503" s="488"/>
      <c r="CW1503" s="488"/>
      <c r="EV1503" s="821"/>
      <c r="EW1503" s="821"/>
    </row>
    <row r="1504" spans="1:153" s="757" customFormat="1" hidden="1">
      <c r="A1504" s="487"/>
      <c r="B1504" s="487"/>
      <c r="C1504" s="487"/>
      <c r="D1504" s="487"/>
      <c r="I1504" s="487"/>
      <c r="J1504" s="487"/>
      <c r="K1504" s="487"/>
      <c r="L1504" s="487"/>
      <c r="M1504" s="487"/>
      <c r="N1504" s="487"/>
      <c r="O1504" s="875"/>
      <c r="Q1504" s="704"/>
      <c r="R1504" s="1026"/>
      <c r="S1504" s="704"/>
      <c r="T1504" s="1026"/>
      <c r="AB1504" s="520"/>
      <c r="AC1504" s="520"/>
      <c r="AD1504" s="520"/>
      <c r="AE1504" s="520"/>
      <c r="AF1504" s="520"/>
      <c r="AG1504" s="520"/>
      <c r="AH1504" s="520"/>
      <c r="AI1504" s="520"/>
      <c r="AJ1504" s="520"/>
      <c r="AK1504" s="520"/>
      <c r="AL1504" s="520"/>
      <c r="AM1504" s="520"/>
      <c r="AN1504" s="520"/>
      <c r="AO1504" s="520"/>
      <c r="AP1504" s="520"/>
      <c r="AQ1504" s="520"/>
      <c r="AR1504" s="520"/>
      <c r="AS1504" s="520"/>
      <c r="AT1504" s="520"/>
      <c r="AU1504" s="520"/>
      <c r="AV1504" s="520"/>
      <c r="AY1504" s="507"/>
      <c r="BA1504" s="507"/>
      <c r="BJ1504" s="493"/>
      <c r="CU1504" s="488"/>
      <c r="CW1504" s="488"/>
      <c r="EV1504" s="821"/>
      <c r="EW1504" s="821"/>
    </row>
    <row r="1505" spans="1:153" s="757" customFormat="1" hidden="1">
      <c r="A1505" s="487"/>
      <c r="B1505" s="487"/>
      <c r="C1505" s="487"/>
      <c r="D1505" s="487"/>
      <c r="I1505" s="487"/>
      <c r="J1505" s="487"/>
      <c r="K1505" s="487"/>
      <c r="L1505" s="487"/>
      <c r="M1505" s="487"/>
      <c r="N1505" s="487"/>
      <c r="O1505" s="875"/>
      <c r="Q1505" s="704"/>
      <c r="R1505" s="1026"/>
      <c r="S1505" s="704"/>
      <c r="T1505" s="1026"/>
      <c r="AB1505" s="520"/>
      <c r="AC1505" s="520"/>
      <c r="AD1505" s="520"/>
      <c r="AE1505" s="520"/>
      <c r="AF1505" s="520"/>
      <c r="AG1505" s="520"/>
      <c r="AH1505" s="520"/>
      <c r="AI1505" s="520"/>
      <c r="AJ1505" s="520"/>
      <c r="AK1505" s="520"/>
      <c r="AL1505" s="520"/>
      <c r="AM1505" s="520"/>
      <c r="AN1505" s="520"/>
      <c r="AO1505" s="520"/>
      <c r="AP1505" s="520"/>
      <c r="AQ1505" s="520"/>
      <c r="AR1505" s="520"/>
      <c r="AS1505" s="520"/>
      <c r="AT1505" s="520"/>
      <c r="AU1505" s="520"/>
      <c r="AV1505" s="520"/>
      <c r="AY1505" s="507"/>
      <c r="BA1505" s="507"/>
      <c r="BJ1505" s="493"/>
      <c r="CU1505" s="488"/>
      <c r="CW1505" s="488"/>
      <c r="EV1505" s="821"/>
      <c r="EW1505" s="821"/>
    </row>
    <row r="1506" spans="1:153" s="757" customFormat="1" hidden="1">
      <c r="A1506" s="487"/>
      <c r="B1506" s="487"/>
      <c r="C1506" s="487"/>
      <c r="D1506" s="487"/>
      <c r="I1506" s="487"/>
      <c r="J1506" s="487"/>
      <c r="K1506" s="487"/>
      <c r="L1506" s="487"/>
      <c r="M1506" s="487"/>
      <c r="N1506" s="487"/>
      <c r="O1506" s="875"/>
      <c r="Q1506" s="704"/>
      <c r="R1506" s="1026"/>
      <c r="S1506" s="704"/>
      <c r="T1506" s="1026"/>
      <c r="AB1506" s="520"/>
      <c r="AC1506" s="520"/>
      <c r="AD1506" s="520"/>
      <c r="AE1506" s="520"/>
      <c r="AF1506" s="520"/>
      <c r="AG1506" s="520"/>
      <c r="AH1506" s="520"/>
      <c r="AI1506" s="520"/>
      <c r="AJ1506" s="520"/>
      <c r="AK1506" s="520"/>
      <c r="AL1506" s="520"/>
      <c r="AM1506" s="520"/>
      <c r="AN1506" s="520"/>
      <c r="AO1506" s="520"/>
      <c r="AP1506" s="520"/>
      <c r="AQ1506" s="520"/>
      <c r="AR1506" s="520"/>
      <c r="AS1506" s="520"/>
      <c r="AT1506" s="520"/>
      <c r="AU1506" s="520"/>
      <c r="AV1506" s="520"/>
      <c r="AY1506" s="507"/>
      <c r="BA1506" s="507"/>
      <c r="BJ1506" s="493"/>
      <c r="CU1506" s="488"/>
      <c r="CW1506" s="488"/>
      <c r="EV1506" s="821"/>
      <c r="EW1506" s="821"/>
    </row>
    <row r="1507" spans="1:153" s="757" customFormat="1" hidden="1">
      <c r="A1507" s="487"/>
      <c r="B1507" s="487"/>
      <c r="C1507" s="487"/>
      <c r="D1507" s="487"/>
      <c r="I1507" s="487"/>
      <c r="J1507" s="487"/>
      <c r="K1507" s="487"/>
      <c r="L1507" s="487"/>
      <c r="M1507" s="487"/>
      <c r="N1507" s="487"/>
      <c r="O1507" s="875"/>
      <c r="Q1507" s="704"/>
      <c r="R1507" s="1026"/>
      <c r="S1507" s="704"/>
      <c r="T1507" s="1026"/>
      <c r="AB1507" s="520"/>
      <c r="AC1507" s="520"/>
      <c r="AD1507" s="520"/>
      <c r="AE1507" s="520"/>
      <c r="AF1507" s="520"/>
      <c r="AG1507" s="520"/>
      <c r="AH1507" s="520"/>
      <c r="AI1507" s="520"/>
      <c r="AJ1507" s="520"/>
      <c r="AK1507" s="520"/>
      <c r="AL1507" s="520"/>
      <c r="AM1507" s="520"/>
      <c r="AN1507" s="520"/>
      <c r="AO1507" s="520"/>
      <c r="AP1507" s="520"/>
      <c r="AQ1507" s="520"/>
      <c r="AR1507" s="520"/>
      <c r="AS1507" s="520"/>
      <c r="AT1507" s="520"/>
      <c r="AU1507" s="520"/>
      <c r="AV1507" s="520"/>
      <c r="AY1507" s="507"/>
      <c r="BA1507" s="507"/>
      <c r="BJ1507" s="493"/>
      <c r="CU1507" s="488"/>
      <c r="CW1507" s="488"/>
      <c r="EV1507" s="821"/>
      <c r="EW1507" s="821"/>
    </row>
    <row r="1508" spans="1:153" s="757" customFormat="1" hidden="1">
      <c r="A1508" s="487"/>
      <c r="B1508" s="487"/>
      <c r="C1508" s="487"/>
      <c r="D1508" s="487"/>
      <c r="I1508" s="487"/>
      <c r="J1508" s="487"/>
      <c r="K1508" s="487"/>
      <c r="L1508" s="487"/>
      <c r="M1508" s="487"/>
      <c r="N1508" s="487"/>
      <c r="O1508" s="875"/>
      <c r="Q1508" s="704"/>
      <c r="R1508" s="1026"/>
      <c r="S1508" s="704"/>
      <c r="T1508" s="1026"/>
      <c r="AB1508" s="520"/>
      <c r="AC1508" s="520"/>
      <c r="AD1508" s="520"/>
      <c r="AE1508" s="520"/>
      <c r="AF1508" s="520"/>
      <c r="AG1508" s="520"/>
      <c r="AH1508" s="520"/>
      <c r="AI1508" s="520"/>
      <c r="AJ1508" s="520"/>
      <c r="AK1508" s="520"/>
      <c r="AL1508" s="520"/>
      <c r="AM1508" s="520"/>
      <c r="AN1508" s="520"/>
      <c r="AO1508" s="520"/>
      <c r="AP1508" s="520"/>
      <c r="AQ1508" s="520"/>
      <c r="AR1508" s="520"/>
      <c r="AS1508" s="520"/>
      <c r="AT1508" s="520"/>
      <c r="AU1508" s="520"/>
      <c r="AV1508" s="520"/>
      <c r="AY1508" s="507"/>
      <c r="BA1508" s="507"/>
      <c r="BJ1508" s="493"/>
      <c r="CU1508" s="488"/>
      <c r="CW1508" s="488"/>
      <c r="EV1508" s="821"/>
      <c r="EW1508" s="821"/>
    </row>
    <row r="1509" spans="1:153" s="757" customFormat="1" hidden="1">
      <c r="A1509" s="487"/>
      <c r="B1509" s="487"/>
      <c r="C1509" s="487"/>
      <c r="D1509" s="487"/>
      <c r="I1509" s="487"/>
      <c r="J1509" s="487"/>
      <c r="K1509" s="487"/>
      <c r="L1509" s="487"/>
      <c r="M1509" s="487"/>
      <c r="N1509" s="487"/>
      <c r="O1509" s="875"/>
      <c r="Q1509" s="704"/>
      <c r="R1509" s="1026"/>
      <c r="S1509" s="704"/>
      <c r="T1509" s="1026"/>
      <c r="AB1509" s="520"/>
      <c r="AC1509" s="520"/>
      <c r="AD1509" s="520"/>
      <c r="AE1509" s="520"/>
      <c r="AF1509" s="520"/>
      <c r="AG1509" s="520"/>
      <c r="AH1509" s="520"/>
      <c r="AI1509" s="520"/>
      <c r="AJ1509" s="520"/>
      <c r="AK1509" s="520"/>
      <c r="AL1509" s="520"/>
      <c r="AM1509" s="520"/>
      <c r="AN1509" s="520"/>
      <c r="AO1509" s="520"/>
      <c r="AP1509" s="520"/>
      <c r="AQ1509" s="520"/>
      <c r="AR1509" s="520"/>
      <c r="AS1509" s="520"/>
      <c r="AT1509" s="520"/>
      <c r="AU1509" s="520"/>
      <c r="AV1509" s="520"/>
      <c r="AY1509" s="507"/>
      <c r="BA1509" s="507"/>
      <c r="BJ1509" s="493"/>
      <c r="CU1509" s="488"/>
      <c r="CW1509" s="488"/>
      <c r="EV1509" s="821"/>
      <c r="EW1509" s="821"/>
    </row>
    <row r="1510" spans="1:153" s="757" customFormat="1" hidden="1">
      <c r="A1510" s="487"/>
      <c r="B1510" s="487"/>
      <c r="C1510" s="487"/>
      <c r="D1510" s="487"/>
      <c r="I1510" s="487"/>
      <c r="J1510" s="487"/>
      <c r="K1510" s="487"/>
      <c r="L1510" s="487"/>
      <c r="M1510" s="487"/>
      <c r="N1510" s="487"/>
      <c r="O1510" s="875"/>
      <c r="Q1510" s="704"/>
      <c r="R1510" s="1026"/>
      <c r="S1510" s="704"/>
      <c r="T1510" s="1026"/>
      <c r="AB1510" s="520"/>
      <c r="AC1510" s="520"/>
      <c r="AD1510" s="520"/>
      <c r="AE1510" s="520"/>
      <c r="AF1510" s="520"/>
      <c r="AG1510" s="520"/>
      <c r="AH1510" s="520"/>
      <c r="AI1510" s="520"/>
      <c r="AJ1510" s="520"/>
      <c r="AK1510" s="520"/>
      <c r="AL1510" s="520"/>
      <c r="AM1510" s="520"/>
      <c r="AN1510" s="520"/>
      <c r="AO1510" s="520"/>
      <c r="AP1510" s="520"/>
      <c r="AQ1510" s="520"/>
      <c r="AR1510" s="520"/>
      <c r="AS1510" s="520"/>
      <c r="AT1510" s="520"/>
      <c r="AU1510" s="520"/>
      <c r="AV1510" s="520"/>
      <c r="AY1510" s="507"/>
      <c r="BA1510" s="507"/>
      <c r="BJ1510" s="493"/>
      <c r="CU1510" s="488"/>
      <c r="CW1510" s="488"/>
      <c r="EV1510" s="821"/>
      <c r="EW1510" s="821"/>
    </row>
    <row r="1511" spans="1:153" s="757" customFormat="1" hidden="1">
      <c r="A1511" s="487"/>
      <c r="B1511" s="487"/>
      <c r="C1511" s="487"/>
      <c r="D1511" s="487"/>
      <c r="I1511" s="487"/>
      <c r="J1511" s="487"/>
      <c r="K1511" s="487"/>
      <c r="L1511" s="487"/>
      <c r="M1511" s="487"/>
      <c r="N1511" s="487"/>
      <c r="O1511" s="875"/>
      <c r="Q1511" s="704"/>
      <c r="R1511" s="1026"/>
      <c r="S1511" s="704"/>
      <c r="T1511" s="1026"/>
      <c r="AB1511" s="520"/>
      <c r="AC1511" s="520"/>
      <c r="AD1511" s="520"/>
      <c r="AE1511" s="520"/>
      <c r="AF1511" s="520"/>
      <c r="AG1511" s="520"/>
      <c r="AH1511" s="520"/>
      <c r="AI1511" s="520"/>
      <c r="AJ1511" s="520"/>
      <c r="AK1511" s="520"/>
      <c r="AL1511" s="520"/>
      <c r="AM1511" s="520"/>
      <c r="AN1511" s="520"/>
      <c r="AO1511" s="520"/>
      <c r="AP1511" s="520"/>
      <c r="AQ1511" s="520"/>
      <c r="AR1511" s="520"/>
      <c r="AS1511" s="520"/>
      <c r="AT1511" s="520"/>
      <c r="AU1511" s="520"/>
      <c r="AV1511" s="520"/>
      <c r="AY1511" s="507"/>
      <c r="BA1511" s="507"/>
      <c r="BJ1511" s="493"/>
      <c r="CU1511" s="488"/>
      <c r="CW1511" s="488"/>
      <c r="EV1511" s="821"/>
      <c r="EW1511" s="821"/>
    </row>
    <row r="1512" spans="1:153" s="757" customFormat="1" hidden="1">
      <c r="A1512" s="487"/>
      <c r="B1512" s="487"/>
      <c r="C1512" s="487"/>
      <c r="D1512" s="487"/>
      <c r="I1512" s="487"/>
      <c r="J1512" s="487"/>
      <c r="K1512" s="487"/>
      <c r="L1512" s="487"/>
      <c r="M1512" s="487"/>
      <c r="N1512" s="487"/>
      <c r="O1512" s="875"/>
      <c r="Q1512" s="704"/>
      <c r="R1512" s="1026"/>
      <c r="S1512" s="704"/>
      <c r="T1512" s="1026"/>
      <c r="AB1512" s="520"/>
      <c r="AC1512" s="520"/>
      <c r="AD1512" s="520"/>
      <c r="AE1512" s="520"/>
      <c r="AF1512" s="520"/>
      <c r="AG1512" s="520"/>
      <c r="AH1512" s="520"/>
      <c r="AI1512" s="520"/>
      <c r="AJ1512" s="520"/>
      <c r="AK1512" s="520"/>
      <c r="AL1512" s="520"/>
      <c r="AM1512" s="520"/>
      <c r="AN1512" s="520"/>
      <c r="AO1512" s="520"/>
      <c r="AP1512" s="520"/>
      <c r="AQ1512" s="520"/>
      <c r="AR1512" s="520"/>
      <c r="AS1512" s="520"/>
      <c r="AT1512" s="520"/>
      <c r="AU1512" s="520"/>
      <c r="AV1512" s="520"/>
      <c r="AY1512" s="507"/>
      <c r="BA1512" s="507"/>
      <c r="BJ1512" s="493"/>
      <c r="CU1512" s="488"/>
      <c r="CW1512" s="488"/>
      <c r="EV1512" s="821"/>
      <c r="EW1512" s="821"/>
    </row>
    <row r="1513" spans="1:153" s="757" customFormat="1" hidden="1">
      <c r="A1513" s="487"/>
      <c r="B1513" s="487"/>
      <c r="C1513" s="487"/>
      <c r="D1513" s="487"/>
      <c r="I1513" s="487"/>
      <c r="J1513" s="487"/>
      <c r="K1513" s="487"/>
      <c r="L1513" s="487"/>
      <c r="M1513" s="487"/>
      <c r="N1513" s="487"/>
      <c r="O1513" s="875"/>
      <c r="Q1513" s="704"/>
      <c r="R1513" s="1026"/>
      <c r="S1513" s="704"/>
      <c r="T1513" s="1026"/>
      <c r="AB1513" s="520"/>
      <c r="AC1513" s="520"/>
      <c r="AD1513" s="520"/>
      <c r="AE1513" s="520"/>
      <c r="AF1513" s="520"/>
      <c r="AG1513" s="520"/>
      <c r="AH1513" s="520"/>
      <c r="AI1513" s="520"/>
      <c r="AJ1513" s="520"/>
      <c r="AK1513" s="520"/>
      <c r="AL1513" s="520"/>
      <c r="AM1513" s="520"/>
      <c r="AN1513" s="520"/>
      <c r="AO1513" s="520"/>
      <c r="AP1513" s="520"/>
      <c r="AQ1513" s="520"/>
      <c r="AR1513" s="520"/>
      <c r="AS1513" s="520"/>
      <c r="AT1513" s="520"/>
      <c r="AU1513" s="520"/>
      <c r="AV1513" s="520"/>
      <c r="AY1513" s="507"/>
      <c r="BA1513" s="507"/>
      <c r="BJ1513" s="493"/>
      <c r="CU1513" s="488"/>
      <c r="CW1513" s="488"/>
      <c r="EV1513" s="821"/>
      <c r="EW1513" s="821"/>
    </row>
    <row r="1514" spans="1:153" s="757" customFormat="1" hidden="1">
      <c r="A1514" s="487"/>
      <c r="B1514" s="487"/>
      <c r="C1514" s="487"/>
      <c r="D1514" s="487"/>
      <c r="I1514" s="487"/>
      <c r="J1514" s="487"/>
      <c r="K1514" s="487"/>
      <c r="L1514" s="487"/>
      <c r="M1514" s="487"/>
      <c r="N1514" s="487"/>
      <c r="O1514" s="875"/>
      <c r="Q1514" s="704"/>
      <c r="R1514" s="1026"/>
      <c r="S1514" s="704"/>
      <c r="T1514" s="1026"/>
      <c r="AB1514" s="520"/>
      <c r="AC1514" s="520"/>
      <c r="AD1514" s="520"/>
      <c r="AE1514" s="520"/>
      <c r="AF1514" s="520"/>
      <c r="AG1514" s="520"/>
      <c r="AH1514" s="520"/>
      <c r="AI1514" s="520"/>
      <c r="AJ1514" s="520"/>
      <c r="AK1514" s="520"/>
      <c r="AL1514" s="520"/>
      <c r="AM1514" s="520"/>
      <c r="AN1514" s="520"/>
      <c r="AO1514" s="520"/>
      <c r="AP1514" s="520"/>
      <c r="AQ1514" s="520"/>
      <c r="AR1514" s="520"/>
      <c r="AS1514" s="520"/>
      <c r="AT1514" s="520"/>
      <c r="AU1514" s="520"/>
      <c r="AV1514" s="520"/>
      <c r="AY1514" s="507"/>
      <c r="BA1514" s="507"/>
      <c r="BJ1514" s="493"/>
      <c r="CU1514" s="488"/>
      <c r="CW1514" s="488"/>
      <c r="EV1514" s="821"/>
      <c r="EW1514" s="821"/>
    </row>
    <row r="1515" spans="1:153" s="757" customFormat="1" hidden="1">
      <c r="A1515" s="487"/>
      <c r="B1515" s="487"/>
      <c r="C1515" s="487"/>
      <c r="D1515" s="487"/>
      <c r="I1515" s="487"/>
      <c r="J1515" s="487"/>
      <c r="K1515" s="487"/>
      <c r="L1515" s="487"/>
      <c r="M1515" s="487"/>
      <c r="N1515" s="487"/>
      <c r="O1515" s="875"/>
      <c r="Q1515" s="704"/>
      <c r="R1515" s="1026"/>
      <c r="S1515" s="704"/>
      <c r="T1515" s="1026"/>
      <c r="AB1515" s="520"/>
      <c r="AC1515" s="520"/>
      <c r="AD1515" s="520"/>
      <c r="AE1515" s="520"/>
      <c r="AF1515" s="520"/>
      <c r="AG1515" s="520"/>
      <c r="AH1515" s="520"/>
      <c r="AI1515" s="520"/>
      <c r="AJ1515" s="520"/>
      <c r="AK1515" s="520"/>
      <c r="AL1515" s="520"/>
      <c r="AM1515" s="520"/>
      <c r="AN1515" s="520"/>
      <c r="AO1515" s="520"/>
      <c r="AP1515" s="520"/>
      <c r="AQ1515" s="520"/>
      <c r="AR1515" s="520"/>
      <c r="AS1515" s="520"/>
      <c r="AT1515" s="520"/>
      <c r="AU1515" s="520"/>
      <c r="AV1515" s="520"/>
      <c r="AY1515" s="507"/>
      <c r="BA1515" s="507"/>
      <c r="BJ1515" s="493"/>
      <c r="CU1515" s="488"/>
      <c r="CW1515" s="488"/>
      <c r="EV1515" s="821"/>
      <c r="EW1515" s="821"/>
    </row>
    <row r="1516" spans="1:153" s="757" customFormat="1" hidden="1">
      <c r="A1516" s="487"/>
      <c r="B1516" s="487"/>
      <c r="C1516" s="487"/>
      <c r="D1516" s="487"/>
      <c r="I1516" s="487"/>
      <c r="J1516" s="487"/>
      <c r="K1516" s="487"/>
      <c r="L1516" s="487"/>
      <c r="M1516" s="487"/>
      <c r="N1516" s="487"/>
      <c r="O1516" s="875"/>
      <c r="Q1516" s="704"/>
      <c r="R1516" s="1026"/>
      <c r="S1516" s="704"/>
      <c r="T1516" s="1026"/>
      <c r="AB1516" s="520"/>
      <c r="AC1516" s="520"/>
      <c r="AD1516" s="520"/>
      <c r="AE1516" s="520"/>
      <c r="AF1516" s="520"/>
      <c r="AG1516" s="520"/>
      <c r="AH1516" s="520"/>
      <c r="AI1516" s="520"/>
      <c r="AJ1516" s="520"/>
      <c r="AK1516" s="520"/>
      <c r="AL1516" s="520"/>
      <c r="AM1516" s="520"/>
      <c r="AN1516" s="520"/>
      <c r="AO1516" s="520"/>
      <c r="AP1516" s="520"/>
      <c r="AQ1516" s="520"/>
      <c r="AR1516" s="520"/>
      <c r="AS1516" s="520"/>
      <c r="AT1516" s="520"/>
      <c r="AU1516" s="520"/>
      <c r="AV1516" s="520"/>
      <c r="AY1516" s="507"/>
      <c r="BA1516" s="507"/>
      <c r="BJ1516" s="493"/>
      <c r="CU1516" s="488"/>
      <c r="CW1516" s="488"/>
      <c r="EV1516" s="821"/>
      <c r="EW1516" s="821"/>
    </row>
    <row r="1517" spans="1:153" s="757" customFormat="1" hidden="1">
      <c r="A1517" s="487"/>
      <c r="B1517" s="487"/>
      <c r="C1517" s="487"/>
      <c r="D1517" s="487"/>
      <c r="I1517" s="487"/>
      <c r="J1517" s="487"/>
      <c r="K1517" s="487"/>
      <c r="L1517" s="487"/>
      <c r="M1517" s="487"/>
      <c r="N1517" s="487"/>
      <c r="O1517" s="875"/>
      <c r="Q1517" s="704"/>
      <c r="R1517" s="1026"/>
      <c r="S1517" s="704"/>
      <c r="T1517" s="1026"/>
      <c r="AB1517" s="520"/>
      <c r="AC1517" s="520"/>
      <c r="AD1517" s="520"/>
      <c r="AE1517" s="520"/>
      <c r="AF1517" s="520"/>
      <c r="AG1517" s="520"/>
      <c r="AH1517" s="520"/>
      <c r="AI1517" s="520"/>
      <c r="AJ1517" s="520"/>
      <c r="AK1517" s="520"/>
      <c r="AL1517" s="520"/>
      <c r="AM1517" s="520"/>
      <c r="AN1517" s="520"/>
      <c r="AO1517" s="520"/>
      <c r="AP1517" s="520"/>
      <c r="AQ1517" s="520"/>
      <c r="AR1517" s="520"/>
      <c r="AS1517" s="520"/>
      <c r="AT1517" s="520"/>
      <c r="AU1517" s="520"/>
      <c r="AV1517" s="520"/>
      <c r="AY1517" s="507"/>
      <c r="BA1517" s="507"/>
      <c r="BJ1517" s="493"/>
      <c r="CU1517" s="488"/>
      <c r="CW1517" s="488"/>
      <c r="EV1517" s="821"/>
      <c r="EW1517" s="821"/>
    </row>
    <row r="1518" spans="1:153" s="757" customFormat="1" hidden="1">
      <c r="A1518" s="487"/>
      <c r="B1518" s="487"/>
      <c r="C1518" s="487"/>
      <c r="D1518" s="487"/>
      <c r="I1518" s="487"/>
      <c r="J1518" s="487"/>
      <c r="K1518" s="487"/>
      <c r="L1518" s="487"/>
      <c r="M1518" s="487"/>
      <c r="N1518" s="487"/>
      <c r="O1518" s="875"/>
      <c r="Q1518" s="704"/>
      <c r="R1518" s="1026"/>
      <c r="S1518" s="704"/>
      <c r="T1518" s="1026"/>
      <c r="AB1518" s="520"/>
      <c r="AC1518" s="520"/>
      <c r="AD1518" s="520"/>
      <c r="AE1518" s="520"/>
      <c r="AF1518" s="520"/>
      <c r="AG1518" s="520"/>
      <c r="AH1518" s="520"/>
      <c r="AI1518" s="520"/>
      <c r="AJ1518" s="520"/>
      <c r="AK1518" s="520"/>
      <c r="AL1518" s="520"/>
      <c r="AM1518" s="520"/>
      <c r="AN1518" s="520"/>
      <c r="AO1518" s="520"/>
      <c r="AP1518" s="520"/>
      <c r="AQ1518" s="520"/>
      <c r="AR1518" s="520"/>
      <c r="AS1518" s="520"/>
      <c r="AT1518" s="520"/>
      <c r="AU1518" s="520"/>
      <c r="AV1518" s="520"/>
      <c r="AY1518" s="507"/>
      <c r="BA1518" s="507"/>
      <c r="BJ1518" s="493"/>
      <c r="CU1518" s="488"/>
      <c r="CW1518" s="488"/>
      <c r="EV1518" s="821"/>
      <c r="EW1518" s="821"/>
    </row>
    <row r="1519" spans="1:153" s="757" customFormat="1" hidden="1">
      <c r="A1519" s="487"/>
      <c r="B1519" s="487"/>
      <c r="C1519" s="487"/>
      <c r="D1519" s="487"/>
      <c r="I1519" s="487"/>
      <c r="J1519" s="487"/>
      <c r="K1519" s="487"/>
      <c r="L1519" s="487"/>
      <c r="M1519" s="487"/>
      <c r="N1519" s="487"/>
      <c r="O1519" s="875"/>
      <c r="Q1519" s="704"/>
      <c r="R1519" s="1026"/>
      <c r="S1519" s="704"/>
      <c r="T1519" s="1026"/>
      <c r="AB1519" s="520"/>
      <c r="AC1519" s="520"/>
      <c r="AD1519" s="520"/>
      <c r="AE1519" s="520"/>
      <c r="AF1519" s="520"/>
      <c r="AG1519" s="520"/>
      <c r="AH1519" s="520"/>
      <c r="AI1519" s="520"/>
      <c r="AJ1519" s="520"/>
      <c r="AK1519" s="520"/>
      <c r="AL1519" s="520"/>
      <c r="AM1519" s="520"/>
      <c r="AN1519" s="520"/>
      <c r="AO1519" s="520"/>
      <c r="AP1519" s="520"/>
      <c r="AQ1519" s="520"/>
      <c r="AR1519" s="520"/>
      <c r="AS1519" s="520"/>
      <c r="AT1519" s="520"/>
      <c r="AU1519" s="520"/>
      <c r="AV1519" s="520"/>
      <c r="AY1519" s="507"/>
      <c r="BA1519" s="507"/>
      <c r="BJ1519" s="493"/>
      <c r="CU1519" s="488"/>
      <c r="CW1519" s="488"/>
      <c r="EV1519" s="821"/>
      <c r="EW1519" s="821"/>
    </row>
    <row r="1520" spans="1:153" s="757" customFormat="1" hidden="1">
      <c r="A1520" s="487"/>
      <c r="B1520" s="487"/>
      <c r="C1520" s="487"/>
      <c r="D1520" s="487"/>
      <c r="I1520" s="487"/>
      <c r="J1520" s="487"/>
      <c r="K1520" s="487"/>
      <c r="L1520" s="487"/>
      <c r="M1520" s="487"/>
      <c r="N1520" s="487"/>
      <c r="O1520" s="875"/>
      <c r="Q1520" s="704"/>
      <c r="R1520" s="1026"/>
      <c r="S1520" s="704"/>
      <c r="T1520" s="1026"/>
      <c r="AB1520" s="520"/>
      <c r="AC1520" s="520"/>
      <c r="AD1520" s="520"/>
      <c r="AE1520" s="520"/>
      <c r="AF1520" s="520"/>
      <c r="AG1520" s="520"/>
      <c r="AH1520" s="520"/>
      <c r="AI1520" s="520"/>
      <c r="AJ1520" s="520"/>
      <c r="AK1520" s="520"/>
      <c r="AL1520" s="520"/>
      <c r="AM1520" s="520"/>
      <c r="AN1520" s="520"/>
      <c r="AO1520" s="520"/>
      <c r="AP1520" s="520"/>
      <c r="AQ1520" s="520"/>
      <c r="AR1520" s="520"/>
      <c r="AS1520" s="520"/>
      <c r="AT1520" s="520"/>
      <c r="AU1520" s="520"/>
      <c r="AV1520" s="520"/>
      <c r="AY1520" s="507"/>
      <c r="BA1520" s="507"/>
      <c r="BJ1520" s="493"/>
      <c r="CU1520" s="488"/>
      <c r="CW1520" s="488"/>
      <c r="EV1520" s="821"/>
      <c r="EW1520" s="821"/>
    </row>
    <row r="1521" spans="1:153" s="757" customFormat="1" hidden="1">
      <c r="A1521" s="487"/>
      <c r="B1521" s="487"/>
      <c r="C1521" s="487"/>
      <c r="D1521" s="487"/>
      <c r="I1521" s="487"/>
      <c r="J1521" s="487"/>
      <c r="K1521" s="487"/>
      <c r="L1521" s="487"/>
      <c r="M1521" s="487"/>
      <c r="N1521" s="487"/>
      <c r="O1521" s="875"/>
      <c r="Q1521" s="704"/>
      <c r="R1521" s="1026"/>
      <c r="S1521" s="704"/>
      <c r="T1521" s="1026"/>
      <c r="AB1521" s="520"/>
      <c r="AC1521" s="520"/>
      <c r="AD1521" s="520"/>
      <c r="AE1521" s="520"/>
      <c r="AF1521" s="520"/>
      <c r="AG1521" s="520"/>
      <c r="AH1521" s="520"/>
      <c r="AI1521" s="520"/>
      <c r="AJ1521" s="520"/>
      <c r="AK1521" s="520"/>
      <c r="AL1521" s="520"/>
      <c r="AM1521" s="520"/>
      <c r="AN1521" s="520"/>
      <c r="AO1521" s="520"/>
      <c r="AP1521" s="520"/>
      <c r="AQ1521" s="520"/>
      <c r="AR1521" s="520"/>
      <c r="AS1521" s="520"/>
      <c r="AT1521" s="520"/>
      <c r="AU1521" s="520"/>
      <c r="AV1521" s="520"/>
      <c r="AY1521" s="507"/>
      <c r="BA1521" s="507"/>
      <c r="BJ1521" s="493"/>
      <c r="CU1521" s="488"/>
      <c r="CW1521" s="488"/>
      <c r="EV1521" s="821"/>
      <c r="EW1521" s="821"/>
    </row>
    <row r="1522" spans="1:153" s="757" customFormat="1" hidden="1">
      <c r="A1522" s="487"/>
      <c r="B1522" s="487"/>
      <c r="C1522" s="487"/>
      <c r="D1522" s="487"/>
      <c r="I1522" s="487"/>
      <c r="J1522" s="487"/>
      <c r="K1522" s="487"/>
      <c r="L1522" s="487"/>
      <c r="M1522" s="487"/>
      <c r="N1522" s="487"/>
      <c r="O1522" s="875"/>
      <c r="Q1522" s="704"/>
      <c r="R1522" s="1026"/>
      <c r="S1522" s="704"/>
      <c r="T1522" s="1026"/>
      <c r="AB1522" s="520"/>
      <c r="AC1522" s="520"/>
      <c r="AD1522" s="520"/>
      <c r="AE1522" s="520"/>
      <c r="AF1522" s="520"/>
      <c r="AG1522" s="520"/>
      <c r="AH1522" s="520"/>
      <c r="AI1522" s="520"/>
      <c r="AJ1522" s="520"/>
      <c r="AK1522" s="520"/>
      <c r="AL1522" s="520"/>
      <c r="AM1522" s="520"/>
      <c r="AN1522" s="520"/>
      <c r="AO1522" s="520"/>
      <c r="AP1522" s="520"/>
      <c r="AQ1522" s="520"/>
      <c r="AR1522" s="520"/>
      <c r="AS1522" s="520"/>
      <c r="AT1522" s="520"/>
      <c r="AU1522" s="520"/>
      <c r="AV1522" s="520"/>
      <c r="AY1522" s="507"/>
      <c r="BA1522" s="507"/>
      <c r="BJ1522" s="493"/>
      <c r="CU1522" s="488"/>
      <c r="CW1522" s="488"/>
      <c r="EV1522" s="821"/>
      <c r="EW1522" s="821"/>
    </row>
    <row r="1523" spans="1:153" s="757" customFormat="1" hidden="1">
      <c r="A1523" s="487"/>
      <c r="B1523" s="487"/>
      <c r="C1523" s="487"/>
      <c r="D1523" s="487"/>
      <c r="I1523" s="487"/>
      <c r="J1523" s="487"/>
      <c r="K1523" s="487"/>
      <c r="L1523" s="487"/>
      <c r="M1523" s="487"/>
      <c r="N1523" s="487"/>
      <c r="O1523" s="875"/>
      <c r="Q1523" s="704"/>
      <c r="R1523" s="1026"/>
      <c r="S1523" s="704"/>
      <c r="T1523" s="1026"/>
      <c r="AB1523" s="520"/>
      <c r="AC1523" s="520"/>
      <c r="AD1523" s="520"/>
      <c r="AE1523" s="520"/>
      <c r="AF1523" s="520"/>
      <c r="AG1523" s="520"/>
      <c r="AH1523" s="520"/>
      <c r="AI1523" s="520"/>
      <c r="AJ1523" s="520"/>
      <c r="AK1523" s="520"/>
      <c r="AL1523" s="520"/>
      <c r="AM1523" s="520"/>
      <c r="AN1523" s="520"/>
      <c r="AO1523" s="520"/>
      <c r="AP1523" s="520"/>
      <c r="AQ1523" s="520"/>
      <c r="AR1523" s="520"/>
      <c r="AS1523" s="520"/>
      <c r="AT1523" s="520"/>
      <c r="AU1523" s="520"/>
      <c r="AV1523" s="520"/>
      <c r="AY1523" s="507"/>
      <c r="BA1523" s="507"/>
      <c r="BJ1523" s="493"/>
      <c r="CU1523" s="488"/>
      <c r="CW1523" s="488"/>
      <c r="EV1523" s="821"/>
      <c r="EW1523" s="821"/>
    </row>
    <row r="1524" spans="1:153" s="757" customFormat="1" hidden="1">
      <c r="A1524" s="487"/>
      <c r="B1524" s="487"/>
      <c r="C1524" s="487"/>
      <c r="D1524" s="487"/>
      <c r="I1524" s="487"/>
      <c r="J1524" s="487"/>
      <c r="K1524" s="487"/>
      <c r="L1524" s="487"/>
      <c r="M1524" s="487"/>
      <c r="N1524" s="487"/>
      <c r="O1524" s="875"/>
      <c r="Q1524" s="704"/>
      <c r="R1524" s="1026"/>
      <c r="S1524" s="704"/>
      <c r="T1524" s="1026"/>
      <c r="AB1524" s="520"/>
      <c r="AC1524" s="520"/>
      <c r="AD1524" s="520"/>
      <c r="AE1524" s="520"/>
      <c r="AF1524" s="520"/>
      <c r="AG1524" s="520"/>
      <c r="AH1524" s="520"/>
      <c r="AI1524" s="520"/>
      <c r="AJ1524" s="520"/>
      <c r="AK1524" s="520"/>
      <c r="AL1524" s="520"/>
      <c r="AM1524" s="520"/>
      <c r="AN1524" s="520"/>
      <c r="AO1524" s="520"/>
      <c r="AP1524" s="520"/>
      <c r="AQ1524" s="520"/>
      <c r="AR1524" s="520"/>
      <c r="AS1524" s="520"/>
      <c r="AT1524" s="520"/>
      <c r="AU1524" s="520"/>
      <c r="AV1524" s="520"/>
      <c r="AY1524" s="507"/>
      <c r="BA1524" s="507"/>
      <c r="BJ1524" s="493"/>
      <c r="CU1524" s="488"/>
      <c r="CW1524" s="488"/>
      <c r="EV1524" s="821"/>
      <c r="EW1524" s="821"/>
    </row>
    <row r="1525" spans="1:153" s="757" customFormat="1" hidden="1">
      <c r="A1525" s="487"/>
      <c r="B1525" s="487"/>
      <c r="C1525" s="487"/>
      <c r="D1525" s="487"/>
      <c r="I1525" s="487"/>
      <c r="J1525" s="487"/>
      <c r="K1525" s="487"/>
      <c r="L1525" s="487"/>
      <c r="M1525" s="487"/>
      <c r="N1525" s="487"/>
      <c r="O1525" s="875"/>
      <c r="Q1525" s="704"/>
      <c r="R1525" s="1026"/>
      <c r="S1525" s="704"/>
      <c r="T1525" s="1026"/>
      <c r="AB1525" s="520"/>
      <c r="AC1525" s="520"/>
      <c r="AD1525" s="520"/>
      <c r="AE1525" s="520"/>
      <c r="AF1525" s="520"/>
      <c r="AG1525" s="520"/>
      <c r="AH1525" s="520"/>
      <c r="AI1525" s="520"/>
      <c r="AJ1525" s="520"/>
      <c r="AK1525" s="520"/>
      <c r="AL1525" s="520"/>
      <c r="AM1525" s="520"/>
      <c r="AN1525" s="520"/>
      <c r="AO1525" s="520"/>
      <c r="AP1525" s="520"/>
      <c r="AQ1525" s="520"/>
      <c r="AR1525" s="520"/>
      <c r="AS1525" s="520"/>
      <c r="AT1525" s="520"/>
      <c r="AU1525" s="520"/>
      <c r="AV1525" s="520"/>
      <c r="AY1525" s="507"/>
      <c r="BA1525" s="507"/>
      <c r="BJ1525" s="493"/>
      <c r="CU1525" s="488"/>
      <c r="CW1525" s="488"/>
      <c r="EV1525" s="821"/>
      <c r="EW1525" s="821"/>
    </row>
    <row r="1526" spans="1:153" s="757" customFormat="1" hidden="1">
      <c r="A1526" s="487"/>
      <c r="B1526" s="487"/>
      <c r="C1526" s="487"/>
      <c r="D1526" s="487"/>
      <c r="I1526" s="487"/>
      <c r="J1526" s="487"/>
      <c r="K1526" s="487"/>
      <c r="L1526" s="487"/>
      <c r="M1526" s="487"/>
      <c r="N1526" s="487"/>
      <c r="O1526" s="875"/>
      <c r="Q1526" s="704"/>
      <c r="R1526" s="1026"/>
      <c r="S1526" s="704"/>
      <c r="T1526" s="1026"/>
      <c r="AB1526" s="520"/>
      <c r="AC1526" s="520"/>
      <c r="AD1526" s="520"/>
      <c r="AE1526" s="520"/>
      <c r="AF1526" s="520"/>
      <c r="AG1526" s="520"/>
      <c r="AH1526" s="520"/>
      <c r="AI1526" s="520"/>
      <c r="AJ1526" s="520"/>
      <c r="AK1526" s="520"/>
      <c r="AL1526" s="520"/>
      <c r="AM1526" s="520"/>
      <c r="AN1526" s="520"/>
      <c r="AO1526" s="520"/>
      <c r="AP1526" s="520"/>
      <c r="AQ1526" s="520"/>
      <c r="AR1526" s="520"/>
      <c r="AS1526" s="520"/>
      <c r="AT1526" s="520"/>
      <c r="AU1526" s="520"/>
      <c r="AV1526" s="520"/>
      <c r="AY1526" s="507"/>
      <c r="BA1526" s="507"/>
      <c r="BJ1526" s="493"/>
      <c r="CU1526" s="488"/>
      <c r="CW1526" s="488"/>
      <c r="EV1526" s="821"/>
      <c r="EW1526" s="821"/>
    </row>
    <row r="1527" spans="1:153" s="757" customFormat="1" hidden="1">
      <c r="A1527" s="487"/>
      <c r="B1527" s="487"/>
      <c r="C1527" s="487"/>
      <c r="D1527" s="487"/>
      <c r="I1527" s="487"/>
      <c r="J1527" s="487"/>
      <c r="K1527" s="487"/>
      <c r="L1527" s="487"/>
      <c r="M1527" s="487"/>
      <c r="N1527" s="487"/>
      <c r="O1527" s="875"/>
      <c r="Q1527" s="704"/>
      <c r="R1527" s="1026"/>
      <c r="S1527" s="704"/>
      <c r="T1527" s="1026"/>
      <c r="AB1527" s="520"/>
      <c r="AC1527" s="520"/>
      <c r="AD1527" s="520"/>
      <c r="AE1527" s="520"/>
      <c r="AF1527" s="520"/>
      <c r="AG1527" s="520"/>
      <c r="AH1527" s="520"/>
      <c r="AI1527" s="520"/>
      <c r="AJ1527" s="520"/>
      <c r="AK1527" s="520"/>
      <c r="AL1527" s="520"/>
      <c r="AM1527" s="520"/>
      <c r="AN1527" s="520"/>
      <c r="AO1527" s="520"/>
      <c r="AP1527" s="520"/>
      <c r="AQ1527" s="520"/>
      <c r="AR1527" s="520"/>
      <c r="AS1527" s="520"/>
      <c r="AT1527" s="520"/>
      <c r="AU1527" s="520"/>
      <c r="AV1527" s="520"/>
      <c r="AY1527" s="507"/>
      <c r="BA1527" s="507"/>
      <c r="BJ1527" s="493"/>
      <c r="CU1527" s="488"/>
      <c r="CW1527" s="488"/>
      <c r="EV1527" s="821"/>
      <c r="EW1527" s="821"/>
    </row>
    <row r="1528" spans="1:153" s="757" customFormat="1" hidden="1">
      <c r="A1528" s="487"/>
      <c r="B1528" s="487"/>
      <c r="C1528" s="487"/>
      <c r="D1528" s="487"/>
      <c r="I1528" s="487"/>
      <c r="J1528" s="487"/>
      <c r="K1528" s="487"/>
      <c r="L1528" s="487"/>
      <c r="M1528" s="487"/>
      <c r="N1528" s="487"/>
      <c r="O1528" s="875"/>
      <c r="Q1528" s="704"/>
      <c r="R1528" s="1026"/>
      <c r="S1528" s="704"/>
      <c r="T1528" s="1026"/>
      <c r="AB1528" s="520"/>
      <c r="AC1528" s="520"/>
      <c r="AD1528" s="520"/>
      <c r="AE1528" s="520"/>
      <c r="AF1528" s="520"/>
      <c r="AG1528" s="520"/>
      <c r="AH1528" s="520"/>
      <c r="AI1528" s="520"/>
      <c r="AJ1528" s="520"/>
      <c r="AK1528" s="520"/>
      <c r="AL1528" s="520"/>
      <c r="AM1528" s="520"/>
      <c r="AN1528" s="520"/>
      <c r="AO1528" s="520"/>
      <c r="AP1528" s="520"/>
      <c r="AQ1528" s="520"/>
      <c r="AR1528" s="520"/>
      <c r="AS1528" s="520"/>
      <c r="AT1528" s="520"/>
      <c r="AU1528" s="520"/>
      <c r="AV1528" s="520"/>
      <c r="AY1528" s="507"/>
      <c r="BA1528" s="507"/>
      <c r="BJ1528" s="493"/>
      <c r="CU1528" s="488"/>
      <c r="CW1528" s="488"/>
      <c r="EV1528" s="821"/>
      <c r="EW1528" s="821"/>
    </row>
    <row r="1529" spans="1:153" s="757" customFormat="1" hidden="1">
      <c r="A1529" s="487"/>
      <c r="B1529" s="487"/>
      <c r="C1529" s="487"/>
      <c r="D1529" s="487"/>
      <c r="I1529" s="487"/>
      <c r="J1529" s="487"/>
      <c r="K1529" s="487"/>
      <c r="L1529" s="487"/>
      <c r="M1529" s="487"/>
      <c r="N1529" s="487"/>
      <c r="O1529" s="875"/>
      <c r="Q1529" s="704"/>
      <c r="R1529" s="1026"/>
      <c r="S1529" s="704"/>
      <c r="T1529" s="1026"/>
      <c r="AB1529" s="520"/>
      <c r="AC1529" s="520"/>
      <c r="AD1529" s="520"/>
      <c r="AE1529" s="520"/>
      <c r="AF1529" s="520"/>
      <c r="AG1529" s="520"/>
      <c r="AH1529" s="520"/>
      <c r="AI1529" s="520"/>
      <c r="AJ1529" s="520"/>
      <c r="AK1529" s="520"/>
      <c r="AL1529" s="520"/>
      <c r="AM1529" s="520"/>
      <c r="AN1529" s="520"/>
      <c r="AO1529" s="520"/>
      <c r="AP1529" s="520"/>
      <c r="AQ1529" s="520"/>
      <c r="AR1529" s="520"/>
      <c r="AS1529" s="520"/>
      <c r="AT1529" s="520"/>
      <c r="AU1529" s="520"/>
      <c r="AV1529" s="520"/>
      <c r="AY1529" s="507"/>
      <c r="BA1529" s="507"/>
      <c r="BJ1529" s="493"/>
      <c r="CU1529" s="488"/>
      <c r="CW1529" s="488"/>
      <c r="EV1529" s="821"/>
      <c r="EW1529" s="821"/>
    </row>
    <row r="1530" spans="1:153" s="757" customFormat="1" hidden="1">
      <c r="A1530" s="487"/>
      <c r="B1530" s="487"/>
      <c r="C1530" s="487"/>
      <c r="D1530" s="487"/>
      <c r="I1530" s="487"/>
      <c r="J1530" s="487"/>
      <c r="K1530" s="487"/>
      <c r="L1530" s="487"/>
      <c r="M1530" s="487"/>
      <c r="N1530" s="487"/>
      <c r="O1530" s="875"/>
      <c r="Q1530" s="704"/>
      <c r="R1530" s="1026"/>
      <c r="S1530" s="704"/>
      <c r="T1530" s="1026"/>
      <c r="AB1530" s="520"/>
      <c r="AC1530" s="520"/>
      <c r="AD1530" s="520"/>
      <c r="AE1530" s="520"/>
      <c r="AF1530" s="520"/>
      <c r="AG1530" s="520"/>
      <c r="AH1530" s="520"/>
      <c r="AI1530" s="520"/>
      <c r="AJ1530" s="520"/>
      <c r="AK1530" s="520"/>
      <c r="AL1530" s="520"/>
      <c r="AM1530" s="520"/>
      <c r="AN1530" s="520"/>
      <c r="AO1530" s="520"/>
      <c r="AP1530" s="520"/>
      <c r="AQ1530" s="520"/>
      <c r="AR1530" s="520"/>
      <c r="AS1530" s="520"/>
      <c r="AT1530" s="520"/>
      <c r="AU1530" s="520"/>
      <c r="AV1530" s="520"/>
      <c r="AY1530" s="507"/>
      <c r="BA1530" s="507"/>
      <c r="BJ1530" s="493"/>
      <c r="CU1530" s="488"/>
      <c r="CW1530" s="488"/>
      <c r="EV1530" s="821"/>
      <c r="EW1530" s="821"/>
    </row>
    <row r="1531" spans="1:153" s="757" customFormat="1" hidden="1">
      <c r="A1531" s="487"/>
      <c r="B1531" s="487"/>
      <c r="C1531" s="487"/>
      <c r="D1531" s="487"/>
      <c r="I1531" s="487"/>
      <c r="J1531" s="487"/>
      <c r="K1531" s="487"/>
      <c r="L1531" s="487"/>
      <c r="M1531" s="487"/>
      <c r="N1531" s="487"/>
      <c r="O1531" s="875"/>
      <c r="Q1531" s="704"/>
      <c r="R1531" s="1026"/>
      <c r="S1531" s="704"/>
      <c r="T1531" s="1026"/>
      <c r="AB1531" s="520"/>
      <c r="AC1531" s="520"/>
      <c r="AD1531" s="520"/>
      <c r="AE1531" s="520"/>
      <c r="AF1531" s="520"/>
      <c r="AG1531" s="520"/>
      <c r="AH1531" s="520"/>
      <c r="AI1531" s="520"/>
      <c r="AJ1531" s="520"/>
      <c r="AK1531" s="520"/>
      <c r="AL1531" s="520"/>
      <c r="AM1531" s="520"/>
      <c r="AN1531" s="520"/>
      <c r="AO1531" s="520"/>
      <c r="AP1531" s="520"/>
      <c r="AQ1531" s="520"/>
      <c r="AR1531" s="520"/>
      <c r="AS1531" s="520"/>
      <c r="AT1531" s="520"/>
      <c r="AU1531" s="520"/>
      <c r="AV1531" s="520"/>
      <c r="AY1531" s="507"/>
      <c r="BA1531" s="507"/>
      <c r="BJ1531" s="493"/>
      <c r="CU1531" s="488"/>
      <c r="CW1531" s="488"/>
      <c r="EV1531" s="821"/>
      <c r="EW1531" s="821"/>
    </row>
    <row r="1532" spans="1:153" s="757" customFormat="1" hidden="1">
      <c r="A1532" s="487"/>
      <c r="B1532" s="487"/>
      <c r="C1532" s="487"/>
      <c r="D1532" s="487"/>
      <c r="I1532" s="487"/>
      <c r="J1532" s="487"/>
      <c r="K1532" s="487"/>
      <c r="L1532" s="487"/>
      <c r="M1532" s="487"/>
      <c r="N1532" s="487"/>
      <c r="O1532" s="875"/>
      <c r="Q1532" s="704"/>
      <c r="R1532" s="1026"/>
      <c r="S1532" s="704"/>
      <c r="T1532" s="1026"/>
      <c r="AB1532" s="520"/>
      <c r="AC1532" s="520"/>
      <c r="AD1532" s="520"/>
      <c r="AE1532" s="520"/>
      <c r="AF1532" s="520"/>
      <c r="AG1532" s="520"/>
      <c r="AH1532" s="520"/>
      <c r="AI1532" s="520"/>
      <c r="AJ1532" s="520"/>
      <c r="AK1532" s="520"/>
      <c r="AL1532" s="520"/>
      <c r="AM1532" s="520"/>
      <c r="AN1532" s="520"/>
      <c r="AO1532" s="520"/>
      <c r="AP1532" s="520"/>
      <c r="AQ1532" s="520"/>
      <c r="AR1532" s="520"/>
      <c r="AS1532" s="520"/>
      <c r="AT1532" s="520"/>
      <c r="AU1532" s="520"/>
      <c r="AV1532" s="520"/>
      <c r="AY1532" s="507"/>
      <c r="BA1532" s="507"/>
      <c r="BJ1532" s="493"/>
      <c r="CU1532" s="488"/>
      <c r="CW1532" s="488"/>
      <c r="EV1532" s="821"/>
      <c r="EW1532" s="821"/>
    </row>
    <row r="1533" spans="1:153" s="757" customFormat="1" hidden="1">
      <c r="A1533" s="487"/>
      <c r="B1533" s="487"/>
      <c r="C1533" s="487"/>
      <c r="D1533" s="487"/>
      <c r="I1533" s="487"/>
      <c r="J1533" s="487"/>
      <c r="K1533" s="487"/>
      <c r="L1533" s="487"/>
      <c r="M1533" s="487"/>
      <c r="N1533" s="487"/>
      <c r="O1533" s="875"/>
      <c r="Q1533" s="704"/>
      <c r="R1533" s="1026"/>
      <c r="S1533" s="704"/>
      <c r="T1533" s="1026"/>
      <c r="AB1533" s="520"/>
      <c r="AC1533" s="520"/>
      <c r="AD1533" s="520"/>
      <c r="AE1533" s="520"/>
      <c r="AF1533" s="520"/>
      <c r="AG1533" s="520"/>
      <c r="AH1533" s="520"/>
      <c r="AI1533" s="520"/>
      <c r="AJ1533" s="520"/>
      <c r="AK1533" s="520"/>
      <c r="AL1533" s="520"/>
      <c r="AM1533" s="520"/>
      <c r="AN1533" s="520"/>
      <c r="AO1533" s="520"/>
      <c r="AP1533" s="520"/>
      <c r="AQ1533" s="520"/>
      <c r="AR1533" s="520"/>
      <c r="AS1533" s="520"/>
      <c r="AT1533" s="520"/>
      <c r="AU1533" s="520"/>
      <c r="AV1533" s="520"/>
      <c r="AY1533" s="507"/>
      <c r="BA1533" s="507"/>
      <c r="BJ1533" s="493"/>
      <c r="CU1533" s="488"/>
      <c r="CW1533" s="488"/>
      <c r="EV1533" s="821"/>
      <c r="EW1533" s="821"/>
    </row>
    <row r="1534" spans="1:153" s="757" customFormat="1" hidden="1">
      <c r="A1534" s="487"/>
      <c r="B1534" s="487"/>
      <c r="C1534" s="487"/>
      <c r="D1534" s="487"/>
      <c r="I1534" s="487"/>
      <c r="J1534" s="487"/>
      <c r="K1534" s="487"/>
      <c r="L1534" s="487"/>
      <c r="M1534" s="487"/>
      <c r="N1534" s="487"/>
      <c r="O1534" s="875"/>
      <c r="Q1534" s="704"/>
      <c r="R1534" s="1026"/>
      <c r="S1534" s="704"/>
      <c r="T1534" s="1026"/>
      <c r="AB1534" s="520"/>
      <c r="AC1534" s="520"/>
      <c r="AD1534" s="520"/>
      <c r="AE1534" s="520"/>
      <c r="AF1534" s="520"/>
      <c r="AG1534" s="520"/>
      <c r="AH1534" s="520"/>
      <c r="AI1534" s="520"/>
      <c r="AJ1534" s="520"/>
      <c r="AK1534" s="520"/>
      <c r="AL1534" s="520"/>
      <c r="AM1534" s="520"/>
      <c r="AN1534" s="520"/>
      <c r="AO1534" s="520"/>
      <c r="AP1534" s="520"/>
      <c r="AQ1534" s="520"/>
      <c r="AR1534" s="520"/>
      <c r="AS1534" s="520"/>
      <c r="AT1534" s="520"/>
      <c r="AU1534" s="520"/>
      <c r="AV1534" s="520"/>
      <c r="AY1534" s="507"/>
      <c r="BA1534" s="507"/>
      <c r="BJ1534" s="493"/>
      <c r="CU1534" s="488"/>
      <c r="CW1534" s="488"/>
      <c r="EV1534" s="821"/>
      <c r="EW1534" s="821"/>
    </row>
    <row r="1535" spans="1:153" s="757" customFormat="1" hidden="1">
      <c r="A1535" s="487"/>
      <c r="B1535" s="487"/>
      <c r="C1535" s="487"/>
      <c r="D1535" s="487"/>
      <c r="I1535" s="487"/>
      <c r="J1535" s="487"/>
      <c r="K1535" s="487"/>
      <c r="L1535" s="487"/>
      <c r="M1535" s="487"/>
      <c r="N1535" s="487"/>
      <c r="O1535" s="875"/>
      <c r="Q1535" s="704"/>
      <c r="R1535" s="1026"/>
      <c r="S1535" s="704"/>
      <c r="T1535" s="1026"/>
      <c r="AB1535" s="520"/>
      <c r="AC1535" s="520"/>
      <c r="AD1535" s="520"/>
      <c r="AE1535" s="520"/>
      <c r="AF1535" s="520"/>
      <c r="AG1535" s="520"/>
      <c r="AH1535" s="520"/>
      <c r="AI1535" s="520"/>
      <c r="AJ1535" s="520"/>
      <c r="AK1535" s="520"/>
      <c r="AL1535" s="520"/>
      <c r="AM1535" s="520"/>
      <c r="AN1535" s="520"/>
      <c r="AO1535" s="520"/>
      <c r="AP1535" s="520"/>
      <c r="AQ1535" s="520"/>
      <c r="AR1535" s="520"/>
      <c r="AS1535" s="520"/>
      <c r="AT1535" s="520"/>
      <c r="AU1535" s="520"/>
      <c r="AV1535" s="520"/>
      <c r="AY1535" s="507"/>
      <c r="BA1535" s="507"/>
      <c r="BJ1535" s="493"/>
      <c r="CU1535" s="488"/>
      <c r="CW1535" s="488"/>
      <c r="EV1535" s="821"/>
      <c r="EW1535" s="821"/>
    </row>
    <row r="1536" spans="1:153" s="757" customFormat="1" hidden="1">
      <c r="A1536" s="487"/>
      <c r="B1536" s="487"/>
      <c r="C1536" s="487"/>
      <c r="D1536" s="487"/>
      <c r="I1536" s="487"/>
      <c r="J1536" s="487"/>
      <c r="K1536" s="487"/>
      <c r="L1536" s="487"/>
      <c r="M1536" s="487"/>
      <c r="N1536" s="487"/>
      <c r="O1536" s="875"/>
      <c r="Q1536" s="704"/>
      <c r="R1536" s="1026"/>
      <c r="S1536" s="704"/>
      <c r="T1536" s="1026"/>
      <c r="AB1536" s="520"/>
      <c r="AC1536" s="520"/>
      <c r="AD1536" s="520"/>
      <c r="AE1536" s="520"/>
      <c r="AF1536" s="520"/>
      <c r="AG1536" s="520"/>
      <c r="AH1536" s="520"/>
      <c r="AI1536" s="520"/>
      <c r="AJ1536" s="520"/>
      <c r="AK1536" s="520"/>
      <c r="AL1536" s="520"/>
      <c r="AM1536" s="520"/>
      <c r="AN1536" s="520"/>
      <c r="AO1536" s="520"/>
      <c r="AP1536" s="520"/>
      <c r="AQ1536" s="520"/>
      <c r="AR1536" s="520"/>
      <c r="AS1536" s="520"/>
      <c r="AT1536" s="520"/>
      <c r="AU1536" s="520"/>
      <c r="AV1536" s="520"/>
      <c r="AY1536" s="507"/>
      <c r="BA1536" s="507"/>
      <c r="BJ1536" s="493"/>
      <c r="CU1536" s="488"/>
      <c r="CW1536" s="488"/>
      <c r="EV1536" s="821"/>
      <c r="EW1536" s="821"/>
    </row>
    <row r="1537" spans="1:153" s="757" customFormat="1" hidden="1">
      <c r="A1537" s="487"/>
      <c r="B1537" s="487"/>
      <c r="C1537" s="487"/>
      <c r="D1537" s="487"/>
      <c r="I1537" s="487"/>
      <c r="J1537" s="487"/>
      <c r="K1537" s="487"/>
      <c r="L1537" s="487"/>
      <c r="M1537" s="487"/>
      <c r="N1537" s="487"/>
      <c r="O1537" s="875"/>
      <c r="Q1537" s="704"/>
      <c r="R1537" s="1026"/>
      <c r="S1537" s="704"/>
      <c r="T1537" s="1026"/>
      <c r="AB1537" s="520"/>
      <c r="AC1537" s="520"/>
      <c r="AD1537" s="520"/>
      <c r="AE1537" s="520"/>
      <c r="AF1537" s="520"/>
      <c r="AG1537" s="520"/>
      <c r="AH1537" s="520"/>
      <c r="AI1537" s="520"/>
      <c r="AJ1537" s="520"/>
      <c r="AK1537" s="520"/>
      <c r="AL1537" s="520"/>
      <c r="AM1537" s="520"/>
      <c r="AN1537" s="520"/>
      <c r="AO1537" s="520"/>
      <c r="AP1537" s="520"/>
      <c r="AQ1537" s="520"/>
      <c r="AR1537" s="520"/>
      <c r="AS1537" s="520"/>
      <c r="AT1537" s="520"/>
      <c r="AU1537" s="520"/>
      <c r="AV1537" s="520"/>
      <c r="AY1537" s="507"/>
      <c r="BA1537" s="507"/>
      <c r="BJ1537" s="493"/>
      <c r="CU1537" s="488"/>
      <c r="CW1537" s="488"/>
      <c r="EV1537" s="821"/>
      <c r="EW1537" s="821"/>
    </row>
    <row r="1538" spans="1:153" s="757" customFormat="1" hidden="1">
      <c r="A1538" s="487"/>
      <c r="B1538" s="487"/>
      <c r="C1538" s="487"/>
      <c r="D1538" s="487"/>
      <c r="I1538" s="487"/>
      <c r="J1538" s="487"/>
      <c r="K1538" s="487"/>
      <c r="L1538" s="487"/>
      <c r="M1538" s="487"/>
      <c r="N1538" s="487"/>
      <c r="O1538" s="875"/>
      <c r="Q1538" s="704"/>
      <c r="R1538" s="1026"/>
      <c r="S1538" s="704"/>
      <c r="T1538" s="1026"/>
      <c r="AB1538" s="520"/>
      <c r="AC1538" s="520"/>
      <c r="AD1538" s="520"/>
      <c r="AE1538" s="520"/>
      <c r="AF1538" s="520"/>
      <c r="AG1538" s="520"/>
      <c r="AH1538" s="520"/>
      <c r="AI1538" s="520"/>
      <c r="AJ1538" s="520"/>
      <c r="AK1538" s="520"/>
      <c r="AL1538" s="520"/>
      <c r="AM1538" s="520"/>
      <c r="AN1538" s="520"/>
      <c r="AO1538" s="520"/>
      <c r="AP1538" s="520"/>
      <c r="AQ1538" s="520"/>
      <c r="AR1538" s="520"/>
      <c r="AS1538" s="520"/>
      <c r="AT1538" s="520"/>
      <c r="AU1538" s="520"/>
      <c r="AV1538" s="520"/>
      <c r="AY1538" s="507"/>
      <c r="BA1538" s="507"/>
      <c r="BJ1538" s="493"/>
      <c r="CU1538" s="488"/>
      <c r="CW1538" s="488"/>
      <c r="EV1538" s="821"/>
      <c r="EW1538" s="821"/>
    </row>
    <row r="1539" spans="1:153" s="757" customFormat="1" hidden="1">
      <c r="A1539" s="487"/>
      <c r="B1539" s="487"/>
      <c r="C1539" s="487"/>
      <c r="D1539" s="487"/>
      <c r="I1539" s="487"/>
      <c r="J1539" s="487"/>
      <c r="K1539" s="487"/>
      <c r="L1539" s="487"/>
      <c r="M1539" s="487"/>
      <c r="N1539" s="487"/>
      <c r="O1539" s="875"/>
      <c r="Q1539" s="704"/>
      <c r="R1539" s="1026"/>
      <c r="S1539" s="704"/>
      <c r="T1539" s="1026"/>
      <c r="AB1539" s="520"/>
      <c r="AC1539" s="520"/>
      <c r="AD1539" s="520"/>
      <c r="AE1539" s="520"/>
      <c r="AF1539" s="520"/>
      <c r="AG1539" s="520"/>
      <c r="AH1539" s="520"/>
      <c r="AI1539" s="520"/>
      <c r="AJ1539" s="520"/>
      <c r="AK1539" s="520"/>
      <c r="AL1539" s="520"/>
      <c r="AM1539" s="520"/>
      <c r="AN1539" s="520"/>
      <c r="AO1539" s="520"/>
      <c r="AP1539" s="520"/>
      <c r="AQ1539" s="520"/>
      <c r="AR1539" s="520"/>
      <c r="AS1539" s="520"/>
      <c r="AT1539" s="520"/>
      <c r="AU1539" s="520"/>
      <c r="AV1539" s="520"/>
      <c r="AY1539" s="507"/>
      <c r="BA1539" s="507"/>
      <c r="BJ1539" s="493"/>
      <c r="CU1539" s="488"/>
      <c r="CW1539" s="488"/>
      <c r="EV1539" s="821"/>
      <c r="EW1539" s="821"/>
    </row>
    <row r="1540" spans="1:153" s="757" customFormat="1" hidden="1">
      <c r="A1540" s="487"/>
      <c r="B1540" s="487"/>
      <c r="C1540" s="487"/>
      <c r="D1540" s="487"/>
      <c r="I1540" s="487"/>
      <c r="J1540" s="487"/>
      <c r="K1540" s="487"/>
      <c r="L1540" s="487"/>
      <c r="M1540" s="487"/>
      <c r="N1540" s="487"/>
      <c r="O1540" s="875"/>
      <c r="Q1540" s="704"/>
      <c r="R1540" s="1026"/>
      <c r="S1540" s="704"/>
      <c r="T1540" s="1026"/>
      <c r="AB1540" s="520"/>
      <c r="AC1540" s="520"/>
      <c r="AD1540" s="520"/>
      <c r="AE1540" s="520"/>
      <c r="AF1540" s="520"/>
      <c r="AG1540" s="520"/>
      <c r="AH1540" s="520"/>
      <c r="AI1540" s="520"/>
      <c r="AJ1540" s="520"/>
      <c r="AK1540" s="520"/>
      <c r="AL1540" s="520"/>
      <c r="AM1540" s="520"/>
      <c r="AN1540" s="520"/>
      <c r="AO1540" s="520"/>
      <c r="AP1540" s="520"/>
      <c r="AQ1540" s="520"/>
      <c r="AR1540" s="520"/>
      <c r="AS1540" s="520"/>
      <c r="AT1540" s="520"/>
      <c r="AU1540" s="520"/>
      <c r="AV1540" s="520"/>
      <c r="AY1540" s="507"/>
      <c r="BA1540" s="507"/>
      <c r="BJ1540" s="493"/>
      <c r="CU1540" s="488"/>
      <c r="CW1540" s="488"/>
      <c r="EV1540" s="821"/>
      <c r="EW1540" s="821"/>
    </row>
    <row r="1541" spans="1:153" s="757" customFormat="1" hidden="1">
      <c r="A1541" s="487"/>
      <c r="B1541" s="487"/>
      <c r="C1541" s="487"/>
      <c r="D1541" s="487"/>
      <c r="I1541" s="487"/>
      <c r="J1541" s="487"/>
      <c r="K1541" s="487"/>
      <c r="L1541" s="487"/>
      <c r="M1541" s="487"/>
      <c r="N1541" s="487"/>
      <c r="O1541" s="875"/>
      <c r="Q1541" s="704"/>
      <c r="R1541" s="1026"/>
      <c r="S1541" s="704"/>
      <c r="T1541" s="1026"/>
      <c r="AB1541" s="520"/>
      <c r="AC1541" s="520"/>
      <c r="AD1541" s="520"/>
      <c r="AE1541" s="520"/>
      <c r="AF1541" s="520"/>
      <c r="AG1541" s="520"/>
      <c r="AH1541" s="520"/>
      <c r="AI1541" s="520"/>
      <c r="AJ1541" s="520"/>
      <c r="AK1541" s="520"/>
      <c r="AL1541" s="520"/>
      <c r="AM1541" s="520"/>
      <c r="AN1541" s="520"/>
      <c r="AO1541" s="520"/>
      <c r="AP1541" s="520"/>
      <c r="AQ1541" s="520"/>
      <c r="AR1541" s="520"/>
      <c r="AS1541" s="520"/>
      <c r="AT1541" s="520"/>
      <c r="AU1541" s="520"/>
      <c r="AV1541" s="520"/>
      <c r="AY1541" s="507"/>
      <c r="BA1541" s="507"/>
      <c r="BJ1541" s="493"/>
      <c r="CU1541" s="488"/>
      <c r="CW1541" s="488"/>
      <c r="EV1541" s="821"/>
      <c r="EW1541" s="821"/>
    </row>
    <row r="1542" spans="1:153" s="757" customFormat="1" hidden="1">
      <c r="A1542" s="487"/>
      <c r="B1542" s="487"/>
      <c r="C1542" s="487"/>
      <c r="D1542" s="487"/>
      <c r="I1542" s="487"/>
      <c r="J1542" s="487"/>
      <c r="K1542" s="487"/>
      <c r="L1542" s="487"/>
      <c r="M1542" s="487"/>
      <c r="N1542" s="487"/>
      <c r="O1542" s="875"/>
      <c r="Q1542" s="704"/>
      <c r="R1542" s="1026"/>
      <c r="S1542" s="704"/>
      <c r="T1542" s="1026"/>
      <c r="AB1542" s="520"/>
      <c r="AC1542" s="520"/>
      <c r="AD1542" s="520"/>
      <c r="AE1542" s="520"/>
      <c r="AF1542" s="520"/>
      <c r="AG1542" s="520"/>
      <c r="AH1542" s="520"/>
      <c r="AI1542" s="520"/>
      <c r="AJ1542" s="520"/>
      <c r="AK1542" s="520"/>
      <c r="AL1542" s="520"/>
      <c r="AM1542" s="520"/>
      <c r="AN1542" s="520"/>
      <c r="AO1542" s="520"/>
      <c r="AP1542" s="520"/>
      <c r="AQ1542" s="520"/>
      <c r="AR1542" s="520"/>
      <c r="AS1542" s="520"/>
      <c r="AT1542" s="520"/>
      <c r="AU1542" s="520"/>
      <c r="AV1542" s="520"/>
      <c r="AY1542" s="507"/>
      <c r="BA1542" s="507"/>
      <c r="BJ1542" s="493"/>
      <c r="CU1542" s="488"/>
      <c r="CW1542" s="488"/>
      <c r="EV1542" s="821"/>
      <c r="EW1542" s="821"/>
    </row>
    <row r="1543" spans="1:153" s="757" customFormat="1" hidden="1">
      <c r="A1543" s="487"/>
      <c r="B1543" s="487"/>
      <c r="C1543" s="487"/>
      <c r="D1543" s="487"/>
      <c r="I1543" s="487"/>
      <c r="J1543" s="487"/>
      <c r="K1543" s="487"/>
      <c r="L1543" s="487"/>
      <c r="M1543" s="487"/>
      <c r="N1543" s="487"/>
      <c r="O1543" s="875"/>
      <c r="Q1543" s="704"/>
      <c r="R1543" s="1026"/>
      <c r="S1543" s="704"/>
      <c r="T1543" s="1026"/>
      <c r="AB1543" s="520"/>
      <c r="AC1543" s="520"/>
      <c r="AD1543" s="520"/>
      <c r="AE1543" s="520"/>
      <c r="AF1543" s="520"/>
      <c r="AG1543" s="520"/>
      <c r="AH1543" s="520"/>
      <c r="AI1543" s="520"/>
      <c r="AJ1543" s="520"/>
      <c r="AK1543" s="520"/>
      <c r="AL1543" s="520"/>
      <c r="AM1543" s="520"/>
      <c r="AN1543" s="520"/>
      <c r="AO1543" s="520"/>
      <c r="AP1543" s="520"/>
      <c r="AQ1543" s="520"/>
      <c r="AR1543" s="520"/>
      <c r="AS1543" s="520"/>
      <c r="AT1543" s="520"/>
      <c r="AU1543" s="520"/>
      <c r="AV1543" s="520"/>
      <c r="AY1543" s="507"/>
      <c r="BA1543" s="507"/>
      <c r="BJ1543" s="493"/>
      <c r="CU1543" s="488"/>
      <c r="CW1543" s="488"/>
      <c r="EV1543" s="821"/>
      <c r="EW1543" s="821"/>
    </row>
    <row r="1544" spans="1:153" s="757" customFormat="1" hidden="1">
      <c r="A1544" s="487"/>
      <c r="B1544" s="487"/>
      <c r="C1544" s="487"/>
      <c r="D1544" s="487"/>
      <c r="I1544" s="487"/>
      <c r="J1544" s="487"/>
      <c r="K1544" s="487"/>
      <c r="L1544" s="487"/>
      <c r="M1544" s="487"/>
      <c r="N1544" s="487"/>
      <c r="O1544" s="875"/>
      <c r="Q1544" s="704"/>
      <c r="R1544" s="1026"/>
      <c r="S1544" s="704"/>
      <c r="T1544" s="1026"/>
      <c r="AB1544" s="520"/>
      <c r="AC1544" s="520"/>
      <c r="AD1544" s="520"/>
      <c r="AE1544" s="520"/>
      <c r="AF1544" s="520"/>
      <c r="AG1544" s="520"/>
      <c r="AH1544" s="520"/>
      <c r="AI1544" s="520"/>
      <c r="AJ1544" s="520"/>
      <c r="AK1544" s="520"/>
      <c r="AL1544" s="520"/>
      <c r="AM1544" s="520"/>
      <c r="AN1544" s="520"/>
      <c r="AO1544" s="520"/>
      <c r="AP1544" s="520"/>
      <c r="AQ1544" s="520"/>
      <c r="AR1544" s="520"/>
      <c r="AS1544" s="520"/>
      <c r="AT1544" s="520"/>
      <c r="AU1544" s="520"/>
      <c r="AV1544" s="520"/>
      <c r="AY1544" s="507"/>
      <c r="BA1544" s="507"/>
      <c r="BJ1544" s="493"/>
      <c r="CU1544" s="488"/>
      <c r="CW1544" s="488"/>
      <c r="EV1544" s="821"/>
      <c r="EW1544" s="821"/>
    </row>
    <row r="1545" spans="1:153" s="757" customFormat="1" hidden="1">
      <c r="A1545" s="487"/>
      <c r="B1545" s="487"/>
      <c r="C1545" s="487"/>
      <c r="D1545" s="487"/>
      <c r="I1545" s="487"/>
      <c r="J1545" s="487"/>
      <c r="K1545" s="487"/>
      <c r="L1545" s="487"/>
      <c r="M1545" s="487"/>
      <c r="N1545" s="487"/>
      <c r="O1545" s="875"/>
      <c r="Q1545" s="704"/>
      <c r="R1545" s="1026"/>
      <c r="S1545" s="704"/>
      <c r="T1545" s="1026"/>
      <c r="AB1545" s="520"/>
      <c r="AC1545" s="520"/>
      <c r="AD1545" s="520"/>
      <c r="AE1545" s="520"/>
      <c r="AF1545" s="520"/>
      <c r="AG1545" s="520"/>
      <c r="AH1545" s="520"/>
      <c r="AI1545" s="520"/>
      <c r="AJ1545" s="520"/>
      <c r="AK1545" s="520"/>
      <c r="AL1545" s="520"/>
      <c r="AM1545" s="520"/>
      <c r="AN1545" s="520"/>
      <c r="AO1545" s="520"/>
      <c r="AP1545" s="520"/>
      <c r="AQ1545" s="520"/>
      <c r="AR1545" s="520"/>
      <c r="AS1545" s="520"/>
      <c r="AT1545" s="520"/>
      <c r="AU1545" s="520"/>
      <c r="AV1545" s="520"/>
      <c r="AY1545" s="507"/>
      <c r="BA1545" s="507"/>
      <c r="BJ1545" s="493"/>
      <c r="CU1545" s="488"/>
      <c r="CW1545" s="488"/>
      <c r="EV1545" s="821"/>
      <c r="EW1545" s="821"/>
    </row>
    <row r="1546" spans="1:153" s="757" customFormat="1" hidden="1">
      <c r="A1546" s="487"/>
      <c r="B1546" s="487"/>
      <c r="C1546" s="487"/>
      <c r="D1546" s="487"/>
      <c r="I1546" s="487"/>
      <c r="J1546" s="487"/>
      <c r="K1546" s="487"/>
      <c r="L1546" s="487"/>
      <c r="M1546" s="487"/>
      <c r="N1546" s="487"/>
      <c r="O1546" s="875"/>
      <c r="Q1546" s="704"/>
      <c r="R1546" s="1026"/>
      <c r="S1546" s="704"/>
      <c r="T1546" s="1026"/>
      <c r="AB1546" s="520"/>
      <c r="AC1546" s="520"/>
      <c r="AD1546" s="520"/>
      <c r="AE1546" s="520"/>
      <c r="AF1546" s="520"/>
      <c r="AG1546" s="520"/>
      <c r="AH1546" s="520"/>
      <c r="AI1546" s="520"/>
      <c r="AJ1546" s="520"/>
      <c r="AK1546" s="520"/>
      <c r="AL1546" s="520"/>
      <c r="AM1546" s="520"/>
      <c r="AN1546" s="520"/>
      <c r="AO1546" s="520"/>
      <c r="AP1546" s="520"/>
      <c r="AQ1546" s="520"/>
      <c r="AR1546" s="520"/>
      <c r="AS1546" s="520"/>
      <c r="AT1546" s="520"/>
      <c r="AU1546" s="520"/>
      <c r="AV1546" s="520"/>
      <c r="AY1546" s="507"/>
      <c r="BA1546" s="507"/>
      <c r="BJ1546" s="493"/>
      <c r="CU1546" s="488"/>
      <c r="CW1546" s="488"/>
      <c r="EV1546" s="821"/>
      <c r="EW1546" s="821"/>
    </row>
    <row r="1547" spans="1:153" s="757" customFormat="1" hidden="1">
      <c r="A1547" s="487"/>
      <c r="B1547" s="487"/>
      <c r="C1547" s="487"/>
      <c r="D1547" s="487"/>
      <c r="I1547" s="487"/>
      <c r="J1547" s="487"/>
      <c r="K1547" s="487"/>
      <c r="L1547" s="487"/>
      <c r="M1547" s="487"/>
      <c r="N1547" s="487"/>
      <c r="O1547" s="875"/>
      <c r="Q1547" s="704"/>
      <c r="R1547" s="1026"/>
      <c r="S1547" s="704"/>
      <c r="T1547" s="1026"/>
      <c r="AB1547" s="520"/>
      <c r="AC1547" s="520"/>
      <c r="AD1547" s="520"/>
      <c r="AE1547" s="520"/>
      <c r="AF1547" s="520"/>
      <c r="AG1547" s="520"/>
      <c r="AH1547" s="520"/>
      <c r="AI1547" s="520"/>
      <c r="AJ1547" s="520"/>
      <c r="AK1547" s="520"/>
      <c r="AL1547" s="520"/>
      <c r="AM1547" s="520"/>
      <c r="AN1547" s="520"/>
      <c r="AO1547" s="520"/>
      <c r="AP1547" s="520"/>
      <c r="AQ1547" s="520"/>
      <c r="AR1547" s="520"/>
      <c r="AS1547" s="520"/>
      <c r="AT1547" s="520"/>
      <c r="AU1547" s="520"/>
      <c r="AV1547" s="520"/>
      <c r="AY1547" s="507"/>
      <c r="BA1547" s="507"/>
      <c r="BJ1547" s="493"/>
      <c r="CU1547" s="488"/>
      <c r="CW1547" s="488"/>
      <c r="EV1547" s="821"/>
      <c r="EW1547" s="821"/>
    </row>
    <row r="1548" spans="1:153" s="757" customFormat="1" hidden="1">
      <c r="A1548" s="487"/>
      <c r="B1548" s="487"/>
      <c r="C1548" s="487"/>
      <c r="D1548" s="487"/>
      <c r="I1548" s="487"/>
      <c r="J1548" s="487"/>
      <c r="K1548" s="487"/>
      <c r="L1548" s="487"/>
      <c r="M1548" s="487"/>
      <c r="N1548" s="487"/>
      <c r="O1548" s="875"/>
      <c r="Q1548" s="704"/>
      <c r="R1548" s="1026"/>
      <c r="S1548" s="704"/>
      <c r="T1548" s="1026"/>
      <c r="AB1548" s="520"/>
      <c r="AC1548" s="520"/>
      <c r="AD1548" s="520"/>
      <c r="AE1548" s="520"/>
      <c r="AF1548" s="520"/>
      <c r="AG1548" s="520"/>
      <c r="AH1548" s="520"/>
      <c r="AI1548" s="520"/>
      <c r="AJ1548" s="520"/>
      <c r="AK1548" s="520"/>
      <c r="AL1548" s="520"/>
      <c r="AM1548" s="520"/>
      <c r="AN1548" s="520"/>
      <c r="AO1548" s="520"/>
      <c r="AP1548" s="520"/>
      <c r="AQ1548" s="520"/>
      <c r="AR1548" s="520"/>
      <c r="AS1548" s="520"/>
      <c r="AT1548" s="520"/>
      <c r="AU1548" s="520"/>
      <c r="AV1548" s="520"/>
      <c r="AY1548" s="507"/>
      <c r="BA1548" s="507"/>
      <c r="BJ1548" s="493"/>
      <c r="CU1548" s="488"/>
      <c r="CW1548" s="488"/>
      <c r="EV1548" s="821"/>
      <c r="EW1548" s="821"/>
    </row>
    <row r="1549" spans="1:153" s="757" customFormat="1" hidden="1">
      <c r="A1549" s="487"/>
      <c r="B1549" s="487"/>
      <c r="C1549" s="487"/>
      <c r="D1549" s="487"/>
      <c r="I1549" s="487"/>
      <c r="J1549" s="487"/>
      <c r="K1549" s="487"/>
      <c r="L1549" s="487"/>
      <c r="M1549" s="487"/>
      <c r="N1549" s="487"/>
      <c r="O1549" s="875"/>
      <c r="Q1549" s="704"/>
      <c r="R1549" s="1026"/>
      <c r="S1549" s="704"/>
      <c r="T1549" s="1026"/>
      <c r="AB1549" s="520"/>
      <c r="AC1549" s="520"/>
      <c r="AD1549" s="520"/>
      <c r="AE1549" s="520"/>
      <c r="AF1549" s="520"/>
      <c r="AG1549" s="520"/>
      <c r="AH1549" s="520"/>
      <c r="AI1549" s="520"/>
      <c r="AJ1549" s="520"/>
      <c r="AK1549" s="520"/>
      <c r="AL1549" s="520"/>
      <c r="AM1549" s="520"/>
      <c r="AN1549" s="520"/>
      <c r="AO1549" s="520"/>
      <c r="AP1549" s="520"/>
      <c r="AQ1549" s="520"/>
      <c r="AR1549" s="520"/>
      <c r="AS1549" s="520"/>
      <c r="AT1549" s="520"/>
      <c r="AU1549" s="520"/>
      <c r="AV1549" s="520"/>
      <c r="AY1549" s="507"/>
      <c r="BA1549" s="507"/>
      <c r="BJ1549" s="493"/>
      <c r="CU1549" s="488"/>
      <c r="CW1549" s="488"/>
      <c r="EV1549" s="821"/>
      <c r="EW1549" s="821"/>
    </row>
    <row r="1550" spans="1:153" s="757" customFormat="1" hidden="1">
      <c r="A1550" s="487"/>
      <c r="B1550" s="487"/>
      <c r="C1550" s="487"/>
      <c r="D1550" s="487"/>
      <c r="I1550" s="487"/>
      <c r="J1550" s="487"/>
      <c r="K1550" s="487"/>
      <c r="L1550" s="487"/>
      <c r="M1550" s="487"/>
      <c r="N1550" s="487"/>
      <c r="O1550" s="875"/>
      <c r="Q1550" s="704"/>
      <c r="R1550" s="1026"/>
      <c r="S1550" s="704"/>
      <c r="T1550" s="1026"/>
      <c r="AB1550" s="520"/>
      <c r="AC1550" s="520"/>
      <c r="AD1550" s="520"/>
      <c r="AE1550" s="520"/>
      <c r="AF1550" s="520"/>
      <c r="AG1550" s="520"/>
      <c r="AH1550" s="520"/>
      <c r="AI1550" s="520"/>
      <c r="AJ1550" s="520"/>
      <c r="AK1550" s="520"/>
      <c r="AL1550" s="520"/>
      <c r="AM1550" s="520"/>
      <c r="AN1550" s="520"/>
      <c r="AO1550" s="520"/>
      <c r="AP1550" s="520"/>
      <c r="AQ1550" s="520"/>
      <c r="AR1550" s="520"/>
      <c r="AS1550" s="520"/>
      <c r="AT1550" s="520"/>
      <c r="AU1550" s="520"/>
      <c r="AV1550" s="520"/>
      <c r="AY1550" s="507"/>
      <c r="BA1550" s="507"/>
      <c r="BJ1550" s="493"/>
      <c r="CU1550" s="488"/>
      <c r="CW1550" s="488"/>
      <c r="EV1550" s="821"/>
      <c r="EW1550" s="821"/>
    </row>
    <row r="1551" spans="1:153" s="757" customFormat="1" hidden="1">
      <c r="A1551" s="487"/>
      <c r="B1551" s="487"/>
      <c r="C1551" s="487"/>
      <c r="D1551" s="487"/>
      <c r="I1551" s="487"/>
      <c r="J1551" s="487"/>
      <c r="K1551" s="487"/>
      <c r="L1551" s="487"/>
      <c r="M1551" s="487"/>
      <c r="N1551" s="487"/>
      <c r="O1551" s="875"/>
      <c r="Q1551" s="704"/>
      <c r="R1551" s="1026"/>
      <c r="S1551" s="704"/>
      <c r="T1551" s="1026"/>
      <c r="AB1551" s="520"/>
      <c r="AC1551" s="520"/>
      <c r="AD1551" s="520"/>
      <c r="AE1551" s="520"/>
      <c r="AF1551" s="520"/>
      <c r="AG1551" s="520"/>
      <c r="AH1551" s="520"/>
      <c r="AI1551" s="520"/>
      <c r="AJ1551" s="520"/>
      <c r="AK1551" s="520"/>
      <c r="AL1551" s="520"/>
      <c r="AM1551" s="520"/>
      <c r="AN1551" s="520"/>
      <c r="AO1551" s="520"/>
      <c r="AP1551" s="520"/>
      <c r="AQ1551" s="520"/>
      <c r="AR1551" s="520"/>
      <c r="AS1551" s="520"/>
      <c r="AT1551" s="520"/>
      <c r="AU1551" s="520"/>
      <c r="AV1551" s="520"/>
      <c r="AY1551" s="507"/>
      <c r="BA1551" s="507"/>
      <c r="BJ1551" s="493"/>
      <c r="CU1551" s="488"/>
      <c r="CW1551" s="488"/>
      <c r="EV1551" s="821"/>
      <c r="EW1551" s="821"/>
    </row>
    <row r="1552" spans="1:153" s="757" customFormat="1" hidden="1">
      <c r="A1552" s="487"/>
      <c r="B1552" s="487"/>
      <c r="C1552" s="487"/>
      <c r="D1552" s="487"/>
      <c r="I1552" s="487"/>
      <c r="J1552" s="487"/>
      <c r="K1552" s="487"/>
      <c r="L1552" s="487"/>
      <c r="M1552" s="487"/>
      <c r="N1552" s="487"/>
      <c r="O1552" s="875"/>
      <c r="Q1552" s="704"/>
      <c r="R1552" s="1026"/>
      <c r="S1552" s="704"/>
      <c r="T1552" s="1026"/>
      <c r="AB1552" s="520"/>
      <c r="AC1552" s="520"/>
      <c r="AD1552" s="520"/>
      <c r="AE1552" s="520"/>
      <c r="AF1552" s="520"/>
      <c r="AG1552" s="520"/>
      <c r="AH1552" s="520"/>
      <c r="AI1552" s="520"/>
      <c r="AJ1552" s="520"/>
      <c r="AK1552" s="520"/>
      <c r="AL1552" s="520"/>
      <c r="AM1552" s="520"/>
      <c r="AN1552" s="520"/>
      <c r="AO1552" s="520"/>
      <c r="AP1552" s="520"/>
      <c r="AQ1552" s="520"/>
      <c r="AR1552" s="520"/>
      <c r="AS1552" s="520"/>
      <c r="AT1552" s="520"/>
      <c r="AU1552" s="520"/>
      <c r="AV1552" s="520"/>
      <c r="AY1552" s="507"/>
      <c r="BA1552" s="507"/>
      <c r="BJ1552" s="493"/>
      <c r="CU1552" s="488"/>
      <c r="CW1552" s="488"/>
      <c r="EV1552" s="821"/>
      <c r="EW1552" s="821"/>
    </row>
    <row r="1553" spans="1:153" s="757" customFormat="1" hidden="1">
      <c r="A1553" s="487"/>
      <c r="B1553" s="487"/>
      <c r="C1553" s="487"/>
      <c r="D1553" s="487"/>
      <c r="I1553" s="487"/>
      <c r="J1553" s="487"/>
      <c r="K1553" s="487"/>
      <c r="L1553" s="487"/>
      <c r="M1553" s="487"/>
      <c r="N1553" s="487"/>
      <c r="O1553" s="875"/>
      <c r="Q1553" s="704"/>
      <c r="R1553" s="1026"/>
      <c r="S1553" s="704"/>
      <c r="T1553" s="1026"/>
      <c r="AB1553" s="520"/>
      <c r="AC1553" s="520"/>
      <c r="AD1553" s="520"/>
      <c r="AE1553" s="520"/>
      <c r="AF1553" s="520"/>
      <c r="AG1553" s="520"/>
      <c r="AH1553" s="520"/>
      <c r="AI1553" s="520"/>
      <c r="AJ1553" s="520"/>
      <c r="AK1553" s="520"/>
      <c r="AL1553" s="520"/>
      <c r="AM1553" s="520"/>
      <c r="AN1553" s="520"/>
      <c r="AO1553" s="520"/>
      <c r="AP1553" s="520"/>
      <c r="AQ1553" s="520"/>
      <c r="AR1553" s="520"/>
      <c r="AS1553" s="520"/>
      <c r="AT1553" s="520"/>
      <c r="AU1553" s="520"/>
      <c r="AV1553" s="520"/>
      <c r="AY1553" s="507"/>
      <c r="BA1553" s="507"/>
      <c r="BJ1553" s="493"/>
      <c r="CU1553" s="488"/>
      <c r="CW1553" s="488"/>
      <c r="EV1553" s="821"/>
      <c r="EW1553" s="821"/>
    </row>
    <row r="1554" spans="1:153" s="757" customFormat="1" hidden="1">
      <c r="A1554" s="487"/>
      <c r="B1554" s="487"/>
      <c r="C1554" s="487"/>
      <c r="D1554" s="487"/>
      <c r="I1554" s="487"/>
      <c r="J1554" s="487"/>
      <c r="K1554" s="487"/>
      <c r="L1554" s="487"/>
      <c r="M1554" s="487"/>
      <c r="N1554" s="487"/>
      <c r="O1554" s="875"/>
      <c r="Q1554" s="704"/>
      <c r="R1554" s="1026"/>
      <c r="S1554" s="704"/>
      <c r="T1554" s="1026"/>
      <c r="AB1554" s="520"/>
      <c r="AC1554" s="520"/>
      <c r="AD1554" s="520"/>
      <c r="AE1554" s="520"/>
      <c r="AF1554" s="520"/>
      <c r="AG1554" s="520"/>
      <c r="AH1554" s="520"/>
      <c r="AI1554" s="520"/>
      <c r="AJ1554" s="520"/>
      <c r="AK1554" s="520"/>
      <c r="AL1554" s="520"/>
      <c r="AM1554" s="520"/>
      <c r="AN1554" s="520"/>
      <c r="AO1554" s="520"/>
      <c r="AP1554" s="520"/>
      <c r="AQ1554" s="520"/>
      <c r="AR1554" s="520"/>
      <c r="AS1554" s="520"/>
      <c r="AT1554" s="520"/>
      <c r="AU1554" s="520"/>
      <c r="AV1554" s="520"/>
      <c r="AY1554" s="507"/>
      <c r="BA1554" s="507"/>
      <c r="BJ1554" s="493"/>
      <c r="CU1554" s="488"/>
      <c r="CW1554" s="488"/>
      <c r="EV1554" s="821"/>
      <c r="EW1554" s="821"/>
    </row>
    <row r="1555" spans="1:153" s="757" customFormat="1" hidden="1">
      <c r="A1555" s="487"/>
      <c r="B1555" s="487"/>
      <c r="C1555" s="487"/>
      <c r="D1555" s="487"/>
      <c r="I1555" s="487"/>
      <c r="J1555" s="487"/>
      <c r="K1555" s="487"/>
      <c r="L1555" s="487"/>
      <c r="M1555" s="487"/>
      <c r="N1555" s="487"/>
      <c r="O1555" s="875"/>
      <c r="Q1555" s="704"/>
      <c r="R1555" s="1026"/>
      <c r="S1555" s="704"/>
      <c r="T1555" s="1026"/>
      <c r="AB1555" s="520"/>
      <c r="AC1555" s="520"/>
      <c r="AD1555" s="520"/>
      <c r="AE1555" s="520"/>
      <c r="AF1555" s="520"/>
      <c r="AG1555" s="520"/>
      <c r="AH1555" s="520"/>
      <c r="AI1555" s="520"/>
      <c r="AJ1555" s="520"/>
      <c r="AK1555" s="520"/>
      <c r="AL1555" s="520"/>
      <c r="AM1555" s="520"/>
      <c r="AN1555" s="520"/>
      <c r="AO1555" s="520"/>
      <c r="AP1555" s="520"/>
      <c r="AQ1555" s="520"/>
      <c r="AR1555" s="520"/>
      <c r="AS1555" s="520"/>
      <c r="AT1555" s="520"/>
      <c r="AU1555" s="520"/>
      <c r="AV1555" s="520"/>
      <c r="AY1555" s="507"/>
      <c r="BA1555" s="507"/>
      <c r="BJ1555" s="493"/>
      <c r="CU1555" s="488"/>
      <c r="CW1555" s="488"/>
      <c r="EV1555" s="821"/>
      <c r="EW1555" s="821"/>
    </row>
    <row r="1556" spans="1:153" s="757" customFormat="1" hidden="1">
      <c r="A1556" s="487"/>
      <c r="B1556" s="487"/>
      <c r="C1556" s="487"/>
      <c r="D1556" s="487"/>
      <c r="I1556" s="487"/>
      <c r="J1556" s="487"/>
      <c r="K1556" s="487"/>
      <c r="L1556" s="487"/>
      <c r="M1556" s="487"/>
      <c r="N1556" s="487"/>
      <c r="O1556" s="875"/>
      <c r="Q1556" s="704"/>
      <c r="R1556" s="1026"/>
      <c r="S1556" s="704"/>
      <c r="T1556" s="1026"/>
      <c r="AB1556" s="520"/>
      <c r="AC1556" s="520"/>
      <c r="AD1556" s="520"/>
      <c r="AE1556" s="520"/>
      <c r="AF1556" s="520"/>
      <c r="AG1556" s="520"/>
      <c r="AH1556" s="520"/>
      <c r="AI1556" s="520"/>
      <c r="AJ1556" s="520"/>
      <c r="AK1556" s="520"/>
      <c r="AL1556" s="520"/>
      <c r="AM1556" s="520"/>
      <c r="AN1556" s="520"/>
      <c r="AO1556" s="520"/>
      <c r="AP1556" s="520"/>
      <c r="AQ1556" s="520"/>
      <c r="AR1556" s="520"/>
      <c r="AS1556" s="520"/>
      <c r="AT1556" s="520"/>
      <c r="AU1556" s="520"/>
      <c r="AV1556" s="520"/>
      <c r="AY1556" s="507"/>
      <c r="BA1556" s="507"/>
      <c r="BJ1556" s="493"/>
      <c r="CU1556" s="488"/>
      <c r="CW1556" s="488"/>
      <c r="EV1556" s="821"/>
      <c r="EW1556" s="821"/>
    </row>
    <row r="1557" spans="1:153" s="757" customFormat="1" hidden="1">
      <c r="A1557" s="487"/>
      <c r="B1557" s="487"/>
      <c r="C1557" s="487"/>
      <c r="D1557" s="487"/>
      <c r="I1557" s="487"/>
      <c r="J1557" s="487"/>
      <c r="K1557" s="487"/>
      <c r="L1557" s="487"/>
      <c r="M1557" s="487"/>
      <c r="N1557" s="487"/>
      <c r="O1557" s="875"/>
      <c r="Q1557" s="704"/>
      <c r="R1557" s="1026"/>
      <c r="S1557" s="704"/>
      <c r="T1557" s="1026"/>
      <c r="AB1557" s="520"/>
      <c r="AC1557" s="520"/>
      <c r="AD1557" s="520"/>
      <c r="AE1557" s="520"/>
      <c r="AF1557" s="520"/>
      <c r="AG1557" s="520"/>
      <c r="AH1557" s="520"/>
      <c r="AI1557" s="520"/>
      <c r="AJ1557" s="520"/>
      <c r="AK1557" s="520"/>
      <c r="AL1557" s="520"/>
      <c r="AM1557" s="520"/>
      <c r="AN1557" s="520"/>
      <c r="AO1557" s="520"/>
      <c r="AP1557" s="520"/>
      <c r="AQ1557" s="520"/>
      <c r="AR1557" s="520"/>
      <c r="AS1557" s="520"/>
      <c r="AT1557" s="520"/>
      <c r="AU1557" s="520"/>
      <c r="AV1557" s="520"/>
      <c r="AY1557" s="507"/>
      <c r="BA1557" s="507"/>
      <c r="BJ1557" s="493"/>
      <c r="CU1557" s="488"/>
      <c r="CW1557" s="488"/>
      <c r="EV1557" s="821"/>
      <c r="EW1557" s="821"/>
    </row>
    <row r="1558" spans="1:153" s="757" customFormat="1" hidden="1">
      <c r="A1558" s="487"/>
      <c r="B1558" s="487"/>
      <c r="C1558" s="487"/>
      <c r="D1558" s="487"/>
      <c r="I1558" s="487"/>
      <c r="J1558" s="487"/>
      <c r="K1558" s="487"/>
      <c r="L1558" s="487"/>
      <c r="M1558" s="487"/>
      <c r="N1558" s="487"/>
      <c r="O1558" s="875"/>
      <c r="Q1558" s="704"/>
      <c r="R1558" s="1026"/>
      <c r="S1558" s="704"/>
      <c r="T1558" s="1026"/>
      <c r="AB1558" s="520"/>
      <c r="AC1558" s="520"/>
      <c r="AD1558" s="520"/>
      <c r="AE1558" s="520"/>
      <c r="AF1558" s="520"/>
      <c r="AG1558" s="520"/>
      <c r="AH1558" s="520"/>
      <c r="AI1558" s="520"/>
      <c r="AJ1558" s="520"/>
      <c r="AK1558" s="520"/>
      <c r="AL1558" s="520"/>
      <c r="AM1558" s="520"/>
      <c r="AN1558" s="520"/>
      <c r="AO1558" s="520"/>
      <c r="AP1558" s="520"/>
      <c r="AQ1558" s="520"/>
      <c r="AR1558" s="520"/>
      <c r="AS1558" s="520"/>
      <c r="AT1558" s="520"/>
      <c r="AU1558" s="520"/>
      <c r="AV1558" s="520"/>
      <c r="AY1558" s="507"/>
      <c r="BA1558" s="507"/>
      <c r="BJ1558" s="493"/>
      <c r="CU1558" s="488"/>
      <c r="CW1558" s="488"/>
      <c r="EV1558" s="821"/>
      <c r="EW1558" s="821"/>
    </row>
    <row r="1559" spans="1:153" s="757" customFormat="1" hidden="1">
      <c r="A1559" s="487"/>
      <c r="B1559" s="487"/>
      <c r="C1559" s="487"/>
      <c r="D1559" s="487"/>
      <c r="I1559" s="487"/>
      <c r="J1559" s="487"/>
      <c r="K1559" s="487"/>
      <c r="L1559" s="487"/>
      <c r="M1559" s="487"/>
      <c r="N1559" s="487"/>
      <c r="O1559" s="875"/>
      <c r="Q1559" s="704"/>
      <c r="R1559" s="1026"/>
      <c r="S1559" s="704"/>
      <c r="T1559" s="1026"/>
      <c r="AB1559" s="520"/>
      <c r="AC1559" s="520"/>
      <c r="AD1559" s="520"/>
      <c r="AE1559" s="520"/>
      <c r="AF1559" s="520"/>
      <c r="AG1559" s="520"/>
      <c r="AH1559" s="520"/>
      <c r="AI1559" s="520"/>
      <c r="AJ1559" s="520"/>
      <c r="AK1559" s="520"/>
      <c r="AL1559" s="520"/>
      <c r="AM1559" s="520"/>
      <c r="AN1559" s="520"/>
      <c r="AO1559" s="520"/>
      <c r="AP1559" s="520"/>
      <c r="AQ1559" s="520"/>
      <c r="AR1559" s="520"/>
      <c r="AS1559" s="520"/>
      <c r="AT1559" s="520"/>
      <c r="AU1559" s="520"/>
      <c r="AV1559" s="520"/>
      <c r="AY1559" s="507"/>
      <c r="BA1559" s="507"/>
      <c r="BJ1559" s="493"/>
      <c r="CU1559" s="488"/>
      <c r="CW1559" s="488"/>
      <c r="EV1559" s="821"/>
      <c r="EW1559" s="821"/>
    </row>
    <row r="1560" spans="1:153" s="757" customFormat="1" hidden="1">
      <c r="A1560" s="487"/>
      <c r="B1560" s="487"/>
      <c r="C1560" s="487"/>
      <c r="D1560" s="487"/>
      <c r="I1560" s="487"/>
      <c r="J1560" s="487"/>
      <c r="K1560" s="487"/>
      <c r="L1560" s="487"/>
      <c r="M1560" s="487"/>
      <c r="N1560" s="487"/>
      <c r="O1560" s="875"/>
      <c r="Q1560" s="704"/>
      <c r="R1560" s="1026"/>
      <c r="S1560" s="704"/>
      <c r="T1560" s="1026"/>
      <c r="AB1560" s="520"/>
      <c r="AC1560" s="520"/>
      <c r="AD1560" s="520"/>
      <c r="AE1560" s="520"/>
      <c r="AF1560" s="520"/>
      <c r="AG1560" s="520"/>
      <c r="AH1560" s="520"/>
      <c r="AI1560" s="520"/>
      <c r="AJ1560" s="520"/>
      <c r="AK1560" s="520"/>
      <c r="AL1560" s="520"/>
      <c r="AM1560" s="520"/>
      <c r="AN1560" s="520"/>
      <c r="AO1560" s="520"/>
      <c r="AP1560" s="520"/>
      <c r="AQ1560" s="520"/>
      <c r="AR1560" s="520"/>
      <c r="AS1560" s="520"/>
      <c r="AT1560" s="520"/>
      <c r="AU1560" s="520"/>
      <c r="AV1560" s="520"/>
      <c r="AY1560" s="507"/>
      <c r="BA1560" s="507"/>
      <c r="BJ1560" s="493"/>
      <c r="CU1560" s="488"/>
      <c r="CW1560" s="488"/>
      <c r="EV1560" s="821"/>
      <c r="EW1560" s="821"/>
    </row>
    <row r="1561" spans="1:153" s="757" customFormat="1" hidden="1">
      <c r="A1561" s="487"/>
      <c r="B1561" s="487"/>
      <c r="C1561" s="487"/>
      <c r="D1561" s="487"/>
      <c r="I1561" s="487"/>
      <c r="J1561" s="487"/>
      <c r="K1561" s="487"/>
      <c r="L1561" s="487"/>
      <c r="M1561" s="487"/>
      <c r="N1561" s="487"/>
      <c r="O1561" s="875"/>
      <c r="Q1561" s="704"/>
      <c r="R1561" s="1026"/>
      <c r="S1561" s="704"/>
      <c r="T1561" s="1026"/>
      <c r="AB1561" s="520"/>
      <c r="AC1561" s="520"/>
      <c r="AD1561" s="520"/>
      <c r="AE1561" s="520"/>
      <c r="AF1561" s="520"/>
      <c r="AG1561" s="520"/>
      <c r="AH1561" s="520"/>
      <c r="AI1561" s="520"/>
      <c r="AJ1561" s="520"/>
      <c r="AK1561" s="520"/>
      <c r="AL1561" s="520"/>
      <c r="AM1561" s="520"/>
      <c r="AN1561" s="520"/>
      <c r="AO1561" s="520"/>
      <c r="AP1561" s="520"/>
      <c r="AQ1561" s="520"/>
      <c r="AR1561" s="520"/>
      <c r="AS1561" s="520"/>
      <c r="AT1561" s="520"/>
      <c r="AU1561" s="520"/>
      <c r="AV1561" s="520"/>
      <c r="AY1561" s="507"/>
      <c r="BA1561" s="507"/>
      <c r="BJ1561" s="493"/>
      <c r="CU1561" s="488"/>
      <c r="CW1561" s="488"/>
      <c r="EV1561" s="821"/>
      <c r="EW1561" s="821"/>
    </row>
    <row r="1562" spans="1:153" s="757" customFormat="1" hidden="1">
      <c r="A1562" s="487"/>
      <c r="B1562" s="487"/>
      <c r="C1562" s="487"/>
      <c r="D1562" s="487"/>
      <c r="I1562" s="487"/>
      <c r="J1562" s="487"/>
      <c r="K1562" s="487"/>
      <c r="L1562" s="487"/>
      <c r="M1562" s="487"/>
      <c r="N1562" s="487"/>
      <c r="O1562" s="875"/>
      <c r="Q1562" s="704"/>
      <c r="R1562" s="1026"/>
      <c r="S1562" s="704"/>
      <c r="T1562" s="1026"/>
      <c r="AB1562" s="520"/>
      <c r="AC1562" s="520"/>
      <c r="AD1562" s="520"/>
      <c r="AE1562" s="520"/>
      <c r="AF1562" s="520"/>
      <c r="AG1562" s="520"/>
      <c r="AH1562" s="520"/>
      <c r="AI1562" s="520"/>
      <c r="AJ1562" s="520"/>
      <c r="AK1562" s="520"/>
      <c r="AL1562" s="520"/>
      <c r="AM1562" s="520"/>
      <c r="AN1562" s="520"/>
      <c r="AO1562" s="520"/>
      <c r="AP1562" s="520"/>
      <c r="AQ1562" s="520"/>
      <c r="AR1562" s="520"/>
      <c r="AS1562" s="520"/>
      <c r="AT1562" s="520"/>
      <c r="AU1562" s="520"/>
      <c r="AV1562" s="520"/>
      <c r="AY1562" s="507"/>
      <c r="BA1562" s="507"/>
      <c r="BJ1562" s="493"/>
      <c r="CU1562" s="488"/>
      <c r="CW1562" s="488"/>
      <c r="EV1562" s="821"/>
      <c r="EW1562" s="821"/>
    </row>
    <row r="1563" spans="1:153" s="757" customFormat="1" hidden="1">
      <c r="A1563" s="487"/>
      <c r="B1563" s="487"/>
      <c r="C1563" s="487"/>
      <c r="D1563" s="487"/>
      <c r="I1563" s="487"/>
      <c r="J1563" s="487"/>
      <c r="K1563" s="487"/>
      <c r="L1563" s="487"/>
      <c r="M1563" s="487"/>
      <c r="N1563" s="487"/>
      <c r="O1563" s="875"/>
      <c r="Q1563" s="704"/>
      <c r="R1563" s="1026"/>
      <c r="S1563" s="704"/>
      <c r="T1563" s="1026"/>
      <c r="AB1563" s="520"/>
      <c r="AC1563" s="520"/>
      <c r="AD1563" s="520"/>
      <c r="AE1563" s="520"/>
      <c r="AF1563" s="520"/>
      <c r="AG1563" s="520"/>
      <c r="AH1563" s="520"/>
      <c r="AI1563" s="520"/>
      <c r="AJ1563" s="520"/>
      <c r="AK1563" s="520"/>
      <c r="AL1563" s="520"/>
      <c r="AM1563" s="520"/>
      <c r="AN1563" s="520"/>
      <c r="AO1563" s="520"/>
      <c r="AP1563" s="520"/>
      <c r="AQ1563" s="520"/>
      <c r="AR1563" s="520"/>
      <c r="AS1563" s="520"/>
      <c r="AT1563" s="520"/>
      <c r="AU1563" s="520"/>
      <c r="AV1563" s="520"/>
      <c r="AY1563" s="507"/>
      <c r="BA1563" s="507"/>
      <c r="BJ1563" s="493"/>
      <c r="CU1563" s="488"/>
      <c r="CW1563" s="488"/>
      <c r="EV1563" s="821"/>
      <c r="EW1563" s="821"/>
    </row>
    <row r="1564" spans="1:153" s="757" customFormat="1" hidden="1">
      <c r="A1564" s="487"/>
      <c r="B1564" s="487"/>
      <c r="C1564" s="487"/>
      <c r="D1564" s="487"/>
      <c r="I1564" s="487"/>
      <c r="J1564" s="487"/>
      <c r="K1564" s="487"/>
      <c r="L1564" s="487"/>
      <c r="M1564" s="487"/>
      <c r="N1564" s="487"/>
      <c r="O1564" s="875"/>
      <c r="Q1564" s="704"/>
      <c r="R1564" s="1026"/>
      <c r="S1564" s="704"/>
      <c r="T1564" s="1026"/>
      <c r="AB1564" s="520"/>
      <c r="AC1564" s="520"/>
      <c r="AD1564" s="520"/>
      <c r="AE1564" s="520"/>
      <c r="AF1564" s="520"/>
      <c r="AG1564" s="520"/>
      <c r="AH1564" s="520"/>
      <c r="AI1564" s="520"/>
      <c r="AJ1564" s="520"/>
      <c r="AK1564" s="520"/>
      <c r="AL1564" s="520"/>
      <c r="AM1564" s="520"/>
      <c r="AN1564" s="520"/>
      <c r="AO1564" s="520"/>
      <c r="AP1564" s="520"/>
      <c r="AQ1564" s="520"/>
      <c r="AR1564" s="520"/>
      <c r="AS1564" s="520"/>
      <c r="AT1564" s="520"/>
      <c r="AU1564" s="520"/>
      <c r="AV1564" s="520"/>
      <c r="AY1564" s="507"/>
      <c r="BA1564" s="507"/>
      <c r="BJ1564" s="493"/>
      <c r="CU1564" s="488"/>
      <c r="CW1564" s="488"/>
      <c r="EV1564" s="821"/>
      <c r="EW1564" s="821"/>
    </row>
    <row r="1565" spans="1:153" s="757" customFormat="1" hidden="1">
      <c r="A1565" s="487"/>
      <c r="B1565" s="487"/>
      <c r="C1565" s="487"/>
      <c r="D1565" s="487"/>
      <c r="I1565" s="487"/>
      <c r="J1565" s="487"/>
      <c r="K1565" s="487"/>
      <c r="L1565" s="487"/>
      <c r="M1565" s="487"/>
      <c r="N1565" s="487"/>
      <c r="O1565" s="875"/>
      <c r="Q1565" s="704"/>
      <c r="R1565" s="1026"/>
      <c r="S1565" s="704"/>
      <c r="T1565" s="1026"/>
      <c r="AB1565" s="520"/>
      <c r="AC1565" s="520"/>
      <c r="AD1565" s="520"/>
      <c r="AE1565" s="520"/>
      <c r="AF1565" s="520"/>
      <c r="AG1565" s="520"/>
      <c r="AH1565" s="520"/>
      <c r="AI1565" s="520"/>
      <c r="AJ1565" s="520"/>
      <c r="AK1565" s="520"/>
      <c r="AL1565" s="520"/>
      <c r="AM1565" s="520"/>
      <c r="AN1565" s="520"/>
      <c r="AO1565" s="520"/>
      <c r="AP1565" s="520"/>
      <c r="AQ1565" s="520"/>
      <c r="AR1565" s="520"/>
      <c r="AS1565" s="520"/>
      <c r="AT1565" s="520"/>
      <c r="AU1565" s="520"/>
      <c r="AV1565" s="520"/>
      <c r="AY1565" s="507"/>
      <c r="BA1565" s="507"/>
      <c r="BJ1565" s="493"/>
      <c r="CU1565" s="488"/>
      <c r="CW1565" s="488"/>
      <c r="EV1565" s="821"/>
      <c r="EW1565" s="821"/>
    </row>
    <row r="1566" spans="1:153" s="757" customFormat="1" hidden="1">
      <c r="A1566" s="487"/>
      <c r="B1566" s="487"/>
      <c r="C1566" s="487"/>
      <c r="D1566" s="487"/>
      <c r="I1566" s="487"/>
      <c r="J1566" s="487"/>
      <c r="K1566" s="487"/>
      <c r="L1566" s="487"/>
      <c r="M1566" s="487"/>
      <c r="N1566" s="487"/>
      <c r="O1566" s="875"/>
      <c r="Q1566" s="704"/>
      <c r="R1566" s="1026"/>
      <c r="S1566" s="704"/>
      <c r="T1566" s="1026"/>
      <c r="AB1566" s="520"/>
      <c r="AC1566" s="520"/>
      <c r="AD1566" s="520"/>
      <c r="AE1566" s="520"/>
      <c r="AF1566" s="520"/>
      <c r="AG1566" s="520"/>
      <c r="AH1566" s="520"/>
      <c r="AI1566" s="520"/>
      <c r="AJ1566" s="520"/>
      <c r="AK1566" s="520"/>
      <c r="AL1566" s="520"/>
      <c r="AM1566" s="520"/>
      <c r="AN1566" s="520"/>
      <c r="AO1566" s="520"/>
      <c r="AP1566" s="520"/>
      <c r="AQ1566" s="520"/>
      <c r="AR1566" s="520"/>
      <c r="AS1566" s="520"/>
      <c r="AT1566" s="520"/>
      <c r="AU1566" s="520"/>
      <c r="AV1566" s="520"/>
      <c r="AY1566" s="507"/>
      <c r="BA1566" s="507"/>
      <c r="BJ1566" s="493"/>
      <c r="CU1566" s="488"/>
      <c r="CW1566" s="488"/>
      <c r="EV1566" s="821"/>
      <c r="EW1566" s="821"/>
    </row>
    <row r="1567" spans="1:153" s="757" customFormat="1" hidden="1">
      <c r="A1567" s="487"/>
      <c r="B1567" s="487"/>
      <c r="C1567" s="487"/>
      <c r="D1567" s="487"/>
      <c r="I1567" s="487"/>
      <c r="J1567" s="487"/>
      <c r="K1567" s="487"/>
      <c r="L1567" s="487"/>
      <c r="M1567" s="487"/>
      <c r="N1567" s="487"/>
      <c r="O1567" s="875"/>
      <c r="Q1567" s="704"/>
      <c r="R1567" s="1026"/>
      <c r="S1567" s="704"/>
      <c r="T1567" s="1026"/>
      <c r="AB1567" s="520"/>
      <c r="AC1567" s="520"/>
      <c r="AD1567" s="520"/>
      <c r="AE1567" s="520"/>
      <c r="AF1567" s="520"/>
      <c r="AG1567" s="520"/>
      <c r="AH1567" s="520"/>
      <c r="AI1567" s="520"/>
      <c r="AJ1567" s="520"/>
      <c r="AK1567" s="520"/>
      <c r="AL1567" s="520"/>
      <c r="AM1567" s="520"/>
      <c r="AN1567" s="520"/>
      <c r="AO1567" s="520"/>
      <c r="AP1567" s="520"/>
      <c r="AQ1567" s="520"/>
      <c r="AR1567" s="520"/>
      <c r="AS1567" s="520"/>
      <c r="AT1567" s="520"/>
      <c r="AU1567" s="520"/>
      <c r="AV1567" s="520"/>
      <c r="AY1567" s="507"/>
      <c r="BA1567" s="507"/>
      <c r="BJ1567" s="493"/>
      <c r="CU1567" s="488"/>
      <c r="CW1567" s="488"/>
      <c r="EV1567" s="821"/>
      <c r="EW1567" s="821"/>
    </row>
    <row r="1568" spans="1:153" s="757" customFormat="1" hidden="1">
      <c r="A1568" s="487"/>
      <c r="B1568" s="487"/>
      <c r="C1568" s="487"/>
      <c r="D1568" s="487"/>
      <c r="I1568" s="487"/>
      <c r="J1568" s="487"/>
      <c r="K1568" s="487"/>
      <c r="L1568" s="487"/>
      <c r="M1568" s="487"/>
      <c r="N1568" s="487"/>
      <c r="O1568" s="875"/>
      <c r="Q1568" s="704"/>
      <c r="R1568" s="1026"/>
      <c r="S1568" s="704"/>
      <c r="T1568" s="1026"/>
      <c r="AB1568" s="520"/>
      <c r="AC1568" s="520"/>
      <c r="AD1568" s="520"/>
      <c r="AE1568" s="520"/>
      <c r="AF1568" s="520"/>
      <c r="AG1568" s="520"/>
      <c r="AH1568" s="520"/>
      <c r="AI1568" s="520"/>
      <c r="AJ1568" s="520"/>
      <c r="AK1568" s="520"/>
      <c r="AL1568" s="520"/>
      <c r="AM1568" s="520"/>
      <c r="AN1568" s="520"/>
      <c r="AO1568" s="520"/>
      <c r="AP1568" s="520"/>
      <c r="AQ1568" s="520"/>
      <c r="AR1568" s="520"/>
      <c r="AS1568" s="520"/>
      <c r="AT1568" s="520"/>
      <c r="AU1568" s="520"/>
      <c r="AV1568" s="520"/>
      <c r="AY1568" s="507"/>
      <c r="BA1568" s="507"/>
      <c r="BJ1568" s="493"/>
      <c r="CU1568" s="488"/>
      <c r="CW1568" s="488"/>
      <c r="EV1568" s="821"/>
      <c r="EW1568" s="821"/>
    </row>
    <row r="1569" spans="1:153" s="757" customFormat="1" hidden="1">
      <c r="A1569" s="487"/>
      <c r="B1569" s="487"/>
      <c r="C1569" s="487"/>
      <c r="D1569" s="487"/>
      <c r="I1569" s="487"/>
      <c r="J1569" s="487"/>
      <c r="K1569" s="487"/>
      <c r="L1569" s="487"/>
      <c r="M1569" s="487"/>
      <c r="N1569" s="487"/>
      <c r="O1569" s="875"/>
      <c r="Q1569" s="704"/>
      <c r="R1569" s="1026"/>
      <c r="S1569" s="704"/>
      <c r="T1569" s="1026"/>
      <c r="AB1569" s="520"/>
      <c r="AC1569" s="520"/>
      <c r="AD1569" s="520"/>
      <c r="AE1569" s="520"/>
      <c r="AF1569" s="520"/>
      <c r="AG1569" s="520"/>
      <c r="AH1569" s="520"/>
      <c r="AI1569" s="520"/>
      <c r="AJ1569" s="520"/>
      <c r="AK1569" s="520"/>
      <c r="AL1569" s="520"/>
      <c r="AM1569" s="520"/>
      <c r="AN1569" s="520"/>
      <c r="AO1569" s="520"/>
      <c r="AP1569" s="520"/>
      <c r="AQ1569" s="520"/>
      <c r="AR1569" s="520"/>
      <c r="AS1569" s="520"/>
      <c r="AT1569" s="520"/>
      <c r="AU1569" s="520"/>
      <c r="AV1569" s="520"/>
      <c r="AY1569" s="507"/>
      <c r="BA1569" s="507"/>
      <c r="BJ1569" s="493"/>
      <c r="CU1569" s="488"/>
      <c r="CW1569" s="488"/>
      <c r="EV1569" s="821"/>
      <c r="EW1569" s="821"/>
    </row>
    <row r="1570" spans="1:153" s="757" customFormat="1" hidden="1">
      <c r="A1570" s="487"/>
      <c r="B1570" s="487"/>
      <c r="C1570" s="487"/>
      <c r="D1570" s="487"/>
      <c r="I1570" s="487"/>
      <c r="J1570" s="487"/>
      <c r="K1570" s="487"/>
      <c r="L1570" s="487"/>
      <c r="M1570" s="487"/>
      <c r="N1570" s="487"/>
      <c r="O1570" s="875"/>
      <c r="Q1570" s="704"/>
      <c r="R1570" s="1026"/>
      <c r="S1570" s="704"/>
      <c r="T1570" s="1026"/>
      <c r="AB1570" s="520"/>
      <c r="AC1570" s="520"/>
      <c r="AD1570" s="520"/>
      <c r="AE1570" s="520"/>
      <c r="AF1570" s="520"/>
      <c r="AG1570" s="520"/>
      <c r="AH1570" s="520"/>
      <c r="AI1570" s="520"/>
      <c r="AJ1570" s="520"/>
      <c r="AK1570" s="520"/>
      <c r="AL1570" s="520"/>
      <c r="AM1570" s="520"/>
      <c r="AN1570" s="520"/>
      <c r="AO1570" s="520"/>
      <c r="AP1570" s="520"/>
      <c r="AQ1570" s="520"/>
      <c r="AR1570" s="520"/>
      <c r="AS1570" s="520"/>
      <c r="AT1570" s="520"/>
      <c r="AU1570" s="520"/>
      <c r="AV1570" s="520"/>
      <c r="AY1570" s="507"/>
      <c r="BA1570" s="507"/>
      <c r="BJ1570" s="493"/>
      <c r="CU1570" s="488"/>
      <c r="CW1570" s="488"/>
      <c r="EV1570" s="821"/>
      <c r="EW1570" s="821"/>
    </row>
    <row r="1571" spans="1:153" s="757" customFormat="1" hidden="1">
      <c r="A1571" s="487"/>
      <c r="B1571" s="487"/>
      <c r="C1571" s="487"/>
      <c r="D1571" s="487"/>
      <c r="I1571" s="487"/>
      <c r="J1571" s="487"/>
      <c r="K1571" s="487"/>
      <c r="L1571" s="487"/>
      <c r="M1571" s="487"/>
      <c r="N1571" s="487"/>
      <c r="O1571" s="875"/>
      <c r="Q1571" s="704"/>
      <c r="R1571" s="1026"/>
      <c r="S1571" s="704"/>
      <c r="T1571" s="1026"/>
      <c r="AB1571" s="520"/>
      <c r="AC1571" s="520"/>
      <c r="AD1571" s="520"/>
      <c r="AE1571" s="520"/>
      <c r="AF1571" s="520"/>
      <c r="AG1571" s="520"/>
      <c r="AH1571" s="520"/>
      <c r="AI1571" s="520"/>
      <c r="AJ1571" s="520"/>
      <c r="AK1571" s="520"/>
      <c r="AL1571" s="520"/>
      <c r="AM1571" s="520"/>
      <c r="AN1571" s="520"/>
      <c r="AO1571" s="520"/>
      <c r="AP1571" s="520"/>
      <c r="AQ1571" s="520"/>
      <c r="AR1571" s="520"/>
      <c r="AS1571" s="520"/>
      <c r="AT1571" s="520"/>
      <c r="AU1571" s="520"/>
      <c r="AV1571" s="520"/>
      <c r="AY1571" s="507"/>
      <c r="BA1571" s="507"/>
      <c r="BJ1571" s="493"/>
      <c r="CU1571" s="488"/>
      <c r="CW1571" s="488"/>
      <c r="EV1571" s="821"/>
      <c r="EW1571" s="821"/>
    </row>
    <row r="1572" spans="1:153" s="757" customFormat="1" hidden="1">
      <c r="A1572" s="487"/>
      <c r="B1572" s="487"/>
      <c r="C1572" s="487"/>
      <c r="D1572" s="487"/>
      <c r="I1572" s="487"/>
      <c r="J1572" s="487"/>
      <c r="K1572" s="487"/>
      <c r="L1572" s="487"/>
      <c r="M1572" s="487"/>
      <c r="N1572" s="487"/>
      <c r="O1572" s="875"/>
      <c r="Q1572" s="704"/>
      <c r="R1572" s="1026"/>
      <c r="S1572" s="704"/>
      <c r="T1572" s="1026"/>
      <c r="AB1572" s="520"/>
      <c r="AC1572" s="520"/>
      <c r="AD1572" s="520"/>
      <c r="AE1572" s="520"/>
      <c r="AF1572" s="520"/>
      <c r="AG1572" s="520"/>
      <c r="AH1572" s="520"/>
      <c r="AI1572" s="520"/>
      <c r="AJ1572" s="520"/>
      <c r="AK1572" s="520"/>
      <c r="AL1572" s="520"/>
      <c r="AM1572" s="520"/>
      <c r="AN1572" s="520"/>
      <c r="AO1572" s="520"/>
      <c r="AP1572" s="520"/>
      <c r="AQ1572" s="520"/>
      <c r="AR1572" s="520"/>
      <c r="AS1572" s="520"/>
      <c r="AT1572" s="520"/>
      <c r="AU1572" s="520"/>
      <c r="AV1572" s="520"/>
      <c r="AY1572" s="507"/>
      <c r="BA1572" s="507"/>
      <c r="BJ1572" s="493"/>
      <c r="CU1572" s="488"/>
      <c r="CW1572" s="488"/>
      <c r="EV1572" s="821"/>
      <c r="EW1572" s="821"/>
    </row>
    <row r="1573" spans="1:153" s="757" customFormat="1" hidden="1">
      <c r="A1573" s="487"/>
      <c r="B1573" s="487"/>
      <c r="C1573" s="487"/>
      <c r="D1573" s="487"/>
      <c r="I1573" s="487"/>
      <c r="J1573" s="487"/>
      <c r="K1573" s="487"/>
      <c r="L1573" s="487"/>
      <c r="M1573" s="487"/>
      <c r="N1573" s="487"/>
      <c r="O1573" s="875"/>
      <c r="Q1573" s="704"/>
      <c r="R1573" s="1026"/>
      <c r="S1573" s="704"/>
      <c r="T1573" s="1026"/>
      <c r="AB1573" s="520"/>
      <c r="AC1573" s="520"/>
      <c r="AD1573" s="520"/>
      <c r="AE1573" s="520"/>
      <c r="AF1573" s="520"/>
      <c r="AG1573" s="520"/>
      <c r="AH1573" s="520"/>
      <c r="AI1573" s="520"/>
      <c r="AJ1573" s="520"/>
      <c r="AK1573" s="520"/>
      <c r="AL1573" s="520"/>
      <c r="AM1573" s="520"/>
      <c r="AN1573" s="520"/>
      <c r="AO1573" s="520"/>
      <c r="AP1573" s="520"/>
      <c r="AQ1573" s="520"/>
      <c r="AR1573" s="520"/>
      <c r="AS1573" s="520"/>
      <c r="AT1573" s="520"/>
      <c r="AU1573" s="520"/>
      <c r="AV1573" s="520"/>
      <c r="AY1573" s="507"/>
      <c r="BA1573" s="507"/>
      <c r="BJ1573" s="493"/>
      <c r="CU1573" s="488"/>
      <c r="CW1573" s="488"/>
      <c r="EV1573" s="821"/>
      <c r="EW1573" s="821"/>
    </row>
    <row r="1574" spans="1:153" s="757" customFormat="1" hidden="1">
      <c r="A1574" s="487"/>
      <c r="B1574" s="487"/>
      <c r="C1574" s="487"/>
      <c r="D1574" s="487"/>
      <c r="I1574" s="487"/>
      <c r="J1574" s="487"/>
      <c r="K1574" s="487"/>
      <c r="L1574" s="487"/>
      <c r="M1574" s="487"/>
      <c r="N1574" s="487"/>
      <c r="O1574" s="875"/>
      <c r="Q1574" s="704"/>
      <c r="R1574" s="1026"/>
      <c r="S1574" s="704"/>
      <c r="T1574" s="1026"/>
      <c r="AB1574" s="520"/>
      <c r="AC1574" s="520"/>
      <c r="AD1574" s="520"/>
      <c r="AE1574" s="520"/>
      <c r="AF1574" s="520"/>
      <c r="AG1574" s="520"/>
      <c r="AH1574" s="520"/>
      <c r="AI1574" s="520"/>
      <c r="AJ1574" s="520"/>
      <c r="AK1574" s="520"/>
      <c r="AL1574" s="520"/>
      <c r="AM1574" s="520"/>
      <c r="AN1574" s="520"/>
      <c r="AO1574" s="520"/>
      <c r="AP1574" s="520"/>
      <c r="AQ1574" s="520"/>
      <c r="AR1574" s="520"/>
      <c r="AS1574" s="520"/>
      <c r="AT1574" s="520"/>
      <c r="AU1574" s="520"/>
      <c r="AV1574" s="520"/>
      <c r="AY1574" s="507"/>
      <c r="BA1574" s="507"/>
      <c r="BJ1574" s="493"/>
      <c r="CU1574" s="488"/>
      <c r="CW1574" s="488"/>
      <c r="EV1574" s="821"/>
      <c r="EW1574" s="821"/>
    </row>
    <row r="1575" spans="1:153" s="757" customFormat="1" hidden="1">
      <c r="A1575" s="487"/>
      <c r="B1575" s="487"/>
      <c r="C1575" s="487"/>
      <c r="D1575" s="487"/>
      <c r="I1575" s="487"/>
      <c r="J1575" s="487"/>
      <c r="K1575" s="487"/>
      <c r="L1575" s="487"/>
      <c r="M1575" s="487"/>
      <c r="N1575" s="487"/>
      <c r="O1575" s="875"/>
      <c r="Q1575" s="704"/>
      <c r="R1575" s="1026"/>
      <c r="S1575" s="704"/>
      <c r="T1575" s="1026"/>
      <c r="AB1575" s="520"/>
      <c r="AC1575" s="520"/>
      <c r="AD1575" s="520"/>
      <c r="AE1575" s="520"/>
      <c r="AF1575" s="520"/>
      <c r="AG1575" s="520"/>
      <c r="AH1575" s="520"/>
      <c r="AI1575" s="520"/>
      <c r="AJ1575" s="520"/>
      <c r="AK1575" s="520"/>
      <c r="AL1575" s="520"/>
      <c r="AM1575" s="520"/>
      <c r="AN1575" s="520"/>
      <c r="AO1575" s="520"/>
      <c r="AP1575" s="520"/>
      <c r="AQ1575" s="520"/>
      <c r="AR1575" s="520"/>
      <c r="AS1575" s="520"/>
      <c r="AT1575" s="520"/>
      <c r="AU1575" s="520"/>
      <c r="AV1575" s="520"/>
      <c r="AY1575" s="507"/>
      <c r="BA1575" s="507"/>
      <c r="BJ1575" s="493"/>
      <c r="CU1575" s="488"/>
      <c r="CW1575" s="488"/>
      <c r="EV1575" s="821"/>
      <c r="EW1575" s="821"/>
    </row>
    <row r="1576" spans="1:153" s="757" customFormat="1" hidden="1">
      <c r="A1576" s="487"/>
      <c r="B1576" s="487"/>
      <c r="C1576" s="487"/>
      <c r="D1576" s="487"/>
      <c r="I1576" s="487"/>
      <c r="J1576" s="487"/>
      <c r="K1576" s="487"/>
      <c r="L1576" s="487"/>
      <c r="M1576" s="487"/>
      <c r="N1576" s="487"/>
      <c r="O1576" s="875"/>
      <c r="Q1576" s="704"/>
      <c r="R1576" s="1026"/>
      <c r="S1576" s="704"/>
      <c r="T1576" s="1026"/>
      <c r="AB1576" s="520"/>
      <c r="AC1576" s="520"/>
      <c r="AD1576" s="520"/>
      <c r="AE1576" s="520"/>
      <c r="AF1576" s="520"/>
      <c r="AG1576" s="520"/>
      <c r="AH1576" s="520"/>
      <c r="AI1576" s="520"/>
      <c r="AJ1576" s="520"/>
      <c r="AK1576" s="520"/>
      <c r="AL1576" s="520"/>
      <c r="AM1576" s="520"/>
      <c r="AN1576" s="520"/>
      <c r="AO1576" s="520"/>
      <c r="AP1576" s="520"/>
      <c r="AQ1576" s="520"/>
      <c r="AR1576" s="520"/>
      <c r="AS1576" s="520"/>
      <c r="AT1576" s="520"/>
      <c r="AU1576" s="520"/>
      <c r="AV1576" s="520"/>
      <c r="AY1576" s="507"/>
      <c r="BA1576" s="507"/>
      <c r="BJ1576" s="493"/>
      <c r="CU1576" s="488"/>
      <c r="CW1576" s="488"/>
      <c r="EV1576" s="821"/>
      <c r="EW1576" s="821"/>
    </row>
    <row r="1577" spans="1:153" s="757" customFormat="1" hidden="1">
      <c r="A1577" s="487"/>
      <c r="B1577" s="487"/>
      <c r="C1577" s="487"/>
      <c r="D1577" s="487"/>
      <c r="I1577" s="487"/>
      <c r="J1577" s="487"/>
      <c r="K1577" s="487"/>
      <c r="L1577" s="487"/>
      <c r="M1577" s="487"/>
      <c r="N1577" s="487"/>
      <c r="O1577" s="875"/>
      <c r="Q1577" s="704"/>
      <c r="R1577" s="1026"/>
      <c r="S1577" s="704"/>
      <c r="T1577" s="1026"/>
      <c r="AB1577" s="520"/>
      <c r="AC1577" s="520"/>
      <c r="AD1577" s="520"/>
      <c r="AE1577" s="520"/>
      <c r="AF1577" s="520"/>
      <c r="AG1577" s="520"/>
      <c r="AH1577" s="520"/>
      <c r="AI1577" s="520"/>
      <c r="AJ1577" s="520"/>
      <c r="AK1577" s="520"/>
      <c r="AL1577" s="520"/>
      <c r="AM1577" s="520"/>
      <c r="AN1577" s="520"/>
      <c r="AO1577" s="520"/>
      <c r="AP1577" s="520"/>
      <c r="AQ1577" s="520"/>
      <c r="AR1577" s="520"/>
      <c r="AS1577" s="520"/>
      <c r="AT1577" s="520"/>
      <c r="AU1577" s="520"/>
      <c r="AV1577" s="520"/>
      <c r="AY1577" s="507"/>
      <c r="BA1577" s="507"/>
      <c r="BJ1577" s="493"/>
      <c r="CU1577" s="488"/>
      <c r="CW1577" s="488"/>
      <c r="EV1577" s="821"/>
      <c r="EW1577" s="821"/>
    </row>
    <row r="1578" spans="1:153" s="757" customFormat="1" hidden="1">
      <c r="A1578" s="487"/>
      <c r="B1578" s="487"/>
      <c r="C1578" s="487"/>
      <c r="D1578" s="487"/>
      <c r="I1578" s="487"/>
      <c r="J1578" s="487"/>
      <c r="K1578" s="487"/>
      <c r="L1578" s="487"/>
      <c r="M1578" s="487"/>
      <c r="N1578" s="487"/>
      <c r="O1578" s="875"/>
      <c r="Q1578" s="704"/>
      <c r="R1578" s="1026"/>
      <c r="S1578" s="704"/>
      <c r="T1578" s="1026"/>
      <c r="AB1578" s="520"/>
      <c r="AC1578" s="520"/>
      <c r="AD1578" s="520"/>
      <c r="AE1578" s="520"/>
      <c r="AF1578" s="520"/>
      <c r="AG1578" s="520"/>
      <c r="AH1578" s="520"/>
      <c r="AI1578" s="520"/>
      <c r="AJ1578" s="520"/>
      <c r="AK1578" s="520"/>
      <c r="AL1578" s="520"/>
      <c r="AM1578" s="520"/>
      <c r="AN1578" s="520"/>
      <c r="AO1578" s="520"/>
      <c r="AP1578" s="520"/>
      <c r="AQ1578" s="520"/>
      <c r="AR1578" s="520"/>
      <c r="AS1578" s="520"/>
      <c r="AT1578" s="520"/>
      <c r="AU1578" s="520"/>
      <c r="AV1578" s="520"/>
      <c r="AY1578" s="507"/>
      <c r="BA1578" s="507"/>
      <c r="BJ1578" s="493"/>
      <c r="CU1578" s="488"/>
      <c r="CW1578" s="488"/>
      <c r="EV1578" s="821"/>
      <c r="EW1578" s="821"/>
    </row>
    <row r="1579" spans="1:153" s="757" customFormat="1" hidden="1">
      <c r="A1579" s="487"/>
      <c r="B1579" s="487"/>
      <c r="C1579" s="487"/>
      <c r="D1579" s="487"/>
      <c r="I1579" s="487"/>
      <c r="J1579" s="487"/>
      <c r="K1579" s="487"/>
      <c r="L1579" s="487"/>
      <c r="M1579" s="487"/>
      <c r="N1579" s="487"/>
      <c r="O1579" s="875"/>
      <c r="Q1579" s="704"/>
      <c r="R1579" s="1026"/>
      <c r="S1579" s="704"/>
      <c r="T1579" s="1026"/>
      <c r="AB1579" s="520"/>
      <c r="AC1579" s="520"/>
      <c r="AD1579" s="520"/>
      <c r="AE1579" s="520"/>
      <c r="AF1579" s="520"/>
      <c r="AG1579" s="520"/>
      <c r="AH1579" s="520"/>
      <c r="AI1579" s="520"/>
      <c r="AJ1579" s="520"/>
      <c r="AK1579" s="520"/>
      <c r="AL1579" s="520"/>
      <c r="AM1579" s="520"/>
      <c r="AN1579" s="520"/>
      <c r="AO1579" s="520"/>
      <c r="AP1579" s="520"/>
      <c r="AQ1579" s="520"/>
      <c r="AR1579" s="520"/>
      <c r="AS1579" s="520"/>
      <c r="AT1579" s="520"/>
      <c r="AU1579" s="520"/>
      <c r="AV1579" s="520"/>
      <c r="AY1579" s="507"/>
      <c r="BA1579" s="507"/>
      <c r="BJ1579" s="493"/>
      <c r="CU1579" s="488"/>
      <c r="CW1579" s="488"/>
      <c r="EV1579" s="821"/>
      <c r="EW1579" s="821"/>
    </row>
    <row r="1580" spans="1:153" s="757" customFormat="1" hidden="1">
      <c r="A1580" s="487"/>
      <c r="B1580" s="487"/>
      <c r="C1580" s="487"/>
      <c r="D1580" s="487"/>
      <c r="I1580" s="487"/>
      <c r="J1580" s="487"/>
      <c r="K1580" s="487"/>
      <c r="L1580" s="487"/>
      <c r="M1580" s="487"/>
      <c r="N1580" s="487"/>
      <c r="O1580" s="875"/>
      <c r="Q1580" s="704"/>
      <c r="R1580" s="1026"/>
      <c r="S1580" s="704"/>
      <c r="T1580" s="1026"/>
      <c r="AB1580" s="520"/>
      <c r="AC1580" s="520"/>
      <c r="AD1580" s="520"/>
      <c r="AE1580" s="520"/>
      <c r="AF1580" s="520"/>
      <c r="AG1580" s="520"/>
      <c r="AH1580" s="520"/>
      <c r="AI1580" s="520"/>
      <c r="AJ1580" s="520"/>
      <c r="AK1580" s="520"/>
      <c r="AL1580" s="520"/>
      <c r="AM1580" s="520"/>
      <c r="AN1580" s="520"/>
      <c r="AO1580" s="520"/>
      <c r="AP1580" s="520"/>
      <c r="AQ1580" s="520"/>
      <c r="AR1580" s="520"/>
      <c r="AS1580" s="520"/>
      <c r="AT1580" s="520"/>
      <c r="AU1580" s="520"/>
      <c r="AV1580" s="520"/>
      <c r="AY1580" s="507"/>
      <c r="BA1580" s="507"/>
      <c r="BJ1580" s="493"/>
      <c r="CU1580" s="488"/>
      <c r="CW1580" s="488"/>
      <c r="EV1580" s="821"/>
      <c r="EW1580" s="821"/>
    </row>
    <row r="1581" spans="1:153" s="757" customFormat="1" hidden="1">
      <c r="A1581" s="487"/>
      <c r="B1581" s="487"/>
      <c r="C1581" s="487"/>
      <c r="D1581" s="487"/>
      <c r="I1581" s="487"/>
      <c r="J1581" s="487"/>
      <c r="K1581" s="487"/>
      <c r="L1581" s="487"/>
      <c r="M1581" s="487"/>
      <c r="N1581" s="487"/>
      <c r="O1581" s="875"/>
      <c r="Q1581" s="704"/>
      <c r="R1581" s="1026"/>
      <c r="S1581" s="704"/>
      <c r="T1581" s="1026"/>
      <c r="AB1581" s="520"/>
      <c r="AC1581" s="520"/>
      <c r="AD1581" s="520"/>
      <c r="AE1581" s="520"/>
      <c r="AF1581" s="520"/>
      <c r="AG1581" s="520"/>
      <c r="AH1581" s="520"/>
      <c r="AI1581" s="520"/>
      <c r="AJ1581" s="520"/>
      <c r="AK1581" s="520"/>
      <c r="AL1581" s="520"/>
      <c r="AM1581" s="520"/>
      <c r="AN1581" s="520"/>
      <c r="AO1581" s="520"/>
      <c r="AP1581" s="520"/>
      <c r="AQ1581" s="520"/>
      <c r="AR1581" s="520"/>
      <c r="AS1581" s="520"/>
      <c r="AT1581" s="520"/>
      <c r="AU1581" s="520"/>
      <c r="AV1581" s="520"/>
      <c r="AY1581" s="507"/>
      <c r="BA1581" s="507"/>
      <c r="BJ1581" s="493"/>
      <c r="CU1581" s="488"/>
      <c r="CW1581" s="488"/>
      <c r="EV1581" s="821"/>
      <c r="EW1581" s="821"/>
    </row>
    <row r="1582" spans="1:153" s="757" customFormat="1" hidden="1">
      <c r="A1582" s="487"/>
      <c r="B1582" s="487"/>
      <c r="C1582" s="487"/>
      <c r="D1582" s="487"/>
      <c r="I1582" s="487"/>
      <c r="J1582" s="487"/>
      <c r="K1582" s="487"/>
      <c r="L1582" s="487"/>
      <c r="M1582" s="487"/>
      <c r="N1582" s="487"/>
      <c r="O1582" s="875"/>
      <c r="Q1582" s="704"/>
      <c r="R1582" s="1026"/>
      <c r="S1582" s="704"/>
      <c r="T1582" s="1026"/>
      <c r="AB1582" s="520"/>
      <c r="AC1582" s="520"/>
      <c r="AD1582" s="520"/>
      <c r="AE1582" s="520"/>
      <c r="AF1582" s="520"/>
      <c r="AG1582" s="520"/>
      <c r="AH1582" s="520"/>
      <c r="AI1582" s="520"/>
      <c r="AJ1582" s="520"/>
      <c r="AK1582" s="520"/>
      <c r="AL1582" s="520"/>
      <c r="AM1582" s="520"/>
      <c r="AN1582" s="520"/>
      <c r="AO1582" s="520"/>
      <c r="AP1582" s="520"/>
      <c r="AQ1582" s="520"/>
      <c r="AR1582" s="520"/>
      <c r="AS1582" s="520"/>
      <c r="AT1582" s="520"/>
      <c r="AU1582" s="520"/>
      <c r="AV1582" s="520"/>
      <c r="AY1582" s="507"/>
      <c r="BA1582" s="507"/>
      <c r="BJ1582" s="493"/>
      <c r="CU1582" s="488"/>
      <c r="CW1582" s="488"/>
      <c r="EV1582" s="821"/>
      <c r="EW1582" s="821"/>
    </row>
    <row r="1583" spans="1:153" s="757" customFormat="1" hidden="1">
      <c r="A1583" s="487"/>
      <c r="B1583" s="487"/>
      <c r="C1583" s="487"/>
      <c r="D1583" s="487"/>
      <c r="I1583" s="487"/>
      <c r="J1583" s="487"/>
      <c r="K1583" s="487"/>
      <c r="L1583" s="487"/>
      <c r="M1583" s="487"/>
      <c r="N1583" s="487"/>
      <c r="O1583" s="875"/>
      <c r="Q1583" s="704"/>
      <c r="R1583" s="1026"/>
      <c r="S1583" s="704"/>
      <c r="T1583" s="1026"/>
      <c r="AB1583" s="520"/>
      <c r="AC1583" s="520"/>
      <c r="AD1583" s="520"/>
      <c r="AE1583" s="520"/>
      <c r="AF1583" s="520"/>
      <c r="AG1583" s="520"/>
      <c r="AH1583" s="520"/>
      <c r="AI1583" s="520"/>
      <c r="AJ1583" s="520"/>
      <c r="AK1583" s="520"/>
      <c r="AL1583" s="520"/>
      <c r="AM1583" s="520"/>
      <c r="AN1583" s="520"/>
      <c r="AO1583" s="520"/>
      <c r="AP1583" s="520"/>
      <c r="AQ1583" s="520"/>
      <c r="AR1583" s="520"/>
      <c r="AS1583" s="520"/>
      <c r="AT1583" s="520"/>
      <c r="AU1583" s="520"/>
      <c r="AV1583" s="520"/>
      <c r="AY1583" s="507"/>
      <c r="BA1583" s="507"/>
      <c r="BJ1583" s="493"/>
      <c r="CU1583" s="488"/>
      <c r="CW1583" s="488"/>
      <c r="EV1583" s="821"/>
      <c r="EW1583" s="821"/>
    </row>
    <row r="1584" spans="1:153" s="757" customFormat="1" hidden="1">
      <c r="A1584" s="487"/>
      <c r="B1584" s="487"/>
      <c r="C1584" s="487"/>
      <c r="D1584" s="487"/>
      <c r="I1584" s="487"/>
      <c r="J1584" s="487"/>
      <c r="K1584" s="487"/>
      <c r="L1584" s="487"/>
      <c r="M1584" s="487"/>
      <c r="N1584" s="487"/>
      <c r="O1584" s="875"/>
      <c r="Q1584" s="704"/>
      <c r="R1584" s="1026"/>
      <c r="S1584" s="704"/>
      <c r="T1584" s="1026"/>
      <c r="AB1584" s="520"/>
      <c r="AC1584" s="520"/>
      <c r="AD1584" s="520"/>
      <c r="AE1584" s="520"/>
      <c r="AF1584" s="520"/>
      <c r="AG1584" s="520"/>
      <c r="AH1584" s="520"/>
      <c r="AI1584" s="520"/>
      <c r="AJ1584" s="520"/>
      <c r="AK1584" s="520"/>
      <c r="AL1584" s="520"/>
      <c r="AM1584" s="520"/>
      <c r="AN1584" s="520"/>
      <c r="AO1584" s="520"/>
      <c r="AP1584" s="520"/>
      <c r="AQ1584" s="520"/>
      <c r="AR1584" s="520"/>
      <c r="AS1584" s="520"/>
      <c r="AT1584" s="520"/>
      <c r="AU1584" s="520"/>
      <c r="AV1584" s="520"/>
      <c r="AY1584" s="507"/>
      <c r="BA1584" s="507"/>
      <c r="BJ1584" s="493"/>
      <c r="CU1584" s="488"/>
      <c r="CW1584" s="488"/>
      <c r="EV1584" s="821"/>
      <c r="EW1584" s="821"/>
    </row>
    <row r="1585" spans="1:153" s="757" customFormat="1" hidden="1">
      <c r="A1585" s="487"/>
      <c r="B1585" s="487"/>
      <c r="C1585" s="487"/>
      <c r="D1585" s="487"/>
      <c r="I1585" s="487"/>
      <c r="J1585" s="487"/>
      <c r="K1585" s="487"/>
      <c r="L1585" s="487"/>
      <c r="M1585" s="487"/>
      <c r="N1585" s="487"/>
      <c r="O1585" s="875"/>
      <c r="Q1585" s="704"/>
      <c r="R1585" s="1026"/>
      <c r="S1585" s="704"/>
      <c r="T1585" s="1026"/>
      <c r="AB1585" s="520"/>
      <c r="AC1585" s="520"/>
      <c r="AD1585" s="520"/>
      <c r="AE1585" s="520"/>
      <c r="AF1585" s="520"/>
      <c r="AG1585" s="520"/>
      <c r="AH1585" s="520"/>
      <c r="AI1585" s="520"/>
      <c r="AJ1585" s="520"/>
      <c r="AK1585" s="520"/>
      <c r="AL1585" s="520"/>
      <c r="AM1585" s="520"/>
      <c r="AN1585" s="520"/>
      <c r="AO1585" s="520"/>
      <c r="AP1585" s="520"/>
      <c r="AQ1585" s="520"/>
      <c r="AR1585" s="520"/>
      <c r="AS1585" s="520"/>
      <c r="AT1585" s="520"/>
      <c r="AU1585" s="520"/>
      <c r="AV1585" s="520"/>
      <c r="AY1585" s="507"/>
      <c r="BA1585" s="507"/>
      <c r="BJ1585" s="493"/>
      <c r="CU1585" s="488"/>
      <c r="CW1585" s="488"/>
      <c r="EV1585" s="821"/>
      <c r="EW1585" s="821"/>
    </row>
    <row r="1586" spans="1:153" s="757" customFormat="1" hidden="1">
      <c r="A1586" s="487"/>
      <c r="B1586" s="487"/>
      <c r="C1586" s="487"/>
      <c r="D1586" s="487"/>
      <c r="I1586" s="487"/>
      <c r="J1586" s="487"/>
      <c r="K1586" s="487"/>
      <c r="L1586" s="487"/>
      <c r="M1586" s="487"/>
      <c r="N1586" s="487"/>
      <c r="O1586" s="875"/>
      <c r="Q1586" s="704"/>
      <c r="R1586" s="1026"/>
      <c r="S1586" s="704"/>
      <c r="T1586" s="1026"/>
      <c r="AB1586" s="520"/>
      <c r="AC1586" s="520"/>
      <c r="AD1586" s="520"/>
      <c r="AE1586" s="520"/>
      <c r="AF1586" s="520"/>
      <c r="AG1586" s="520"/>
      <c r="AH1586" s="520"/>
      <c r="AI1586" s="520"/>
      <c r="AJ1586" s="520"/>
      <c r="AK1586" s="520"/>
      <c r="AL1586" s="520"/>
      <c r="AM1586" s="520"/>
      <c r="AN1586" s="520"/>
      <c r="AO1586" s="520"/>
      <c r="AP1586" s="520"/>
      <c r="AQ1586" s="520"/>
      <c r="AR1586" s="520"/>
      <c r="AS1586" s="520"/>
      <c r="AT1586" s="520"/>
      <c r="AU1586" s="520"/>
      <c r="AV1586" s="520"/>
      <c r="AY1586" s="507"/>
      <c r="BA1586" s="507"/>
      <c r="BJ1586" s="493"/>
      <c r="CU1586" s="488"/>
      <c r="CW1586" s="488"/>
      <c r="EV1586" s="821"/>
      <c r="EW1586" s="821"/>
    </row>
    <row r="1587" spans="1:153" s="757" customFormat="1" hidden="1">
      <c r="A1587" s="487"/>
      <c r="B1587" s="487"/>
      <c r="C1587" s="487"/>
      <c r="D1587" s="487"/>
      <c r="I1587" s="487"/>
      <c r="J1587" s="487"/>
      <c r="K1587" s="487"/>
      <c r="L1587" s="487"/>
      <c r="M1587" s="487"/>
      <c r="N1587" s="487"/>
      <c r="O1587" s="875"/>
      <c r="Q1587" s="704"/>
      <c r="R1587" s="1026"/>
      <c r="S1587" s="704"/>
      <c r="T1587" s="1026"/>
      <c r="AB1587" s="520"/>
      <c r="AC1587" s="520"/>
      <c r="AD1587" s="520"/>
      <c r="AE1587" s="520"/>
      <c r="AF1587" s="520"/>
      <c r="AG1587" s="520"/>
      <c r="AH1587" s="520"/>
      <c r="AI1587" s="520"/>
      <c r="AJ1587" s="520"/>
      <c r="AK1587" s="520"/>
      <c r="AL1587" s="520"/>
      <c r="AM1587" s="520"/>
      <c r="AN1587" s="520"/>
      <c r="AO1587" s="520"/>
      <c r="AP1587" s="520"/>
      <c r="AQ1587" s="520"/>
      <c r="AR1587" s="520"/>
      <c r="AS1587" s="520"/>
      <c r="AT1587" s="520"/>
      <c r="AU1587" s="520"/>
      <c r="AV1587" s="520"/>
      <c r="AY1587" s="507"/>
      <c r="BA1587" s="507"/>
      <c r="BJ1587" s="493"/>
      <c r="CU1587" s="488"/>
      <c r="CW1587" s="488"/>
      <c r="EV1587" s="821"/>
      <c r="EW1587" s="821"/>
    </row>
    <row r="1588" spans="1:153" s="757" customFormat="1" hidden="1">
      <c r="A1588" s="487"/>
      <c r="B1588" s="487"/>
      <c r="C1588" s="487"/>
      <c r="D1588" s="487"/>
      <c r="I1588" s="487"/>
      <c r="J1588" s="487"/>
      <c r="K1588" s="487"/>
      <c r="L1588" s="487"/>
      <c r="M1588" s="487"/>
      <c r="N1588" s="487"/>
      <c r="O1588" s="875"/>
      <c r="Q1588" s="704"/>
      <c r="R1588" s="1026"/>
      <c r="S1588" s="704"/>
      <c r="T1588" s="1026"/>
      <c r="AB1588" s="520"/>
      <c r="AC1588" s="520"/>
      <c r="AD1588" s="520"/>
      <c r="AE1588" s="520"/>
      <c r="AF1588" s="520"/>
      <c r="AG1588" s="520"/>
      <c r="AH1588" s="520"/>
      <c r="AI1588" s="520"/>
      <c r="AJ1588" s="520"/>
      <c r="AK1588" s="520"/>
      <c r="AL1588" s="520"/>
      <c r="AM1588" s="520"/>
      <c r="AN1588" s="520"/>
      <c r="AO1588" s="520"/>
      <c r="AP1588" s="520"/>
      <c r="AQ1588" s="520"/>
      <c r="AR1588" s="520"/>
      <c r="AS1588" s="520"/>
      <c r="AT1588" s="520"/>
      <c r="AU1588" s="520"/>
      <c r="AV1588" s="520"/>
      <c r="AY1588" s="507"/>
      <c r="BA1588" s="507"/>
      <c r="BJ1588" s="493"/>
      <c r="CU1588" s="488"/>
      <c r="CW1588" s="488"/>
      <c r="EV1588" s="821"/>
      <c r="EW1588" s="821"/>
    </row>
    <row r="1589" spans="1:153" s="757" customFormat="1" hidden="1">
      <c r="A1589" s="487"/>
      <c r="B1589" s="487"/>
      <c r="C1589" s="487"/>
      <c r="D1589" s="487"/>
      <c r="I1589" s="487"/>
      <c r="J1589" s="487"/>
      <c r="K1589" s="487"/>
      <c r="L1589" s="487"/>
      <c r="M1589" s="487"/>
      <c r="N1589" s="487"/>
      <c r="O1589" s="875"/>
      <c r="Q1589" s="704"/>
      <c r="R1589" s="1026"/>
      <c r="S1589" s="704"/>
      <c r="T1589" s="1026"/>
      <c r="AB1589" s="520"/>
      <c r="AC1589" s="520"/>
      <c r="AD1589" s="520"/>
      <c r="AE1589" s="520"/>
      <c r="AF1589" s="520"/>
      <c r="AG1589" s="520"/>
      <c r="AH1589" s="520"/>
      <c r="AI1589" s="520"/>
      <c r="AJ1589" s="520"/>
      <c r="AK1589" s="520"/>
      <c r="AL1589" s="520"/>
      <c r="AM1589" s="520"/>
      <c r="AN1589" s="520"/>
      <c r="AO1589" s="520"/>
      <c r="AP1589" s="520"/>
      <c r="AQ1589" s="520"/>
      <c r="AR1589" s="520"/>
      <c r="AS1589" s="520"/>
      <c r="AT1589" s="520"/>
      <c r="AU1589" s="520"/>
      <c r="AV1589" s="520"/>
      <c r="AY1589" s="507"/>
      <c r="BA1589" s="507"/>
      <c r="BJ1589" s="493"/>
      <c r="CU1589" s="488"/>
      <c r="CW1589" s="488"/>
      <c r="EV1589" s="821"/>
      <c r="EW1589" s="821"/>
    </row>
    <row r="1590" spans="1:153" s="757" customFormat="1" hidden="1">
      <c r="A1590" s="487"/>
      <c r="B1590" s="487"/>
      <c r="C1590" s="487"/>
      <c r="D1590" s="487"/>
      <c r="I1590" s="487"/>
      <c r="J1590" s="487"/>
      <c r="K1590" s="487"/>
      <c r="L1590" s="487"/>
      <c r="M1590" s="487"/>
      <c r="N1590" s="487"/>
      <c r="O1590" s="875"/>
      <c r="Q1590" s="704"/>
      <c r="R1590" s="1026"/>
      <c r="S1590" s="704"/>
      <c r="T1590" s="1026"/>
      <c r="AB1590" s="520"/>
      <c r="AC1590" s="520"/>
      <c r="AD1590" s="520"/>
      <c r="AE1590" s="520"/>
      <c r="AF1590" s="520"/>
      <c r="AG1590" s="520"/>
      <c r="AH1590" s="520"/>
      <c r="AI1590" s="520"/>
      <c r="AJ1590" s="520"/>
      <c r="AK1590" s="520"/>
      <c r="AL1590" s="520"/>
      <c r="AM1590" s="520"/>
      <c r="AN1590" s="520"/>
      <c r="AO1590" s="520"/>
      <c r="AP1590" s="520"/>
      <c r="AQ1590" s="520"/>
      <c r="AR1590" s="520"/>
      <c r="AS1590" s="520"/>
      <c r="AT1590" s="520"/>
      <c r="AU1590" s="520"/>
      <c r="AV1590" s="520"/>
      <c r="AY1590" s="507"/>
      <c r="BA1590" s="507"/>
      <c r="BJ1590" s="493"/>
      <c r="CU1590" s="488"/>
      <c r="CW1590" s="488"/>
      <c r="EV1590" s="821"/>
      <c r="EW1590" s="821"/>
    </row>
    <row r="1591" spans="1:153" s="757" customFormat="1" hidden="1">
      <c r="A1591" s="487"/>
      <c r="B1591" s="487"/>
      <c r="C1591" s="487"/>
      <c r="D1591" s="487"/>
      <c r="I1591" s="487"/>
      <c r="J1591" s="487"/>
      <c r="K1591" s="487"/>
      <c r="L1591" s="487"/>
      <c r="M1591" s="487"/>
      <c r="N1591" s="487"/>
      <c r="O1591" s="875"/>
      <c r="Q1591" s="704"/>
      <c r="R1591" s="1026"/>
      <c r="S1591" s="704"/>
      <c r="T1591" s="1026"/>
      <c r="AB1591" s="520"/>
      <c r="AC1591" s="520"/>
      <c r="AD1591" s="520"/>
      <c r="AE1591" s="520"/>
      <c r="AF1591" s="520"/>
      <c r="AG1591" s="520"/>
      <c r="AH1591" s="520"/>
      <c r="AI1591" s="520"/>
      <c r="AJ1591" s="520"/>
      <c r="AK1591" s="520"/>
      <c r="AL1591" s="520"/>
      <c r="AM1591" s="520"/>
      <c r="AN1591" s="520"/>
      <c r="AO1591" s="520"/>
      <c r="AP1591" s="520"/>
      <c r="AQ1591" s="520"/>
      <c r="AR1591" s="520"/>
      <c r="AS1591" s="520"/>
      <c r="AT1591" s="520"/>
      <c r="AU1591" s="520"/>
      <c r="AV1591" s="520"/>
      <c r="AY1591" s="507"/>
      <c r="BA1591" s="507"/>
      <c r="BJ1591" s="493"/>
      <c r="CU1591" s="488"/>
      <c r="CW1591" s="488"/>
      <c r="EV1591" s="821"/>
      <c r="EW1591" s="821"/>
    </row>
    <row r="1592" spans="1:153" s="757" customFormat="1" hidden="1">
      <c r="A1592" s="487"/>
      <c r="B1592" s="487"/>
      <c r="C1592" s="487"/>
      <c r="D1592" s="487"/>
      <c r="I1592" s="487"/>
      <c r="J1592" s="487"/>
      <c r="K1592" s="487"/>
      <c r="L1592" s="487"/>
      <c r="M1592" s="487"/>
      <c r="N1592" s="487"/>
      <c r="O1592" s="875"/>
      <c r="Q1592" s="704"/>
      <c r="R1592" s="1026"/>
      <c r="S1592" s="704"/>
      <c r="T1592" s="1026"/>
      <c r="AB1592" s="520"/>
      <c r="AC1592" s="520"/>
      <c r="AD1592" s="520"/>
      <c r="AE1592" s="520"/>
      <c r="AF1592" s="520"/>
      <c r="AG1592" s="520"/>
      <c r="AH1592" s="520"/>
      <c r="AI1592" s="520"/>
      <c r="AJ1592" s="520"/>
      <c r="AK1592" s="520"/>
      <c r="AL1592" s="520"/>
      <c r="AM1592" s="520"/>
      <c r="AN1592" s="520"/>
      <c r="AO1592" s="520"/>
      <c r="AP1592" s="520"/>
      <c r="AQ1592" s="520"/>
      <c r="AR1592" s="520"/>
      <c r="AS1592" s="520"/>
      <c r="AT1592" s="520"/>
      <c r="AU1592" s="520"/>
      <c r="AV1592" s="520"/>
      <c r="AY1592" s="507"/>
      <c r="BA1592" s="507"/>
      <c r="BJ1592" s="493"/>
      <c r="CU1592" s="488"/>
      <c r="CW1592" s="488"/>
      <c r="EV1592" s="821"/>
      <c r="EW1592" s="821"/>
    </row>
    <row r="1593" spans="1:153" s="757" customFormat="1" hidden="1">
      <c r="A1593" s="487"/>
      <c r="B1593" s="487"/>
      <c r="C1593" s="487"/>
      <c r="D1593" s="487"/>
      <c r="I1593" s="487"/>
      <c r="J1593" s="487"/>
      <c r="K1593" s="487"/>
      <c r="L1593" s="487"/>
      <c r="M1593" s="487"/>
      <c r="N1593" s="487"/>
      <c r="O1593" s="875"/>
      <c r="Q1593" s="704"/>
      <c r="R1593" s="1026"/>
      <c r="S1593" s="704"/>
      <c r="T1593" s="1026"/>
      <c r="AB1593" s="520"/>
      <c r="AC1593" s="520"/>
      <c r="AD1593" s="520"/>
      <c r="AE1593" s="520"/>
      <c r="AF1593" s="520"/>
      <c r="AG1593" s="520"/>
      <c r="AH1593" s="520"/>
      <c r="AI1593" s="520"/>
      <c r="AJ1593" s="520"/>
      <c r="AK1593" s="520"/>
      <c r="AL1593" s="520"/>
      <c r="AM1593" s="520"/>
      <c r="AN1593" s="520"/>
      <c r="AO1593" s="520"/>
      <c r="AP1593" s="520"/>
      <c r="AQ1593" s="520"/>
      <c r="AR1593" s="520"/>
      <c r="AS1593" s="520"/>
      <c r="AT1593" s="520"/>
      <c r="AU1593" s="520"/>
      <c r="AV1593" s="520"/>
      <c r="AY1593" s="507"/>
      <c r="BA1593" s="507"/>
      <c r="BJ1593" s="493"/>
      <c r="CU1593" s="488"/>
      <c r="CW1593" s="488"/>
      <c r="EV1593" s="821"/>
      <c r="EW1593" s="821"/>
    </row>
    <row r="1594" spans="1:153" s="757" customFormat="1" hidden="1">
      <c r="A1594" s="487"/>
      <c r="B1594" s="487"/>
      <c r="C1594" s="487"/>
      <c r="D1594" s="487"/>
      <c r="I1594" s="487"/>
      <c r="J1594" s="487"/>
      <c r="K1594" s="487"/>
      <c r="L1594" s="487"/>
      <c r="M1594" s="487"/>
      <c r="N1594" s="487"/>
      <c r="O1594" s="875"/>
      <c r="Q1594" s="704"/>
      <c r="R1594" s="1026"/>
      <c r="S1594" s="704"/>
      <c r="T1594" s="1026"/>
      <c r="AB1594" s="520"/>
      <c r="AC1594" s="520"/>
      <c r="AD1594" s="520"/>
      <c r="AE1594" s="520"/>
      <c r="AF1594" s="520"/>
      <c r="AG1594" s="520"/>
      <c r="AH1594" s="520"/>
      <c r="AI1594" s="520"/>
      <c r="AJ1594" s="520"/>
      <c r="AK1594" s="520"/>
      <c r="AL1594" s="520"/>
      <c r="AM1594" s="520"/>
      <c r="AN1594" s="520"/>
      <c r="AO1594" s="520"/>
      <c r="AP1594" s="520"/>
      <c r="AQ1594" s="520"/>
      <c r="AR1594" s="520"/>
      <c r="AS1594" s="520"/>
      <c r="AT1594" s="520"/>
      <c r="AU1594" s="520"/>
      <c r="AV1594" s="520"/>
      <c r="AY1594" s="507"/>
      <c r="BA1594" s="507"/>
      <c r="BJ1594" s="493"/>
      <c r="CU1594" s="488"/>
      <c r="CW1594" s="488"/>
      <c r="EV1594" s="821"/>
      <c r="EW1594" s="821"/>
    </row>
    <row r="1595" spans="1:153" s="757" customFormat="1" hidden="1">
      <c r="A1595" s="487"/>
      <c r="B1595" s="487"/>
      <c r="C1595" s="487"/>
      <c r="D1595" s="487"/>
      <c r="I1595" s="487"/>
      <c r="J1595" s="487"/>
      <c r="K1595" s="487"/>
      <c r="L1595" s="487"/>
      <c r="M1595" s="487"/>
      <c r="N1595" s="487"/>
      <c r="O1595" s="875"/>
      <c r="Q1595" s="704"/>
      <c r="R1595" s="1026"/>
      <c r="S1595" s="704"/>
      <c r="T1595" s="1026"/>
      <c r="AB1595" s="520"/>
      <c r="AC1595" s="520"/>
      <c r="AD1595" s="520"/>
      <c r="AE1595" s="520"/>
      <c r="AF1595" s="520"/>
      <c r="AG1595" s="520"/>
      <c r="AH1595" s="520"/>
      <c r="AI1595" s="520"/>
      <c r="AJ1595" s="520"/>
      <c r="AK1595" s="520"/>
      <c r="AL1595" s="520"/>
      <c r="AM1595" s="520"/>
      <c r="AN1595" s="520"/>
      <c r="AO1595" s="520"/>
      <c r="AP1595" s="520"/>
      <c r="AQ1595" s="520"/>
      <c r="AR1595" s="520"/>
      <c r="AS1595" s="520"/>
      <c r="AT1595" s="520"/>
      <c r="AU1595" s="520"/>
      <c r="AV1595" s="520"/>
      <c r="AY1595" s="507"/>
      <c r="BA1595" s="507"/>
      <c r="BJ1595" s="493"/>
      <c r="CU1595" s="488"/>
      <c r="CW1595" s="488"/>
      <c r="EV1595" s="821"/>
      <c r="EW1595" s="821"/>
    </row>
    <row r="1596" spans="1:153" s="757" customFormat="1" hidden="1">
      <c r="A1596" s="487"/>
      <c r="B1596" s="487"/>
      <c r="C1596" s="487"/>
      <c r="D1596" s="487"/>
      <c r="I1596" s="487"/>
      <c r="J1596" s="487"/>
      <c r="K1596" s="487"/>
      <c r="L1596" s="487"/>
      <c r="M1596" s="487"/>
      <c r="N1596" s="487"/>
      <c r="O1596" s="875"/>
      <c r="Q1596" s="704"/>
      <c r="R1596" s="1026"/>
      <c r="S1596" s="704"/>
      <c r="T1596" s="1026"/>
      <c r="AB1596" s="520"/>
      <c r="AC1596" s="520"/>
      <c r="AD1596" s="520"/>
      <c r="AE1596" s="520"/>
      <c r="AF1596" s="520"/>
      <c r="AG1596" s="520"/>
      <c r="AH1596" s="520"/>
      <c r="AI1596" s="520"/>
      <c r="AJ1596" s="520"/>
      <c r="AK1596" s="520"/>
      <c r="AL1596" s="520"/>
      <c r="AM1596" s="520"/>
      <c r="AN1596" s="520"/>
      <c r="AO1596" s="520"/>
      <c r="AP1596" s="520"/>
      <c r="AQ1596" s="520"/>
      <c r="AR1596" s="520"/>
      <c r="AS1596" s="520"/>
      <c r="AT1596" s="520"/>
      <c r="AU1596" s="520"/>
      <c r="AV1596" s="520"/>
      <c r="AY1596" s="507"/>
      <c r="BA1596" s="507"/>
      <c r="BJ1596" s="493"/>
      <c r="CU1596" s="488"/>
      <c r="CW1596" s="488"/>
      <c r="EV1596" s="821"/>
      <c r="EW1596" s="821"/>
    </row>
    <row r="1597" spans="1:153" s="757" customFormat="1" hidden="1">
      <c r="A1597" s="487"/>
      <c r="B1597" s="487"/>
      <c r="C1597" s="487"/>
      <c r="D1597" s="487"/>
      <c r="I1597" s="487"/>
      <c r="J1597" s="487"/>
      <c r="K1597" s="487"/>
      <c r="L1597" s="487"/>
      <c r="M1597" s="487"/>
      <c r="N1597" s="487"/>
      <c r="O1597" s="875"/>
      <c r="Q1597" s="704"/>
      <c r="R1597" s="1026"/>
      <c r="S1597" s="704"/>
      <c r="T1597" s="1026"/>
      <c r="AB1597" s="520"/>
      <c r="AC1597" s="520"/>
      <c r="AD1597" s="520"/>
      <c r="AE1597" s="520"/>
      <c r="AF1597" s="520"/>
      <c r="AG1597" s="520"/>
      <c r="AH1597" s="520"/>
      <c r="AI1597" s="520"/>
      <c r="AJ1597" s="520"/>
      <c r="AK1597" s="520"/>
      <c r="AL1597" s="520"/>
      <c r="AM1597" s="520"/>
      <c r="AN1597" s="520"/>
      <c r="AO1597" s="520"/>
      <c r="AP1597" s="520"/>
      <c r="AQ1597" s="520"/>
      <c r="AR1597" s="520"/>
      <c r="AS1597" s="520"/>
      <c r="AT1597" s="520"/>
      <c r="AU1597" s="520"/>
      <c r="AV1597" s="520"/>
      <c r="AY1597" s="507"/>
      <c r="BA1597" s="507"/>
      <c r="BJ1597" s="493"/>
      <c r="CU1597" s="488"/>
      <c r="CW1597" s="488"/>
      <c r="EV1597" s="821"/>
      <c r="EW1597" s="821"/>
    </row>
    <row r="1598" spans="1:153" s="757" customFormat="1" hidden="1">
      <c r="A1598" s="487"/>
      <c r="B1598" s="487"/>
      <c r="C1598" s="487"/>
      <c r="D1598" s="487"/>
      <c r="I1598" s="487"/>
      <c r="J1598" s="487"/>
      <c r="K1598" s="487"/>
      <c r="L1598" s="487"/>
      <c r="M1598" s="487"/>
      <c r="N1598" s="487"/>
      <c r="O1598" s="875"/>
      <c r="Q1598" s="704"/>
      <c r="R1598" s="1026"/>
      <c r="S1598" s="704"/>
      <c r="T1598" s="1026"/>
      <c r="AB1598" s="520"/>
      <c r="AC1598" s="520"/>
      <c r="AD1598" s="520"/>
      <c r="AE1598" s="520"/>
      <c r="AF1598" s="520"/>
      <c r="AG1598" s="520"/>
      <c r="AH1598" s="520"/>
      <c r="AI1598" s="520"/>
      <c r="AJ1598" s="520"/>
      <c r="AK1598" s="520"/>
      <c r="AL1598" s="520"/>
      <c r="AM1598" s="520"/>
      <c r="AN1598" s="520"/>
      <c r="AO1598" s="520"/>
      <c r="AP1598" s="520"/>
      <c r="AQ1598" s="520"/>
      <c r="AR1598" s="520"/>
      <c r="AS1598" s="520"/>
      <c r="AT1598" s="520"/>
      <c r="AU1598" s="520"/>
      <c r="AV1598" s="520"/>
      <c r="AY1598" s="507"/>
      <c r="BA1598" s="507"/>
      <c r="BJ1598" s="493"/>
      <c r="CU1598" s="488"/>
      <c r="CW1598" s="488"/>
      <c r="EV1598" s="821"/>
      <c r="EW1598" s="821"/>
    </row>
    <row r="1599" spans="1:153" s="757" customFormat="1" hidden="1">
      <c r="A1599" s="487"/>
      <c r="B1599" s="487"/>
      <c r="C1599" s="487"/>
      <c r="D1599" s="487"/>
      <c r="I1599" s="487"/>
      <c r="J1599" s="487"/>
      <c r="K1599" s="487"/>
      <c r="L1599" s="487"/>
      <c r="M1599" s="487"/>
      <c r="N1599" s="487"/>
      <c r="O1599" s="875"/>
      <c r="Q1599" s="704"/>
      <c r="R1599" s="1026"/>
      <c r="S1599" s="704"/>
      <c r="T1599" s="1026"/>
      <c r="AB1599" s="520"/>
      <c r="AC1599" s="520"/>
      <c r="AD1599" s="520"/>
      <c r="AE1599" s="520"/>
      <c r="AF1599" s="520"/>
      <c r="AG1599" s="520"/>
      <c r="AH1599" s="520"/>
      <c r="AI1599" s="520"/>
      <c r="AJ1599" s="520"/>
      <c r="AK1599" s="520"/>
      <c r="AL1599" s="520"/>
      <c r="AM1599" s="520"/>
      <c r="AN1599" s="520"/>
      <c r="AO1599" s="520"/>
      <c r="AP1599" s="520"/>
      <c r="AQ1599" s="520"/>
      <c r="AR1599" s="520"/>
      <c r="AS1599" s="520"/>
      <c r="AT1599" s="520"/>
      <c r="AU1599" s="520"/>
      <c r="AV1599" s="520"/>
      <c r="AY1599" s="507"/>
      <c r="BA1599" s="507"/>
      <c r="BJ1599" s="493"/>
      <c r="CU1599" s="488"/>
      <c r="CW1599" s="488"/>
      <c r="EV1599" s="821"/>
      <c r="EW1599" s="821"/>
    </row>
    <row r="1600" spans="1:153" s="757" customFormat="1" hidden="1">
      <c r="A1600" s="487"/>
      <c r="B1600" s="487"/>
      <c r="C1600" s="487"/>
      <c r="D1600" s="487"/>
      <c r="I1600" s="487"/>
      <c r="J1600" s="487"/>
      <c r="K1600" s="487"/>
      <c r="L1600" s="487"/>
      <c r="M1600" s="487"/>
      <c r="N1600" s="487"/>
      <c r="O1600" s="875"/>
      <c r="Q1600" s="704"/>
      <c r="R1600" s="1026"/>
      <c r="S1600" s="704"/>
      <c r="T1600" s="1026"/>
      <c r="AB1600" s="520"/>
      <c r="AC1600" s="520"/>
      <c r="AD1600" s="520"/>
      <c r="AE1600" s="520"/>
      <c r="AF1600" s="520"/>
      <c r="AG1600" s="520"/>
      <c r="AH1600" s="520"/>
      <c r="AI1600" s="520"/>
      <c r="AJ1600" s="520"/>
      <c r="AK1600" s="520"/>
      <c r="AL1600" s="520"/>
      <c r="AM1600" s="520"/>
      <c r="AN1600" s="520"/>
      <c r="AO1600" s="520"/>
      <c r="AP1600" s="520"/>
      <c r="AQ1600" s="520"/>
      <c r="AR1600" s="520"/>
      <c r="AS1600" s="520"/>
      <c r="AT1600" s="520"/>
      <c r="AU1600" s="520"/>
      <c r="AV1600" s="520"/>
      <c r="AY1600" s="507"/>
      <c r="BA1600" s="507"/>
      <c r="BJ1600" s="493"/>
      <c r="CU1600" s="488"/>
      <c r="CW1600" s="488"/>
      <c r="EV1600" s="821"/>
      <c r="EW1600" s="821"/>
    </row>
    <row r="1601" spans="1:153" s="757" customFormat="1" hidden="1">
      <c r="A1601" s="487"/>
      <c r="B1601" s="487"/>
      <c r="C1601" s="487"/>
      <c r="D1601" s="487"/>
      <c r="I1601" s="487"/>
      <c r="J1601" s="487"/>
      <c r="K1601" s="487"/>
      <c r="L1601" s="487"/>
      <c r="M1601" s="487"/>
      <c r="N1601" s="487"/>
      <c r="O1601" s="875"/>
      <c r="Q1601" s="704"/>
      <c r="R1601" s="1026"/>
      <c r="S1601" s="704"/>
      <c r="T1601" s="1026"/>
      <c r="AB1601" s="520"/>
      <c r="AC1601" s="520"/>
      <c r="AD1601" s="520"/>
      <c r="AE1601" s="520"/>
      <c r="AF1601" s="520"/>
      <c r="AG1601" s="520"/>
      <c r="AH1601" s="520"/>
      <c r="AI1601" s="520"/>
      <c r="AJ1601" s="520"/>
      <c r="AK1601" s="520"/>
      <c r="AL1601" s="520"/>
      <c r="AM1601" s="520"/>
      <c r="AN1601" s="520"/>
      <c r="AO1601" s="520"/>
      <c r="AP1601" s="520"/>
      <c r="AQ1601" s="520"/>
      <c r="AR1601" s="520"/>
      <c r="AS1601" s="520"/>
      <c r="AT1601" s="520"/>
      <c r="AU1601" s="520"/>
      <c r="AV1601" s="520"/>
      <c r="AY1601" s="507"/>
      <c r="BA1601" s="507"/>
      <c r="BJ1601" s="493"/>
      <c r="CU1601" s="488"/>
      <c r="CW1601" s="488"/>
      <c r="EV1601" s="821"/>
      <c r="EW1601" s="821"/>
    </row>
    <row r="1602" spans="1:153" s="757" customFormat="1" hidden="1">
      <c r="A1602" s="487"/>
      <c r="B1602" s="487"/>
      <c r="C1602" s="487"/>
      <c r="D1602" s="487"/>
      <c r="I1602" s="487"/>
      <c r="J1602" s="487"/>
      <c r="K1602" s="487"/>
      <c r="L1602" s="487"/>
      <c r="M1602" s="487"/>
      <c r="N1602" s="487"/>
      <c r="O1602" s="875"/>
      <c r="Q1602" s="704"/>
      <c r="R1602" s="1026"/>
      <c r="S1602" s="704"/>
      <c r="T1602" s="1026"/>
      <c r="AB1602" s="520"/>
      <c r="AC1602" s="520"/>
      <c r="AD1602" s="520"/>
      <c r="AE1602" s="520"/>
      <c r="AF1602" s="520"/>
      <c r="AG1602" s="520"/>
      <c r="AH1602" s="520"/>
      <c r="AI1602" s="520"/>
      <c r="AJ1602" s="520"/>
      <c r="AK1602" s="520"/>
      <c r="AL1602" s="520"/>
      <c r="AM1602" s="520"/>
      <c r="AN1602" s="520"/>
      <c r="AO1602" s="520"/>
      <c r="AP1602" s="520"/>
      <c r="AQ1602" s="520"/>
      <c r="AR1602" s="520"/>
      <c r="AS1602" s="520"/>
      <c r="AT1602" s="520"/>
      <c r="AU1602" s="520"/>
      <c r="AV1602" s="520"/>
      <c r="AY1602" s="507"/>
      <c r="BA1602" s="507"/>
      <c r="BJ1602" s="493"/>
      <c r="CU1602" s="488"/>
      <c r="CW1602" s="488"/>
      <c r="EV1602" s="821"/>
      <c r="EW1602" s="821"/>
    </row>
    <row r="1603" spans="1:153" s="757" customFormat="1" hidden="1">
      <c r="A1603" s="487"/>
      <c r="B1603" s="487"/>
      <c r="C1603" s="487"/>
      <c r="D1603" s="487"/>
      <c r="I1603" s="487"/>
      <c r="J1603" s="487"/>
      <c r="K1603" s="487"/>
      <c r="L1603" s="487"/>
      <c r="M1603" s="487"/>
      <c r="N1603" s="487"/>
      <c r="O1603" s="875"/>
      <c r="Q1603" s="704"/>
      <c r="R1603" s="1026"/>
      <c r="S1603" s="704"/>
      <c r="T1603" s="1026"/>
      <c r="AB1603" s="520"/>
      <c r="AC1603" s="520"/>
      <c r="AD1603" s="520"/>
      <c r="AE1603" s="520"/>
      <c r="AF1603" s="520"/>
      <c r="AG1603" s="520"/>
      <c r="AH1603" s="520"/>
      <c r="AI1603" s="520"/>
      <c r="AJ1603" s="520"/>
      <c r="AK1603" s="520"/>
      <c r="AL1603" s="520"/>
      <c r="AM1603" s="520"/>
      <c r="AN1603" s="520"/>
      <c r="AO1603" s="520"/>
      <c r="AP1603" s="520"/>
      <c r="AQ1603" s="520"/>
      <c r="AR1603" s="520"/>
      <c r="AS1603" s="520"/>
      <c r="AT1603" s="520"/>
      <c r="AU1603" s="520"/>
      <c r="AV1603" s="520"/>
      <c r="AY1603" s="507"/>
      <c r="BA1603" s="507"/>
      <c r="BJ1603" s="493"/>
      <c r="CU1603" s="488"/>
      <c r="CW1603" s="488"/>
      <c r="EV1603" s="821"/>
      <c r="EW1603" s="821"/>
    </row>
    <row r="1604" spans="1:153" s="757" customFormat="1" hidden="1">
      <c r="A1604" s="487"/>
      <c r="B1604" s="487"/>
      <c r="C1604" s="487"/>
      <c r="D1604" s="487"/>
      <c r="I1604" s="487"/>
      <c r="J1604" s="487"/>
      <c r="K1604" s="487"/>
      <c r="L1604" s="487"/>
      <c r="M1604" s="487"/>
      <c r="N1604" s="487"/>
      <c r="O1604" s="875"/>
      <c r="Q1604" s="704"/>
      <c r="R1604" s="1026"/>
      <c r="S1604" s="704"/>
      <c r="T1604" s="1026"/>
      <c r="AB1604" s="520"/>
      <c r="AC1604" s="520"/>
      <c r="AD1604" s="520"/>
      <c r="AE1604" s="520"/>
      <c r="AF1604" s="520"/>
      <c r="AG1604" s="520"/>
      <c r="AH1604" s="520"/>
      <c r="AI1604" s="520"/>
      <c r="AJ1604" s="520"/>
      <c r="AK1604" s="520"/>
      <c r="AL1604" s="520"/>
      <c r="AM1604" s="520"/>
      <c r="AN1604" s="520"/>
      <c r="AO1604" s="520"/>
      <c r="AP1604" s="520"/>
      <c r="AQ1604" s="520"/>
      <c r="AR1604" s="520"/>
      <c r="AS1604" s="520"/>
      <c r="AT1604" s="520"/>
      <c r="AU1604" s="520"/>
      <c r="AV1604" s="520"/>
      <c r="AY1604" s="507"/>
      <c r="BA1604" s="507"/>
      <c r="BJ1604" s="493"/>
      <c r="CU1604" s="488"/>
      <c r="CW1604" s="488"/>
      <c r="EV1604" s="821"/>
      <c r="EW1604" s="821"/>
    </row>
    <row r="1605" spans="1:153" s="757" customFormat="1" hidden="1">
      <c r="A1605" s="487"/>
      <c r="B1605" s="487"/>
      <c r="C1605" s="487"/>
      <c r="D1605" s="487"/>
      <c r="I1605" s="487"/>
      <c r="J1605" s="487"/>
      <c r="K1605" s="487"/>
      <c r="L1605" s="487"/>
      <c r="M1605" s="487"/>
      <c r="N1605" s="487"/>
      <c r="O1605" s="875"/>
      <c r="Q1605" s="704"/>
      <c r="R1605" s="1026"/>
      <c r="S1605" s="704"/>
      <c r="T1605" s="1026"/>
      <c r="AB1605" s="520"/>
      <c r="AC1605" s="520"/>
      <c r="AD1605" s="520"/>
      <c r="AE1605" s="520"/>
      <c r="AF1605" s="520"/>
      <c r="AG1605" s="520"/>
      <c r="AH1605" s="520"/>
      <c r="AI1605" s="520"/>
      <c r="AJ1605" s="520"/>
      <c r="AK1605" s="520"/>
      <c r="AL1605" s="520"/>
      <c r="AM1605" s="520"/>
      <c r="AN1605" s="520"/>
      <c r="AO1605" s="520"/>
      <c r="AP1605" s="520"/>
      <c r="AQ1605" s="520"/>
      <c r="AR1605" s="520"/>
      <c r="AS1605" s="520"/>
      <c r="AT1605" s="520"/>
      <c r="AU1605" s="520"/>
      <c r="AV1605" s="520"/>
      <c r="AY1605" s="507"/>
      <c r="BA1605" s="507"/>
      <c r="BJ1605" s="493"/>
      <c r="CU1605" s="488"/>
      <c r="CW1605" s="488"/>
      <c r="EV1605" s="821"/>
      <c r="EW1605" s="821"/>
    </row>
    <row r="1606" spans="1:153" s="757" customFormat="1" hidden="1">
      <c r="A1606" s="487"/>
      <c r="B1606" s="487"/>
      <c r="C1606" s="487"/>
      <c r="D1606" s="487"/>
      <c r="I1606" s="487"/>
      <c r="J1606" s="487"/>
      <c r="K1606" s="487"/>
      <c r="L1606" s="487"/>
      <c r="M1606" s="487"/>
      <c r="N1606" s="487"/>
      <c r="O1606" s="875"/>
      <c r="Q1606" s="704"/>
      <c r="R1606" s="1026"/>
      <c r="S1606" s="704"/>
      <c r="T1606" s="1026"/>
      <c r="AB1606" s="520"/>
      <c r="AC1606" s="520"/>
      <c r="AD1606" s="520"/>
      <c r="AE1606" s="520"/>
      <c r="AF1606" s="520"/>
      <c r="AG1606" s="520"/>
      <c r="AH1606" s="520"/>
      <c r="AI1606" s="520"/>
      <c r="AJ1606" s="520"/>
      <c r="AK1606" s="520"/>
      <c r="AL1606" s="520"/>
      <c r="AM1606" s="520"/>
      <c r="AN1606" s="520"/>
      <c r="AO1606" s="520"/>
      <c r="AP1606" s="520"/>
      <c r="AQ1606" s="520"/>
      <c r="AR1606" s="520"/>
      <c r="AS1606" s="520"/>
      <c r="AT1606" s="520"/>
      <c r="AU1606" s="520"/>
      <c r="AV1606" s="520"/>
      <c r="AY1606" s="507"/>
      <c r="BA1606" s="507"/>
      <c r="BJ1606" s="493"/>
      <c r="CU1606" s="488"/>
      <c r="CW1606" s="488"/>
      <c r="EV1606" s="821"/>
      <c r="EW1606" s="821"/>
    </row>
    <row r="1607" spans="1:153" s="757" customFormat="1" hidden="1">
      <c r="A1607" s="487"/>
      <c r="B1607" s="487"/>
      <c r="C1607" s="487"/>
      <c r="D1607" s="487"/>
      <c r="I1607" s="487"/>
      <c r="J1607" s="487"/>
      <c r="K1607" s="487"/>
      <c r="L1607" s="487"/>
      <c r="M1607" s="487"/>
      <c r="N1607" s="487"/>
      <c r="O1607" s="875"/>
      <c r="Q1607" s="704"/>
      <c r="R1607" s="1026"/>
      <c r="S1607" s="704"/>
      <c r="T1607" s="1026"/>
      <c r="AB1607" s="520"/>
      <c r="AC1607" s="520"/>
      <c r="AD1607" s="520"/>
      <c r="AE1607" s="520"/>
      <c r="AF1607" s="520"/>
      <c r="AG1607" s="520"/>
      <c r="AH1607" s="520"/>
      <c r="AI1607" s="520"/>
      <c r="AJ1607" s="520"/>
      <c r="AK1607" s="520"/>
      <c r="AL1607" s="520"/>
      <c r="AM1607" s="520"/>
      <c r="AN1607" s="520"/>
      <c r="AO1607" s="520"/>
      <c r="AP1607" s="520"/>
      <c r="AQ1607" s="520"/>
      <c r="AR1607" s="520"/>
      <c r="AS1607" s="520"/>
      <c r="AT1607" s="520"/>
      <c r="AU1607" s="520"/>
      <c r="AV1607" s="520"/>
      <c r="AY1607" s="507"/>
      <c r="BA1607" s="507"/>
      <c r="BJ1607" s="493"/>
      <c r="CU1607" s="488"/>
      <c r="CW1607" s="488"/>
      <c r="EV1607" s="821"/>
      <c r="EW1607" s="821"/>
    </row>
    <row r="1608" spans="1:153" s="757" customFormat="1" hidden="1">
      <c r="A1608" s="487"/>
      <c r="B1608" s="487"/>
      <c r="C1608" s="487"/>
      <c r="D1608" s="487"/>
      <c r="I1608" s="487"/>
      <c r="J1608" s="487"/>
      <c r="K1608" s="487"/>
      <c r="L1608" s="487"/>
      <c r="M1608" s="487"/>
      <c r="N1608" s="487"/>
      <c r="O1608" s="875"/>
      <c r="Q1608" s="704"/>
      <c r="R1608" s="1026"/>
      <c r="S1608" s="704"/>
      <c r="T1608" s="1026"/>
      <c r="AB1608" s="520"/>
      <c r="AC1608" s="520"/>
      <c r="AD1608" s="520"/>
      <c r="AE1608" s="520"/>
      <c r="AF1608" s="520"/>
      <c r="AG1608" s="520"/>
      <c r="AH1608" s="520"/>
      <c r="AI1608" s="520"/>
      <c r="AJ1608" s="520"/>
      <c r="AK1608" s="520"/>
      <c r="AL1608" s="520"/>
      <c r="AM1608" s="520"/>
      <c r="AN1608" s="520"/>
      <c r="AO1608" s="520"/>
      <c r="AP1608" s="520"/>
      <c r="AQ1608" s="520"/>
      <c r="AR1608" s="520"/>
      <c r="AS1608" s="520"/>
      <c r="AT1608" s="520"/>
      <c r="AU1608" s="520"/>
      <c r="AV1608" s="520"/>
      <c r="AY1608" s="507"/>
      <c r="BA1608" s="507"/>
      <c r="BJ1608" s="493"/>
      <c r="CU1608" s="488"/>
      <c r="CW1608" s="488"/>
      <c r="EV1608" s="821"/>
      <c r="EW1608" s="821"/>
    </row>
    <row r="1609" spans="1:153" s="757" customFormat="1" hidden="1">
      <c r="A1609" s="487"/>
      <c r="B1609" s="487"/>
      <c r="C1609" s="487"/>
      <c r="D1609" s="487"/>
      <c r="I1609" s="487"/>
      <c r="J1609" s="487"/>
      <c r="K1609" s="487"/>
      <c r="L1609" s="487"/>
      <c r="M1609" s="487"/>
      <c r="N1609" s="487"/>
      <c r="O1609" s="875"/>
      <c r="Q1609" s="704"/>
      <c r="R1609" s="1026"/>
      <c r="S1609" s="704"/>
      <c r="T1609" s="1026"/>
      <c r="AB1609" s="520"/>
      <c r="AC1609" s="520"/>
      <c r="AD1609" s="520"/>
      <c r="AE1609" s="520"/>
      <c r="AF1609" s="520"/>
      <c r="AG1609" s="520"/>
      <c r="AH1609" s="520"/>
      <c r="AI1609" s="520"/>
      <c r="AJ1609" s="520"/>
      <c r="AK1609" s="520"/>
      <c r="AL1609" s="520"/>
      <c r="AM1609" s="520"/>
      <c r="AN1609" s="520"/>
      <c r="AO1609" s="520"/>
      <c r="AP1609" s="520"/>
      <c r="AQ1609" s="520"/>
      <c r="AR1609" s="520"/>
      <c r="AS1609" s="520"/>
      <c r="AT1609" s="520"/>
      <c r="AU1609" s="520"/>
      <c r="AV1609" s="520"/>
      <c r="AY1609" s="507"/>
      <c r="BA1609" s="507"/>
      <c r="BJ1609" s="493"/>
      <c r="CU1609" s="488"/>
      <c r="CW1609" s="488"/>
      <c r="EV1609" s="821"/>
      <c r="EW1609" s="821"/>
    </row>
    <row r="1610" spans="1:153" s="757" customFormat="1" hidden="1">
      <c r="A1610" s="487"/>
      <c r="B1610" s="487"/>
      <c r="C1610" s="487"/>
      <c r="D1610" s="487"/>
      <c r="I1610" s="487"/>
      <c r="J1610" s="487"/>
      <c r="K1610" s="487"/>
      <c r="L1610" s="487"/>
      <c r="M1610" s="487"/>
      <c r="N1610" s="487"/>
      <c r="O1610" s="875"/>
      <c r="Q1610" s="704"/>
      <c r="R1610" s="1026"/>
      <c r="S1610" s="704"/>
      <c r="T1610" s="1026"/>
      <c r="AB1610" s="520"/>
      <c r="AC1610" s="520"/>
      <c r="AD1610" s="520"/>
      <c r="AE1610" s="520"/>
      <c r="AF1610" s="520"/>
      <c r="AG1610" s="520"/>
      <c r="AH1610" s="520"/>
      <c r="AI1610" s="520"/>
      <c r="AJ1610" s="520"/>
      <c r="AK1610" s="520"/>
      <c r="AL1610" s="520"/>
      <c r="AM1610" s="520"/>
      <c r="AN1610" s="520"/>
      <c r="AO1610" s="520"/>
      <c r="AP1610" s="520"/>
      <c r="AQ1610" s="520"/>
      <c r="AR1610" s="520"/>
      <c r="AS1610" s="520"/>
      <c r="AT1610" s="520"/>
      <c r="AU1610" s="520"/>
      <c r="AV1610" s="520"/>
      <c r="AY1610" s="507"/>
      <c r="BA1610" s="507"/>
      <c r="BJ1610" s="493"/>
      <c r="CU1610" s="488"/>
      <c r="CW1610" s="488"/>
      <c r="EV1610" s="821"/>
      <c r="EW1610" s="821"/>
    </row>
    <row r="1611" spans="1:153" s="757" customFormat="1" hidden="1">
      <c r="A1611" s="487"/>
      <c r="B1611" s="487"/>
      <c r="C1611" s="487"/>
      <c r="D1611" s="487"/>
      <c r="I1611" s="487"/>
      <c r="J1611" s="487"/>
      <c r="K1611" s="487"/>
      <c r="L1611" s="487"/>
      <c r="M1611" s="487"/>
      <c r="N1611" s="487"/>
      <c r="O1611" s="875"/>
      <c r="Q1611" s="704"/>
      <c r="R1611" s="1026"/>
      <c r="S1611" s="704"/>
      <c r="T1611" s="1026"/>
      <c r="AB1611" s="520"/>
      <c r="AC1611" s="520"/>
      <c r="AD1611" s="520"/>
      <c r="AE1611" s="520"/>
      <c r="AF1611" s="520"/>
      <c r="AG1611" s="520"/>
      <c r="AH1611" s="520"/>
      <c r="AI1611" s="520"/>
      <c r="AJ1611" s="520"/>
      <c r="AK1611" s="520"/>
      <c r="AL1611" s="520"/>
      <c r="AM1611" s="520"/>
      <c r="AN1611" s="520"/>
      <c r="AO1611" s="520"/>
      <c r="AP1611" s="520"/>
      <c r="AQ1611" s="520"/>
      <c r="AR1611" s="520"/>
      <c r="AS1611" s="520"/>
      <c r="AT1611" s="520"/>
      <c r="AU1611" s="520"/>
      <c r="AV1611" s="520"/>
      <c r="AY1611" s="507"/>
      <c r="BA1611" s="507"/>
      <c r="BJ1611" s="493"/>
      <c r="CU1611" s="488"/>
      <c r="CW1611" s="488"/>
      <c r="EV1611" s="821"/>
      <c r="EW1611" s="821"/>
    </row>
    <row r="1612" spans="1:153" s="757" customFormat="1" hidden="1">
      <c r="A1612" s="487"/>
      <c r="B1612" s="487"/>
      <c r="C1612" s="487"/>
      <c r="D1612" s="487"/>
      <c r="I1612" s="487"/>
      <c r="J1612" s="487"/>
      <c r="K1612" s="487"/>
      <c r="L1612" s="487"/>
      <c r="M1612" s="487"/>
      <c r="N1612" s="487"/>
      <c r="O1612" s="875"/>
      <c r="Q1612" s="704"/>
      <c r="R1612" s="1026"/>
      <c r="S1612" s="704"/>
      <c r="T1612" s="1026"/>
      <c r="AB1612" s="520"/>
      <c r="AC1612" s="520"/>
      <c r="AD1612" s="520"/>
      <c r="AE1612" s="520"/>
      <c r="AF1612" s="520"/>
      <c r="AG1612" s="520"/>
      <c r="AH1612" s="520"/>
      <c r="AI1612" s="520"/>
      <c r="AJ1612" s="520"/>
      <c r="AK1612" s="520"/>
      <c r="AL1612" s="520"/>
      <c r="AM1612" s="520"/>
      <c r="AN1612" s="520"/>
      <c r="AO1612" s="520"/>
      <c r="AP1612" s="520"/>
      <c r="AQ1612" s="520"/>
      <c r="AR1612" s="520"/>
      <c r="AS1612" s="520"/>
      <c r="AT1612" s="520"/>
      <c r="AU1612" s="520"/>
      <c r="AV1612" s="520"/>
      <c r="AY1612" s="507"/>
      <c r="BA1612" s="507"/>
      <c r="BJ1612" s="493"/>
      <c r="CU1612" s="488"/>
      <c r="CW1612" s="488"/>
      <c r="EV1612" s="821"/>
      <c r="EW1612" s="821"/>
    </row>
    <row r="1613" spans="1:153" s="757" customFormat="1" hidden="1">
      <c r="A1613" s="487"/>
      <c r="B1613" s="487"/>
      <c r="C1613" s="487"/>
      <c r="D1613" s="487"/>
      <c r="I1613" s="487"/>
      <c r="J1613" s="487"/>
      <c r="K1613" s="487"/>
      <c r="L1613" s="487"/>
      <c r="M1613" s="487"/>
      <c r="N1613" s="487"/>
      <c r="O1613" s="875"/>
      <c r="Q1613" s="704"/>
      <c r="R1613" s="1026"/>
      <c r="S1613" s="704"/>
      <c r="T1613" s="1026"/>
      <c r="AB1613" s="520"/>
      <c r="AC1613" s="520"/>
      <c r="AD1613" s="520"/>
      <c r="AE1613" s="520"/>
      <c r="AF1613" s="520"/>
      <c r="AG1613" s="520"/>
      <c r="AH1613" s="520"/>
      <c r="AI1613" s="520"/>
      <c r="AJ1613" s="520"/>
      <c r="AK1613" s="520"/>
      <c r="AL1613" s="520"/>
      <c r="AM1613" s="520"/>
      <c r="AN1613" s="520"/>
      <c r="AO1613" s="520"/>
      <c r="AP1613" s="520"/>
      <c r="AQ1613" s="520"/>
      <c r="AR1613" s="520"/>
      <c r="AS1613" s="520"/>
      <c r="AT1613" s="520"/>
      <c r="AU1613" s="520"/>
      <c r="AV1613" s="520"/>
      <c r="AY1613" s="507"/>
      <c r="BA1613" s="507"/>
      <c r="BJ1613" s="493"/>
      <c r="CU1613" s="488"/>
      <c r="CW1613" s="488"/>
      <c r="EV1613" s="821"/>
      <c r="EW1613" s="821"/>
    </row>
    <row r="1614" spans="1:153" s="757" customFormat="1" hidden="1">
      <c r="A1614" s="487"/>
      <c r="B1614" s="487"/>
      <c r="C1614" s="487"/>
      <c r="D1614" s="487"/>
      <c r="I1614" s="487"/>
      <c r="J1614" s="487"/>
      <c r="K1614" s="487"/>
      <c r="L1614" s="487"/>
      <c r="M1614" s="487"/>
      <c r="N1614" s="487"/>
      <c r="O1614" s="875"/>
      <c r="Q1614" s="704"/>
      <c r="R1614" s="1026"/>
      <c r="S1614" s="704"/>
      <c r="T1614" s="1026"/>
      <c r="AB1614" s="520"/>
      <c r="AC1614" s="520"/>
      <c r="AD1614" s="520"/>
      <c r="AE1614" s="520"/>
      <c r="AF1614" s="520"/>
      <c r="AG1614" s="520"/>
      <c r="AH1614" s="520"/>
      <c r="AI1614" s="520"/>
      <c r="AJ1614" s="520"/>
      <c r="AK1614" s="520"/>
      <c r="AL1614" s="520"/>
      <c r="AM1614" s="520"/>
      <c r="AN1614" s="520"/>
      <c r="AO1614" s="520"/>
      <c r="AP1614" s="520"/>
      <c r="AQ1614" s="520"/>
      <c r="AR1614" s="520"/>
      <c r="AS1614" s="520"/>
      <c r="AT1614" s="520"/>
      <c r="AU1614" s="520"/>
      <c r="AV1614" s="520"/>
      <c r="AY1614" s="507"/>
      <c r="BA1614" s="507"/>
      <c r="BJ1614" s="493"/>
      <c r="CU1614" s="488"/>
      <c r="CW1614" s="488"/>
      <c r="EV1614" s="821"/>
      <c r="EW1614" s="821"/>
    </row>
    <row r="1615" spans="1:153" s="757" customFormat="1" hidden="1">
      <c r="A1615" s="487"/>
      <c r="B1615" s="487"/>
      <c r="C1615" s="487"/>
      <c r="D1615" s="487"/>
      <c r="I1615" s="487"/>
      <c r="J1615" s="487"/>
      <c r="K1615" s="487"/>
      <c r="L1615" s="487"/>
      <c r="M1615" s="487"/>
      <c r="N1615" s="487"/>
      <c r="O1615" s="875"/>
      <c r="Q1615" s="704"/>
      <c r="R1615" s="1026"/>
      <c r="S1615" s="704"/>
      <c r="T1615" s="1026"/>
      <c r="AB1615" s="520"/>
      <c r="AC1615" s="520"/>
      <c r="AD1615" s="520"/>
      <c r="AE1615" s="520"/>
      <c r="AF1615" s="520"/>
      <c r="AG1615" s="520"/>
      <c r="AH1615" s="520"/>
      <c r="AI1615" s="520"/>
      <c r="AJ1615" s="520"/>
      <c r="AK1615" s="520"/>
      <c r="AL1615" s="520"/>
      <c r="AM1615" s="520"/>
      <c r="AN1615" s="520"/>
      <c r="AO1615" s="520"/>
      <c r="AP1615" s="520"/>
      <c r="AQ1615" s="520"/>
      <c r="AR1615" s="520"/>
      <c r="AS1615" s="520"/>
      <c r="AT1615" s="520"/>
      <c r="AU1615" s="520"/>
      <c r="AV1615" s="520"/>
      <c r="AY1615" s="507"/>
      <c r="BA1615" s="507"/>
      <c r="BJ1615" s="493"/>
      <c r="CU1615" s="488"/>
      <c r="CW1615" s="488"/>
      <c r="EV1615" s="821"/>
      <c r="EW1615" s="821"/>
    </row>
    <row r="1616" spans="1:153" s="757" customFormat="1" hidden="1">
      <c r="A1616" s="487"/>
      <c r="B1616" s="487"/>
      <c r="C1616" s="487"/>
      <c r="D1616" s="487"/>
      <c r="I1616" s="487"/>
      <c r="J1616" s="487"/>
      <c r="K1616" s="487"/>
      <c r="L1616" s="487"/>
      <c r="M1616" s="487"/>
      <c r="N1616" s="487"/>
      <c r="O1616" s="875"/>
      <c r="Q1616" s="704"/>
      <c r="R1616" s="1026"/>
      <c r="S1616" s="704"/>
      <c r="T1616" s="1026"/>
      <c r="AB1616" s="520"/>
      <c r="AC1616" s="520"/>
      <c r="AD1616" s="520"/>
      <c r="AE1616" s="520"/>
      <c r="AF1616" s="520"/>
      <c r="AG1616" s="520"/>
      <c r="AH1616" s="520"/>
      <c r="AI1616" s="520"/>
      <c r="AJ1616" s="520"/>
      <c r="AK1616" s="520"/>
      <c r="AL1616" s="520"/>
      <c r="AM1616" s="520"/>
      <c r="AN1616" s="520"/>
      <c r="AO1616" s="520"/>
      <c r="AP1616" s="520"/>
      <c r="AQ1616" s="520"/>
      <c r="AR1616" s="520"/>
      <c r="AS1616" s="520"/>
      <c r="AT1616" s="520"/>
      <c r="AU1616" s="520"/>
      <c r="AV1616" s="520"/>
      <c r="AY1616" s="507"/>
      <c r="BA1616" s="507"/>
      <c r="BJ1616" s="493"/>
      <c r="CU1616" s="488"/>
      <c r="CW1616" s="488"/>
      <c r="EV1616" s="821"/>
      <c r="EW1616" s="821"/>
    </row>
    <row r="1617" spans="1:153" s="757" customFormat="1" hidden="1">
      <c r="A1617" s="487"/>
      <c r="B1617" s="487"/>
      <c r="C1617" s="487"/>
      <c r="D1617" s="487"/>
      <c r="I1617" s="487"/>
      <c r="J1617" s="487"/>
      <c r="K1617" s="487"/>
      <c r="L1617" s="487"/>
      <c r="M1617" s="487"/>
      <c r="N1617" s="487"/>
      <c r="O1617" s="875"/>
      <c r="Q1617" s="704"/>
      <c r="R1617" s="1026"/>
      <c r="S1617" s="704"/>
      <c r="T1617" s="1026"/>
      <c r="AB1617" s="520"/>
      <c r="AC1617" s="520"/>
      <c r="AD1617" s="520"/>
      <c r="AE1617" s="520"/>
      <c r="AF1617" s="520"/>
      <c r="AG1617" s="520"/>
      <c r="AH1617" s="520"/>
      <c r="AI1617" s="520"/>
      <c r="AJ1617" s="520"/>
      <c r="AK1617" s="520"/>
      <c r="AL1617" s="520"/>
      <c r="AM1617" s="520"/>
      <c r="AN1617" s="520"/>
      <c r="AO1617" s="520"/>
      <c r="AP1617" s="520"/>
      <c r="AQ1617" s="520"/>
      <c r="AR1617" s="520"/>
      <c r="AS1617" s="520"/>
      <c r="AT1617" s="520"/>
      <c r="AU1617" s="520"/>
      <c r="AV1617" s="520"/>
      <c r="AY1617" s="507"/>
      <c r="BA1617" s="507"/>
      <c r="BJ1617" s="493"/>
      <c r="CU1617" s="488"/>
      <c r="CW1617" s="488"/>
      <c r="EV1617" s="821"/>
      <c r="EW1617" s="821"/>
    </row>
    <row r="1618" spans="1:153" s="757" customFormat="1" hidden="1">
      <c r="A1618" s="487"/>
      <c r="B1618" s="487"/>
      <c r="C1618" s="487"/>
      <c r="D1618" s="487"/>
      <c r="I1618" s="487"/>
      <c r="J1618" s="487"/>
      <c r="K1618" s="487"/>
      <c r="L1618" s="487"/>
      <c r="M1618" s="487"/>
      <c r="N1618" s="487"/>
      <c r="O1618" s="875"/>
      <c r="Q1618" s="704"/>
      <c r="R1618" s="1026"/>
      <c r="S1618" s="704"/>
      <c r="T1618" s="1026"/>
      <c r="AB1618" s="520"/>
      <c r="AC1618" s="520"/>
      <c r="AD1618" s="520"/>
      <c r="AE1618" s="520"/>
      <c r="AF1618" s="520"/>
      <c r="AG1618" s="520"/>
      <c r="AH1618" s="520"/>
      <c r="AI1618" s="520"/>
      <c r="AJ1618" s="520"/>
      <c r="AK1618" s="520"/>
      <c r="AL1618" s="520"/>
      <c r="AM1618" s="520"/>
      <c r="AN1618" s="520"/>
      <c r="AO1618" s="520"/>
      <c r="AP1618" s="520"/>
      <c r="AQ1618" s="520"/>
      <c r="AR1618" s="520"/>
      <c r="AS1618" s="520"/>
      <c r="AT1618" s="520"/>
      <c r="AU1618" s="520"/>
      <c r="AV1618" s="520"/>
      <c r="AY1618" s="507"/>
      <c r="BA1618" s="507"/>
      <c r="BJ1618" s="493"/>
      <c r="CU1618" s="488"/>
      <c r="CW1618" s="488"/>
      <c r="EV1618" s="821"/>
      <c r="EW1618" s="821"/>
    </row>
    <row r="1619" spans="1:153" s="757" customFormat="1" hidden="1">
      <c r="A1619" s="487"/>
      <c r="B1619" s="487"/>
      <c r="C1619" s="487"/>
      <c r="D1619" s="487"/>
      <c r="I1619" s="487"/>
      <c r="J1619" s="487"/>
      <c r="K1619" s="487"/>
      <c r="L1619" s="487"/>
      <c r="M1619" s="487"/>
      <c r="N1619" s="487"/>
      <c r="O1619" s="875"/>
      <c r="Q1619" s="704"/>
      <c r="R1619" s="1026"/>
      <c r="S1619" s="704"/>
      <c r="T1619" s="1026"/>
      <c r="AB1619" s="520"/>
      <c r="AC1619" s="520"/>
      <c r="AD1619" s="520"/>
      <c r="AE1619" s="520"/>
      <c r="AF1619" s="520"/>
      <c r="AG1619" s="520"/>
      <c r="AH1619" s="520"/>
      <c r="AI1619" s="520"/>
      <c r="AJ1619" s="520"/>
      <c r="AK1619" s="520"/>
      <c r="AL1619" s="520"/>
      <c r="AM1619" s="520"/>
      <c r="AN1619" s="520"/>
      <c r="AO1619" s="520"/>
      <c r="AP1619" s="520"/>
      <c r="AQ1619" s="520"/>
      <c r="AR1619" s="520"/>
      <c r="AS1619" s="520"/>
      <c r="AT1619" s="520"/>
      <c r="AU1619" s="520"/>
      <c r="AV1619" s="520"/>
      <c r="AY1619" s="507"/>
      <c r="BA1619" s="507"/>
      <c r="BJ1619" s="493"/>
      <c r="CU1619" s="488"/>
      <c r="CW1619" s="488"/>
      <c r="EV1619" s="821"/>
      <c r="EW1619" s="821"/>
    </row>
    <row r="1620" spans="1:153" s="757" customFormat="1" hidden="1">
      <c r="A1620" s="487"/>
      <c r="B1620" s="487"/>
      <c r="C1620" s="487"/>
      <c r="D1620" s="487"/>
      <c r="I1620" s="487"/>
      <c r="J1620" s="487"/>
      <c r="K1620" s="487"/>
      <c r="L1620" s="487"/>
      <c r="M1620" s="487"/>
      <c r="N1620" s="487"/>
      <c r="O1620" s="875"/>
      <c r="Q1620" s="704"/>
      <c r="R1620" s="1026"/>
      <c r="S1620" s="704"/>
      <c r="T1620" s="1026"/>
      <c r="AB1620" s="520"/>
      <c r="AC1620" s="520"/>
      <c r="AD1620" s="520"/>
      <c r="AE1620" s="520"/>
      <c r="AF1620" s="520"/>
      <c r="AG1620" s="520"/>
      <c r="AH1620" s="520"/>
      <c r="AI1620" s="520"/>
      <c r="AJ1620" s="520"/>
      <c r="AK1620" s="520"/>
      <c r="AL1620" s="520"/>
      <c r="AM1620" s="520"/>
      <c r="AN1620" s="520"/>
      <c r="AO1620" s="520"/>
      <c r="AP1620" s="520"/>
      <c r="AQ1620" s="520"/>
      <c r="AR1620" s="520"/>
      <c r="AS1620" s="520"/>
      <c r="AT1620" s="520"/>
      <c r="AU1620" s="520"/>
      <c r="AV1620" s="520"/>
      <c r="AY1620" s="507"/>
      <c r="BA1620" s="507"/>
      <c r="BJ1620" s="493"/>
      <c r="CU1620" s="488"/>
      <c r="CW1620" s="488"/>
      <c r="EV1620" s="821"/>
      <c r="EW1620" s="821"/>
    </row>
    <row r="1621" spans="1:153" s="757" customFormat="1" hidden="1">
      <c r="A1621" s="487"/>
      <c r="B1621" s="487"/>
      <c r="C1621" s="487"/>
      <c r="D1621" s="487"/>
      <c r="I1621" s="487"/>
      <c r="J1621" s="487"/>
      <c r="K1621" s="487"/>
      <c r="L1621" s="487"/>
      <c r="M1621" s="487"/>
      <c r="N1621" s="487"/>
      <c r="O1621" s="875"/>
      <c r="Q1621" s="704"/>
      <c r="R1621" s="1026"/>
      <c r="S1621" s="704"/>
      <c r="T1621" s="1026"/>
      <c r="AB1621" s="520"/>
      <c r="AC1621" s="520"/>
      <c r="AD1621" s="520"/>
      <c r="AE1621" s="520"/>
      <c r="AF1621" s="520"/>
      <c r="AG1621" s="520"/>
      <c r="AH1621" s="520"/>
      <c r="AI1621" s="520"/>
      <c r="AJ1621" s="520"/>
      <c r="AK1621" s="520"/>
      <c r="AL1621" s="520"/>
      <c r="AM1621" s="520"/>
      <c r="AN1621" s="520"/>
      <c r="AO1621" s="520"/>
      <c r="AP1621" s="520"/>
      <c r="AQ1621" s="520"/>
      <c r="AR1621" s="520"/>
      <c r="AS1621" s="520"/>
      <c r="AT1621" s="520"/>
      <c r="AU1621" s="520"/>
      <c r="AV1621" s="520"/>
      <c r="AY1621" s="507"/>
      <c r="BA1621" s="507"/>
      <c r="BJ1621" s="493"/>
      <c r="CU1621" s="488"/>
      <c r="CW1621" s="488"/>
      <c r="EV1621" s="821"/>
      <c r="EW1621" s="821"/>
    </row>
    <row r="1622" spans="1:153" s="757" customFormat="1" hidden="1">
      <c r="A1622" s="487"/>
      <c r="B1622" s="487"/>
      <c r="C1622" s="487"/>
      <c r="D1622" s="487"/>
      <c r="I1622" s="487"/>
      <c r="J1622" s="487"/>
      <c r="K1622" s="487"/>
      <c r="L1622" s="487"/>
      <c r="M1622" s="487"/>
      <c r="N1622" s="487"/>
      <c r="O1622" s="875"/>
      <c r="Q1622" s="704"/>
      <c r="R1622" s="1026"/>
      <c r="S1622" s="704"/>
      <c r="T1622" s="1026"/>
      <c r="AB1622" s="520"/>
      <c r="AC1622" s="520"/>
      <c r="AD1622" s="520"/>
      <c r="AE1622" s="520"/>
      <c r="AF1622" s="520"/>
      <c r="AG1622" s="520"/>
      <c r="AH1622" s="520"/>
      <c r="AI1622" s="520"/>
      <c r="AJ1622" s="520"/>
      <c r="AK1622" s="520"/>
      <c r="AL1622" s="520"/>
      <c r="AM1622" s="520"/>
      <c r="AN1622" s="520"/>
      <c r="AO1622" s="520"/>
      <c r="AP1622" s="520"/>
      <c r="AQ1622" s="520"/>
      <c r="AR1622" s="520"/>
      <c r="AS1622" s="520"/>
      <c r="AT1622" s="520"/>
      <c r="AU1622" s="520"/>
      <c r="AV1622" s="520"/>
      <c r="AY1622" s="507"/>
      <c r="BA1622" s="507"/>
      <c r="BJ1622" s="493"/>
      <c r="CU1622" s="488"/>
      <c r="CW1622" s="488"/>
      <c r="EV1622" s="821"/>
      <c r="EW1622" s="821"/>
    </row>
    <row r="1623" spans="1:153" s="757" customFormat="1" hidden="1">
      <c r="A1623" s="487"/>
      <c r="B1623" s="487"/>
      <c r="C1623" s="487"/>
      <c r="D1623" s="487"/>
      <c r="I1623" s="487"/>
      <c r="J1623" s="487"/>
      <c r="K1623" s="487"/>
      <c r="L1623" s="487"/>
      <c r="M1623" s="487"/>
      <c r="N1623" s="487"/>
      <c r="O1623" s="875"/>
      <c r="Q1623" s="704"/>
      <c r="R1623" s="1026"/>
      <c r="S1623" s="704"/>
      <c r="T1623" s="1026"/>
      <c r="AB1623" s="520"/>
      <c r="AC1623" s="520"/>
      <c r="AD1623" s="520"/>
      <c r="AE1623" s="520"/>
      <c r="AF1623" s="520"/>
      <c r="AG1623" s="520"/>
      <c r="AH1623" s="520"/>
      <c r="AI1623" s="520"/>
      <c r="AJ1623" s="520"/>
      <c r="AK1623" s="520"/>
      <c r="AL1623" s="520"/>
      <c r="AM1623" s="520"/>
      <c r="AN1623" s="520"/>
      <c r="AO1623" s="520"/>
      <c r="AP1623" s="520"/>
      <c r="AQ1623" s="520"/>
      <c r="AR1623" s="520"/>
      <c r="AS1623" s="520"/>
      <c r="AT1623" s="520"/>
      <c r="AU1623" s="520"/>
      <c r="AV1623" s="520"/>
      <c r="AY1623" s="507"/>
      <c r="BA1623" s="507"/>
      <c r="BJ1623" s="493"/>
      <c r="CU1623" s="488"/>
      <c r="CW1623" s="488"/>
      <c r="EV1623" s="821"/>
      <c r="EW1623" s="821"/>
    </row>
    <row r="1624" spans="1:153" s="757" customFormat="1" hidden="1">
      <c r="A1624" s="487"/>
      <c r="B1624" s="487"/>
      <c r="C1624" s="487"/>
      <c r="D1624" s="487"/>
      <c r="I1624" s="487"/>
      <c r="J1624" s="487"/>
      <c r="K1624" s="487"/>
      <c r="L1624" s="487"/>
      <c r="M1624" s="487"/>
      <c r="N1624" s="487"/>
      <c r="O1624" s="875"/>
      <c r="Q1624" s="704"/>
      <c r="R1624" s="1026"/>
      <c r="S1624" s="704"/>
      <c r="T1624" s="1026"/>
      <c r="AB1624" s="520"/>
      <c r="AC1624" s="520"/>
      <c r="AD1624" s="520"/>
      <c r="AE1624" s="520"/>
      <c r="AF1624" s="520"/>
      <c r="AG1624" s="520"/>
      <c r="AH1624" s="520"/>
      <c r="AI1624" s="520"/>
      <c r="AJ1624" s="520"/>
      <c r="AK1624" s="520"/>
      <c r="AL1624" s="520"/>
      <c r="AM1624" s="520"/>
      <c r="AN1624" s="520"/>
      <c r="AO1624" s="520"/>
      <c r="AP1624" s="520"/>
      <c r="AQ1624" s="520"/>
      <c r="AR1624" s="520"/>
      <c r="AS1624" s="520"/>
      <c r="AT1624" s="520"/>
      <c r="AU1624" s="520"/>
      <c r="AV1624" s="520"/>
      <c r="AY1624" s="507"/>
      <c r="BA1624" s="507"/>
      <c r="BJ1624" s="493"/>
      <c r="CU1624" s="488"/>
      <c r="CW1624" s="488"/>
      <c r="EV1624" s="821"/>
      <c r="EW1624" s="821"/>
    </row>
    <row r="1625" spans="1:153" s="757" customFormat="1" hidden="1">
      <c r="A1625" s="487"/>
      <c r="B1625" s="487"/>
      <c r="C1625" s="487"/>
      <c r="D1625" s="487"/>
      <c r="I1625" s="487"/>
      <c r="J1625" s="487"/>
      <c r="K1625" s="487"/>
      <c r="L1625" s="487"/>
      <c r="M1625" s="487"/>
      <c r="N1625" s="487"/>
      <c r="O1625" s="875"/>
      <c r="Q1625" s="704"/>
      <c r="R1625" s="1026"/>
      <c r="S1625" s="704"/>
      <c r="T1625" s="1026"/>
      <c r="AB1625" s="520"/>
      <c r="AC1625" s="520"/>
      <c r="AD1625" s="520"/>
      <c r="AE1625" s="520"/>
      <c r="AF1625" s="520"/>
      <c r="AG1625" s="520"/>
      <c r="AH1625" s="520"/>
      <c r="AI1625" s="520"/>
      <c r="AJ1625" s="520"/>
      <c r="AK1625" s="520"/>
      <c r="AL1625" s="520"/>
      <c r="AM1625" s="520"/>
      <c r="AN1625" s="520"/>
      <c r="AO1625" s="520"/>
      <c r="AP1625" s="520"/>
      <c r="AQ1625" s="520"/>
      <c r="AR1625" s="520"/>
      <c r="AS1625" s="520"/>
      <c r="AT1625" s="520"/>
      <c r="AU1625" s="520"/>
      <c r="AV1625" s="520"/>
      <c r="AY1625" s="507"/>
      <c r="BA1625" s="507"/>
      <c r="BJ1625" s="493"/>
      <c r="CU1625" s="488"/>
      <c r="CW1625" s="488"/>
      <c r="EV1625" s="821"/>
      <c r="EW1625" s="821"/>
    </row>
    <row r="1626" spans="1:153" s="757" customFormat="1" hidden="1">
      <c r="A1626" s="487"/>
      <c r="B1626" s="487"/>
      <c r="C1626" s="487"/>
      <c r="D1626" s="487"/>
      <c r="I1626" s="487"/>
      <c r="J1626" s="487"/>
      <c r="K1626" s="487"/>
      <c r="L1626" s="487"/>
      <c r="M1626" s="487"/>
      <c r="N1626" s="487"/>
      <c r="O1626" s="875"/>
      <c r="Q1626" s="704"/>
      <c r="R1626" s="1026"/>
      <c r="S1626" s="704"/>
      <c r="T1626" s="1026"/>
      <c r="AB1626" s="520"/>
      <c r="AC1626" s="520"/>
      <c r="AD1626" s="520"/>
      <c r="AE1626" s="520"/>
      <c r="AF1626" s="520"/>
      <c r="AG1626" s="520"/>
      <c r="AH1626" s="520"/>
      <c r="AI1626" s="520"/>
      <c r="AJ1626" s="520"/>
      <c r="AK1626" s="520"/>
      <c r="AL1626" s="520"/>
      <c r="AM1626" s="520"/>
      <c r="AN1626" s="520"/>
      <c r="AO1626" s="520"/>
      <c r="AP1626" s="520"/>
      <c r="AQ1626" s="520"/>
      <c r="AR1626" s="520"/>
      <c r="AS1626" s="520"/>
      <c r="AT1626" s="520"/>
      <c r="AU1626" s="520"/>
      <c r="AV1626" s="520"/>
      <c r="AY1626" s="507"/>
      <c r="BA1626" s="507"/>
      <c r="BJ1626" s="493"/>
      <c r="CU1626" s="488"/>
      <c r="CW1626" s="488"/>
      <c r="EV1626" s="821"/>
      <c r="EW1626" s="821"/>
    </row>
    <row r="1627" spans="1:153" s="757" customFormat="1" hidden="1">
      <c r="A1627" s="487"/>
      <c r="B1627" s="487"/>
      <c r="C1627" s="487"/>
      <c r="D1627" s="487"/>
      <c r="I1627" s="487"/>
      <c r="J1627" s="487"/>
      <c r="K1627" s="487"/>
      <c r="L1627" s="487"/>
      <c r="M1627" s="487"/>
      <c r="N1627" s="487"/>
      <c r="O1627" s="875"/>
      <c r="Q1627" s="704"/>
      <c r="R1627" s="1026"/>
      <c r="S1627" s="704"/>
      <c r="T1627" s="1026"/>
      <c r="AB1627" s="520"/>
      <c r="AC1627" s="520"/>
      <c r="AD1627" s="520"/>
      <c r="AE1627" s="520"/>
      <c r="AF1627" s="520"/>
      <c r="AG1627" s="520"/>
      <c r="AH1627" s="520"/>
      <c r="AI1627" s="520"/>
      <c r="AJ1627" s="520"/>
      <c r="AK1627" s="520"/>
      <c r="AL1627" s="520"/>
      <c r="AM1627" s="520"/>
      <c r="AN1627" s="520"/>
      <c r="AO1627" s="520"/>
      <c r="AP1627" s="520"/>
      <c r="AQ1627" s="520"/>
      <c r="AR1627" s="520"/>
      <c r="AS1627" s="520"/>
      <c r="AT1627" s="520"/>
      <c r="AU1627" s="520"/>
      <c r="AV1627" s="520"/>
      <c r="AY1627" s="507"/>
      <c r="BA1627" s="507"/>
      <c r="BJ1627" s="493"/>
      <c r="CU1627" s="488"/>
      <c r="CW1627" s="488"/>
      <c r="EV1627" s="821"/>
      <c r="EW1627" s="821"/>
    </row>
    <row r="1628" spans="1:153" s="757" customFormat="1" hidden="1">
      <c r="A1628" s="487"/>
      <c r="B1628" s="487"/>
      <c r="C1628" s="487"/>
      <c r="D1628" s="487"/>
      <c r="I1628" s="487"/>
      <c r="J1628" s="487"/>
      <c r="K1628" s="487"/>
      <c r="L1628" s="487"/>
      <c r="M1628" s="487"/>
      <c r="N1628" s="487"/>
      <c r="O1628" s="875"/>
      <c r="Q1628" s="704"/>
      <c r="R1628" s="1026"/>
      <c r="S1628" s="704"/>
      <c r="T1628" s="1026"/>
      <c r="AB1628" s="520"/>
      <c r="AC1628" s="520"/>
      <c r="AD1628" s="520"/>
      <c r="AE1628" s="520"/>
      <c r="AF1628" s="520"/>
      <c r="AG1628" s="520"/>
      <c r="AH1628" s="520"/>
      <c r="AI1628" s="520"/>
      <c r="AJ1628" s="520"/>
      <c r="AK1628" s="520"/>
      <c r="AL1628" s="520"/>
      <c r="AM1628" s="520"/>
      <c r="AN1628" s="520"/>
      <c r="AO1628" s="520"/>
      <c r="AP1628" s="520"/>
      <c r="AQ1628" s="520"/>
      <c r="AR1628" s="520"/>
      <c r="AS1628" s="520"/>
      <c r="AT1628" s="520"/>
      <c r="AU1628" s="520"/>
      <c r="AV1628" s="520"/>
      <c r="AY1628" s="507"/>
      <c r="BA1628" s="507"/>
      <c r="BJ1628" s="493"/>
      <c r="CU1628" s="488"/>
      <c r="CW1628" s="488"/>
      <c r="EV1628" s="821"/>
      <c r="EW1628" s="821"/>
    </row>
    <row r="1629" spans="1:153" s="757" customFormat="1" hidden="1">
      <c r="A1629" s="487"/>
      <c r="B1629" s="487"/>
      <c r="C1629" s="487"/>
      <c r="D1629" s="487"/>
      <c r="I1629" s="487"/>
      <c r="J1629" s="487"/>
      <c r="K1629" s="487"/>
      <c r="L1629" s="487"/>
      <c r="M1629" s="487"/>
      <c r="N1629" s="487"/>
      <c r="O1629" s="875"/>
      <c r="Q1629" s="704"/>
      <c r="R1629" s="1026"/>
      <c r="S1629" s="704"/>
      <c r="T1629" s="1026"/>
      <c r="AB1629" s="520"/>
      <c r="AC1629" s="520"/>
      <c r="AD1629" s="520"/>
      <c r="AE1629" s="520"/>
      <c r="AF1629" s="520"/>
      <c r="AG1629" s="520"/>
      <c r="AH1629" s="520"/>
      <c r="AI1629" s="520"/>
      <c r="AJ1629" s="520"/>
      <c r="AK1629" s="520"/>
      <c r="AL1629" s="520"/>
      <c r="AM1629" s="520"/>
      <c r="AN1629" s="520"/>
      <c r="AO1629" s="520"/>
      <c r="AP1629" s="520"/>
      <c r="AQ1629" s="520"/>
      <c r="AR1629" s="520"/>
      <c r="AS1629" s="520"/>
      <c r="AT1629" s="520"/>
      <c r="AU1629" s="520"/>
      <c r="AV1629" s="520"/>
      <c r="AY1629" s="507"/>
      <c r="BA1629" s="507"/>
      <c r="BJ1629" s="493"/>
      <c r="CU1629" s="488"/>
      <c r="CW1629" s="488"/>
      <c r="EV1629" s="821"/>
      <c r="EW1629" s="821"/>
    </row>
    <row r="1630" spans="1:153" s="757" customFormat="1" hidden="1">
      <c r="A1630" s="487"/>
      <c r="B1630" s="487"/>
      <c r="C1630" s="487"/>
      <c r="D1630" s="487"/>
      <c r="I1630" s="487"/>
      <c r="J1630" s="487"/>
      <c r="K1630" s="487"/>
      <c r="L1630" s="487"/>
      <c r="M1630" s="487"/>
      <c r="N1630" s="487"/>
      <c r="O1630" s="875"/>
      <c r="Q1630" s="704"/>
      <c r="R1630" s="1026"/>
      <c r="S1630" s="704"/>
      <c r="T1630" s="1026"/>
      <c r="AB1630" s="520"/>
      <c r="AC1630" s="520"/>
      <c r="AD1630" s="520"/>
      <c r="AE1630" s="520"/>
      <c r="AF1630" s="520"/>
      <c r="AG1630" s="520"/>
      <c r="AH1630" s="520"/>
      <c r="AI1630" s="520"/>
      <c r="AJ1630" s="520"/>
      <c r="AK1630" s="520"/>
      <c r="AL1630" s="520"/>
      <c r="AM1630" s="520"/>
      <c r="AN1630" s="520"/>
      <c r="AO1630" s="520"/>
      <c r="AP1630" s="520"/>
      <c r="AQ1630" s="520"/>
      <c r="AR1630" s="520"/>
      <c r="AS1630" s="520"/>
      <c r="AT1630" s="520"/>
      <c r="AU1630" s="520"/>
      <c r="AV1630" s="520"/>
      <c r="AY1630" s="507"/>
      <c r="BA1630" s="507"/>
      <c r="BJ1630" s="493"/>
      <c r="CU1630" s="488"/>
      <c r="CW1630" s="488"/>
      <c r="EV1630" s="821"/>
      <c r="EW1630" s="821"/>
    </row>
    <row r="1631" spans="1:153" s="757" customFormat="1" hidden="1">
      <c r="A1631" s="487"/>
      <c r="B1631" s="487"/>
      <c r="C1631" s="487"/>
      <c r="D1631" s="487"/>
      <c r="I1631" s="487"/>
      <c r="J1631" s="487"/>
      <c r="K1631" s="487"/>
      <c r="L1631" s="487"/>
      <c r="M1631" s="487"/>
      <c r="N1631" s="487"/>
      <c r="O1631" s="875"/>
      <c r="Q1631" s="704"/>
      <c r="R1631" s="1026"/>
      <c r="S1631" s="704"/>
      <c r="T1631" s="1026"/>
      <c r="AB1631" s="520"/>
      <c r="AC1631" s="520"/>
      <c r="AD1631" s="520"/>
      <c r="AE1631" s="520"/>
      <c r="AF1631" s="520"/>
      <c r="AG1631" s="520"/>
      <c r="AH1631" s="520"/>
      <c r="AI1631" s="520"/>
      <c r="AJ1631" s="520"/>
      <c r="AK1631" s="520"/>
      <c r="AL1631" s="520"/>
      <c r="AM1631" s="520"/>
      <c r="AN1631" s="520"/>
      <c r="AO1631" s="520"/>
      <c r="AP1631" s="520"/>
      <c r="AQ1631" s="520"/>
      <c r="AR1631" s="520"/>
      <c r="AS1631" s="520"/>
      <c r="AT1631" s="520"/>
      <c r="AU1631" s="520"/>
      <c r="AV1631" s="520"/>
      <c r="AY1631" s="507"/>
      <c r="BA1631" s="507"/>
      <c r="BJ1631" s="493"/>
      <c r="CU1631" s="488"/>
      <c r="CW1631" s="488"/>
      <c r="EV1631" s="821"/>
      <c r="EW1631" s="821"/>
    </row>
    <row r="1632" spans="1:153" s="757" customFormat="1" hidden="1">
      <c r="A1632" s="487"/>
      <c r="B1632" s="487"/>
      <c r="C1632" s="487"/>
      <c r="D1632" s="487"/>
      <c r="I1632" s="487"/>
      <c r="J1632" s="487"/>
      <c r="K1632" s="487"/>
      <c r="L1632" s="487"/>
      <c r="M1632" s="487"/>
      <c r="N1632" s="487"/>
      <c r="O1632" s="875"/>
      <c r="Q1632" s="704"/>
      <c r="R1632" s="1026"/>
      <c r="S1632" s="704"/>
      <c r="T1632" s="1026"/>
      <c r="AB1632" s="520"/>
      <c r="AC1632" s="520"/>
      <c r="AD1632" s="520"/>
      <c r="AE1632" s="520"/>
      <c r="AF1632" s="520"/>
      <c r="AG1632" s="520"/>
      <c r="AH1632" s="520"/>
      <c r="AI1632" s="520"/>
      <c r="AJ1632" s="520"/>
      <c r="AK1632" s="520"/>
      <c r="AL1632" s="520"/>
      <c r="AM1632" s="520"/>
      <c r="AN1632" s="520"/>
      <c r="AO1632" s="520"/>
      <c r="AP1632" s="520"/>
      <c r="AQ1632" s="520"/>
      <c r="AR1632" s="520"/>
      <c r="AS1632" s="520"/>
      <c r="AT1632" s="520"/>
      <c r="AU1632" s="520"/>
      <c r="AV1632" s="520"/>
      <c r="AY1632" s="507"/>
      <c r="BA1632" s="507"/>
      <c r="BJ1632" s="493"/>
      <c r="CU1632" s="488"/>
      <c r="CW1632" s="488"/>
      <c r="EV1632" s="821"/>
      <c r="EW1632" s="821"/>
    </row>
    <row r="1633" spans="1:153" s="757" customFormat="1" hidden="1">
      <c r="A1633" s="487"/>
      <c r="B1633" s="487"/>
      <c r="C1633" s="487"/>
      <c r="D1633" s="487"/>
      <c r="I1633" s="487"/>
      <c r="J1633" s="487"/>
      <c r="K1633" s="487"/>
      <c r="L1633" s="487"/>
      <c r="M1633" s="487"/>
      <c r="N1633" s="487"/>
      <c r="O1633" s="875"/>
      <c r="Q1633" s="704"/>
      <c r="R1633" s="1026"/>
      <c r="S1633" s="704"/>
      <c r="T1633" s="1026"/>
      <c r="AB1633" s="520"/>
      <c r="AC1633" s="520"/>
      <c r="AD1633" s="520"/>
      <c r="AE1633" s="520"/>
      <c r="AF1633" s="520"/>
      <c r="AG1633" s="520"/>
      <c r="AH1633" s="520"/>
      <c r="AI1633" s="520"/>
      <c r="AJ1633" s="520"/>
      <c r="AK1633" s="520"/>
      <c r="AL1633" s="520"/>
      <c r="AM1633" s="520"/>
      <c r="AN1633" s="520"/>
      <c r="AO1633" s="520"/>
      <c r="AP1633" s="520"/>
      <c r="AQ1633" s="520"/>
      <c r="AR1633" s="520"/>
      <c r="AS1633" s="520"/>
      <c r="AT1633" s="520"/>
      <c r="AU1633" s="520"/>
      <c r="AV1633" s="520"/>
      <c r="AY1633" s="507"/>
      <c r="BA1633" s="507"/>
      <c r="BJ1633" s="493"/>
      <c r="CU1633" s="488"/>
      <c r="CW1633" s="488"/>
      <c r="EV1633" s="821"/>
      <c r="EW1633" s="821"/>
    </row>
    <row r="1634" spans="1:153" s="757" customFormat="1" hidden="1">
      <c r="A1634" s="487"/>
      <c r="B1634" s="487"/>
      <c r="C1634" s="487"/>
      <c r="D1634" s="487"/>
      <c r="I1634" s="487"/>
      <c r="J1634" s="487"/>
      <c r="K1634" s="487"/>
      <c r="L1634" s="487"/>
      <c r="M1634" s="487"/>
      <c r="N1634" s="487"/>
      <c r="O1634" s="875"/>
      <c r="Q1634" s="704"/>
      <c r="R1634" s="1026"/>
      <c r="S1634" s="704"/>
      <c r="T1634" s="1026"/>
      <c r="AB1634" s="520"/>
      <c r="AC1634" s="520"/>
      <c r="AD1634" s="520"/>
      <c r="AE1634" s="520"/>
      <c r="AF1634" s="520"/>
      <c r="AG1634" s="520"/>
      <c r="AH1634" s="520"/>
      <c r="AI1634" s="520"/>
      <c r="AJ1634" s="520"/>
      <c r="AK1634" s="520"/>
      <c r="AL1634" s="520"/>
      <c r="AM1634" s="520"/>
      <c r="AN1634" s="520"/>
      <c r="AO1634" s="520"/>
      <c r="AP1634" s="520"/>
      <c r="AQ1634" s="520"/>
      <c r="AR1634" s="520"/>
      <c r="AS1634" s="520"/>
      <c r="AT1634" s="520"/>
      <c r="AU1634" s="520"/>
      <c r="AV1634" s="520"/>
      <c r="AY1634" s="507"/>
      <c r="BA1634" s="507"/>
      <c r="BJ1634" s="493"/>
      <c r="CU1634" s="488"/>
      <c r="CW1634" s="488"/>
      <c r="EV1634" s="821"/>
      <c r="EW1634" s="821"/>
    </row>
    <row r="1635" spans="1:153" s="757" customFormat="1" hidden="1">
      <c r="A1635" s="487"/>
      <c r="B1635" s="487"/>
      <c r="C1635" s="487"/>
      <c r="D1635" s="487"/>
      <c r="I1635" s="487"/>
      <c r="J1635" s="487"/>
      <c r="K1635" s="487"/>
      <c r="L1635" s="487"/>
      <c r="M1635" s="487"/>
      <c r="N1635" s="487"/>
      <c r="O1635" s="875"/>
      <c r="Q1635" s="704"/>
      <c r="R1635" s="1026"/>
      <c r="S1635" s="704"/>
      <c r="T1635" s="1026"/>
      <c r="AB1635" s="520"/>
      <c r="AC1635" s="520"/>
      <c r="AD1635" s="520"/>
      <c r="AE1635" s="520"/>
      <c r="AF1635" s="520"/>
      <c r="AG1635" s="520"/>
      <c r="AH1635" s="520"/>
      <c r="AI1635" s="520"/>
      <c r="AJ1635" s="520"/>
      <c r="AK1635" s="520"/>
      <c r="AL1635" s="520"/>
      <c r="AM1635" s="520"/>
      <c r="AN1635" s="520"/>
      <c r="AO1635" s="520"/>
      <c r="AP1635" s="520"/>
      <c r="AQ1635" s="520"/>
      <c r="AR1635" s="520"/>
      <c r="AS1635" s="520"/>
      <c r="AT1635" s="520"/>
      <c r="AU1635" s="520"/>
      <c r="AV1635" s="520"/>
      <c r="AY1635" s="507"/>
      <c r="BA1635" s="507"/>
      <c r="BJ1635" s="493"/>
      <c r="CU1635" s="488"/>
      <c r="CW1635" s="488"/>
      <c r="EV1635" s="821"/>
      <c r="EW1635" s="821"/>
    </row>
    <row r="1636" spans="1:153" s="757" customFormat="1" hidden="1">
      <c r="A1636" s="487"/>
      <c r="B1636" s="487"/>
      <c r="C1636" s="487"/>
      <c r="D1636" s="487"/>
      <c r="I1636" s="487"/>
      <c r="J1636" s="487"/>
      <c r="K1636" s="487"/>
      <c r="L1636" s="487"/>
      <c r="M1636" s="487"/>
      <c r="N1636" s="487"/>
      <c r="O1636" s="875"/>
      <c r="Q1636" s="704"/>
      <c r="R1636" s="1026"/>
      <c r="S1636" s="704"/>
      <c r="T1636" s="1026"/>
      <c r="AB1636" s="520"/>
      <c r="AC1636" s="520"/>
      <c r="AD1636" s="520"/>
      <c r="AE1636" s="520"/>
      <c r="AF1636" s="520"/>
      <c r="AG1636" s="520"/>
      <c r="AH1636" s="520"/>
      <c r="AI1636" s="520"/>
      <c r="AJ1636" s="520"/>
      <c r="AK1636" s="520"/>
      <c r="AL1636" s="520"/>
      <c r="AM1636" s="520"/>
      <c r="AN1636" s="520"/>
      <c r="AO1636" s="520"/>
      <c r="AP1636" s="520"/>
      <c r="AQ1636" s="520"/>
      <c r="AR1636" s="520"/>
      <c r="AS1636" s="520"/>
      <c r="AT1636" s="520"/>
      <c r="AU1636" s="520"/>
      <c r="AV1636" s="520"/>
      <c r="AY1636" s="507"/>
      <c r="BA1636" s="507"/>
      <c r="BJ1636" s="493"/>
      <c r="CU1636" s="488"/>
      <c r="CW1636" s="488"/>
      <c r="EV1636" s="821"/>
      <c r="EW1636" s="821"/>
    </row>
    <row r="1637" spans="1:153" s="757" customFormat="1" hidden="1">
      <c r="A1637" s="487"/>
      <c r="B1637" s="487"/>
      <c r="C1637" s="487"/>
      <c r="D1637" s="487"/>
      <c r="I1637" s="487"/>
      <c r="J1637" s="487"/>
      <c r="K1637" s="487"/>
      <c r="L1637" s="487"/>
      <c r="M1637" s="487"/>
      <c r="N1637" s="487"/>
      <c r="O1637" s="875"/>
      <c r="Q1637" s="704"/>
      <c r="R1637" s="1026"/>
      <c r="S1637" s="704"/>
      <c r="T1637" s="1026"/>
      <c r="AB1637" s="520"/>
      <c r="AC1637" s="520"/>
      <c r="AD1637" s="520"/>
      <c r="AE1637" s="520"/>
      <c r="AF1637" s="520"/>
      <c r="AG1637" s="520"/>
      <c r="AH1637" s="520"/>
      <c r="AI1637" s="520"/>
      <c r="AJ1637" s="520"/>
      <c r="AK1637" s="520"/>
      <c r="AL1637" s="520"/>
      <c r="AM1637" s="520"/>
      <c r="AN1637" s="520"/>
      <c r="AO1637" s="520"/>
      <c r="AP1637" s="520"/>
      <c r="AQ1637" s="520"/>
      <c r="AR1637" s="520"/>
      <c r="AS1637" s="520"/>
      <c r="AT1637" s="520"/>
      <c r="AU1637" s="520"/>
      <c r="AV1637" s="520"/>
      <c r="AY1637" s="507"/>
      <c r="BA1637" s="507"/>
      <c r="BJ1637" s="493"/>
      <c r="CU1637" s="488"/>
      <c r="CW1637" s="488"/>
      <c r="EV1637" s="821"/>
      <c r="EW1637" s="821"/>
    </row>
    <row r="1638" spans="1:153" s="757" customFormat="1" hidden="1">
      <c r="A1638" s="487"/>
      <c r="B1638" s="487"/>
      <c r="C1638" s="487"/>
      <c r="D1638" s="487"/>
      <c r="I1638" s="487"/>
      <c r="J1638" s="487"/>
      <c r="K1638" s="487"/>
      <c r="L1638" s="487"/>
      <c r="M1638" s="487"/>
      <c r="N1638" s="487"/>
      <c r="O1638" s="875"/>
      <c r="Q1638" s="704"/>
      <c r="R1638" s="1026"/>
      <c r="S1638" s="704"/>
      <c r="T1638" s="1026"/>
      <c r="AB1638" s="520"/>
      <c r="AC1638" s="520"/>
      <c r="AD1638" s="520"/>
      <c r="AE1638" s="520"/>
      <c r="AF1638" s="520"/>
      <c r="AG1638" s="520"/>
      <c r="AH1638" s="520"/>
      <c r="AI1638" s="520"/>
      <c r="AJ1638" s="520"/>
      <c r="AK1638" s="520"/>
      <c r="AL1638" s="520"/>
      <c r="AM1638" s="520"/>
      <c r="AN1638" s="520"/>
      <c r="AO1638" s="520"/>
      <c r="AP1638" s="520"/>
      <c r="AQ1638" s="520"/>
      <c r="AR1638" s="520"/>
      <c r="AS1638" s="520"/>
      <c r="AT1638" s="520"/>
      <c r="AU1638" s="520"/>
      <c r="AV1638" s="520"/>
      <c r="AY1638" s="507"/>
      <c r="BA1638" s="507"/>
      <c r="BJ1638" s="493"/>
      <c r="CU1638" s="488"/>
      <c r="CW1638" s="488"/>
      <c r="EV1638" s="821"/>
      <c r="EW1638" s="821"/>
    </row>
    <row r="1639" spans="1:153" s="757" customFormat="1" hidden="1">
      <c r="A1639" s="487"/>
      <c r="B1639" s="487"/>
      <c r="C1639" s="487"/>
      <c r="D1639" s="487"/>
      <c r="I1639" s="487"/>
      <c r="J1639" s="487"/>
      <c r="K1639" s="487"/>
      <c r="L1639" s="487"/>
      <c r="M1639" s="487"/>
      <c r="N1639" s="487"/>
      <c r="O1639" s="875"/>
      <c r="Q1639" s="704"/>
      <c r="R1639" s="1026"/>
      <c r="S1639" s="704"/>
      <c r="T1639" s="1026"/>
      <c r="AB1639" s="520"/>
      <c r="AC1639" s="520"/>
      <c r="AD1639" s="520"/>
      <c r="AE1639" s="520"/>
      <c r="AF1639" s="520"/>
      <c r="AG1639" s="520"/>
      <c r="AH1639" s="520"/>
      <c r="AI1639" s="520"/>
      <c r="AJ1639" s="520"/>
      <c r="AK1639" s="520"/>
      <c r="AL1639" s="520"/>
      <c r="AM1639" s="520"/>
      <c r="AN1639" s="520"/>
      <c r="AO1639" s="520"/>
      <c r="AP1639" s="520"/>
      <c r="AQ1639" s="520"/>
      <c r="AR1639" s="520"/>
      <c r="AS1639" s="520"/>
      <c r="AT1639" s="520"/>
      <c r="AU1639" s="520"/>
      <c r="AV1639" s="520"/>
      <c r="AY1639" s="507"/>
      <c r="BA1639" s="507"/>
      <c r="BJ1639" s="493"/>
      <c r="CU1639" s="488"/>
      <c r="CW1639" s="488"/>
      <c r="EV1639" s="821"/>
      <c r="EW1639" s="821"/>
    </row>
    <row r="1640" spans="1:153" s="757" customFormat="1" hidden="1">
      <c r="A1640" s="487"/>
      <c r="B1640" s="487"/>
      <c r="C1640" s="487"/>
      <c r="D1640" s="487"/>
      <c r="I1640" s="487"/>
      <c r="J1640" s="487"/>
      <c r="K1640" s="487"/>
      <c r="L1640" s="487"/>
      <c r="M1640" s="487"/>
      <c r="N1640" s="487"/>
      <c r="O1640" s="875"/>
      <c r="Q1640" s="704"/>
      <c r="R1640" s="1026"/>
      <c r="S1640" s="704"/>
      <c r="T1640" s="1026"/>
      <c r="AB1640" s="520"/>
      <c r="AC1640" s="520"/>
      <c r="AD1640" s="520"/>
      <c r="AE1640" s="520"/>
      <c r="AF1640" s="520"/>
      <c r="AG1640" s="520"/>
      <c r="AH1640" s="520"/>
      <c r="AI1640" s="520"/>
      <c r="AJ1640" s="520"/>
      <c r="AK1640" s="520"/>
      <c r="AL1640" s="520"/>
      <c r="AM1640" s="520"/>
      <c r="AN1640" s="520"/>
      <c r="AO1640" s="520"/>
      <c r="AP1640" s="520"/>
      <c r="AQ1640" s="520"/>
      <c r="AR1640" s="520"/>
      <c r="AS1640" s="520"/>
      <c r="AT1640" s="520"/>
      <c r="AU1640" s="520"/>
      <c r="AV1640" s="520"/>
      <c r="AY1640" s="507"/>
      <c r="BA1640" s="507"/>
      <c r="BJ1640" s="493"/>
      <c r="CU1640" s="488"/>
      <c r="CW1640" s="488"/>
      <c r="EV1640" s="821"/>
      <c r="EW1640" s="821"/>
    </row>
    <row r="1641" spans="1:153" s="757" customFormat="1" hidden="1">
      <c r="A1641" s="487"/>
      <c r="B1641" s="487"/>
      <c r="C1641" s="487"/>
      <c r="D1641" s="487"/>
      <c r="I1641" s="487"/>
      <c r="J1641" s="487"/>
      <c r="K1641" s="487"/>
      <c r="L1641" s="487"/>
      <c r="M1641" s="487"/>
      <c r="N1641" s="487"/>
      <c r="O1641" s="875"/>
      <c r="Q1641" s="704"/>
      <c r="R1641" s="1026"/>
      <c r="S1641" s="704"/>
      <c r="T1641" s="1026"/>
      <c r="AB1641" s="520"/>
      <c r="AC1641" s="520"/>
      <c r="AD1641" s="520"/>
      <c r="AE1641" s="520"/>
      <c r="AF1641" s="520"/>
      <c r="AG1641" s="520"/>
      <c r="AH1641" s="520"/>
      <c r="AI1641" s="520"/>
      <c r="AJ1641" s="520"/>
      <c r="AK1641" s="520"/>
      <c r="AL1641" s="520"/>
      <c r="AM1641" s="520"/>
      <c r="AN1641" s="520"/>
      <c r="AO1641" s="520"/>
      <c r="AP1641" s="520"/>
      <c r="AQ1641" s="520"/>
      <c r="AR1641" s="520"/>
      <c r="AS1641" s="520"/>
      <c r="AT1641" s="520"/>
      <c r="AU1641" s="520"/>
      <c r="AV1641" s="520"/>
      <c r="AY1641" s="507"/>
      <c r="BA1641" s="507"/>
      <c r="BJ1641" s="493"/>
      <c r="CU1641" s="488"/>
      <c r="CW1641" s="488"/>
      <c r="EV1641" s="821"/>
      <c r="EW1641" s="821"/>
    </row>
    <row r="1642" spans="1:153" s="757" customFormat="1" hidden="1">
      <c r="A1642" s="487"/>
      <c r="B1642" s="487"/>
      <c r="C1642" s="487"/>
      <c r="D1642" s="487"/>
      <c r="I1642" s="487"/>
      <c r="J1642" s="487"/>
      <c r="K1642" s="487"/>
      <c r="L1642" s="487"/>
      <c r="M1642" s="487"/>
      <c r="N1642" s="487"/>
      <c r="O1642" s="875"/>
      <c r="Q1642" s="704"/>
      <c r="R1642" s="1026"/>
      <c r="S1642" s="704"/>
      <c r="T1642" s="1026"/>
      <c r="AB1642" s="520"/>
      <c r="AC1642" s="520"/>
      <c r="AD1642" s="520"/>
      <c r="AE1642" s="520"/>
      <c r="AF1642" s="520"/>
      <c r="AG1642" s="520"/>
      <c r="AH1642" s="520"/>
      <c r="AI1642" s="520"/>
      <c r="AJ1642" s="520"/>
      <c r="AK1642" s="520"/>
      <c r="AL1642" s="520"/>
      <c r="AM1642" s="520"/>
      <c r="AN1642" s="520"/>
      <c r="AO1642" s="520"/>
      <c r="AP1642" s="520"/>
      <c r="AQ1642" s="520"/>
      <c r="AR1642" s="520"/>
      <c r="AS1642" s="520"/>
      <c r="AT1642" s="520"/>
      <c r="AU1642" s="520"/>
      <c r="AV1642" s="520"/>
      <c r="AY1642" s="507"/>
      <c r="BA1642" s="507"/>
      <c r="BJ1642" s="493"/>
      <c r="CU1642" s="488"/>
      <c r="CW1642" s="488"/>
      <c r="EV1642" s="821"/>
      <c r="EW1642" s="821"/>
    </row>
    <row r="1643" spans="1:153" s="757" customFormat="1" hidden="1">
      <c r="A1643" s="487"/>
      <c r="B1643" s="487"/>
      <c r="C1643" s="487"/>
      <c r="D1643" s="487"/>
      <c r="I1643" s="487"/>
      <c r="J1643" s="487"/>
      <c r="K1643" s="487"/>
      <c r="L1643" s="487"/>
      <c r="M1643" s="487"/>
      <c r="N1643" s="487"/>
      <c r="O1643" s="875"/>
      <c r="Q1643" s="704"/>
      <c r="R1643" s="1026"/>
      <c r="S1643" s="704"/>
      <c r="T1643" s="1026"/>
      <c r="AB1643" s="520"/>
      <c r="AC1643" s="520"/>
      <c r="AD1643" s="520"/>
      <c r="AE1643" s="520"/>
      <c r="AF1643" s="520"/>
      <c r="AG1643" s="520"/>
      <c r="AH1643" s="520"/>
      <c r="AI1643" s="520"/>
      <c r="AJ1643" s="520"/>
      <c r="AK1643" s="520"/>
      <c r="AL1643" s="520"/>
      <c r="AM1643" s="520"/>
      <c r="AN1643" s="520"/>
      <c r="AO1643" s="520"/>
      <c r="AP1643" s="520"/>
      <c r="AQ1643" s="520"/>
      <c r="AR1643" s="520"/>
      <c r="AS1643" s="520"/>
      <c r="AT1643" s="520"/>
      <c r="AU1643" s="520"/>
      <c r="AV1643" s="520"/>
      <c r="AY1643" s="507"/>
      <c r="BA1643" s="507"/>
      <c r="BJ1643" s="493"/>
      <c r="CU1643" s="488"/>
      <c r="CW1643" s="488"/>
      <c r="EV1643" s="821"/>
      <c r="EW1643" s="821"/>
    </row>
    <row r="1644" spans="1:153" s="757" customFormat="1" hidden="1">
      <c r="A1644" s="487"/>
      <c r="B1644" s="487"/>
      <c r="C1644" s="487"/>
      <c r="D1644" s="487"/>
      <c r="I1644" s="487"/>
      <c r="J1644" s="487"/>
      <c r="K1644" s="487"/>
      <c r="L1644" s="487"/>
      <c r="M1644" s="487"/>
      <c r="N1644" s="487"/>
      <c r="O1644" s="875"/>
      <c r="Q1644" s="704"/>
      <c r="R1644" s="1026"/>
      <c r="S1644" s="704"/>
      <c r="T1644" s="1026"/>
      <c r="AB1644" s="520"/>
      <c r="AC1644" s="520"/>
      <c r="AD1644" s="520"/>
      <c r="AE1644" s="520"/>
      <c r="AF1644" s="520"/>
      <c r="AG1644" s="520"/>
      <c r="AH1644" s="520"/>
      <c r="AI1644" s="520"/>
      <c r="AJ1644" s="520"/>
      <c r="AK1644" s="520"/>
      <c r="AL1644" s="520"/>
      <c r="AM1644" s="520"/>
      <c r="AN1644" s="520"/>
      <c r="AO1644" s="520"/>
      <c r="AP1644" s="520"/>
      <c r="AQ1644" s="520"/>
      <c r="AR1644" s="520"/>
      <c r="AS1644" s="520"/>
      <c r="AT1644" s="520"/>
      <c r="AU1644" s="520"/>
      <c r="AV1644" s="520"/>
      <c r="AY1644" s="507"/>
      <c r="BA1644" s="507"/>
      <c r="BJ1644" s="493"/>
      <c r="CU1644" s="488"/>
      <c r="CW1644" s="488"/>
      <c r="EV1644" s="821"/>
      <c r="EW1644" s="821"/>
    </row>
    <row r="1645" spans="1:153" s="757" customFormat="1" hidden="1">
      <c r="A1645" s="487"/>
      <c r="B1645" s="487"/>
      <c r="C1645" s="487"/>
      <c r="D1645" s="487"/>
      <c r="I1645" s="487"/>
      <c r="J1645" s="487"/>
      <c r="K1645" s="487"/>
      <c r="L1645" s="487"/>
      <c r="M1645" s="487"/>
      <c r="N1645" s="487"/>
      <c r="O1645" s="875"/>
      <c r="Q1645" s="704"/>
      <c r="R1645" s="1026"/>
      <c r="S1645" s="704"/>
      <c r="T1645" s="1026"/>
      <c r="AB1645" s="520"/>
      <c r="AC1645" s="520"/>
      <c r="AD1645" s="520"/>
      <c r="AE1645" s="520"/>
      <c r="AF1645" s="520"/>
      <c r="AG1645" s="520"/>
      <c r="AH1645" s="520"/>
      <c r="AI1645" s="520"/>
      <c r="AJ1645" s="520"/>
      <c r="AK1645" s="520"/>
      <c r="AL1645" s="520"/>
      <c r="AM1645" s="520"/>
      <c r="AN1645" s="520"/>
      <c r="AO1645" s="520"/>
      <c r="AP1645" s="520"/>
      <c r="AQ1645" s="520"/>
      <c r="AR1645" s="520"/>
      <c r="AS1645" s="520"/>
      <c r="AT1645" s="520"/>
      <c r="AU1645" s="520"/>
      <c r="AV1645" s="520"/>
      <c r="AY1645" s="507"/>
      <c r="BA1645" s="507"/>
      <c r="BJ1645" s="493"/>
      <c r="CU1645" s="488"/>
      <c r="CW1645" s="488"/>
      <c r="EV1645" s="821"/>
      <c r="EW1645" s="821"/>
    </row>
    <row r="1646" spans="1:153" s="757" customFormat="1" hidden="1">
      <c r="A1646" s="487"/>
      <c r="B1646" s="487"/>
      <c r="C1646" s="487"/>
      <c r="D1646" s="487"/>
      <c r="I1646" s="487"/>
      <c r="J1646" s="487"/>
      <c r="K1646" s="487"/>
      <c r="L1646" s="487"/>
      <c r="M1646" s="487"/>
      <c r="N1646" s="487"/>
      <c r="O1646" s="875"/>
      <c r="Q1646" s="704"/>
      <c r="R1646" s="1026"/>
      <c r="S1646" s="704"/>
      <c r="T1646" s="1026"/>
      <c r="AB1646" s="520"/>
      <c r="AC1646" s="520"/>
      <c r="AD1646" s="520"/>
      <c r="AE1646" s="520"/>
      <c r="AF1646" s="520"/>
      <c r="AG1646" s="520"/>
      <c r="AH1646" s="520"/>
      <c r="AI1646" s="520"/>
      <c r="AJ1646" s="520"/>
      <c r="AK1646" s="520"/>
      <c r="AL1646" s="520"/>
      <c r="AM1646" s="520"/>
      <c r="AN1646" s="520"/>
      <c r="AO1646" s="520"/>
      <c r="AP1646" s="520"/>
      <c r="AQ1646" s="520"/>
      <c r="AR1646" s="520"/>
      <c r="AS1646" s="520"/>
      <c r="AT1646" s="520"/>
      <c r="AU1646" s="520"/>
      <c r="AV1646" s="520"/>
      <c r="AY1646" s="507"/>
      <c r="BA1646" s="507"/>
      <c r="BJ1646" s="493"/>
      <c r="CU1646" s="488"/>
      <c r="CW1646" s="488"/>
      <c r="EV1646" s="821"/>
      <c r="EW1646" s="821"/>
    </row>
    <row r="1647" spans="1:153" s="757" customFormat="1" hidden="1">
      <c r="A1647" s="487"/>
      <c r="B1647" s="487"/>
      <c r="C1647" s="487"/>
      <c r="D1647" s="487"/>
      <c r="I1647" s="487"/>
      <c r="J1647" s="487"/>
      <c r="K1647" s="487"/>
      <c r="L1647" s="487"/>
      <c r="M1647" s="487"/>
      <c r="N1647" s="487"/>
      <c r="O1647" s="875"/>
      <c r="Q1647" s="704"/>
      <c r="R1647" s="1026"/>
      <c r="S1647" s="704"/>
      <c r="T1647" s="1026"/>
      <c r="AB1647" s="520"/>
      <c r="AC1647" s="520"/>
      <c r="AD1647" s="520"/>
      <c r="AE1647" s="520"/>
      <c r="AF1647" s="520"/>
      <c r="AG1647" s="520"/>
      <c r="AH1647" s="520"/>
      <c r="AI1647" s="520"/>
      <c r="AJ1647" s="520"/>
      <c r="AK1647" s="520"/>
      <c r="AL1647" s="520"/>
      <c r="AM1647" s="520"/>
      <c r="AN1647" s="520"/>
      <c r="AO1647" s="520"/>
      <c r="AP1647" s="520"/>
      <c r="AQ1647" s="520"/>
      <c r="AR1647" s="520"/>
      <c r="AS1647" s="520"/>
      <c r="AT1647" s="520"/>
      <c r="AU1647" s="520"/>
      <c r="AV1647" s="520"/>
      <c r="AY1647" s="507"/>
      <c r="BA1647" s="507"/>
      <c r="BJ1647" s="493"/>
      <c r="CU1647" s="488"/>
      <c r="CW1647" s="488"/>
      <c r="EV1647" s="821"/>
      <c r="EW1647" s="821"/>
    </row>
    <row r="1648" spans="1:153" s="757" customFormat="1" hidden="1">
      <c r="A1648" s="487"/>
      <c r="B1648" s="487"/>
      <c r="C1648" s="487"/>
      <c r="D1648" s="487"/>
      <c r="I1648" s="487"/>
      <c r="J1648" s="487"/>
      <c r="K1648" s="487"/>
      <c r="L1648" s="487"/>
      <c r="M1648" s="487"/>
      <c r="N1648" s="487"/>
      <c r="O1648" s="875"/>
      <c r="Q1648" s="704"/>
      <c r="R1648" s="1026"/>
      <c r="S1648" s="704"/>
      <c r="T1648" s="1026"/>
      <c r="AB1648" s="520"/>
      <c r="AC1648" s="520"/>
      <c r="AD1648" s="520"/>
      <c r="AE1648" s="520"/>
      <c r="AF1648" s="520"/>
      <c r="AG1648" s="520"/>
      <c r="AH1648" s="520"/>
      <c r="AI1648" s="520"/>
      <c r="AJ1648" s="520"/>
      <c r="AK1648" s="520"/>
      <c r="AL1648" s="520"/>
      <c r="AM1648" s="520"/>
      <c r="AN1648" s="520"/>
      <c r="AO1648" s="520"/>
      <c r="AP1648" s="520"/>
      <c r="AQ1648" s="520"/>
      <c r="AR1648" s="520"/>
      <c r="AS1648" s="520"/>
      <c r="AT1648" s="520"/>
      <c r="AU1648" s="520"/>
      <c r="AV1648" s="520"/>
      <c r="AY1648" s="507"/>
      <c r="BA1648" s="507"/>
      <c r="BJ1648" s="493"/>
      <c r="CU1648" s="488"/>
      <c r="CW1648" s="488"/>
      <c r="EV1648" s="821"/>
      <c r="EW1648" s="821"/>
    </row>
    <row r="1649" spans="1:153" s="757" customFormat="1" hidden="1">
      <c r="A1649" s="487"/>
      <c r="B1649" s="487"/>
      <c r="C1649" s="487"/>
      <c r="D1649" s="487"/>
      <c r="I1649" s="487"/>
      <c r="J1649" s="487"/>
      <c r="K1649" s="487"/>
      <c r="L1649" s="487"/>
      <c r="M1649" s="487"/>
      <c r="N1649" s="487"/>
      <c r="O1649" s="875"/>
      <c r="Q1649" s="704"/>
      <c r="R1649" s="1026"/>
      <c r="S1649" s="704"/>
      <c r="T1649" s="1026"/>
      <c r="AB1649" s="520"/>
      <c r="AC1649" s="520"/>
      <c r="AD1649" s="520"/>
      <c r="AE1649" s="520"/>
      <c r="AF1649" s="520"/>
      <c r="AG1649" s="520"/>
      <c r="AH1649" s="520"/>
      <c r="AI1649" s="520"/>
      <c r="AJ1649" s="520"/>
      <c r="AK1649" s="520"/>
      <c r="AL1649" s="520"/>
      <c r="AM1649" s="520"/>
      <c r="AN1649" s="520"/>
      <c r="AO1649" s="520"/>
      <c r="AP1649" s="520"/>
      <c r="AQ1649" s="520"/>
      <c r="AR1649" s="520"/>
      <c r="AS1649" s="520"/>
      <c r="AT1649" s="520"/>
      <c r="AU1649" s="520"/>
      <c r="AV1649" s="520"/>
      <c r="AY1649" s="507"/>
      <c r="BA1649" s="507"/>
      <c r="BJ1649" s="493"/>
      <c r="CU1649" s="488"/>
      <c r="CW1649" s="488"/>
      <c r="EV1649" s="821"/>
      <c r="EW1649" s="821"/>
    </row>
    <row r="1650" spans="1:153" s="757" customFormat="1" hidden="1">
      <c r="A1650" s="487"/>
      <c r="B1650" s="487"/>
      <c r="C1650" s="487"/>
      <c r="D1650" s="487"/>
      <c r="I1650" s="487"/>
      <c r="J1650" s="487"/>
      <c r="K1650" s="487"/>
      <c r="L1650" s="487"/>
      <c r="M1650" s="487"/>
      <c r="N1650" s="487"/>
      <c r="O1650" s="875"/>
      <c r="Q1650" s="704"/>
      <c r="R1650" s="1026"/>
      <c r="S1650" s="704"/>
      <c r="T1650" s="1026"/>
      <c r="AB1650" s="520"/>
      <c r="AC1650" s="520"/>
      <c r="AD1650" s="520"/>
      <c r="AE1650" s="520"/>
      <c r="AF1650" s="520"/>
      <c r="AG1650" s="520"/>
      <c r="AH1650" s="520"/>
      <c r="AI1650" s="520"/>
      <c r="AJ1650" s="520"/>
      <c r="AK1650" s="520"/>
      <c r="AL1650" s="520"/>
      <c r="AM1650" s="520"/>
      <c r="AN1650" s="520"/>
      <c r="AO1650" s="520"/>
      <c r="AP1650" s="520"/>
      <c r="AQ1650" s="520"/>
      <c r="AR1650" s="520"/>
      <c r="AS1650" s="520"/>
      <c r="AT1650" s="520"/>
      <c r="AU1650" s="520"/>
      <c r="AV1650" s="520"/>
      <c r="AY1650" s="507"/>
      <c r="BA1650" s="507"/>
      <c r="BJ1650" s="493"/>
      <c r="CU1650" s="488"/>
      <c r="CW1650" s="488"/>
      <c r="EV1650" s="821"/>
      <c r="EW1650" s="821"/>
    </row>
    <row r="1651" spans="1:153" s="757" customFormat="1" hidden="1">
      <c r="A1651" s="487"/>
      <c r="B1651" s="487"/>
      <c r="C1651" s="487"/>
      <c r="D1651" s="487"/>
      <c r="I1651" s="487"/>
      <c r="J1651" s="487"/>
      <c r="K1651" s="487"/>
      <c r="L1651" s="487"/>
      <c r="M1651" s="487"/>
      <c r="N1651" s="487"/>
      <c r="O1651" s="875"/>
      <c r="Q1651" s="704"/>
      <c r="R1651" s="1026"/>
      <c r="S1651" s="704"/>
      <c r="T1651" s="1026"/>
      <c r="AB1651" s="520"/>
      <c r="AC1651" s="520"/>
      <c r="AD1651" s="520"/>
      <c r="AE1651" s="520"/>
      <c r="AF1651" s="520"/>
      <c r="AG1651" s="520"/>
      <c r="AH1651" s="520"/>
      <c r="AI1651" s="520"/>
      <c r="AJ1651" s="520"/>
      <c r="AK1651" s="520"/>
      <c r="AL1651" s="520"/>
      <c r="AM1651" s="520"/>
      <c r="AN1651" s="520"/>
      <c r="AO1651" s="520"/>
      <c r="AP1651" s="520"/>
      <c r="AQ1651" s="520"/>
      <c r="AR1651" s="520"/>
      <c r="AS1651" s="520"/>
      <c r="AT1651" s="520"/>
      <c r="AU1651" s="520"/>
      <c r="AV1651" s="520"/>
      <c r="AY1651" s="507"/>
      <c r="BA1651" s="507"/>
      <c r="BJ1651" s="493"/>
      <c r="CU1651" s="488"/>
      <c r="CW1651" s="488"/>
      <c r="EV1651" s="821"/>
      <c r="EW1651" s="821"/>
    </row>
    <row r="1652" spans="1:153" s="757" customFormat="1" hidden="1">
      <c r="A1652" s="487"/>
      <c r="B1652" s="487"/>
      <c r="C1652" s="487"/>
      <c r="D1652" s="487"/>
      <c r="I1652" s="487"/>
      <c r="J1652" s="487"/>
      <c r="K1652" s="487"/>
      <c r="L1652" s="487"/>
      <c r="M1652" s="487"/>
      <c r="N1652" s="487"/>
      <c r="O1652" s="875"/>
      <c r="Q1652" s="704"/>
      <c r="R1652" s="1026"/>
      <c r="S1652" s="704"/>
      <c r="T1652" s="1026"/>
      <c r="AB1652" s="520"/>
      <c r="AC1652" s="520"/>
      <c r="AD1652" s="520"/>
      <c r="AE1652" s="520"/>
      <c r="AF1652" s="520"/>
      <c r="AG1652" s="520"/>
      <c r="AH1652" s="520"/>
      <c r="AI1652" s="520"/>
      <c r="AJ1652" s="520"/>
      <c r="AK1652" s="520"/>
      <c r="AL1652" s="520"/>
      <c r="AM1652" s="520"/>
      <c r="AN1652" s="520"/>
      <c r="AO1652" s="520"/>
      <c r="AP1652" s="520"/>
      <c r="AQ1652" s="520"/>
      <c r="AR1652" s="520"/>
      <c r="AS1652" s="520"/>
      <c r="AT1652" s="520"/>
      <c r="AU1652" s="520"/>
      <c r="AV1652" s="520"/>
      <c r="AY1652" s="507"/>
      <c r="BA1652" s="507"/>
      <c r="BJ1652" s="493"/>
      <c r="CU1652" s="488"/>
      <c r="CW1652" s="488"/>
      <c r="EV1652" s="821"/>
      <c r="EW1652" s="821"/>
    </row>
    <row r="1653" spans="1:153" s="757" customFormat="1" hidden="1">
      <c r="A1653" s="487"/>
      <c r="B1653" s="487"/>
      <c r="C1653" s="487"/>
      <c r="D1653" s="487"/>
      <c r="I1653" s="487"/>
      <c r="J1653" s="487"/>
      <c r="K1653" s="487"/>
      <c r="L1653" s="487"/>
      <c r="M1653" s="487"/>
      <c r="N1653" s="487"/>
      <c r="O1653" s="875"/>
      <c r="Q1653" s="704"/>
      <c r="R1653" s="1026"/>
      <c r="S1653" s="704"/>
      <c r="T1653" s="1026"/>
      <c r="AB1653" s="520"/>
      <c r="AC1653" s="520"/>
      <c r="AD1653" s="520"/>
      <c r="AE1653" s="520"/>
      <c r="AF1653" s="520"/>
      <c r="AG1653" s="520"/>
      <c r="AH1653" s="520"/>
      <c r="AI1653" s="520"/>
      <c r="AJ1653" s="520"/>
      <c r="AK1653" s="520"/>
      <c r="AL1653" s="520"/>
      <c r="AM1653" s="520"/>
      <c r="AN1653" s="520"/>
      <c r="AO1653" s="520"/>
      <c r="AP1653" s="520"/>
      <c r="AQ1653" s="520"/>
      <c r="AR1653" s="520"/>
      <c r="AS1653" s="520"/>
      <c r="AT1653" s="520"/>
      <c r="AU1653" s="520"/>
      <c r="AV1653" s="520"/>
      <c r="AY1653" s="507"/>
      <c r="BA1653" s="507"/>
      <c r="BJ1653" s="493"/>
      <c r="CU1653" s="488"/>
      <c r="CW1653" s="488"/>
      <c r="EV1653" s="821"/>
      <c r="EW1653" s="821"/>
    </row>
    <row r="1654" spans="1:153" s="757" customFormat="1" hidden="1">
      <c r="A1654" s="487"/>
      <c r="B1654" s="487"/>
      <c r="C1654" s="487"/>
      <c r="D1654" s="487"/>
      <c r="I1654" s="487"/>
      <c r="J1654" s="487"/>
      <c r="K1654" s="487"/>
      <c r="L1654" s="487"/>
      <c r="M1654" s="487"/>
      <c r="N1654" s="487"/>
      <c r="O1654" s="875"/>
      <c r="Q1654" s="704"/>
      <c r="R1654" s="1026"/>
      <c r="S1654" s="704"/>
      <c r="T1654" s="1026"/>
      <c r="AB1654" s="520"/>
      <c r="AC1654" s="520"/>
      <c r="AD1654" s="520"/>
      <c r="AE1654" s="520"/>
      <c r="AF1654" s="520"/>
      <c r="AG1654" s="520"/>
      <c r="AH1654" s="520"/>
      <c r="AI1654" s="520"/>
      <c r="AJ1654" s="520"/>
      <c r="AK1654" s="520"/>
      <c r="AL1654" s="520"/>
      <c r="AM1654" s="520"/>
      <c r="AN1654" s="520"/>
      <c r="AO1654" s="520"/>
      <c r="AP1654" s="520"/>
      <c r="AQ1654" s="520"/>
      <c r="AR1654" s="520"/>
      <c r="AS1654" s="520"/>
      <c r="AT1654" s="520"/>
      <c r="AU1654" s="520"/>
      <c r="AV1654" s="520"/>
      <c r="AY1654" s="507"/>
      <c r="BA1654" s="507"/>
      <c r="BJ1654" s="493"/>
      <c r="CU1654" s="488"/>
      <c r="CW1654" s="488"/>
      <c r="EV1654" s="821"/>
      <c r="EW1654" s="821"/>
    </row>
    <row r="1655" spans="1:153" s="757" customFormat="1" hidden="1">
      <c r="A1655" s="487"/>
      <c r="B1655" s="487"/>
      <c r="C1655" s="487"/>
      <c r="D1655" s="487"/>
      <c r="I1655" s="487"/>
      <c r="J1655" s="487"/>
      <c r="K1655" s="487"/>
      <c r="L1655" s="487"/>
      <c r="M1655" s="487"/>
      <c r="N1655" s="487"/>
      <c r="O1655" s="875"/>
      <c r="Q1655" s="704"/>
      <c r="R1655" s="1026"/>
      <c r="S1655" s="704"/>
      <c r="T1655" s="1026"/>
      <c r="AB1655" s="520"/>
      <c r="AC1655" s="520"/>
      <c r="AD1655" s="520"/>
      <c r="AE1655" s="520"/>
      <c r="AF1655" s="520"/>
      <c r="AG1655" s="520"/>
      <c r="AH1655" s="520"/>
      <c r="AI1655" s="520"/>
      <c r="AJ1655" s="520"/>
      <c r="AK1655" s="520"/>
      <c r="AL1655" s="520"/>
      <c r="AM1655" s="520"/>
      <c r="AN1655" s="520"/>
      <c r="AO1655" s="520"/>
      <c r="AP1655" s="520"/>
      <c r="AQ1655" s="520"/>
      <c r="AR1655" s="520"/>
      <c r="AS1655" s="520"/>
      <c r="AT1655" s="520"/>
      <c r="AU1655" s="520"/>
      <c r="AV1655" s="520"/>
      <c r="AY1655" s="507"/>
      <c r="BA1655" s="507"/>
      <c r="BJ1655" s="493"/>
      <c r="CU1655" s="488"/>
      <c r="CW1655" s="488"/>
      <c r="EV1655" s="821"/>
      <c r="EW1655" s="821"/>
    </row>
    <row r="1656" spans="1:153" s="757" customFormat="1" hidden="1">
      <c r="A1656" s="487"/>
      <c r="B1656" s="487"/>
      <c r="C1656" s="487"/>
      <c r="D1656" s="487"/>
      <c r="I1656" s="487"/>
      <c r="J1656" s="487"/>
      <c r="K1656" s="487"/>
      <c r="L1656" s="487"/>
      <c r="M1656" s="487"/>
      <c r="N1656" s="487"/>
      <c r="O1656" s="875"/>
      <c r="Q1656" s="704"/>
      <c r="R1656" s="1026"/>
      <c r="S1656" s="704"/>
      <c r="T1656" s="1026"/>
      <c r="AB1656" s="520"/>
      <c r="AC1656" s="520"/>
      <c r="AD1656" s="520"/>
      <c r="AE1656" s="520"/>
      <c r="AF1656" s="520"/>
      <c r="AG1656" s="520"/>
      <c r="AH1656" s="520"/>
      <c r="AI1656" s="520"/>
      <c r="AJ1656" s="520"/>
      <c r="AK1656" s="520"/>
      <c r="AL1656" s="520"/>
      <c r="AM1656" s="520"/>
      <c r="AN1656" s="520"/>
      <c r="AO1656" s="520"/>
      <c r="AP1656" s="520"/>
      <c r="AQ1656" s="520"/>
      <c r="AR1656" s="520"/>
      <c r="AS1656" s="520"/>
      <c r="AT1656" s="520"/>
      <c r="AU1656" s="520"/>
      <c r="AV1656" s="520"/>
      <c r="AY1656" s="507"/>
      <c r="BA1656" s="507"/>
      <c r="BJ1656" s="493"/>
      <c r="CU1656" s="488"/>
      <c r="CW1656" s="488"/>
      <c r="EV1656" s="821"/>
      <c r="EW1656" s="821"/>
    </row>
    <row r="1657" spans="1:153" s="757" customFormat="1" hidden="1">
      <c r="A1657" s="487"/>
      <c r="B1657" s="487"/>
      <c r="C1657" s="487"/>
      <c r="D1657" s="487"/>
      <c r="I1657" s="487"/>
      <c r="J1657" s="487"/>
      <c r="K1657" s="487"/>
      <c r="L1657" s="487"/>
      <c r="M1657" s="487"/>
      <c r="N1657" s="487"/>
      <c r="O1657" s="875"/>
      <c r="Q1657" s="704"/>
      <c r="R1657" s="1026"/>
      <c r="S1657" s="704"/>
      <c r="T1657" s="1026"/>
      <c r="AB1657" s="520"/>
      <c r="AC1657" s="520"/>
      <c r="AD1657" s="520"/>
      <c r="AE1657" s="520"/>
      <c r="AF1657" s="520"/>
      <c r="AG1657" s="520"/>
      <c r="AH1657" s="520"/>
      <c r="AI1657" s="520"/>
      <c r="AJ1657" s="520"/>
      <c r="AK1657" s="520"/>
      <c r="AL1657" s="520"/>
      <c r="AM1657" s="520"/>
      <c r="AN1657" s="520"/>
      <c r="AO1657" s="520"/>
      <c r="AP1657" s="520"/>
      <c r="AQ1657" s="520"/>
      <c r="AR1657" s="520"/>
      <c r="AS1657" s="520"/>
      <c r="AT1657" s="520"/>
      <c r="AU1657" s="520"/>
      <c r="AV1657" s="520"/>
      <c r="AY1657" s="507"/>
      <c r="BA1657" s="507"/>
      <c r="BJ1657" s="493"/>
      <c r="CU1657" s="488"/>
      <c r="CW1657" s="488"/>
      <c r="EV1657" s="821"/>
      <c r="EW1657" s="821"/>
    </row>
    <row r="1658" spans="1:153" s="757" customFormat="1" hidden="1">
      <c r="A1658" s="487"/>
      <c r="B1658" s="487"/>
      <c r="C1658" s="487"/>
      <c r="D1658" s="487"/>
      <c r="I1658" s="487"/>
      <c r="J1658" s="487"/>
      <c r="K1658" s="487"/>
      <c r="L1658" s="487"/>
      <c r="M1658" s="487"/>
      <c r="N1658" s="487"/>
      <c r="O1658" s="875"/>
      <c r="Q1658" s="704"/>
      <c r="R1658" s="1026"/>
      <c r="S1658" s="704"/>
      <c r="T1658" s="1026"/>
      <c r="AB1658" s="520"/>
      <c r="AC1658" s="520"/>
      <c r="AD1658" s="520"/>
      <c r="AE1658" s="520"/>
      <c r="AF1658" s="520"/>
      <c r="AG1658" s="520"/>
      <c r="AH1658" s="520"/>
      <c r="AI1658" s="520"/>
      <c r="AJ1658" s="520"/>
      <c r="AK1658" s="520"/>
      <c r="AL1658" s="520"/>
      <c r="AM1658" s="520"/>
      <c r="AN1658" s="520"/>
      <c r="AO1658" s="520"/>
      <c r="AP1658" s="520"/>
      <c r="AQ1658" s="520"/>
      <c r="AR1658" s="520"/>
      <c r="AS1658" s="520"/>
      <c r="AT1658" s="520"/>
      <c r="AU1658" s="520"/>
      <c r="AV1658" s="520"/>
      <c r="AY1658" s="507"/>
      <c r="BA1658" s="507"/>
      <c r="BJ1658" s="493"/>
      <c r="CU1658" s="488"/>
      <c r="CW1658" s="488"/>
      <c r="EV1658" s="821"/>
      <c r="EW1658" s="821"/>
    </row>
    <row r="1659" spans="1:153" s="757" customFormat="1" hidden="1">
      <c r="A1659" s="487"/>
      <c r="B1659" s="487"/>
      <c r="C1659" s="487"/>
      <c r="D1659" s="487"/>
      <c r="I1659" s="487"/>
      <c r="J1659" s="487"/>
      <c r="K1659" s="487"/>
      <c r="L1659" s="487"/>
      <c r="M1659" s="487"/>
      <c r="N1659" s="487"/>
      <c r="O1659" s="875"/>
      <c r="Q1659" s="704"/>
      <c r="R1659" s="1026"/>
      <c r="S1659" s="704"/>
      <c r="T1659" s="1026"/>
      <c r="AB1659" s="520"/>
      <c r="AC1659" s="520"/>
      <c r="AD1659" s="520"/>
      <c r="AE1659" s="520"/>
      <c r="AF1659" s="520"/>
      <c r="AG1659" s="520"/>
      <c r="AH1659" s="520"/>
      <c r="AI1659" s="520"/>
      <c r="AJ1659" s="520"/>
      <c r="AK1659" s="520"/>
      <c r="AL1659" s="520"/>
      <c r="AM1659" s="520"/>
      <c r="AN1659" s="520"/>
      <c r="AO1659" s="520"/>
      <c r="AP1659" s="520"/>
      <c r="AQ1659" s="520"/>
      <c r="AR1659" s="520"/>
      <c r="AS1659" s="520"/>
      <c r="AT1659" s="520"/>
      <c r="AU1659" s="520"/>
      <c r="AV1659" s="520"/>
      <c r="AY1659" s="507"/>
      <c r="BA1659" s="507"/>
      <c r="BJ1659" s="493"/>
      <c r="CU1659" s="488"/>
      <c r="CW1659" s="488"/>
      <c r="EV1659" s="821"/>
      <c r="EW1659" s="821"/>
    </row>
    <row r="1660" spans="1:153" s="757" customFormat="1" hidden="1">
      <c r="A1660" s="487"/>
      <c r="B1660" s="487"/>
      <c r="C1660" s="487"/>
      <c r="D1660" s="487"/>
      <c r="I1660" s="487"/>
      <c r="J1660" s="487"/>
      <c r="K1660" s="487"/>
      <c r="L1660" s="487"/>
      <c r="M1660" s="487"/>
      <c r="N1660" s="487"/>
      <c r="O1660" s="875"/>
      <c r="Q1660" s="704"/>
      <c r="R1660" s="1026"/>
      <c r="S1660" s="704"/>
      <c r="T1660" s="1026"/>
      <c r="AB1660" s="520"/>
      <c r="AC1660" s="520"/>
      <c r="AD1660" s="520"/>
      <c r="AE1660" s="520"/>
      <c r="AF1660" s="520"/>
      <c r="AG1660" s="520"/>
      <c r="AH1660" s="520"/>
      <c r="AI1660" s="520"/>
      <c r="AJ1660" s="520"/>
      <c r="AK1660" s="520"/>
      <c r="AL1660" s="520"/>
      <c r="AM1660" s="520"/>
      <c r="AN1660" s="520"/>
      <c r="AO1660" s="520"/>
      <c r="AP1660" s="520"/>
      <c r="AQ1660" s="520"/>
      <c r="AR1660" s="520"/>
      <c r="AS1660" s="520"/>
      <c r="AT1660" s="520"/>
      <c r="AU1660" s="520"/>
      <c r="AV1660" s="520"/>
      <c r="AY1660" s="507"/>
      <c r="BA1660" s="507"/>
      <c r="BJ1660" s="493"/>
      <c r="CU1660" s="488"/>
      <c r="CW1660" s="488"/>
      <c r="EV1660" s="821"/>
      <c r="EW1660" s="821"/>
    </row>
    <row r="1661" spans="1:153" s="757" customFormat="1" hidden="1">
      <c r="A1661" s="487"/>
      <c r="B1661" s="487"/>
      <c r="C1661" s="487"/>
      <c r="D1661" s="487"/>
      <c r="I1661" s="487"/>
      <c r="J1661" s="487"/>
      <c r="K1661" s="487"/>
      <c r="L1661" s="487"/>
      <c r="M1661" s="487"/>
      <c r="N1661" s="487"/>
      <c r="O1661" s="875"/>
      <c r="Q1661" s="704"/>
      <c r="R1661" s="1026"/>
      <c r="S1661" s="704"/>
      <c r="T1661" s="1026"/>
      <c r="AB1661" s="520"/>
      <c r="AC1661" s="520"/>
      <c r="AD1661" s="520"/>
      <c r="AE1661" s="520"/>
      <c r="AF1661" s="520"/>
      <c r="AG1661" s="520"/>
      <c r="AH1661" s="520"/>
      <c r="AI1661" s="520"/>
      <c r="AJ1661" s="520"/>
      <c r="AK1661" s="520"/>
      <c r="AL1661" s="520"/>
      <c r="AM1661" s="520"/>
      <c r="AN1661" s="520"/>
      <c r="AO1661" s="520"/>
      <c r="AP1661" s="520"/>
      <c r="AQ1661" s="520"/>
      <c r="AR1661" s="520"/>
      <c r="AS1661" s="520"/>
      <c r="AT1661" s="520"/>
      <c r="AU1661" s="520"/>
      <c r="AV1661" s="520"/>
      <c r="AY1661" s="507"/>
      <c r="BA1661" s="507"/>
      <c r="BJ1661" s="493"/>
      <c r="CU1661" s="488"/>
      <c r="CW1661" s="488"/>
      <c r="EV1661" s="821"/>
      <c r="EW1661" s="821"/>
    </row>
    <row r="1662" spans="1:153" s="757" customFormat="1" hidden="1">
      <c r="A1662" s="487"/>
      <c r="B1662" s="487"/>
      <c r="C1662" s="487"/>
      <c r="D1662" s="487"/>
      <c r="I1662" s="487"/>
      <c r="J1662" s="487"/>
      <c r="K1662" s="487"/>
      <c r="L1662" s="487"/>
      <c r="M1662" s="487"/>
      <c r="N1662" s="487"/>
      <c r="O1662" s="875"/>
      <c r="Q1662" s="704"/>
      <c r="R1662" s="1026"/>
      <c r="S1662" s="704"/>
      <c r="T1662" s="1026"/>
      <c r="AB1662" s="520"/>
      <c r="AC1662" s="520"/>
      <c r="AD1662" s="520"/>
      <c r="AE1662" s="520"/>
      <c r="AF1662" s="520"/>
      <c r="AG1662" s="520"/>
      <c r="AH1662" s="520"/>
      <c r="AI1662" s="520"/>
      <c r="AJ1662" s="520"/>
      <c r="AK1662" s="520"/>
      <c r="AL1662" s="520"/>
      <c r="AM1662" s="520"/>
      <c r="AN1662" s="520"/>
      <c r="AO1662" s="520"/>
      <c r="AP1662" s="520"/>
      <c r="AQ1662" s="520"/>
      <c r="AR1662" s="520"/>
      <c r="AS1662" s="520"/>
      <c r="AT1662" s="520"/>
      <c r="AU1662" s="520"/>
      <c r="AV1662" s="520"/>
      <c r="AY1662" s="507"/>
      <c r="BA1662" s="507"/>
      <c r="BJ1662" s="493"/>
      <c r="CU1662" s="488"/>
      <c r="CW1662" s="488"/>
      <c r="EV1662" s="821"/>
      <c r="EW1662" s="821"/>
    </row>
    <row r="1663" spans="1:153" s="757" customFormat="1" hidden="1">
      <c r="A1663" s="487"/>
      <c r="B1663" s="487"/>
      <c r="C1663" s="487"/>
      <c r="D1663" s="487"/>
      <c r="I1663" s="487"/>
      <c r="J1663" s="487"/>
      <c r="K1663" s="487"/>
      <c r="L1663" s="487"/>
      <c r="M1663" s="487"/>
      <c r="N1663" s="487"/>
      <c r="O1663" s="875"/>
      <c r="Q1663" s="704"/>
      <c r="R1663" s="1026"/>
      <c r="S1663" s="704"/>
      <c r="T1663" s="1026"/>
      <c r="AB1663" s="520"/>
      <c r="AC1663" s="520"/>
      <c r="AD1663" s="520"/>
      <c r="AE1663" s="520"/>
      <c r="AF1663" s="520"/>
      <c r="AG1663" s="520"/>
      <c r="AH1663" s="520"/>
      <c r="AI1663" s="520"/>
      <c r="AJ1663" s="520"/>
      <c r="AK1663" s="520"/>
      <c r="AL1663" s="520"/>
      <c r="AM1663" s="520"/>
      <c r="AN1663" s="520"/>
      <c r="AO1663" s="520"/>
      <c r="AP1663" s="520"/>
      <c r="AQ1663" s="520"/>
      <c r="AR1663" s="520"/>
      <c r="AS1663" s="520"/>
      <c r="AT1663" s="520"/>
      <c r="AU1663" s="520"/>
      <c r="AV1663" s="520"/>
      <c r="AY1663" s="507"/>
      <c r="BA1663" s="507"/>
      <c r="BJ1663" s="493"/>
      <c r="CU1663" s="488"/>
      <c r="CW1663" s="488"/>
      <c r="EV1663" s="821"/>
      <c r="EW1663" s="821"/>
    </row>
    <row r="1664" spans="1:153" s="757" customFormat="1" hidden="1">
      <c r="A1664" s="487"/>
      <c r="B1664" s="487"/>
      <c r="C1664" s="487"/>
      <c r="D1664" s="487"/>
      <c r="I1664" s="487"/>
      <c r="J1664" s="487"/>
      <c r="K1664" s="487"/>
      <c r="L1664" s="487"/>
      <c r="M1664" s="487"/>
      <c r="N1664" s="487"/>
      <c r="O1664" s="875"/>
      <c r="Q1664" s="704"/>
      <c r="R1664" s="1026"/>
      <c r="S1664" s="704"/>
      <c r="T1664" s="1026"/>
      <c r="AB1664" s="520"/>
      <c r="AC1664" s="520"/>
      <c r="AD1664" s="520"/>
      <c r="AE1664" s="520"/>
      <c r="AF1664" s="520"/>
      <c r="AG1664" s="520"/>
      <c r="AH1664" s="520"/>
      <c r="AI1664" s="520"/>
      <c r="AJ1664" s="520"/>
      <c r="AK1664" s="520"/>
      <c r="AL1664" s="520"/>
      <c r="AM1664" s="520"/>
      <c r="AN1664" s="520"/>
      <c r="AO1664" s="520"/>
      <c r="AP1664" s="520"/>
      <c r="AQ1664" s="520"/>
      <c r="AR1664" s="520"/>
      <c r="AS1664" s="520"/>
      <c r="AT1664" s="520"/>
      <c r="AU1664" s="520"/>
      <c r="AV1664" s="520"/>
      <c r="AY1664" s="507"/>
      <c r="BA1664" s="507"/>
      <c r="BJ1664" s="493"/>
      <c r="CU1664" s="488"/>
      <c r="CW1664" s="488"/>
      <c r="EV1664" s="821"/>
      <c r="EW1664" s="821"/>
    </row>
    <row r="1665" spans="1:153" s="757" customFormat="1" hidden="1">
      <c r="A1665" s="487"/>
      <c r="B1665" s="487"/>
      <c r="C1665" s="487"/>
      <c r="D1665" s="487"/>
      <c r="I1665" s="487"/>
      <c r="J1665" s="487"/>
      <c r="K1665" s="487"/>
      <c r="L1665" s="487"/>
      <c r="M1665" s="487"/>
      <c r="N1665" s="487"/>
      <c r="O1665" s="875"/>
      <c r="Q1665" s="704"/>
      <c r="R1665" s="1026"/>
      <c r="S1665" s="704"/>
      <c r="T1665" s="1026"/>
      <c r="AB1665" s="520"/>
      <c r="AC1665" s="520"/>
      <c r="AD1665" s="520"/>
      <c r="AE1665" s="520"/>
      <c r="AF1665" s="520"/>
      <c r="AG1665" s="520"/>
      <c r="AH1665" s="520"/>
      <c r="AI1665" s="520"/>
      <c r="AJ1665" s="520"/>
      <c r="AK1665" s="520"/>
      <c r="AL1665" s="520"/>
      <c r="AM1665" s="520"/>
      <c r="AN1665" s="520"/>
      <c r="AO1665" s="520"/>
      <c r="AP1665" s="520"/>
      <c r="AQ1665" s="520"/>
      <c r="AR1665" s="520"/>
      <c r="AS1665" s="520"/>
      <c r="AT1665" s="520"/>
      <c r="AU1665" s="520"/>
      <c r="AV1665" s="520"/>
      <c r="AY1665" s="507"/>
      <c r="BA1665" s="507"/>
      <c r="BJ1665" s="493"/>
      <c r="CU1665" s="488"/>
      <c r="CW1665" s="488"/>
      <c r="EV1665" s="821"/>
      <c r="EW1665" s="821"/>
    </row>
    <row r="1666" spans="1:153" s="757" customFormat="1" hidden="1">
      <c r="A1666" s="487"/>
      <c r="B1666" s="487"/>
      <c r="C1666" s="487"/>
      <c r="D1666" s="487"/>
      <c r="I1666" s="487"/>
      <c r="J1666" s="487"/>
      <c r="K1666" s="487"/>
      <c r="L1666" s="487"/>
      <c r="M1666" s="487"/>
      <c r="N1666" s="487"/>
      <c r="O1666" s="875"/>
      <c r="Q1666" s="704"/>
      <c r="R1666" s="1026"/>
      <c r="S1666" s="704"/>
      <c r="T1666" s="1026"/>
      <c r="AB1666" s="520"/>
      <c r="AC1666" s="520"/>
      <c r="AD1666" s="520"/>
      <c r="AE1666" s="520"/>
      <c r="AF1666" s="520"/>
      <c r="AG1666" s="520"/>
      <c r="AH1666" s="520"/>
      <c r="AI1666" s="520"/>
      <c r="AJ1666" s="520"/>
      <c r="AK1666" s="520"/>
      <c r="AL1666" s="520"/>
      <c r="AM1666" s="520"/>
      <c r="AN1666" s="520"/>
      <c r="AO1666" s="520"/>
      <c r="AP1666" s="520"/>
      <c r="AQ1666" s="520"/>
      <c r="AR1666" s="520"/>
      <c r="AS1666" s="520"/>
      <c r="AT1666" s="520"/>
      <c r="AU1666" s="520"/>
      <c r="AV1666" s="520"/>
      <c r="AY1666" s="507"/>
      <c r="BA1666" s="507"/>
      <c r="BJ1666" s="493"/>
      <c r="CU1666" s="488"/>
      <c r="CW1666" s="488"/>
      <c r="EV1666" s="821"/>
      <c r="EW1666" s="821"/>
    </row>
    <row r="1667" spans="1:153" s="757" customFormat="1" hidden="1">
      <c r="A1667" s="487"/>
      <c r="B1667" s="487"/>
      <c r="C1667" s="487"/>
      <c r="D1667" s="487"/>
      <c r="I1667" s="487"/>
      <c r="J1667" s="487"/>
      <c r="K1667" s="487"/>
      <c r="L1667" s="487"/>
      <c r="M1667" s="487"/>
      <c r="N1667" s="487"/>
      <c r="O1667" s="875"/>
      <c r="Q1667" s="704"/>
      <c r="R1667" s="1026"/>
      <c r="S1667" s="704"/>
      <c r="T1667" s="1026"/>
      <c r="AB1667" s="520"/>
      <c r="AC1667" s="520"/>
      <c r="AD1667" s="520"/>
      <c r="AE1667" s="520"/>
      <c r="AF1667" s="520"/>
      <c r="AG1667" s="520"/>
      <c r="AH1667" s="520"/>
      <c r="AI1667" s="520"/>
      <c r="AJ1667" s="520"/>
      <c r="AK1667" s="520"/>
      <c r="AL1667" s="520"/>
      <c r="AM1667" s="520"/>
      <c r="AN1667" s="520"/>
      <c r="AO1667" s="520"/>
      <c r="AP1667" s="520"/>
      <c r="AQ1667" s="520"/>
      <c r="AR1667" s="520"/>
      <c r="AS1667" s="520"/>
      <c r="AT1667" s="520"/>
      <c r="AU1667" s="520"/>
      <c r="AV1667" s="520"/>
      <c r="AY1667" s="507"/>
      <c r="BA1667" s="507"/>
      <c r="BJ1667" s="493"/>
      <c r="CU1667" s="488"/>
      <c r="CW1667" s="488"/>
      <c r="EV1667" s="821"/>
      <c r="EW1667" s="821"/>
    </row>
    <row r="1668" spans="1:153" s="757" customFormat="1" hidden="1">
      <c r="A1668" s="487"/>
      <c r="B1668" s="487"/>
      <c r="C1668" s="487"/>
      <c r="D1668" s="487"/>
      <c r="I1668" s="487"/>
      <c r="J1668" s="487"/>
      <c r="K1668" s="487"/>
      <c r="L1668" s="487"/>
      <c r="M1668" s="487"/>
      <c r="N1668" s="487"/>
      <c r="O1668" s="875"/>
      <c r="Q1668" s="704"/>
      <c r="R1668" s="1026"/>
      <c r="S1668" s="704"/>
      <c r="T1668" s="1026"/>
      <c r="AB1668" s="520"/>
      <c r="AC1668" s="520"/>
      <c r="AD1668" s="520"/>
      <c r="AE1668" s="520"/>
      <c r="AF1668" s="520"/>
      <c r="AG1668" s="520"/>
      <c r="AH1668" s="520"/>
      <c r="AI1668" s="520"/>
      <c r="AJ1668" s="520"/>
      <c r="AK1668" s="520"/>
      <c r="AL1668" s="520"/>
      <c r="AM1668" s="520"/>
      <c r="AN1668" s="520"/>
      <c r="AO1668" s="520"/>
      <c r="AP1668" s="520"/>
      <c r="AQ1668" s="520"/>
      <c r="AR1668" s="520"/>
      <c r="AS1668" s="520"/>
      <c r="AT1668" s="520"/>
      <c r="AU1668" s="520"/>
      <c r="AV1668" s="520"/>
      <c r="AY1668" s="507"/>
      <c r="BA1668" s="507"/>
      <c r="BJ1668" s="493"/>
      <c r="CU1668" s="488"/>
      <c r="CW1668" s="488"/>
      <c r="EV1668" s="821"/>
      <c r="EW1668" s="821"/>
    </row>
    <row r="1669" spans="1:153" s="757" customFormat="1" hidden="1">
      <c r="A1669" s="487"/>
      <c r="B1669" s="487"/>
      <c r="C1669" s="487"/>
      <c r="D1669" s="487"/>
      <c r="I1669" s="487"/>
      <c r="J1669" s="487"/>
      <c r="K1669" s="487"/>
      <c r="L1669" s="487"/>
      <c r="M1669" s="487"/>
      <c r="N1669" s="487"/>
      <c r="O1669" s="875"/>
      <c r="Q1669" s="704"/>
      <c r="R1669" s="1026"/>
      <c r="S1669" s="704"/>
      <c r="T1669" s="1026"/>
      <c r="AB1669" s="520"/>
      <c r="AC1669" s="520"/>
      <c r="AD1669" s="520"/>
      <c r="AE1669" s="520"/>
      <c r="AF1669" s="520"/>
      <c r="AG1669" s="520"/>
      <c r="AH1669" s="520"/>
      <c r="AI1669" s="520"/>
      <c r="AJ1669" s="520"/>
      <c r="AK1669" s="520"/>
      <c r="AL1669" s="520"/>
      <c r="AM1669" s="520"/>
      <c r="AN1669" s="520"/>
      <c r="AO1669" s="520"/>
      <c r="AP1669" s="520"/>
      <c r="AQ1669" s="520"/>
      <c r="AR1669" s="520"/>
      <c r="AS1669" s="520"/>
      <c r="AT1669" s="520"/>
      <c r="AU1669" s="520"/>
      <c r="AV1669" s="520"/>
      <c r="AY1669" s="507"/>
      <c r="BA1669" s="507"/>
      <c r="BJ1669" s="493"/>
      <c r="CU1669" s="488"/>
      <c r="CW1669" s="488"/>
      <c r="EV1669" s="821"/>
      <c r="EW1669" s="821"/>
    </row>
    <row r="1670" spans="1:153" s="757" customFormat="1" hidden="1">
      <c r="A1670" s="487"/>
      <c r="B1670" s="487"/>
      <c r="C1670" s="487"/>
      <c r="D1670" s="487"/>
      <c r="I1670" s="487"/>
      <c r="J1670" s="487"/>
      <c r="K1670" s="487"/>
      <c r="L1670" s="487"/>
      <c r="M1670" s="487"/>
      <c r="N1670" s="487"/>
      <c r="O1670" s="875"/>
      <c r="Q1670" s="704"/>
      <c r="R1670" s="1026"/>
      <c r="S1670" s="704"/>
      <c r="T1670" s="1026"/>
      <c r="AB1670" s="520"/>
      <c r="AC1670" s="520"/>
      <c r="AD1670" s="520"/>
      <c r="AE1670" s="520"/>
      <c r="AF1670" s="520"/>
      <c r="AG1670" s="520"/>
      <c r="AH1670" s="520"/>
      <c r="AI1670" s="520"/>
      <c r="AJ1670" s="520"/>
      <c r="AK1670" s="520"/>
      <c r="AL1670" s="520"/>
      <c r="AM1670" s="520"/>
      <c r="AN1670" s="520"/>
      <c r="AO1670" s="520"/>
      <c r="AP1670" s="520"/>
      <c r="AQ1670" s="520"/>
      <c r="AR1670" s="520"/>
      <c r="AS1670" s="520"/>
      <c r="AT1670" s="520"/>
      <c r="AU1670" s="520"/>
      <c r="AV1670" s="520"/>
      <c r="AY1670" s="507"/>
      <c r="BA1670" s="507"/>
      <c r="BJ1670" s="493"/>
      <c r="CU1670" s="488"/>
      <c r="CW1670" s="488"/>
      <c r="EV1670" s="821"/>
      <c r="EW1670" s="821"/>
    </row>
    <row r="1671" spans="1:153" s="757" customFormat="1" hidden="1">
      <c r="A1671" s="487"/>
      <c r="B1671" s="487"/>
      <c r="C1671" s="487"/>
      <c r="D1671" s="487"/>
      <c r="I1671" s="487"/>
      <c r="J1671" s="487"/>
      <c r="K1671" s="487"/>
      <c r="L1671" s="487"/>
      <c r="M1671" s="487"/>
      <c r="N1671" s="487"/>
      <c r="O1671" s="875"/>
      <c r="Q1671" s="704"/>
      <c r="R1671" s="1026"/>
      <c r="S1671" s="704"/>
      <c r="T1671" s="1026"/>
      <c r="AB1671" s="520"/>
      <c r="AC1671" s="520"/>
      <c r="AD1671" s="520"/>
      <c r="AE1671" s="520"/>
      <c r="AF1671" s="520"/>
      <c r="AG1671" s="520"/>
      <c r="AH1671" s="520"/>
      <c r="AI1671" s="520"/>
      <c r="AJ1671" s="520"/>
      <c r="AK1671" s="520"/>
      <c r="AL1671" s="520"/>
      <c r="AM1671" s="520"/>
      <c r="AN1671" s="520"/>
      <c r="AO1671" s="520"/>
      <c r="AP1671" s="520"/>
      <c r="AQ1671" s="520"/>
      <c r="AR1671" s="520"/>
      <c r="AS1671" s="520"/>
      <c r="AT1671" s="520"/>
      <c r="AU1671" s="520"/>
      <c r="AV1671" s="520"/>
      <c r="AY1671" s="507"/>
      <c r="BA1671" s="507"/>
      <c r="BJ1671" s="493"/>
      <c r="CU1671" s="488"/>
      <c r="CW1671" s="488"/>
      <c r="EV1671" s="821"/>
      <c r="EW1671" s="821"/>
    </row>
    <row r="1672" spans="1:153" s="757" customFormat="1" hidden="1">
      <c r="A1672" s="487"/>
      <c r="B1672" s="487"/>
      <c r="C1672" s="487"/>
      <c r="D1672" s="487"/>
      <c r="I1672" s="487"/>
      <c r="J1672" s="487"/>
      <c r="K1672" s="487"/>
      <c r="L1672" s="487"/>
      <c r="M1672" s="487"/>
      <c r="N1672" s="487"/>
      <c r="O1672" s="875"/>
      <c r="Q1672" s="704"/>
      <c r="R1672" s="1026"/>
      <c r="S1672" s="704"/>
      <c r="T1672" s="1026"/>
      <c r="AB1672" s="520"/>
      <c r="AC1672" s="520"/>
      <c r="AD1672" s="520"/>
      <c r="AE1672" s="520"/>
      <c r="AF1672" s="520"/>
      <c r="AG1672" s="520"/>
      <c r="AH1672" s="520"/>
      <c r="AI1672" s="520"/>
      <c r="AJ1672" s="520"/>
      <c r="AK1672" s="520"/>
      <c r="AL1672" s="520"/>
      <c r="AM1672" s="520"/>
      <c r="AN1672" s="520"/>
      <c r="AO1672" s="520"/>
      <c r="AP1672" s="520"/>
      <c r="AQ1672" s="520"/>
      <c r="AR1672" s="520"/>
      <c r="AS1672" s="520"/>
      <c r="AT1672" s="520"/>
      <c r="AU1672" s="520"/>
      <c r="AV1672" s="520"/>
      <c r="AY1672" s="507"/>
      <c r="BA1672" s="507"/>
      <c r="BJ1672" s="493"/>
      <c r="CU1672" s="488"/>
      <c r="CW1672" s="488"/>
      <c r="EV1672" s="821"/>
      <c r="EW1672" s="821"/>
    </row>
    <row r="1673" spans="1:153" s="757" customFormat="1" hidden="1">
      <c r="A1673" s="487"/>
      <c r="B1673" s="487"/>
      <c r="C1673" s="487"/>
      <c r="D1673" s="487"/>
      <c r="I1673" s="487"/>
      <c r="J1673" s="487"/>
      <c r="K1673" s="487"/>
      <c r="L1673" s="487"/>
      <c r="M1673" s="487"/>
      <c r="N1673" s="487"/>
      <c r="O1673" s="875"/>
      <c r="Q1673" s="704"/>
      <c r="R1673" s="1026"/>
      <c r="S1673" s="704"/>
      <c r="T1673" s="1026"/>
      <c r="AB1673" s="520"/>
      <c r="AC1673" s="520"/>
      <c r="AD1673" s="520"/>
      <c r="AE1673" s="520"/>
      <c r="AF1673" s="520"/>
      <c r="AG1673" s="520"/>
      <c r="AH1673" s="520"/>
      <c r="AI1673" s="520"/>
      <c r="AJ1673" s="520"/>
      <c r="AK1673" s="520"/>
      <c r="AL1673" s="520"/>
      <c r="AM1673" s="520"/>
      <c r="AN1673" s="520"/>
      <c r="AO1673" s="520"/>
      <c r="AP1673" s="520"/>
      <c r="AQ1673" s="520"/>
      <c r="AR1673" s="520"/>
      <c r="AS1673" s="520"/>
      <c r="AT1673" s="520"/>
      <c r="AU1673" s="520"/>
      <c r="AV1673" s="520"/>
      <c r="AY1673" s="507"/>
      <c r="BA1673" s="507"/>
      <c r="BJ1673" s="493"/>
      <c r="CU1673" s="488"/>
      <c r="CW1673" s="488"/>
      <c r="EV1673" s="821"/>
      <c r="EW1673" s="821"/>
    </row>
    <row r="1674" spans="1:153" s="757" customFormat="1" hidden="1">
      <c r="A1674" s="487"/>
      <c r="B1674" s="487"/>
      <c r="C1674" s="487"/>
      <c r="D1674" s="487"/>
      <c r="I1674" s="487"/>
      <c r="J1674" s="487"/>
      <c r="K1674" s="487"/>
      <c r="L1674" s="487"/>
      <c r="M1674" s="487"/>
      <c r="N1674" s="487"/>
      <c r="O1674" s="875"/>
      <c r="Q1674" s="704"/>
      <c r="R1674" s="1026"/>
      <c r="S1674" s="704"/>
      <c r="T1674" s="1026"/>
      <c r="AB1674" s="520"/>
      <c r="AC1674" s="520"/>
      <c r="AD1674" s="520"/>
      <c r="AE1674" s="520"/>
      <c r="AF1674" s="520"/>
      <c r="AG1674" s="520"/>
      <c r="AH1674" s="520"/>
      <c r="AI1674" s="520"/>
      <c r="AJ1674" s="520"/>
      <c r="AK1674" s="520"/>
      <c r="AL1674" s="520"/>
      <c r="AM1674" s="520"/>
      <c r="AN1674" s="520"/>
      <c r="AO1674" s="520"/>
      <c r="AP1674" s="520"/>
      <c r="AQ1674" s="520"/>
      <c r="AR1674" s="520"/>
      <c r="AS1674" s="520"/>
      <c r="AT1674" s="520"/>
      <c r="AU1674" s="520"/>
      <c r="AV1674" s="520"/>
      <c r="AY1674" s="507"/>
      <c r="BA1674" s="507"/>
      <c r="BJ1674" s="493"/>
      <c r="CU1674" s="488"/>
      <c r="CW1674" s="488"/>
      <c r="EV1674" s="821"/>
      <c r="EW1674" s="821"/>
    </row>
    <row r="1675" spans="1:153" s="757" customFormat="1" hidden="1">
      <c r="A1675" s="487"/>
      <c r="B1675" s="487"/>
      <c r="C1675" s="487"/>
      <c r="D1675" s="487"/>
      <c r="I1675" s="487"/>
      <c r="J1675" s="487"/>
      <c r="K1675" s="487"/>
      <c r="L1675" s="487"/>
      <c r="M1675" s="487"/>
      <c r="N1675" s="487"/>
      <c r="O1675" s="875"/>
      <c r="Q1675" s="704"/>
      <c r="R1675" s="1026"/>
      <c r="S1675" s="704"/>
      <c r="T1675" s="1026"/>
      <c r="AB1675" s="520"/>
      <c r="AC1675" s="520"/>
      <c r="AD1675" s="520"/>
      <c r="AE1675" s="520"/>
      <c r="AF1675" s="520"/>
      <c r="AG1675" s="520"/>
      <c r="AH1675" s="520"/>
      <c r="AI1675" s="520"/>
      <c r="AJ1675" s="520"/>
      <c r="AK1675" s="520"/>
      <c r="AL1675" s="520"/>
      <c r="AM1675" s="520"/>
      <c r="AN1675" s="520"/>
      <c r="AO1675" s="520"/>
      <c r="AP1675" s="520"/>
      <c r="AQ1675" s="520"/>
      <c r="AR1675" s="520"/>
      <c r="AS1675" s="520"/>
      <c r="AT1675" s="520"/>
      <c r="AU1675" s="520"/>
      <c r="AV1675" s="520"/>
      <c r="AY1675" s="507"/>
      <c r="BA1675" s="507"/>
      <c r="BJ1675" s="493"/>
      <c r="CU1675" s="488"/>
      <c r="CW1675" s="488"/>
      <c r="EV1675" s="821"/>
      <c r="EW1675" s="821"/>
    </row>
    <row r="1676" spans="1:153" s="757" customFormat="1" hidden="1">
      <c r="A1676" s="487"/>
      <c r="B1676" s="487"/>
      <c r="C1676" s="487"/>
      <c r="D1676" s="487"/>
      <c r="I1676" s="487"/>
      <c r="J1676" s="487"/>
      <c r="K1676" s="487"/>
      <c r="L1676" s="487"/>
      <c r="M1676" s="487"/>
      <c r="N1676" s="487"/>
      <c r="O1676" s="875"/>
      <c r="Q1676" s="704"/>
      <c r="R1676" s="1026"/>
      <c r="S1676" s="704"/>
      <c r="T1676" s="1026"/>
      <c r="AB1676" s="520"/>
      <c r="AC1676" s="520"/>
      <c r="AD1676" s="520"/>
      <c r="AE1676" s="520"/>
      <c r="AF1676" s="520"/>
      <c r="AG1676" s="520"/>
      <c r="AH1676" s="520"/>
      <c r="AI1676" s="520"/>
      <c r="AJ1676" s="520"/>
      <c r="AK1676" s="520"/>
      <c r="AL1676" s="520"/>
      <c r="AM1676" s="520"/>
      <c r="AN1676" s="520"/>
      <c r="AO1676" s="520"/>
      <c r="AP1676" s="520"/>
      <c r="AQ1676" s="520"/>
      <c r="AR1676" s="520"/>
      <c r="AS1676" s="520"/>
      <c r="AT1676" s="520"/>
      <c r="AU1676" s="520"/>
      <c r="AV1676" s="520"/>
      <c r="AY1676" s="507"/>
      <c r="BA1676" s="507"/>
      <c r="BJ1676" s="493"/>
      <c r="CU1676" s="488"/>
      <c r="CW1676" s="488"/>
      <c r="EV1676" s="821"/>
      <c r="EW1676" s="821"/>
    </row>
    <row r="1677" spans="1:153" s="757" customFormat="1" hidden="1">
      <c r="A1677" s="487"/>
      <c r="B1677" s="487"/>
      <c r="C1677" s="487"/>
      <c r="D1677" s="487"/>
      <c r="I1677" s="487"/>
      <c r="J1677" s="487"/>
      <c r="K1677" s="487"/>
      <c r="L1677" s="487"/>
      <c r="M1677" s="487"/>
      <c r="N1677" s="487"/>
      <c r="O1677" s="875"/>
      <c r="Q1677" s="704"/>
      <c r="R1677" s="1026"/>
      <c r="S1677" s="704"/>
      <c r="T1677" s="1026"/>
      <c r="AB1677" s="520"/>
      <c r="AC1677" s="520"/>
      <c r="AD1677" s="520"/>
      <c r="AE1677" s="520"/>
      <c r="AF1677" s="520"/>
      <c r="AG1677" s="520"/>
      <c r="AH1677" s="520"/>
      <c r="AI1677" s="520"/>
      <c r="AJ1677" s="520"/>
      <c r="AK1677" s="520"/>
      <c r="AL1677" s="520"/>
      <c r="AM1677" s="520"/>
      <c r="AN1677" s="520"/>
      <c r="AO1677" s="520"/>
      <c r="AP1677" s="520"/>
      <c r="AQ1677" s="520"/>
      <c r="AR1677" s="520"/>
      <c r="AS1677" s="520"/>
      <c r="AT1677" s="520"/>
      <c r="AU1677" s="520"/>
      <c r="AV1677" s="520"/>
      <c r="AY1677" s="507"/>
      <c r="BA1677" s="507"/>
      <c r="BJ1677" s="493"/>
      <c r="CU1677" s="488"/>
      <c r="CW1677" s="488"/>
      <c r="EV1677" s="821"/>
      <c r="EW1677" s="821"/>
    </row>
    <row r="1678" spans="1:153" s="757" customFormat="1" hidden="1">
      <c r="A1678" s="487"/>
      <c r="B1678" s="487"/>
      <c r="C1678" s="487"/>
      <c r="D1678" s="487"/>
      <c r="I1678" s="487"/>
      <c r="J1678" s="487"/>
      <c r="K1678" s="487"/>
      <c r="L1678" s="487"/>
      <c r="M1678" s="487"/>
      <c r="N1678" s="487"/>
      <c r="O1678" s="875"/>
      <c r="Q1678" s="704"/>
      <c r="R1678" s="1026"/>
      <c r="S1678" s="704"/>
      <c r="T1678" s="1026"/>
      <c r="AB1678" s="520"/>
      <c r="AC1678" s="520"/>
      <c r="AD1678" s="520"/>
      <c r="AE1678" s="520"/>
      <c r="AF1678" s="520"/>
      <c r="AG1678" s="520"/>
      <c r="AH1678" s="520"/>
      <c r="AI1678" s="520"/>
      <c r="AJ1678" s="520"/>
      <c r="AK1678" s="520"/>
      <c r="AL1678" s="520"/>
      <c r="AM1678" s="520"/>
      <c r="AN1678" s="520"/>
      <c r="AO1678" s="520"/>
      <c r="AP1678" s="520"/>
      <c r="AQ1678" s="520"/>
      <c r="AR1678" s="520"/>
      <c r="AS1678" s="520"/>
      <c r="AT1678" s="520"/>
      <c r="AU1678" s="520"/>
      <c r="AV1678" s="520"/>
      <c r="AY1678" s="507"/>
      <c r="BA1678" s="507"/>
      <c r="BJ1678" s="493"/>
      <c r="CU1678" s="488"/>
      <c r="CW1678" s="488"/>
      <c r="EV1678" s="821"/>
      <c r="EW1678" s="821"/>
    </row>
    <row r="1679" spans="1:153" s="757" customFormat="1" hidden="1">
      <c r="A1679" s="487"/>
      <c r="B1679" s="487"/>
      <c r="C1679" s="487"/>
      <c r="D1679" s="487"/>
      <c r="I1679" s="487"/>
      <c r="J1679" s="487"/>
      <c r="K1679" s="487"/>
      <c r="L1679" s="487"/>
      <c r="M1679" s="487"/>
      <c r="N1679" s="487"/>
      <c r="O1679" s="875"/>
      <c r="Q1679" s="704"/>
      <c r="R1679" s="1026"/>
      <c r="S1679" s="704"/>
      <c r="T1679" s="1026"/>
      <c r="AB1679" s="520"/>
      <c r="AC1679" s="520"/>
      <c r="AD1679" s="520"/>
      <c r="AE1679" s="520"/>
      <c r="AF1679" s="520"/>
      <c r="AG1679" s="520"/>
      <c r="AH1679" s="520"/>
      <c r="AI1679" s="520"/>
      <c r="AJ1679" s="520"/>
      <c r="AK1679" s="520"/>
      <c r="AL1679" s="520"/>
      <c r="AM1679" s="520"/>
      <c r="AN1679" s="520"/>
      <c r="AO1679" s="520"/>
      <c r="AP1679" s="520"/>
      <c r="AQ1679" s="520"/>
      <c r="AR1679" s="520"/>
      <c r="AS1679" s="520"/>
      <c r="AT1679" s="520"/>
      <c r="AU1679" s="520"/>
      <c r="AV1679" s="520"/>
      <c r="AY1679" s="507"/>
      <c r="BA1679" s="507"/>
      <c r="BJ1679" s="493"/>
      <c r="CU1679" s="488"/>
      <c r="CW1679" s="488"/>
      <c r="EV1679" s="821"/>
      <c r="EW1679" s="821"/>
    </row>
    <row r="1680" spans="1:153" s="757" customFormat="1" hidden="1">
      <c r="A1680" s="487"/>
      <c r="B1680" s="487"/>
      <c r="C1680" s="487"/>
      <c r="D1680" s="487"/>
      <c r="I1680" s="487"/>
      <c r="J1680" s="487"/>
      <c r="K1680" s="487"/>
      <c r="L1680" s="487"/>
      <c r="M1680" s="487"/>
      <c r="N1680" s="487"/>
      <c r="O1680" s="875"/>
      <c r="Q1680" s="704"/>
      <c r="R1680" s="1026"/>
      <c r="S1680" s="704"/>
      <c r="T1680" s="1026"/>
      <c r="AB1680" s="520"/>
      <c r="AC1680" s="520"/>
      <c r="AD1680" s="520"/>
      <c r="AE1680" s="520"/>
      <c r="AF1680" s="520"/>
      <c r="AG1680" s="520"/>
      <c r="AH1680" s="520"/>
      <c r="AI1680" s="520"/>
      <c r="AJ1680" s="520"/>
      <c r="AK1680" s="520"/>
      <c r="AL1680" s="520"/>
      <c r="AM1680" s="520"/>
      <c r="AN1680" s="520"/>
      <c r="AO1680" s="520"/>
      <c r="AP1680" s="520"/>
      <c r="AQ1680" s="520"/>
      <c r="AR1680" s="520"/>
      <c r="AS1680" s="520"/>
      <c r="AT1680" s="520"/>
      <c r="AU1680" s="520"/>
      <c r="AV1680" s="520"/>
      <c r="AY1680" s="507"/>
      <c r="BA1680" s="507"/>
      <c r="BJ1680" s="493"/>
      <c r="CU1680" s="488"/>
      <c r="CW1680" s="488"/>
      <c r="EV1680" s="821"/>
      <c r="EW1680" s="821"/>
    </row>
    <row r="1681" spans="1:153" s="757" customFormat="1" hidden="1">
      <c r="A1681" s="487"/>
      <c r="B1681" s="487"/>
      <c r="C1681" s="487"/>
      <c r="D1681" s="487"/>
      <c r="I1681" s="487"/>
      <c r="J1681" s="487"/>
      <c r="K1681" s="487"/>
      <c r="L1681" s="487"/>
      <c r="M1681" s="487"/>
      <c r="N1681" s="487"/>
      <c r="O1681" s="875"/>
      <c r="Q1681" s="704"/>
      <c r="R1681" s="1026"/>
      <c r="S1681" s="704"/>
      <c r="T1681" s="1026"/>
      <c r="AB1681" s="520"/>
      <c r="AC1681" s="520"/>
      <c r="AD1681" s="520"/>
      <c r="AE1681" s="520"/>
      <c r="AF1681" s="520"/>
      <c r="AG1681" s="520"/>
      <c r="AH1681" s="520"/>
      <c r="AI1681" s="520"/>
      <c r="AJ1681" s="520"/>
      <c r="AK1681" s="520"/>
      <c r="AL1681" s="520"/>
      <c r="AM1681" s="520"/>
      <c r="AN1681" s="520"/>
      <c r="AO1681" s="520"/>
      <c r="AP1681" s="520"/>
      <c r="AQ1681" s="520"/>
      <c r="AR1681" s="520"/>
      <c r="AS1681" s="520"/>
      <c r="AT1681" s="520"/>
      <c r="AU1681" s="520"/>
      <c r="AV1681" s="520"/>
      <c r="AY1681" s="507"/>
      <c r="BA1681" s="507"/>
      <c r="BJ1681" s="493"/>
      <c r="CU1681" s="488"/>
      <c r="CW1681" s="488"/>
      <c r="EV1681" s="821"/>
      <c r="EW1681" s="821"/>
    </row>
    <row r="1682" spans="1:153" s="757" customFormat="1" hidden="1">
      <c r="A1682" s="487"/>
      <c r="B1682" s="487"/>
      <c r="C1682" s="487"/>
      <c r="D1682" s="487"/>
      <c r="I1682" s="487"/>
      <c r="J1682" s="487"/>
      <c r="K1682" s="487"/>
      <c r="L1682" s="487"/>
      <c r="M1682" s="487"/>
      <c r="N1682" s="487"/>
      <c r="O1682" s="875"/>
      <c r="Q1682" s="704"/>
      <c r="R1682" s="1026"/>
      <c r="S1682" s="704"/>
      <c r="T1682" s="1026"/>
      <c r="AB1682" s="520"/>
      <c r="AC1682" s="520"/>
      <c r="AD1682" s="520"/>
      <c r="AE1682" s="520"/>
      <c r="AF1682" s="520"/>
      <c r="AG1682" s="520"/>
      <c r="AH1682" s="520"/>
      <c r="AI1682" s="520"/>
      <c r="AJ1682" s="520"/>
      <c r="AK1682" s="520"/>
      <c r="AL1682" s="520"/>
      <c r="AM1682" s="520"/>
      <c r="AN1682" s="520"/>
      <c r="AO1682" s="520"/>
      <c r="AP1682" s="520"/>
      <c r="AQ1682" s="520"/>
      <c r="AR1682" s="520"/>
      <c r="AS1682" s="520"/>
      <c r="AT1682" s="520"/>
      <c r="AU1682" s="520"/>
      <c r="AV1682" s="520"/>
      <c r="AY1682" s="507"/>
      <c r="BA1682" s="507"/>
      <c r="BJ1682" s="493"/>
      <c r="CU1682" s="488"/>
      <c r="CW1682" s="488"/>
      <c r="EV1682" s="821"/>
      <c r="EW1682" s="821"/>
    </row>
    <row r="1683" spans="1:153" s="757" customFormat="1" hidden="1">
      <c r="A1683" s="487"/>
      <c r="B1683" s="487"/>
      <c r="C1683" s="487"/>
      <c r="D1683" s="487"/>
      <c r="I1683" s="487"/>
      <c r="J1683" s="487"/>
      <c r="K1683" s="487"/>
      <c r="L1683" s="487"/>
      <c r="M1683" s="487"/>
      <c r="N1683" s="487"/>
      <c r="O1683" s="875"/>
      <c r="Q1683" s="704"/>
      <c r="R1683" s="1026"/>
      <c r="S1683" s="704"/>
      <c r="T1683" s="1026"/>
      <c r="AB1683" s="520"/>
      <c r="AC1683" s="520"/>
      <c r="AD1683" s="520"/>
      <c r="AE1683" s="520"/>
      <c r="AF1683" s="520"/>
      <c r="AG1683" s="520"/>
      <c r="AH1683" s="520"/>
      <c r="AI1683" s="520"/>
      <c r="AJ1683" s="520"/>
      <c r="AK1683" s="520"/>
      <c r="AL1683" s="520"/>
      <c r="AM1683" s="520"/>
      <c r="AN1683" s="520"/>
      <c r="AO1683" s="520"/>
      <c r="AP1683" s="520"/>
      <c r="AQ1683" s="520"/>
      <c r="AR1683" s="520"/>
      <c r="AS1683" s="520"/>
      <c r="AT1683" s="520"/>
      <c r="AU1683" s="520"/>
      <c r="AV1683" s="520"/>
      <c r="AY1683" s="507"/>
      <c r="BA1683" s="507"/>
      <c r="BJ1683" s="493"/>
      <c r="CU1683" s="488"/>
      <c r="CW1683" s="488"/>
      <c r="EV1683" s="821"/>
      <c r="EW1683" s="821"/>
    </row>
    <row r="1684" spans="1:153" s="757" customFormat="1" hidden="1">
      <c r="A1684" s="487"/>
      <c r="B1684" s="487"/>
      <c r="C1684" s="487"/>
      <c r="D1684" s="487"/>
      <c r="I1684" s="487"/>
      <c r="J1684" s="487"/>
      <c r="K1684" s="487"/>
      <c r="L1684" s="487"/>
      <c r="M1684" s="487"/>
      <c r="N1684" s="487"/>
      <c r="O1684" s="875"/>
      <c r="Q1684" s="704"/>
      <c r="R1684" s="1026"/>
      <c r="S1684" s="704"/>
      <c r="T1684" s="1026"/>
      <c r="AB1684" s="520"/>
      <c r="AC1684" s="520"/>
      <c r="AD1684" s="520"/>
      <c r="AE1684" s="520"/>
      <c r="AF1684" s="520"/>
      <c r="AG1684" s="520"/>
      <c r="AH1684" s="520"/>
      <c r="AI1684" s="520"/>
      <c r="AJ1684" s="520"/>
      <c r="AK1684" s="520"/>
      <c r="AL1684" s="520"/>
      <c r="AM1684" s="520"/>
      <c r="AN1684" s="520"/>
      <c r="AO1684" s="520"/>
      <c r="AP1684" s="520"/>
      <c r="AQ1684" s="520"/>
      <c r="AR1684" s="520"/>
      <c r="AS1684" s="520"/>
      <c r="AT1684" s="520"/>
      <c r="AU1684" s="520"/>
      <c r="AV1684" s="520"/>
      <c r="AY1684" s="507"/>
      <c r="BA1684" s="507"/>
      <c r="BJ1684" s="493"/>
      <c r="CU1684" s="488"/>
      <c r="CW1684" s="488"/>
      <c r="EV1684" s="821"/>
      <c r="EW1684" s="821"/>
    </row>
    <row r="1685" spans="1:153" s="757" customFormat="1" hidden="1">
      <c r="A1685" s="487"/>
      <c r="B1685" s="487"/>
      <c r="C1685" s="487"/>
      <c r="D1685" s="487"/>
      <c r="I1685" s="487"/>
      <c r="J1685" s="487"/>
      <c r="K1685" s="487"/>
      <c r="L1685" s="487"/>
      <c r="M1685" s="487"/>
      <c r="N1685" s="487"/>
      <c r="O1685" s="875"/>
      <c r="Q1685" s="704"/>
      <c r="R1685" s="1026"/>
      <c r="S1685" s="704"/>
      <c r="T1685" s="1026"/>
      <c r="AB1685" s="520"/>
      <c r="AC1685" s="520"/>
      <c r="AD1685" s="520"/>
      <c r="AE1685" s="520"/>
      <c r="AF1685" s="520"/>
      <c r="AG1685" s="520"/>
      <c r="AH1685" s="520"/>
      <c r="AI1685" s="520"/>
      <c r="AJ1685" s="520"/>
      <c r="AK1685" s="520"/>
      <c r="AL1685" s="520"/>
      <c r="AM1685" s="520"/>
      <c r="AN1685" s="520"/>
      <c r="AO1685" s="520"/>
      <c r="AP1685" s="520"/>
      <c r="AQ1685" s="520"/>
      <c r="AR1685" s="520"/>
      <c r="AS1685" s="520"/>
      <c r="AT1685" s="520"/>
      <c r="AU1685" s="520"/>
      <c r="AV1685" s="520"/>
      <c r="AY1685" s="507"/>
      <c r="BA1685" s="507"/>
      <c r="BJ1685" s="493"/>
      <c r="CU1685" s="488"/>
      <c r="CW1685" s="488"/>
      <c r="EV1685" s="821"/>
      <c r="EW1685" s="821"/>
    </row>
    <row r="1686" spans="1:153" s="757" customFormat="1" hidden="1">
      <c r="A1686" s="487"/>
      <c r="B1686" s="487"/>
      <c r="C1686" s="487"/>
      <c r="D1686" s="487"/>
      <c r="I1686" s="487"/>
      <c r="J1686" s="487"/>
      <c r="K1686" s="487"/>
      <c r="L1686" s="487"/>
      <c r="M1686" s="487"/>
      <c r="N1686" s="487"/>
      <c r="O1686" s="875"/>
      <c r="Q1686" s="704"/>
      <c r="R1686" s="1026"/>
      <c r="S1686" s="704"/>
      <c r="T1686" s="1026"/>
      <c r="AB1686" s="520"/>
      <c r="AC1686" s="520"/>
      <c r="AD1686" s="520"/>
      <c r="AE1686" s="520"/>
      <c r="AF1686" s="520"/>
      <c r="AG1686" s="520"/>
      <c r="AH1686" s="520"/>
      <c r="AI1686" s="520"/>
      <c r="AJ1686" s="520"/>
      <c r="AK1686" s="520"/>
      <c r="AL1686" s="520"/>
      <c r="AM1686" s="520"/>
      <c r="AN1686" s="520"/>
      <c r="AO1686" s="520"/>
      <c r="AP1686" s="520"/>
      <c r="AQ1686" s="520"/>
      <c r="AR1686" s="520"/>
      <c r="AS1686" s="520"/>
      <c r="AT1686" s="520"/>
      <c r="AU1686" s="520"/>
      <c r="AV1686" s="520"/>
      <c r="AY1686" s="507"/>
      <c r="BA1686" s="507"/>
      <c r="BJ1686" s="493"/>
      <c r="CU1686" s="488"/>
      <c r="CW1686" s="488"/>
      <c r="EV1686" s="821"/>
      <c r="EW1686" s="821"/>
    </row>
    <row r="1687" spans="1:153" s="757" customFormat="1" hidden="1">
      <c r="A1687" s="487"/>
      <c r="B1687" s="487"/>
      <c r="C1687" s="487"/>
      <c r="D1687" s="487"/>
      <c r="I1687" s="487"/>
      <c r="J1687" s="487"/>
      <c r="K1687" s="487"/>
      <c r="L1687" s="487"/>
      <c r="M1687" s="487"/>
      <c r="N1687" s="487"/>
      <c r="O1687" s="875"/>
      <c r="Q1687" s="704"/>
      <c r="R1687" s="1026"/>
      <c r="S1687" s="704"/>
      <c r="T1687" s="1026"/>
      <c r="AB1687" s="520"/>
      <c r="AC1687" s="520"/>
      <c r="AD1687" s="520"/>
      <c r="AE1687" s="520"/>
      <c r="AF1687" s="520"/>
      <c r="AG1687" s="520"/>
      <c r="AH1687" s="520"/>
      <c r="AI1687" s="520"/>
      <c r="AJ1687" s="520"/>
      <c r="AK1687" s="520"/>
      <c r="AL1687" s="520"/>
      <c r="AM1687" s="520"/>
      <c r="AN1687" s="520"/>
      <c r="AO1687" s="520"/>
      <c r="AP1687" s="520"/>
      <c r="AQ1687" s="520"/>
      <c r="AR1687" s="520"/>
      <c r="AS1687" s="520"/>
      <c r="AT1687" s="520"/>
      <c r="AU1687" s="520"/>
      <c r="AV1687" s="520"/>
      <c r="AY1687" s="507"/>
      <c r="BA1687" s="507"/>
      <c r="BJ1687" s="493"/>
      <c r="CU1687" s="488"/>
      <c r="CW1687" s="488"/>
      <c r="EV1687" s="821"/>
      <c r="EW1687" s="821"/>
    </row>
    <row r="1688" spans="1:153" s="757" customFormat="1" hidden="1">
      <c r="A1688" s="487"/>
      <c r="B1688" s="487"/>
      <c r="C1688" s="487"/>
      <c r="D1688" s="487"/>
      <c r="I1688" s="487"/>
      <c r="J1688" s="487"/>
      <c r="K1688" s="487"/>
      <c r="L1688" s="487"/>
      <c r="M1688" s="487"/>
      <c r="N1688" s="487"/>
      <c r="O1688" s="875"/>
      <c r="Q1688" s="704"/>
      <c r="R1688" s="1026"/>
      <c r="S1688" s="704"/>
      <c r="T1688" s="1026"/>
      <c r="AB1688" s="520"/>
      <c r="AC1688" s="520"/>
      <c r="AD1688" s="520"/>
      <c r="AE1688" s="520"/>
      <c r="AF1688" s="520"/>
      <c r="AG1688" s="520"/>
      <c r="AH1688" s="520"/>
      <c r="AI1688" s="520"/>
      <c r="AJ1688" s="520"/>
      <c r="AK1688" s="520"/>
      <c r="AL1688" s="520"/>
      <c r="AM1688" s="520"/>
      <c r="AN1688" s="520"/>
      <c r="AO1688" s="520"/>
      <c r="AP1688" s="520"/>
      <c r="AQ1688" s="520"/>
      <c r="AR1688" s="520"/>
      <c r="AS1688" s="520"/>
      <c r="AT1688" s="520"/>
      <c r="AU1688" s="520"/>
      <c r="AV1688" s="520"/>
      <c r="AY1688" s="507"/>
      <c r="BA1688" s="507"/>
      <c r="BJ1688" s="493"/>
      <c r="CU1688" s="488"/>
      <c r="CW1688" s="488"/>
      <c r="EV1688" s="821"/>
      <c r="EW1688" s="821"/>
    </row>
    <row r="1689" spans="1:153" s="757" customFormat="1" hidden="1">
      <c r="A1689" s="487"/>
      <c r="B1689" s="487"/>
      <c r="C1689" s="487"/>
      <c r="D1689" s="487"/>
      <c r="I1689" s="487"/>
      <c r="J1689" s="487"/>
      <c r="K1689" s="487"/>
      <c r="L1689" s="487"/>
      <c r="M1689" s="487"/>
      <c r="N1689" s="487"/>
      <c r="O1689" s="875"/>
      <c r="Q1689" s="704"/>
      <c r="R1689" s="1026"/>
      <c r="S1689" s="704"/>
      <c r="T1689" s="1026"/>
      <c r="AB1689" s="520"/>
      <c r="AC1689" s="520"/>
      <c r="AD1689" s="520"/>
      <c r="AE1689" s="520"/>
      <c r="AF1689" s="520"/>
      <c r="AG1689" s="520"/>
      <c r="AH1689" s="520"/>
      <c r="AI1689" s="520"/>
      <c r="AJ1689" s="520"/>
      <c r="AK1689" s="520"/>
      <c r="AL1689" s="520"/>
      <c r="AM1689" s="520"/>
      <c r="AN1689" s="520"/>
      <c r="AO1689" s="520"/>
      <c r="AP1689" s="520"/>
      <c r="AQ1689" s="520"/>
      <c r="AR1689" s="520"/>
      <c r="AS1689" s="520"/>
      <c r="AT1689" s="520"/>
      <c r="AU1689" s="520"/>
      <c r="AV1689" s="520"/>
      <c r="AY1689" s="507"/>
      <c r="BA1689" s="507"/>
      <c r="BJ1689" s="493"/>
      <c r="CU1689" s="488"/>
      <c r="CW1689" s="488"/>
      <c r="EV1689" s="821"/>
      <c r="EW1689" s="821"/>
    </row>
    <row r="1690" spans="1:153" s="757" customFormat="1" hidden="1">
      <c r="A1690" s="487"/>
      <c r="B1690" s="487"/>
      <c r="C1690" s="487"/>
      <c r="D1690" s="487"/>
      <c r="I1690" s="487"/>
      <c r="J1690" s="487"/>
      <c r="K1690" s="487"/>
      <c r="L1690" s="487"/>
      <c r="M1690" s="487"/>
      <c r="N1690" s="487"/>
      <c r="O1690" s="875"/>
      <c r="Q1690" s="704"/>
      <c r="R1690" s="1026"/>
      <c r="S1690" s="704"/>
      <c r="T1690" s="1026"/>
      <c r="AB1690" s="520"/>
      <c r="AC1690" s="520"/>
      <c r="AD1690" s="520"/>
      <c r="AE1690" s="520"/>
      <c r="AF1690" s="520"/>
      <c r="AG1690" s="520"/>
      <c r="AH1690" s="520"/>
      <c r="AI1690" s="520"/>
      <c r="AJ1690" s="520"/>
      <c r="AK1690" s="520"/>
      <c r="AL1690" s="520"/>
      <c r="AM1690" s="520"/>
      <c r="AN1690" s="520"/>
      <c r="AO1690" s="520"/>
      <c r="AP1690" s="520"/>
      <c r="AQ1690" s="520"/>
      <c r="AR1690" s="520"/>
      <c r="AS1690" s="520"/>
      <c r="AT1690" s="520"/>
      <c r="AU1690" s="520"/>
      <c r="AV1690" s="520"/>
      <c r="AY1690" s="507"/>
      <c r="BA1690" s="507"/>
      <c r="BJ1690" s="493"/>
      <c r="CU1690" s="488"/>
      <c r="CW1690" s="488"/>
      <c r="EV1690" s="821"/>
      <c r="EW1690" s="821"/>
    </row>
    <row r="1691" spans="1:153" s="757" customFormat="1" hidden="1">
      <c r="A1691" s="487"/>
      <c r="B1691" s="487"/>
      <c r="C1691" s="487"/>
      <c r="D1691" s="487"/>
      <c r="I1691" s="487"/>
      <c r="J1691" s="487"/>
      <c r="K1691" s="487"/>
      <c r="L1691" s="487"/>
      <c r="M1691" s="487"/>
      <c r="N1691" s="487"/>
      <c r="O1691" s="875"/>
      <c r="Q1691" s="704"/>
      <c r="R1691" s="1026"/>
      <c r="S1691" s="704"/>
      <c r="T1691" s="1026"/>
      <c r="AB1691" s="520"/>
      <c r="AC1691" s="520"/>
      <c r="AD1691" s="520"/>
      <c r="AE1691" s="520"/>
      <c r="AF1691" s="520"/>
      <c r="AG1691" s="520"/>
      <c r="AH1691" s="520"/>
      <c r="AI1691" s="520"/>
      <c r="AJ1691" s="520"/>
      <c r="AK1691" s="520"/>
      <c r="AL1691" s="520"/>
      <c r="AM1691" s="520"/>
      <c r="AN1691" s="520"/>
      <c r="AO1691" s="520"/>
      <c r="AP1691" s="520"/>
      <c r="AQ1691" s="520"/>
      <c r="AR1691" s="520"/>
      <c r="AS1691" s="520"/>
      <c r="AT1691" s="520"/>
      <c r="AU1691" s="520"/>
      <c r="AV1691" s="520"/>
      <c r="AY1691" s="507"/>
      <c r="BA1691" s="507"/>
      <c r="BJ1691" s="493"/>
      <c r="CU1691" s="488"/>
      <c r="CW1691" s="488"/>
      <c r="EV1691" s="821"/>
      <c r="EW1691" s="821"/>
    </row>
    <row r="1692" spans="1:153" s="757" customFormat="1" hidden="1">
      <c r="A1692" s="487"/>
      <c r="B1692" s="487"/>
      <c r="C1692" s="487"/>
      <c r="D1692" s="487"/>
      <c r="I1692" s="487"/>
      <c r="J1692" s="487"/>
      <c r="K1692" s="487"/>
      <c r="L1692" s="487"/>
      <c r="M1692" s="487"/>
      <c r="N1692" s="487"/>
      <c r="O1692" s="875"/>
      <c r="Q1692" s="704"/>
      <c r="R1692" s="1026"/>
      <c r="S1692" s="704"/>
      <c r="T1692" s="1026"/>
      <c r="AB1692" s="520"/>
      <c r="AC1692" s="520"/>
      <c r="AD1692" s="520"/>
      <c r="AE1692" s="520"/>
      <c r="AF1692" s="520"/>
      <c r="AG1692" s="520"/>
      <c r="AH1692" s="520"/>
      <c r="AI1692" s="520"/>
      <c r="AJ1692" s="520"/>
      <c r="AK1692" s="520"/>
      <c r="AL1692" s="520"/>
      <c r="AM1692" s="520"/>
      <c r="AN1692" s="520"/>
      <c r="AO1692" s="520"/>
      <c r="AP1692" s="520"/>
      <c r="AQ1692" s="520"/>
      <c r="AR1692" s="520"/>
      <c r="AS1692" s="520"/>
      <c r="AT1692" s="520"/>
      <c r="AU1692" s="520"/>
      <c r="AV1692" s="520"/>
      <c r="AY1692" s="507"/>
      <c r="BA1692" s="507"/>
      <c r="BJ1692" s="493"/>
      <c r="CU1692" s="488"/>
      <c r="CW1692" s="488"/>
      <c r="EV1692" s="821"/>
      <c r="EW1692" s="821"/>
    </row>
    <row r="1693" spans="1:153" s="757" customFormat="1" hidden="1">
      <c r="A1693" s="487"/>
      <c r="B1693" s="487"/>
      <c r="C1693" s="487"/>
      <c r="D1693" s="487"/>
      <c r="I1693" s="487"/>
      <c r="J1693" s="487"/>
      <c r="K1693" s="487"/>
      <c r="L1693" s="487"/>
      <c r="M1693" s="487"/>
      <c r="N1693" s="487"/>
      <c r="O1693" s="875"/>
      <c r="Q1693" s="704"/>
      <c r="R1693" s="1026"/>
      <c r="S1693" s="704"/>
      <c r="T1693" s="1026"/>
      <c r="AB1693" s="520"/>
      <c r="AC1693" s="520"/>
      <c r="AD1693" s="520"/>
      <c r="AE1693" s="520"/>
      <c r="AF1693" s="520"/>
      <c r="AG1693" s="520"/>
      <c r="AH1693" s="520"/>
      <c r="AI1693" s="520"/>
      <c r="AJ1693" s="520"/>
      <c r="AK1693" s="520"/>
      <c r="AL1693" s="520"/>
      <c r="AM1693" s="520"/>
      <c r="AN1693" s="520"/>
      <c r="AO1693" s="520"/>
      <c r="AP1693" s="520"/>
      <c r="AQ1693" s="520"/>
      <c r="AR1693" s="520"/>
      <c r="AS1693" s="520"/>
      <c r="AT1693" s="520"/>
      <c r="AU1693" s="520"/>
      <c r="AV1693" s="520"/>
      <c r="AY1693" s="507"/>
      <c r="BA1693" s="507"/>
      <c r="BJ1693" s="493"/>
      <c r="CU1693" s="488"/>
      <c r="CW1693" s="488"/>
      <c r="EV1693" s="821"/>
      <c r="EW1693" s="821"/>
    </row>
    <row r="1694" spans="1:153" s="757" customFormat="1" hidden="1">
      <c r="A1694" s="487"/>
      <c r="B1694" s="487"/>
      <c r="C1694" s="487"/>
      <c r="D1694" s="487"/>
      <c r="I1694" s="487"/>
      <c r="J1694" s="487"/>
      <c r="K1694" s="487"/>
      <c r="L1694" s="487"/>
      <c r="M1694" s="487"/>
      <c r="N1694" s="487"/>
      <c r="O1694" s="875"/>
      <c r="Q1694" s="704"/>
      <c r="R1694" s="1026"/>
      <c r="S1694" s="704"/>
      <c r="T1694" s="1026"/>
      <c r="AB1694" s="520"/>
      <c r="AC1694" s="520"/>
      <c r="AD1694" s="520"/>
      <c r="AE1694" s="520"/>
      <c r="AF1694" s="520"/>
      <c r="AG1694" s="520"/>
      <c r="AH1694" s="520"/>
      <c r="AI1694" s="520"/>
      <c r="AJ1694" s="520"/>
      <c r="AK1694" s="520"/>
      <c r="AL1694" s="520"/>
      <c r="AM1694" s="520"/>
      <c r="AN1694" s="520"/>
      <c r="AO1694" s="520"/>
      <c r="AP1694" s="520"/>
      <c r="AQ1694" s="520"/>
      <c r="AR1694" s="520"/>
      <c r="AS1694" s="520"/>
      <c r="AT1694" s="520"/>
      <c r="AU1694" s="520"/>
      <c r="AV1694" s="520"/>
      <c r="AY1694" s="507"/>
      <c r="BA1694" s="507"/>
      <c r="BJ1694" s="493"/>
      <c r="CU1694" s="488"/>
      <c r="CW1694" s="488"/>
      <c r="EV1694" s="821"/>
      <c r="EW1694" s="821"/>
    </row>
    <row r="1695" spans="1:153" s="757" customFormat="1" hidden="1">
      <c r="A1695" s="487"/>
      <c r="B1695" s="487"/>
      <c r="C1695" s="487"/>
      <c r="D1695" s="487"/>
      <c r="I1695" s="487"/>
      <c r="J1695" s="487"/>
      <c r="K1695" s="487"/>
      <c r="L1695" s="487"/>
      <c r="M1695" s="487"/>
      <c r="N1695" s="487"/>
      <c r="O1695" s="875"/>
      <c r="Q1695" s="704"/>
      <c r="R1695" s="1026"/>
      <c r="S1695" s="704"/>
      <c r="T1695" s="1026"/>
      <c r="AB1695" s="520"/>
      <c r="AC1695" s="520"/>
      <c r="AD1695" s="520"/>
      <c r="AE1695" s="520"/>
      <c r="AF1695" s="520"/>
      <c r="AG1695" s="520"/>
      <c r="AH1695" s="520"/>
      <c r="AI1695" s="520"/>
      <c r="AJ1695" s="520"/>
      <c r="AK1695" s="520"/>
      <c r="AL1695" s="520"/>
      <c r="AM1695" s="520"/>
      <c r="AN1695" s="520"/>
      <c r="AO1695" s="520"/>
      <c r="AP1695" s="520"/>
      <c r="AQ1695" s="520"/>
      <c r="AR1695" s="520"/>
      <c r="AS1695" s="520"/>
      <c r="AT1695" s="520"/>
      <c r="AU1695" s="520"/>
      <c r="AV1695" s="520"/>
      <c r="AY1695" s="507"/>
      <c r="BA1695" s="507"/>
      <c r="BJ1695" s="493"/>
      <c r="CU1695" s="488"/>
      <c r="CW1695" s="488"/>
      <c r="EV1695" s="821"/>
      <c r="EW1695" s="821"/>
    </row>
    <row r="1696" spans="1:153" s="757" customFormat="1" hidden="1">
      <c r="A1696" s="487"/>
      <c r="B1696" s="487"/>
      <c r="C1696" s="487"/>
      <c r="D1696" s="487"/>
      <c r="I1696" s="487"/>
      <c r="J1696" s="487"/>
      <c r="K1696" s="487"/>
      <c r="L1696" s="487"/>
      <c r="M1696" s="487"/>
      <c r="N1696" s="487"/>
      <c r="O1696" s="875"/>
      <c r="Q1696" s="704"/>
      <c r="R1696" s="1026"/>
      <c r="S1696" s="704"/>
      <c r="T1696" s="1026"/>
      <c r="AB1696" s="520"/>
      <c r="AC1696" s="520"/>
      <c r="AD1696" s="520"/>
      <c r="AE1696" s="520"/>
      <c r="AF1696" s="520"/>
      <c r="AG1696" s="520"/>
      <c r="AH1696" s="520"/>
      <c r="AI1696" s="520"/>
      <c r="AJ1696" s="520"/>
      <c r="AK1696" s="520"/>
      <c r="AL1696" s="520"/>
      <c r="AM1696" s="520"/>
      <c r="AN1696" s="520"/>
      <c r="AO1696" s="520"/>
      <c r="AP1696" s="520"/>
      <c r="AQ1696" s="520"/>
      <c r="AR1696" s="520"/>
      <c r="AS1696" s="520"/>
      <c r="AT1696" s="520"/>
      <c r="AU1696" s="520"/>
      <c r="AV1696" s="520"/>
      <c r="AY1696" s="507"/>
      <c r="BA1696" s="507"/>
      <c r="BJ1696" s="493"/>
      <c r="CU1696" s="488"/>
      <c r="CW1696" s="488"/>
      <c r="EV1696" s="821"/>
      <c r="EW1696" s="821"/>
    </row>
    <row r="1697" spans="1:153" s="757" customFormat="1" hidden="1">
      <c r="A1697" s="487"/>
      <c r="B1697" s="487"/>
      <c r="C1697" s="487"/>
      <c r="D1697" s="487"/>
      <c r="I1697" s="487"/>
      <c r="J1697" s="487"/>
      <c r="K1697" s="487"/>
      <c r="L1697" s="487"/>
      <c r="M1697" s="487"/>
      <c r="N1697" s="487"/>
      <c r="O1697" s="875"/>
      <c r="Q1697" s="704"/>
      <c r="R1697" s="1026"/>
      <c r="S1697" s="704"/>
      <c r="T1697" s="1026"/>
      <c r="AB1697" s="520"/>
      <c r="AC1697" s="520"/>
      <c r="AD1697" s="520"/>
      <c r="AE1697" s="520"/>
      <c r="AF1697" s="520"/>
      <c r="AG1697" s="520"/>
      <c r="AH1697" s="520"/>
      <c r="AI1697" s="520"/>
      <c r="AJ1697" s="520"/>
      <c r="AK1697" s="520"/>
      <c r="AL1697" s="520"/>
      <c r="AM1697" s="520"/>
      <c r="AN1697" s="520"/>
      <c r="AO1697" s="520"/>
      <c r="AP1697" s="520"/>
      <c r="AQ1697" s="520"/>
      <c r="AR1697" s="520"/>
      <c r="AS1697" s="520"/>
      <c r="AT1697" s="520"/>
      <c r="AU1697" s="520"/>
      <c r="AV1697" s="520"/>
      <c r="AY1697" s="507"/>
      <c r="BA1697" s="507"/>
      <c r="BJ1697" s="493"/>
      <c r="CU1697" s="488"/>
      <c r="CW1697" s="488"/>
      <c r="EV1697" s="821"/>
      <c r="EW1697" s="821"/>
    </row>
    <row r="1698" spans="1:153" s="757" customFormat="1" hidden="1">
      <c r="A1698" s="487"/>
      <c r="B1698" s="487"/>
      <c r="C1698" s="487"/>
      <c r="D1698" s="487"/>
      <c r="I1698" s="487"/>
      <c r="J1698" s="487"/>
      <c r="K1698" s="487"/>
      <c r="L1698" s="487"/>
      <c r="M1698" s="487"/>
      <c r="N1698" s="487"/>
      <c r="O1698" s="875"/>
      <c r="Q1698" s="704"/>
      <c r="R1698" s="1026"/>
      <c r="S1698" s="704"/>
      <c r="T1698" s="1026"/>
      <c r="AB1698" s="520"/>
      <c r="AC1698" s="520"/>
      <c r="AD1698" s="520"/>
      <c r="AE1698" s="520"/>
      <c r="AF1698" s="520"/>
      <c r="AG1698" s="520"/>
      <c r="AH1698" s="520"/>
      <c r="AI1698" s="520"/>
      <c r="AJ1698" s="520"/>
      <c r="AK1698" s="520"/>
      <c r="AL1698" s="520"/>
      <c r="AM1698" s="520"/>
      <c r="AN1698" s="520"/>
      <c r="AO1698" s="520"/>
      <c r="AP1698" s="520"/>
      <c r="AQ1698" s="520"/>
      <c r="AR1698" s="520"/>
      <c r="AS1698" s="520"/>
      <c r="AT1698" s="520"/>
      <c r="AU1698" s="520"/>
      <c r="AV1698" s="520"/>
      <c r="AY1698" s="507"/>
      <c r="BA1698" s="507"/>
      <c r="BJ1698" s="493"/>
      <c r="CU1698" s="488"/>
      <c r="CW1698" s="488"/>
      <c r="EV1698" s="821"/>
      <c r="EW1698" s="821"/>
    </row>
    <row r="1699" spans="1:153" s="757" customFormat="1" hidden="1">
      <c r="A1699" s="487"/>
      <c r="B1699" s="487"/>
      <c r="C1699" s="487"/>
      <c r="D1699" s="487"/>
      <c r="I1699" s="487"/>
      <c r="J1699" s="487"/>
      <c r="K1699" s="487"/>
      <c r="L1699" s="487"/>
      <c r="M1699" s="487"/>
      <c r="N1699" s="487"/>
      <c r="O1699" s="875"/>
      <c r="Q1699" s="704"/>
      <c r="R1699" s="1026"/>
      <c r="S1699" s="704"/>
      <c r="T1699" s="1026"/>
      <c r="AB1699" s="520"/>
      <c r="AC1699" s="520"/>
      <c r="AD1699" s="520"/>
      <c r="AE1699" s="520"/>
      <c r="AF1699" s="520"/>
      <c r="AG1699" s="520"/>
      <c r="AH1699" s="520"/>
      <c r="AI1699" s="520"/>
      <c r="AJ1699" s="520"/>
      <c r="AK1699" s="520"/>
      <c r="AL1699" s="520"/>
      <c r="AM1699" s="520"/>
      <c r="AN1699" s="520"/>
      <c r="AO1699" s="520"/>
      <c r="AP1699" s="520"/>
      <c r="AQ1699" s="520"/>
      <c r="AR1699" s="520"/>
      <c r="AS1699" s="520"/>
      <c r="AT1699" s="520"/>
      <c r="AU1699" s="520"/>
      <c r="AV1699" s="520"/>
      <c r="AY1699" s="507"/>
      <c r="BA1699" s="507"/>
      <c r="BJ1699" s="493"/>
      <c r="CU1699" s="488"/>
      <c r="CW1699" s="488"/>
      <c r="EV1699" s="821"/>
      <c r="EW1699" s="821"/>
    </row>
    <row r="1700" spans="1:153" s="757" customFormat="1" hidden="1">
      <c r="A1700" s="487"/>
      <c r="B1700" s="487"/>
      <c r="C1700" s="487"/>
      <c r="D1700" s="487"/>
      <c r="I1700" s="487"/>
      <c r="J1700" s="487"/>
      <c r="K1700" s="487"/>
      <c r="L1700" s="487"/>
      <c r="M1700" s="487"/>
      <c r="N1700" s="487"/>
      <c r="O1700" s="875"/>
      <c r="Q1700" s="704"/>
      <c r="R1700" s="1026"/>
      <c r="S1700" s="704"/>
      <c r="T1700" s="1026"/>
      <c r="AB1700" s="520"/>
      <c r="AC1700" s="520"/>
      <c r="AD1700" s="520"/>
      <c r="AE1700" s="520"/>
      <c r="AF1700" s="520"/>
      <c r="AG1700" s="520"/>
      <c r="AH1700" s="520"/>
      <c r="AI1700" s="520"/>
      <c r="AJ1700" s="520"/>
      <c r="AK1700" s="520"/>
      <c r="AL1700" s="520"/>
      <c r="AM1700" s="520"/>
      <c r="AN1700" s="520"/>
      <c r="AO1700" s="520"/>
      <c r="AP1700" s="520"/>
      <c r="AQ1700" s="520"/>
      <c r="AR1700" s="520"/>
      <c r="AS1700" s="520"/>
      <c r="AT1700" s="520"/>
      <c r="AU1700" s="520"/>
      <c r="AV1700" s="520"/>
      <c r="AY1700" s="507"/>
      <c r="BA1700" s="507"/>
      <c r="BJ1700" s="493"/>
      <c r="CU1700" s="488"/>
      <c r="CW1700" s="488"/>
      <c r="EV1700" s="821"/>
      <c r="EW1700" s="821"/>
    </row>
    <row r="1701" spans="1:153" s="757" customFormat="1" hidden="1">
      <c r="A1701" s="487"/>
      <c r="B1701" s="487"/>
      <c r="C1701" s="487"/>
      <c r="D1701" s="487"/>
      <c r="I1701" s="487"/>
      <c r="J1701" s="487"/>
      <c r="K1701" s="487"/>
      <c r="L1701" s="487"/>
      <c r="M1701" s="487"/>
      <c r="N1701" s="487"/>
      <c r="O1701" s="875"/>
      <c r="Q1701" s="704"/>
      <c r="R1701" s="1026"/>
      <c r="S1701" s="704"/>
      <c r="T1701" s="1026"/>
      <c r="AB1701" s="520"/>
      <c r="AC1701" s="520"/>
      <c r="AD1701" s="520"/>
      <c r="AE1701" s="520"/>
      <c r="AF1701" s="520"/>
      <c r="AG1701" s="520"/>
      <c r="AH1701" s="520"/>
      <c r="AI1701" s="520"/>
      <c r="AJ1701" s="520"/>
      <c r="AK1701" s="520"/>
      <c r="AL1701" s="520"/>
      <c r="AM1701" s="520"/>
      <c r="AN1701" s="520"/>
      <c r="AO1701" s="520"/>
      <c r="AP1701" s="520"/>
      <c r="AQ1701" s="520"/>
      <c r="AR1701" s="520"/>
      <c r="AS1701" s="520"/>
      <c r="AT1701" s="520"/>
      <c r="AU1701" s="520"/>
      <c r="AV1701" s="520"/>
      <c r="AY1701" s="507"/>
      <c r="BA1701" s="507"/>
      <c r="BJ1701" s="493"/>
      <c r="CU1701" s="488"/>
      <c r="CW1701" s="488"/>
      <c r="EV1701" s="821"/>
      <c r="EW1701" s="821"/>
    </row>
    <row r="1702" spans="1:153" s="757" customFormat="1" hidden="1">
      <c r="A1702" s="487"/>
      <c r="B1702" s="487"/>
      <c r="C1702" s="487"/>
      <c r="D1702" s="487"/>
      <c r="I1702" s="487"/>
      <c r="J1702" s="487"/>
      <c r="K1702" s="487"/>
      <c r="L1702" s="487"/>
      <c r="M1702" s="487"/>
      <c r="N1702" s="487"/>
      <c r="O1702" s="875"/>
      <c r="Q1702" s="704"/>
      <c r="R1702" s="1026"/>
      <c r="S1702" s="704"/>
      <c r="T1702" s="1026"/>
      <c r="AB1702" s="520"/>
      <c r="AC1702" s="520"/>
      <c r="AD1702" s="520"/>
      <c r="AE1702" s="520"/>
      <c r="AF1702" s="520"/>
      <c r="AG1702" s="520"/>
      <c r="AH1702" s="520"/>
      <c r="AI1702" s="520"/>
      <c r="AJ1702" s="520"/>
      <c r="AK1702" s="520"/>
      <c r="AL1702" s="520"/>
      <c r="AM1702" s="520"/>
      <c r="AN1702" s="520"/>
      <c r="AO1702" s="520"/>
      <c r="AP1702" s="520"/>
      <c r="AQ1702" s="520"/>
      <c r="AR1702" s="520"/>
      <c r="AS1702" s="520"/>
      <c r="AT1702" s="520"/>
      <c r="AU1702" s="520"/>
      <c r="AV1702" s="520"/>
      <c r="AY1702" s="507"/>
      <c r="BA1702" s="507"/>
      <c r="BJ1702" s="493"/>
      <c r="CU1702" s="488"/>
      <c r="CW1702" s="488"/>
      <c r="EV1702" s="821"/>
      <c r="EW1702" s="821"/>
    </row>
    <row r="1703" spans="1:153" s="757" customFormat="1" hidden="1">
      <c r="A1703" s="487"/>
      <c r="B1703" s="487"/>
      <c r="C1703" s="487"/>
      <c r="D1703" s="487"/>
      <c r="I1703" s="487"/>
      <c r="J1703" s="487"/>
      <c r="K1703" s="487"/>
      <c r="L1703" s="487"/>
      <c r="M1703" s="487"/>
      <c r="N1703" s="487"/>
      <c r="O1703" s="875"/>
      <c r="Q1703" s="704"/>
      <c r="R1703" s="1026"/>
      <c r="S1703" s="704"/>
      <c r="T1703" s="1026"/>
      <c r="AB1703" s="520"/>
      <c r="AC1703" s="520"/>
      <c r="AD1703" s="520"/>
      <c r="AE1703" s="520"/>
      <c r="AF1703" s="520"/>
      <c r="AG1703" s="520"/>
      <c r="AH1703" s="520"/>
      <c r="AI1703" s="520"/>
      <c r="AJ1703" s="520"/>
      <c r="AK1703" s="520"/>
      <c r="AL1703" s="520"/>
      <c r="AM1703" s="520"/>
      <c r="AN1703" s="520"/>
      <c r="AO1703" s="520"/>
      <c r="AP1703" s="520"/>
      <c r="AQ1703" s="520"/>
      <c r="AR1703" s="520"/>
      <c r="AS1703" s="520"/>
      <c r="AT1703" s="520"/>
      <c r="AU1703" s="520"/>
      <c r="AV1703" s="520"/>
      <c r="AY1703" s="507"/>
      <c r="BA1703" s="507"/>
      <c r="BJ1703" s="493"/>
      <c r="CU1703" s="488"/>
      <c r="CW1703" s="488"/>
      <c r="EV1703" s="821"/>
      <c r="EW1703" s="821"/>
    </row>
    <row r="1704" spans="1:153" s="757" customFormat="1" hidden="1">
      <c r="A1704" s="487"/>
      <c r="B1704" s="487"/>
      <c r="C1704" s="487"/>
      <c r="D1704" s="487"/>
      <c r="I1704" s="487"/>
      <c r="J1704" s="487"/>
      <c r="K1704" s="487"/>
      <c r="L1704" s="487"/>
      <c r="M1704" s="487"/>
      <c r="N1704" s="487"/>
      <c r="O1704" s="875"/>
      <c r="Q1704" s="704"/>
      <c r="R1704" s="1026"/>
      <c r="S1704" s="704"/>
      <c r="T1704" s="1026"/>
      <c r="AB1704" s="520"/>
      <c r="AC1704" s="520"/>
      <c r="AD1704" s="520"/>
      <c r="AE1704" s="520"/>
      <c r="AF1704" s="520"/>
      <c r="AG1704" s="520"/>
      <c r="AH1704" s="520"/>
      <c r="AI1704" s="520"/>
      <c r="AJ1704" s="520"/>
      <c r="AK1704" s="520"/>
      <c r="AL1704" s="520"/>
      <c r="AM1704" s="520"/>
      <c r="AN1704" s="520"/>
      <c r="AO1704" s="520"/>
      <c r="AP1704" s="520"/>
      <c r="AQ1704" s="520"/>
      <c r="AR1704" s="520"/>
      <c r="AS1704" s="520"/>
      <c r="AT1704" s="520"/>
      <c r="AU1704" s="520"/>
      <c r="AV1704" s="520"/>
      <c r="AY1704" s="507"/>
      <c r="BA1704" s="507"/>
      <c r="BJ1704" s="493"/>
      <c r="CU1704" s="488"/>
      <c r="CW1704" s="488"/>
      <c r="EV1704" s="821"/>
      <c r="EW1704" s="821"/>
    </row>
    <row r="1705" spans="1:153" s="757" customFormat="1" hidden="1">
      <c r="A1705" s="487"/>
      <c r="B1705" s="487"/>
      <c r="C1705" s="487"/>
      <c r="D1705" s="487"/>
      <c r="I1705" s="487"/>
      <c r="J1705" s="487"/>
      <c r="K1705" s="487"/>
      <c r="L1705" s="487"/>
      <c r="M1705" s="487"/>
      <c r="N1705" s="487"/>
      <c r="O1705" s="875"/>
      <c r="Q1705" s="704"/>
      <c r="R1705" s="1026"/>
      <c r="S1705" s="704"/>
      <c r="T1705" s="1026"/>
      <c r="AB1705" s="520"/>
      <c r="AC1705" s="520"/>
      <c r="AD1705" s="520"/>
      <c r="AE1705" s="520"/>
      <c r="AF1705" s="520"/>
      <c r="AG1705" s="520"/>
      <c r="AH1705" s="520"/>
      <c r="AI1705" s="520"/>
      <c r="AJ1705" s="520"/>
      <c r="AK1705" s="520"/>
      <c r="AL1705" s="520"/>
      <c r="AM1705" s="520"/>
      <c r="AN1705" s="520"/>
      <c r="AO1705" s="520"/>
      <c r="AP1705" s="520"/>
      <c r="AQ1705" s="520"/>
      <c r="AR1705" s="520"/>
      <c r="AS1705" s="520"/>
      <c r="AT1705" s="520"/>
      <c r="AU1705" s="520"/>
      <c r="AV1705" s="520"/>
      <c r="AY1705" s="507"/>
      <c r="BA1705" s="507"/>
      <c r="BJ1705" s="493"/>
      <c r="CU1705" s="488"/>
      <c r="CW1705" s="488"/>
      <c r="EV1705" s="821"/>
      <c r="EW1705" s="821"/>
    </row>
    <row r="1706" spans="1:153" s="757" customFormat="1" hidden="1">
      <c r="A1706" s="487"/>
      <c r="B1706" s="487"/>
      <c r="C1706" s="487"/>
      <c r="D1706" s="487"/>
      <c r="I1706" s="487"/>
      <c r="J1706" s="487"/>
      <c r="K1706" s="487"/>
      <c r="L1706" s="487"/>
      <c r="M1706" s="487"/>
      <c r="N1706" s="487"/>
      <c r="O1706" s="875"/>
      <c r="Q1706" s="704"/>
      <c r="R1706" s="1026"/>
      <c r="S1706" s="704"/>
      <c r="T1706" s="1026"/>
      <c r="AB1706" s="520"/>
      <c r="AC1706" s="520"/>
      <c r="AD1706" s="520"/>
      <c r="AE1706" s="520"/>
      <c r="AF1706" s="520"/>
      <c r="AG1706" s="520"/>
      <c r="AH1706" s="520"/>
      <c r="AI1706" s="520"/>
      <c r="AJ1706" s="520"/>
      <c r="AK1706" s="520"/>
      <c r="AL1706" s="520"/>
      <c r="AM1706" s="520"/>
      <c r="AN1706" s="520"/>
      <c r="AO1706" s="520"/>
      <c r="AP1706" s="520"/>
      <c r="AQ1706" s="520"/>
      <c r="AR1706" s="520"/>
      <c r="AS1706" s="520"/>
      <c r="AT1706" s="520"/>
      <c r="AU1706" s="520"/>
      <c r="AV1706" s="520"/>
      <c r="AY1706" s="507"/>
      <c r="BA1706" s="507"/>
      <c r="BJ1706" s="493"/>
      <c r="CU1706" s="488"/>
      <c r="CW1706" s="488"/>
      <c r="EV1706" s="821"/>
      <c r="EW1706" s="821"/>
    </row>
    <row r="1707" spans="1:153" s="757" customFormat="1" hidden="1">
      <c r="A1707" s="487"/>
      <c r="B1707" s="487"/>
      <c r="C1707" s="487"/>
      <c r="D1707" s="487"/>
      <c r="I1707" s="487"/>
      <c r="J1707" s="487"/>
      <c r="K1707" s="487"/>
      <c r="L1707" s="487"/>
      <c r="M1707" s="487"/>
      <c r="N1707" s="487"/>
      <c r="O1707" s="875"/>
      <c r="Q1707" s="704"/>
      <c r="R1707" s="1026"/>
      <c r="S1707" s="704"/>
      <c r="T1707" s="1026"/>
      <c r="AB1707" s="520"/>
      <c r="AC1707" s="520"/>
      <c r="AD1707" s="520"/>
      <c r="AE1707" s="520"/>
      <c r="AF1707" s="520"/>
      <c r="AG1707" s="520"/>
      <c r="AH1707" s="520"/>
      <c r="AI1707" s="520"/>
      <c r="AJ1707" s="520"/>
      <c r="AK1707" s="520"/>
      <c r="AL1707" s="520"/>
      <c r="AM1707" s="520"/>
      <c r="AN1707" s="520"/>
      <c r="AO1707" s="520"/>
      <c r="AP1707" s="520"/>
      <c r="AQ1707" s="520"/>
      <c r="AR1707" s="520"/>
      <c r="AS1707" s="520"/>
      <c r="AT1707" s="520"/>
      <c r="AU1707" s="520"/>
      <c r="AV1707" s="520"/>
      <c r="AY1707" s="507"/>
      <c r="BA1707" s="507"/>
      <c r="BJ1707" s="493"/>
      <c r="CU1707" s="488"/>
      <c r="CW1707" s="488"/>
      <c r="EV1707" s="821"/>
      <c r="EW1707" s="821"/>
    </row>
    <row r="1708" spans="1:153" s="757" customFormat="1" hidden="1">
      <c r="A1708" s="487"/>
      <c r="B1708" s="487"/>
      <c r="C1708" s="487"/>
      <c r="D1708" s="487"/>
      <c r="I1708" s="487"/>
      <c r="J1708" s="487"/>
      <c r="K1708" s="487"/>
      <c r="L1708" s="487"/>
      <c r="M1708" s="487"/>
      <c r="N1708" s="487"/>
      <c r="O1708" s="875"/>
      <c r="Q1708" s="704"/>
      <c r="R1708" s="1026"/>
      <c r="S1708" s="704"/>
      <c r="T1708" s="1026"/>
      <c r="AB1708" s="520"/>
      <c r="AC1708" s="520"/>
      <c r="AD1708" s="520"/>
      <c r="AE1708" s="520"/>
      <c r="AF1708" s="520"/>
      <c r="AG1708" s="520"/>
      <c r="AH1708" s="520"/>
      <c r="AI1708" s="520"/>
      <c r="AJ1708" s="520"/>
      <c r="AK1708" s="520"/>
      <c r="AL1708" s="520"/>
      <c r="AM1708" s="520"/>
      <c r="AN1708" s="520"/>
      <c r="AO1708" s="520"/>
      <c r="AP1708" s="520"/>
      <c r="AQ1708" s="520"/>
      <c r="AR1708" s="520"/>
      <c r="AS1708" s="520"/>
      <c r="AT1708" s="520"/>
      <c r="AU1708" s="520"/>
      <c r="AV1708" s="520"/>
      <c r="AY1708" s="507"/>
      <c r="BA1708" s="507"/>
      <c r="BJ1708" s="493"/>
      <c r="CU1708" s="488"/>
      <c r="CW1708" s="488"/>
      <c r="EV1708" s="821"/>
      <c r="EW1708" s="821"/>
    </row>
    <row r="1709" spans="1:153" s="757" customFormat="1" hidden="1">
      <c r="A1709" s="487"/>
      <c r="B1709" s="487"/>
      <c r="C1709" s="487"/>
      <c r="D1709" s="487"/>
      <c r="I1709" s="487"/>
      <c r="J1709" s="487"/>
      <c r="K1709" s="487"/>
      <c r="L1709" s="487"/>
      <c r="M1709" s="487"/>
      <c r="N1709" s="487"/>
      <c r="O1709" s="875"/>
      <c r="Q1709" s="704"/>
      <c r="R1709" s="1026"/>
      <c r="S1709" s="704"/>
      <c r="T1709" s="1026"/>
      <c r="AB1709" s="520"/>
      <c r="AC1709" s="520"/>
      <c r="AD1709" s="520"/>
      <c r="AE1709" s="520"/>
      <c r="AF1709" s="520"/>
      <c r="AG1709" s="520"/>
      <c r="AH1709" s="520"/>
      <c r="AI1709" s="520"/>
      <c r="AJ1709" s="520"/>
      <c r="AK1709" s="520"/>
      <c r="AL1709" s="520"/>
      <c r="AM1709" s="520"/>
      <c r="AN1709" s="520"/>
      <c r="AO1709" s="520"/>
      <c r="AP1709" s="520"/>
      <c r="AQ1709" s="520"/>
      <c r="AR1709" s="520"/>
      <c r="AS1709" s="520"/>
      <c r="AT1709" s="520"/>
      <c r="AU1709" s="520"/>
      <c r="AV1709" s="520"/>
      <c r="AY1709" s="507"/>
      <c r="BA1709" s="507"/>
      <c r="BJ1709" s="493"/>
      <c r="CU1709" s="488"/>
      <c r="CW1709" s="488"/>
      <c r="EV1709" s="821"/>
      <c r="EW1709" s="821"/>
    </row>
    <row r="1710" spans="1:153" s="757" customFormat="1" hidden="1">
      <c r="A1710" s="487"/>
      <c r="B1710" s="487"/>
      <c r="C1710" s="487"/>
      <c r="D1710" s="487"/>
      <c r="I1710" s="487"/>
      <c r="J1710" s="487"/>
      <c r="K1710" s="487"/>
      <c r="L1710" s="487"/>
      <c r="M1710" s="487"/>
      <c r="N1710" s="487"/>
      <c r="O1710" s="875"/>
      <c r="Q1710" s="704"/>
      <c r="R1710" s="1026"/>
      <c r="S1710" s="704"/>
      <c r="T1710" s="1026"/>
      <c r="AB1710" s="520"/>
      <c r="AC1710" s="520"/>
      <c r="AD1710" s="520"/>
      <c r="AE1710" s="520"/>
      <c r="AF1710" s="520"/>
      <c r="AG1710" s="520"/>
      <c r="AH1710" s="520"/>
      <c r="AI1710" s="520"/>
      <c r="AJ1710" s="520"/>
      <c r="AK1710" s="520"/>
      <c r="AL1710" s="520"/>
      <c r="AM1710" s="520"/>
      <c r="AN1710" s="520"/>
      <c r="AO1710" s="520"/>
      <c r="AP1710" s="520"/>
      <c r="AQ1710" s="520"/>
      <c r="AR1710" s="520"/>
      <c r="AS1710" s="520"/>
      <c r="AT1710" s="520"/>
      <c r="AU1710" s="520"/>
      <c r="AV1710" s="520"/>
      <c r="AY1710" s="507"/>
      <c r="BA1710" s="507"/>
      <c r="BJ1710" s="493"/>
      <c r="CU1710" s="488"/>
      <c r="CW1710" s="488"/>
      <c r="EV1710" s="821"/>
      <c r="EW1710" s="821"/>
    </row>
    <row r="1711" spans="1:153" s="757" customFormat="1" hidden="1">
      <c r="A1711" s="487"/>
      <c r="B1711" s="487"/>
      <c r="C1711" s="487"/>
      <c r="D1711" s="487"/>
      <c r="I1711" s="487"/>
      <c r="J1711" s="487"/>
      <c r="K1711" s="487"/>
      <c r="L1711" s="487"/>
      <c r="M1711" s="487"/>
      <c r="N1711" s="487"/>
      <c r="O1711" s="875"/>
      <c r="Q1711" s="704"/>
      <c r="R1711" s="1026"/>
      <c r="S1711" s="704"/>
      <c r="T1711" s="1026"/>
      <c r="AB1711" s="520"/>
      <c r="AC1711" s="520"/>
      <c r="AD1711" s="520"/>
      <c r="AE1711" s="520"/>
      <c r="AF1711" s="520"/>
      <c r="AG1711" s="520"/>
      <c r="AH1711" s="520"/>
      <c r="AI1711" s="520"/>
      <c r="AJ1711" s="520"/>
      <c r="AK1711" s="520"/>
      <c r="AL1711" s="520"/>
      <c r="AM1711" s="520"/>
      <c r="AN1711" s="520"/>
      <c r="AO1711" s="520"/>
      <c r="AP1711" s="520"/>
      <c r="AQ1711" s="520"/>
      <c r="AR1711" s="520"/>
      <c r="AS1711" s="520"/>
      <c r="AT1711" s="520"/>
      <c r="AU1711" s="520"/>
      <c r="AV1711" s="520"/>
      <c r="AY1711" s="507"/>
      <c r="BA1711" s="507"/>
      <c r="BJ1711" s="493"/>
      <c r="CU1711" s="488"/>
      <c r="CW1711" s="488"/>
      <c r="EV1711" s="821"/>
      <c r="EW1711" s="821"/>
    </row>
    <row r="1712" spans="1:153" s="757" customFormat="1" hidden="1">
      <c r="A1712" s="487"/>
      <c r="B1712" s="487"/>
      <c r="C1712" s="487"/>
      <c r="D1712" s="487"/>
      <c r="I1712" s="487"/>
      <c r="J1712" s="487"/>
      <c r="K1712" s="487"/>
      <c r="L1712" s="487"/>
      <c r="M1712" s="487"/>
      <c r="N1712" s="487"/>
      <c r="O1712" s="875"/>
      <c r="Q1712" s="704"/>
      <c r="R1712" s="1026"/>
      <c r="S1712" s="704"/>
      <c r="T1712" s="1026"/>
      <c r="AB1712" s="520"/>
      <c r="AC1712" s="520"/>
      <c r="AD1712" s="520"/>
      <c r="AE1712" s="520"/>
      <c r="AF1712" s="520"/>
      <c r="AG1712" s="520"/>
      <c r="AH1712" s="520"/>
      <c r="AI1712" s="520"/>
      <c r="AJ1712" s="520"/>
      <c r="AK1712" s="520"/>
      <c r="AL1712" s="520"/>
      <c r="AM1712" s="520"/>
      <c r="AN1712" s="520"/>
      <c r="AO1712" s="520"/>
      <c r="AP1712" s="520"/>
      <c r="AQ1712" s="520"/>
      <c r="AR1712" s="520"/>
      <c r="AS1712" s="520"/>
      <c r="AT1712" s="520"/>
      <c r="AU1712" s="520"/>
      <c r="AV1712" s="520"/>
      <c r="AY1712" s="507"/>
      <c r="BA1712" s="507"/>
      <c r="BJ1712" s="493"/>
      <c r="CU1712" s="488"/>
      <c r="CW1712" s="488"/>
      <c r="EV1712" s="821"/>
      <c r="EW1712" s="821"/>
    </row>
    <row r="1713" spans="1:153" s="757" customFormat="1" hidden="1">
      <c r="A1713" s="487"/>
      <c r="B1713" s="487"/>
      <c r="C1713" s="487"/>
      <c r="D1713" s="487"/>
      <c r="I1713" s="487"/>
      <c r="J1713" s="487"/>
      <c r="K1713" s="487"/>
      <c r="L1713" s="487"/>
      <c r="M1713" s="487"/>
      <c r="N1713" s="487"/>
      <c r="O1713" s="875"/>
      <c r="Q1713" s="704"/>
      <c r="R1713" s="1026"/>
      <c r="S1713" s="704"/>
      <c r="T1713" s="1026"/>
      <c r="AB1713" s="520"/>
      <c r="AC1713" s="520"/>
      <c r="AD1713" s="520"/>
      <c r="AE1713" s="520"/>
      <c r="AF1713" s="520"/>
      <c r="AG1713" s="520"/>
      <c r="AH1713" s="520"/>
      <c r="AI1713" s="520"/>
      <c r="AJ1713" s="520"/>
      <c r="AK1713" s="520"/>
      <c r="AL1713" s="520"/>
      <c r="AM1713" s="520"/>
      <c r="AN1713" s="520"/>
      <c r="AO1713" s="520"/>
      <c r="AP1713" s="520"/>
      <c r="AQ1713" s="520"/>
      <c r="AR1713" s="520"/>
      <c r="AS1713" s="520"/>
      <c r="AT1713" s="520"/>
      <c r="AU1713" s="520"/>
      <c r="AV1713" s="520"/>
      <c r="AY1713" s="507"/>
      <c r="BA1713" s="507"/>
      <c r="BJ1713" s="493"/>
      <c r="CU1713" s="488"/>
      <c r="CW1713" s="488"/>
      <c r="EV1713" s="821"/>
      <c r="EW1713" s="821"/>
    </row>
    <row r="1714" spans="1:153" s="757" customFormat="1" hidden="1">
      <c r="A1714" s="487"/>
      <c r="B1714" s="487"/>
      <c r="C1714" s="487"/>
      <c r="D1714" s="487"/>
      <c r="I1714" s="487"/>
      <c r="J1714" s="487"/>
      <c r="K1714" s="487"/>
      <c r="L1714" s="487"/>
      <c r="M1714" s="487"/>
      <c r="N1714" s="487"/>
      <c r="O1714" s="875"/>
      <c r="Q1714" s="704"/>
      <c r="R1714" s="1026"/>
      <c r="S1714" s="704"/>
      <c r="T1714" s="1026"/>
      <c r="AB1714" s="520"/>
      <c r="AC1714" s="520"/>
      <c r="AD1714" s="520"/>
      <c r="AE1714" s="520"/>
      <c r="AF1714" s="520"/>
      <c r="AG1714" s="520"/>
      <c r="AH1714" s="520"/>
      <c r="AI1714" s="520"/>
      <c r="AJ1714" s="520"/>
      <c r="AK1714" s="520"/>
      <c r="AL1714" s="520"/>
      <c r="AM1714" s="520"/>
      <c r="AN1714" s="520"/>
      <c r="AO1714" s="520"/>
      <c r="AP1714" s="520"/>
      <c r="AQ1714" s="520"/>
      <c r="AR1714" s="520"/>
      <c r="AS1714" s="520"/>
      <c r="AT1714" s="520"/>
      <c r="AU1714" s="520"/>
      <c r="AV1714" s="520"/>
      <c r="AY1714" s="507"/>
      <c r="BA1714" s="507"/>
      <c r="BJ1714" s="493"/>
      <c r="CU1714" s="488"/>
      <c r="CW1714" s="488"/>
      <c r="EV1714" s="821"/>
      <c r="EW1714" s="821"/>
    </row>
    <row r="1715" spans="1:153" s="757" customFormat="1" hidden="1">
      <c r="A1715" s="487"/>
      <c r="B1715" s="487"/>
      <c r="C1715" s="487"/>
      <c r="D1715" s="487"/>
      <c r="I1715" s="487"/>
      <c r="J1715" s="487"/>
      <c r="K1715" s="487"/>
      <c r="L1715" s="487"/>
      <c r="M1715" s="487"/>
      <c r="N1715" s="487"/>
      <c r="O1715" s="875"/>
      <c r="Q1715" s="704"/>
      <c r="R1715" s="1026"/>
      <c r="S1715" s="704"/>
      <c r="T1715" s="1026"/>
      <c r="AB1715" s="520"/>
      <c r="AC1715" s="520"/>
      <c r="AD1715" s="520"/>
      <c r="AE1715" s="520"/>
      <c r="AF1715" s="520"/>
      <c r="AG1715" s="520"/>
      <c r="AH1715" s="520"/>
      <c r="AI1715" s="520"/>
      <c r="AJ1715" s="520"/>
      <c r="AK1715" s="520"/>
      <c r="AL1715" s="520"/>
      <c r="AM1715" s="520"/>
      <c r="AN1715" s="520"/>
      <c r="AO1715" s="520"/>
      <c r="AP1715" s="520"/>
      <c r="AQ1715" s="520"/>
      <c r="AR1715" s="520"/>
      <c r="AS1715" s="520"/>
      <c r="AT1715" s="520"/>
      <c r="AU1715" s="520"/>
      <c r="AV1715" s="520"/>
      <c r="AY1715" s="507"/>
      <c r="BA1715" s="507"/>
      <c r="BJ1715" s="493"/>
      <c r="CU1715" s="488"/>
      <c r="CW1715" s="488"/>
      <c r="EV1715" s="821"/>
      <c r="EW1715" s="821"/>
    </row>
    <row r="1716" spans="1:153" s="757" customFormat="1" hidden="1">
      <c r="A1716" s="487"/>
      <c r="B1716" s="487"/>
      <c r="C1716" s="487"/>
      <c r="D1716" s="487"/>
      <c r="I1716" s="487"/>
      <c r="J1716" s="487"/>
      <c r="K1716" s="487"/>
      <c r="L1716" s="487"/>
      <c r="M1716" s="487"/>
      <c r="N1716" s="487"/>
      <c r="O1716" s="875"/>
      <c r="Q1716" s="704"/>
      <c r="R1716" s="1026"/>
      <c r="S1716" s="704"/>
      <c r="T1716" s="1026"/>
      <c r="AB1716" s="520"/>
      <c r="AC1716" s="520"/>
      <c r="AD1716" s="520"/>
      <c r="AE1716" s="520"/>
      <c r="AF1716" s="520"/>
      <c r="AG1716" s="520"/>
      <c r="AH1716" s="520"/>
      <c r="AI1716" s="520"/>
      <c r="AJ1716" s="520"/>
      <c r="AK1716" s="520"/>
      <c r="AL1716" s="520"/>
      <c r="AM1716" s="520"/>
      <c r="AN1716" s="520"/>
      <c r="AO1716" s="520"/>
      <c r="AP1716" s="520"/>
      <c r="AQ1716" s="520"/>
      <c r="AR1716" s="520"/>
      <c r="AS1716" s="520"/>
      <c r="AT1716" s="520"/>
      <c r="AU1716" s="520"/>
      <c r="AV1716" s="520"/>
      <c r="AY1716" s="507"/>
      <c r="BA1716" s="507"/>
      <c r="BJ1716" s="493"/>
      <c r="CU1716" s="488"/>
      <c r="CW1716" s="488"/>
      <c r="EV1716" s="821"/>
      <c r="EW1716" s="821"/>
    </row>
    <row r="1717" spans="1:153" s="757" customFormat="1" hidden="1">
      <c r="A1717" s="487"/>
      <c r="B1717" s="487"/>
      <c r="C1717" s="487"/>
      <c r="D1717" s="487"/>
      <c r="I1717" s="487"/>
      <c r="J1717" s="487"/>
      <c r="K1717" s="487"/>
      <c r="L1717" s="487"/>
      <c r="M1717" s="487"/>
      <c r="N1717" s="487"/>
      <c r="O1717" s="875"/>
      <c r="Q1717" s="704"/>
      <c r="R1717" s="1026"/>
      <c r="S1717" s="704"/>
      <c r="T1717" s="1026"/>
      <c r="AB1717" s="520"/>
      <c r="AC1717" s="520"/>
      <c r="AD1717" s="520"/>
      <c r="AE1717" s="520"/>
      <c r="AF1717" s="520"/>
      <c r="AG1717" s="520"/>
      <c r="AH1717" s="520"/>
      <c r="AI1717" s="520"/>
      <c r="AJ1717" s="520"/>
      <c r="AK1717" s="520"/>
      <c r="AL1717" s="520"/>
      <c r="AM1717" s="520"/>
      <c r="AN1717" s="520"/>
      <c r="AO1717" s="520"/>
      <c r="AP1717" s="520"/>
      <c r="AQ1717" s="520"/>
      <c r="AR1717" s="520"/>
      <c r="AS1717" s="520"/>
      <c r="AT1717" s="520"/>
      <c r="AU1717" s="520"/>
      <c r="AV1717" s="520"/>
      <c r="AY1717" s="507"/>
      <c r="BA1717" s="507"/>
      <c r="BJ1717" s="493"/>
      <c r="CU1717" s="488"/>
      <c r="CW1717" s="488"/>
      <c r="EV1717" s="821"/>
      <c r="EW1717" s="821"/>
    </row>
    <row r="1718" spans="1:153" s="757" customFormat="1" hidden="1">
      <c r="A1718" s="487"/>
      <c r="B1718" s="487"/>
      <c r="C1718" s="487"/>
      <c r="D1718" s="487"/>
      <c r="I1718" s="487"/>
      <c r="J1718" s="487"/>
      <c r="K1718" s="487"/>
      <c r="L1718" s="487"/>
      <c r="M1718" s="487"/>
      <c r="N1718" s="487"/>
      <c r="O1718" s="875"/>
      <c r="Q1718" s="704"/>
      <c r="R1718" s="1026"/>
      <c r="S1718" s="704"/>
      <c r="T1718" s="1026"/>
      <c r="AB1718" s="520"/>
      <c r="AC1718" s="520"/>
      <c r="AD1718" s="520"/>
      <c r="AE1718" s="520"/>
      <c r="AF1718" s="520"/>
      <c r="AG1718" s="520"/>
      <c r="AH1718" s="520"/>
      <c r="AI1718" s="520"/>
      <c r="AJ1718" s="520"/>
      <c r="AK1718" s="520"/>
      <c r="AL1718" s="520"/>
      <c r="AM1718" s="520"/>
      <c r="AN1718" s="520"/>
      <c r="AO1718" s="520"/>
      <c r="AP1718" s="520"/>
      <c r="AQ1718" s="520"/>
      <c r="AR1718" s="520"/>
      <c r="AS1718" s="520"/>
      <c r="AT1718" s="520"/>
      <c r="AU1718" s="520"/>
      <c r="AV1718" s="520"/>
      <c r="AY1718" s="507"/>
      <c r="BA1718" s="507"/>
      <c r="BJ1718" s="493"/>
      <c r="CU1718" s="488"/>
      <c r="CW1718" s="488"/>
      <c r="EV1718" s="821"/>
      <c r="EW1718" s="821"/>
    </row>
    <row r="1719" spans="1:153" s="757" customFormat="1" hidden="1">
      <c r="A1719" s="487"/>
      <c r="B1719" s="487"/>
      <c r="C1719" s="487"/>
      <c r="D1719" s="487"/>
      <c r="I1719" s="487"/>
      <c r="J1719" s="487"/>
      <c r="K1719" s="487"/>
      <c r="L1719" s="487"/>
      <c r="M1719" s="487"/>
      <c r="N1719" s="487"/>
      <c r="O1719" s="875"/>
      <c r="Q1719" s="704"/>
      <c r="R1719" s="1026"/>
      <c r="S1719" s="704"/>
      <c r="T1719" s="1026"/>
      <c r="AB1719" s="520"/>
      <c r="AC1719" s="520"/>
      <c r="AD1719" s="520"/>
      <c r="AE1719" s="520"/>
      <c r="AF1719" s="520"/>
      <c r="AG1719" s="520"/>
      <c r="AH1719" s="520"/>
      <c r="AI1719" s="520"/>
      <c r="AJ1719" s="520"/>
      <c r="AK1719" s="520"/>
      <c r="AL1719" s="520"/>
      <c r="AM1719" s="520"/>
      <c r="AN1719" s="520"/>
      <c r="AO1719" s="520"/>
      <c r="AP1719" s="520"/>
      <c r="AQ1719" s="520"/>
      <c r="AR1719" s="520"/>
      <c r="AS1719" s="520"/>
      <c r="AT1719" s="520"/>
      <c r="AU1719" s="520"/>
      <c r="AV1719" s="520"/>
      <c r="AY1719" s="507"/>
      <c r="BA1719" s="507"/>
      <c r="BJ1719" s="493"/>
      <c r="CU1719" s="488"/>
      <c r="CW1719" s="488"/>
      <c r="EV1719" s="821"/>
      <c r="EW1719" s="821"/>
    </row>
    <row r="1720" spans="1:153" s="757" customFormat="1" hidden="1">
      <c r="A1720" s="487"/>
      <c r="B1720" s="487"/>
      <c r="C1720" s="487"/>
      <c r="D1720" s="487"/>
      <c r="I1720" s="487"/>
      <c r="J1720" s="487"/>
      <c r="K1720" s="487"/>
      <c r="L1720" s="487"/>
      <c r="M1720" s="487"/>
      <c r="N1720" s="487"/>
      <c r="O1720" s="875"/>
      <c r="Q1720" s="704"/>
      <c r="R1720" s="1026"/>
      <c r="S1720" s="704"/>
      <c r="T1720" s="1026"/>
      <c r="AB1720" s="520"/>
      <c r="AC1720" s="520"/>
      <c r="AD1720" s="520"/>
      <c r="AE1720" s="520"/>
      <c r="AF1720" s="520"/>
      <c r="AG1720" s="520"/>
      <c r="AH1720" s="520"/>
      <c r="AI1720" s="520"/>
      <c r="AJ1720" s="520"/>
      <c r="AK1720" s="520"/>
      <c r="AL1720" s="520"/>
      <c r="AM1720" s="520"/>
      <c r="AN1720" s="520"/>
      <c r="AO1720" s="520"/>
      <c r="AP1720" s="520"/>
      <c r="AQ1720" s="520"/>
      <c r="AR1720" s="520"/>
      <c r="AS1720" s="520"/>
      <c r="AT1720" s="520"/>
      <c r="AU1720" s="520"/>
      <c r="AV1720" s="520"/>
      <c r="AY1720" s="507"/>
      <c r="BA1720" s="507"/>
      <c r="BJ1720" s="493"/>
      <c r="CU1720" s="488"/>
      <c r="CW1720" s="488"/>
      <c r="EV1720" s="821"/>
      <c r="EW1720" s="821"/>
    </row>
    <row r="1721" spans="1:153" s="757" customFormat="1" hidden="1">
      <c r="A1721" s="487"/>
      <c r="B1721" s="487"/>
      <c r="C1721" s="487"/>
      <c r="D1721" s="487"/>
      <c r="I1721" s="487"/>
      <c r="J1721" s="487"/>
      <c r="K1721" s="487"/>
      <c r="L1721" s="487"/>
      <c r="M1721" s="487"/>
      <c r="N1721" s="487"/>
      <c r="O1721" s="875"/>
      <c r="Q1721" s="704"/>
      <c r="R1721" s="1026"/>
      <c r="S1721" s="704"/>
      <c r="T1721" s="1026"/>
      <c r="AB1721" s="520"/>
      <c r="AC1721" s="520"/>
      <c r="AD1721" s="520"/>
      <c r="AE1721" s="520"/>
      <c r="AF1721" s="520"/>
      <c r="AG1721" s="520"/>
      <c r="AH1721" s="520"/>
      <c r="AI1721" s="520"/>
      <c r="AJ1721" s="520"/>
      <c r="AK1721" s="520"/>
      <c r="AL1721" s="520"/>
      <c r="AM1721" s="520"/>
      <c r="AN1721" s="520"/>
      <c r="AO1721" s="520"/>
      <c r="AP1721" s="520"/>
      <c r="AQ1721" s="520"/>
      <c r="AR1721" s="520"/>
      <c r="AS1721" s="520"/>
      <c r="AT1721" s="520"/>
      <c r="AU1721" s="520"/>
      <c r="AV1721" s="520"/>
      <c r="AY1721" s="507"/>
      <c r="BA1721" s="507"/>
      <c r="BJ1721" s="493"/>
      <c r="CU1721" s="488"/>
      <c r="CW1721" s="488"/>
      <c r="EV1721" s="821"/>
      <c r="EW1721" s="821"/>
    </row>
    <row r="1722" spans="1:153" s="757" customFormat="1" hidden="1">
      <c r="A1722" s="487"/>
      <c r="B1722" s="487"/>
      <c r="C1722" s="487"/>
      <c r="D1722" s="487"/>
      <c r="I1722" s="487"/>
      <c r="J1722" s="487"/>
      <c r="K1722" s="487"/>
      <c r="L1722" s="487"/>
      <c r="M1722" s="487"/>
      <c r="N1722" s="487"/>
      <c r="O1722" s="875"/>
      <c r="Q1722" s="704"/>
      <c r="R1722" s="1026"/>
      <c r="S1722" s="704"/>
      <c r="T1722" s="1026"/>
      <c r="AB1722" s="520"/>
      <c r="AC1722" s="520"/>
      <c r="AD1722" s="520"/>
      <c r="AE1722" s="520"/>
      <c r="AF1722" s="520"/>
      <c r="AG1722" s="520"/>
      <c r="AH1722" s="520"/>
      <c r="AI1722" s="520"/>
      <c r="AJ1722" s="520"/>
      <c r="AK1722" s="520"/>
      <c r="AL1722" s="520"/>
      <c r="AM1722" s="520"/>
      <c r="AN1722" s="520"/>
      <c r="AO1722" s="520"/>
      <c r="AP1722" s="520"/>
      <c r="AQ1722" s="520"/>
      <c r="AR1722" s="520"/>
      <c r="AS1722" s="520"/>
      <c r="AT1722" s="520"/>
      <c r="AU1722" s="520"/>
      <c r="AV1722" s="520"/>
      <c r="AY1722" s="507"/>
      <c r="BA1722" s="507"/>
      <c r="BJ1722" s="493"/>
      <c r="CU1722" s="488"/>
      <c r="CW1722" s="488"/>
      <c r="EV1722" s="821"/>
      <c r="EW1722" s="821"/>
    </row>
    <row r="1723" spans="1:153" s="757" customFormat="1" hidden="1">
      <c r="A1723" s="487"/>
      <c r="B1723" s="487"/>
      <c r="C1723" s="487"/>
      <c r="D1723" s="487"/>
      <c r="I1723" s="487"/>
      <c r="J1723" s="487"/>
      <c r="K1723" s="487"/>
      <c r="L1723" s="487"/>
      <c r="M1723" s="487"/>
      <c r="N1723" s="487"/>
      <c r="O1723" s="875"/>
      <c r="Q1723" s="704"/>
      <c r="R1723" s="1026"/>
      <c r="S1723" s="704"/>
      <c r="T1723" s="1026"/>
      <c r="AB1723" s="520"/>
      <c r="AC1723" s="520"/>
      <c r="AD1723" s="520"/>
      <c r="AE1723" s="520"/>
      <c r="AF1723" s="520"/>
      <c r="AG1723" s="520"/>
      <c r="AH1723" s="520"/>
      <c r="AI1723" s="520"/>
      <c r="AJ1723" s="520"/>
      <c r="AK1723" s="520"/>
      <c r="AL1723" s="520"/>
      <c r="AM1723" s="520"/>
      <c r="AN1723" s="520"/>
      <c r="AO1723" s="520"/>
      <c r="AP1723" s="520"/>
      <c r="AQ1723" s="520"/>
      <c r="AR1723" s="520"/>
      <c r="AS1723" s="520"/>
      <c r="AT1723" s="520"/>
      <c r="AU1723" s="520"/>
      <c r="AV1723" s="520"/>
      <c r="AY1723" s="507"/>
      <c r="BA1723" s="507"/>
      <c r="BJ1723" s="493"/>
      <c r="CU1723" s="488"/>
      <c r="CW1723" s="488"/>
      <c r="EV1723" s="821"/>
      <c r="EW1723" s="821"/>
    </row>
    <row r="1724" spans="1:153" s="757" customFormat="1" hidden="1">
      <c r="A1724" s="487"/>
      <c r="B1724" s="487"/>
      <c r="C1724" s="487"/>
      <c r="D1724" s="487"/>
      <c r="I1724" s="487"/>
      <c r="J1724" s="487"/>
      <c r="K1724" s="487"/>
      <c r="L1724" s="487"/>
      <c r="M1724" s="487"/>
      <c r="N1724" s="487"/>
      <c r="O1724" s="875"/>
      <c r="Q1724" s="704"/>
      <c r="R1724" s="1026"/>
      <c r="S1724" s="704"/>
      <c r="T1724" s="1026"/>
      <c r="AB1724" s="520"/>
      <c r="AC1724" s="520"/>
      <c r="AD1724" s="520"/>
      <c r="AE1724" s="520"/>
      <c r="AF1724" s="520"/>
      <c r="AG1724" s="520"/>
      <c r="AH1724" s="520"/>
      <c r="AI1724" s="520"/>
      <c r="AJ1724" s="520"/>
      <c r="AK1724" s="520"/>
      <c r="AL1724" s="520"/>
      <c r="AM1724" s="520"/>
      <c r="AN1724" s="520"/>
      <c r="AO1724" s="520"/>
      <c r="AP1724" s="520"/>
      <c r="AQ1724" s="520"/>
      <c r="AR1724" s="520"/>
      <c r="AS1724" s="520"/>
      <c r="AT1724" s="520"/>
      <c r="AU1724" s="520"/>
      <c r="AV1724" s="520"/>
      <c r="AY1724" s="507"/>
      <c r="BA1724" s="507"/>
      <c r="BJ1724" s="493"/>
      <c r="CU1724" s="488"/>
      <c r="CW1724" s="488"/>
      <c r="EV1724" s="821"/>
      <c r="EW1724" s="821"/>
    </row>
    <row r="1725" spans="1:153" s="757" customFormat="1" hidden="1">
      <c r="A1725" s="487"/>
      <c r="B1725" s="487"/>
      <c r="C1725" s="487"/>
      <c r="D1725" s="487"/>
      <c r="I1725" s="487"/>
      <c r="J1725" s="487"/>
      <c r="K1725" s="487"/>
      <c r="L1725" s="487"/>
      <c r="M1725" s="487"/>
      <c r="N1725" s="487"/>
      <c r="O1725" s="875"/>
      <c r="Q1725" s="704"/>
      <c r="R1725" s="1026"/>
      <c r="S1725" s="704"/>
      <c r="T1725" s="1026"/>
      <c r="AB1725" s="520"/>
      <c r="AC1725" s="520"/>
      <c r="AD1725" s="520"/>
      <c r="AE1725" s="520"/>
      <c r="AF1725" s="520"/>
      <c r="AG1725" s="520"/>
      <c r="AH1725" s="520"/>
      <c r="AI1725" s="520"/>
      <c r="AJ1725" s="520"/>
      <c r="AK1725" s="520"/>
      <c r="AL1725" s="520"/>
      <c r="AM1725" s="520"/>
      <c r="AN1725" s="520"/>
      <c r="AO1725" s="520"/>
      <c r="AP1725" s="520"/>
      <c r="AQ1725" s="520"/>
      <c r="AR1725" s="520"/>
      <c r="AS1725" s="520"/>
      <c r="AT1725" s="520"/>
      <c r="AU1725" s="520"/>
      <c r="AV1725" s="520"/>
      <c r="AY1725" s="507"/>
      <c r="BA1725" s="507"/>
      <c r="BJ1725" s="493"/>
      <c r="CU1725" s="488"/>
      <c r="CW1725" s="488"/>
      <c r="EV1725" s="821"/>
      <c r="EW1725" s="821"/>
    </row>
    <row r="1726" spans="1:153" s="757" customFormat="1" hidden="1">
      <c r="A1726" s="487"/>
      <c r="B1726" s="487"/>
      <c r="C1726" s="487"/>
      <c r="D1726" s="487"/>
      <c r="I1726" s="487"/>
      <c r="J1726" s="487"/>
      <c r="K1726" s="487"/>
      <c r="L1726" s="487"/>
      <c r="M1726" s="487"/>
      <c r="N1726" s="487"/>
      <c r="O1726" s="875"/>
      <c r="Q1726" s="704"/>
      <c r="R1726" s="1026"/>
      <c r="S1726" s="704"/>
      <c r="T1726" s="1026"/>
      <c r="AB1726" s="520"/>
      <c r="AC1726" s="520"/>
      <c r="AD1726" s="520"/>
      <c r="AE1726" s="520"/>
      <c r="AF1726" s="520"/>
      <c r="AG1726" s="520"/>
      <c r="AH1726" s="520"/>
      <c r="AI1726" s="520"/>
      <c r="AJ1726" s="520"/>
      <c r="AK1726" s="520"/>
      <c r="AL1726" s="520"/>
      <c r="AM1726" s="520"/>
      <c r="AN1726" s="520"/>
      <c r="AO1726" s="520"/>
      <c r="AP1726" s="520"/>
      <c r="AQ1726" s="520"/>
      <c r="AR1726" s="520"/>
      <c r="AS1726" s="520"/>
      <c r="AT1726" s="520"/>
      <c r="AU1726" s="520"/>
      <c r="AV1726" s="520"/>
      <c r="AY1726" s="507"/>
      <c r="BA1726" s="507"/>
      <c r="BJ1726" s="493"/>
      <c r="CU1726" s="488"/>
      <c r="CW1726" s="488"/>
      <c r="EV1726" s="821"/>
      <c r="EW1726" s="821"/>
    </row>
    <row r="1727" spans="1:153" s="757" customFormat="1" hidden="1">
      <c r="A1727" s="487"/>
      <c r="B1727" s="487"/>
      <c r="C1727" s="487"/>
      <c r="D1727" s="487"/>
      <c r="I1727" s="487"/>
      <c r="J1727" s="487"/>
      <c r="K1727" s="487"/>
      <c r="L1727" s="487"/>
      <c r="M1727" s="487"/>
      <c r="N1727" s="487"/>
      <c r="O1727" s="875"/>
      <c r="Q1727" s="704"/>
      <c r="R1727" s="1026"/>
      <c r="S1727" s="704"/>
      <c r="T1727" s="1026"/>
      <c r="AB1727" s="520"/>
      <c r="AC1727" s="520"/>
      <c r="AD1727" s="520"/>
      <c r="AE1727" s="520"/>
      <c r="AF1727" s="520"/>
      <c r="AG1727" s="520"/>
      <c r="AH1727" s="520"/>
      <c r="AI1727" s="520"/>
      <c r="AJ1727" s="520"/>
      <c r="AK1727" s="520"/>
      <c r="AL1727" s="520"/>
      <c r="AM1727" s="520"/>
      <c r="AN1727" s="520"/>
      <c r="AO1727" s="520"/>
      <c r="AP1727" s="520"/>
      <c r="AQ1727" s="520"/>
      <c r="AR1727" s="520"/>
      <c r="AS1727" s="520"/>
      <c r="AT1727" s="520"/>
      <c r="AU1727" s="520"/>
      <c r="AV1727" s="520"/>
      <c r="AY1727" s="507"/>
      <c r="BA1727" s="507"/>
      <c r="BJ1727" s="493"/>
      <c r="CU1727" s="488"/>
      <c r="CW1727" s="488"/>
      <c r="EV1727" s="821"/>
      <c r="EW1727" s="821"/>
    </row>
    <row r="1728" spans="1:153" s="757" customFormat="1" hidden="1">
      <c r="A1728" s="487"/>
      <c r="B1728" s="487"/>
      <c r="C1728" s="487"/>
      <c r="D1728" s="487"/>
      <c r="I1728" s="487"/>
      <c r="J1728" s="487"/>
      <c r="K1728" s="487"/>
      <c r="L1728" s="487"/>
      <c r="M1728" s="487"/>
      <c r="N1728" s="487"/>
      <c r="O1728" s="875"/>
      <c r="Q1728" s="704"/>
      <c r="R1728" s="1026"/>
      <c r="S1728" s="704"/>
      <c r="T1728" s="1026"/>
      <c r="AB1728" s="520"/>
      <c r="AC1728" s="520"/>
      <c r="AD1728" s="520"/>
      <c r="AE1728" s="520"/>
      <c r="AF1728" s="520"/>
      <c r="AG1728" s="520"/>
      <c r="AH1728" s="520"/>
      <c r="AI1728" s="520"/>
      <c r="AJ1728" s="520"/>
      <c r="AK1728" s="520"/>
      <c r="AL1728" s="520"/>
      <c r="AM1728" s="520"/>
      <c r="AN1728" s="520"/>
      <c r="AO1728" s="520"/>
      <c r="AP1728" s="520"/>
      <c r="AQ1728" s="520"/>
      <c r="AR1728" s="520"/>
      <c r="AS1728" s="520"/>
      <c r="AT1728" s="520"/>
      <c r="AU1728" s="520"/>
      <c r="AV1728" s="520"/>
      <c r="AY1728" s="507"/>
      <c r="BA1728" s="507"/>
      <c r="BJ1728" s="493"/>
      <c r="CU1728" s="488"/>
      <c r="CW1728" s="488"/>
      <c r="EV1728" s="821"/>
      <c r="EW1728" s="821"/>
    </row>
    <row r="1729" spans="1:153" s="757" customFormat="1" hidden="1">
      <c r="A1729" s="487"/>
      <c r="B1729" s="487"/>
      <c r="C1729" s="487"/>
      <c r="D1729" s="487"/>
      <c r="I1729" s="487"/>
      <c r="J1729" s="487"/>
      <c r="K1729" s="487"/>
      <c r="L1729" s="487"/>
      <c r="M1729" s="487"/>
      <c r="N1729" s="487"/>
      <c r="O1729" s="875"/>
      <c r="Q1729" s="704"/>
      <c r="R1729" s="1026"/>
      <c r="S1729" s="704"/>
      <c r="T1729" s="1026"/>
      <c r="AB1729" s="520"/>
      <c r="AC1729" s="520"/>
      <c r="AD1729" s="520"/>
      <c r="AE1729" s="520"/>
      <c r="AF1729" s="520"/>
      <c r="AG1729" s="520"/>
      <c r="AH1729" s="520"/>
      <c r="AI1729" s="520"/>
      <c r="AJ1729" s="520"/>
      <c r="AK1729" s="520"/>
      <c r="AL1729" s="520"/>
      <c r="AM1729" s="520"/>
      <c r="AN1729" s="520"/>
      <c r="AO1729" s="520"/>
      <c r="AP1729" s="520"/>
      <c r="AQ1729" s="520"/>
      <c r="AR1729" s="520"/>
      <c r="AS1729" s="520"/>
      <c r="AT1729" s="520"/>
      <c r="AU1729" s="520"/>
      <c r="AV1729" s="520"/>
      <c r="AY1729" s="507"/>
      <c r="BA1729" s="507"/>
      <c r="BJ1729" s="493"/>
      <c r="CU1729" s="488"/>
      <c r="CW1729" s="488"/>
      <c r="EV1729" s="821"/>
      <c r="EW1729" s="821"/>
    </row>
    <row r="1730" spans="1:153" s="757" customFormat="1" hidden="1">
      <c r="A1730" s="487"/>
      <c r="B1730" s="487"/>
      <c r="C1730" s="487"/>
      <c r="D1730" s="487"/>
      <c r="I1730" s="487"/>
      <c r="J1730" s="487"/>
      <c r="K1730" s="487"/>
      <c r="L1730" s="487"/>
      <c r="M1730" s="487"/>
      <c r="N1730" s="487"/>
      <c r="O1730" s="875"/>
      <c r="Q1730" s="704"/>
      <c r="R1730" s="1026"/>
      <c r="S1730" s="704"/>
      <c r="T1730" s="1026"/>
      <c r="AB1730" s="520"/>
      <c r="AC1730" s="520"/>
      <c r="AD1730" s="520"/>
      <c r="AE1730" s="520"/>
      <c r="AF1730" s="520"/>
      <c r="AG1730" s="520"/>
      <c r="AH1730" s="520"/>
      <c r="AI1730" s="520"/>
      <c r="AJ1730" s="520"/>
      <c r="AK1730" s="520"/>
      <c r="AL1730" s="520"/>
      <c r="AM1730" s="520"/>
      <c r="AN1730" s="520"/>
      <c r="AO1730" s="520"/>
      <c r="AP1730" s="520"/>
      <c r="AQ1730" s="520"/>
      <c r="AR1730" s="520"/>
      <c r="AS1730" s="520"/>
      <c r="AT1730" s="520"/>
      <c r="AU1730" s="520"/>
      <c r="AV1730" s="520"/>
      <c r="AY1730" s="507"/>
      <c r="BA1730" s="507"/>
      <c r="BJ1730" s="493"/>
      <c r="CU1730" s="488"/>
      <c r="CW1730" s="488"/>
      <c r="EV1730" s="821"/>
      <c r="EW1730" s="821"/>
    </row>
    <row r="1731" spans="1:153" s="757" customFormat="1" hidden="1">
      <c r="A1731" s="487"/>
      <c r="B1731" s="487"/>
      <c r="C1731" s="487"/>
      <c r="D1731" s="487"/>
      <c r="I1731" s="487"/>
      <c r="J1731" s="487"/>
      <c r="K1731" s="487"/>
      <c r="L1731" s="487"/>
      <c r="M1731" s="487"/>
      <c r="N1731" s="487"/>
      <c r="O1731" s="875"/>
      <c r="Q1731" s="704"/>
      <c r="R1731" s="1026"/>
      <c r="S1731" s="704"/>
      <c r="T1731" s="1026"/>
      <c r="AB1731" s="520"/>
      <c r="AC1731" s="520"/>
      <c r="AD1731" s="520"/>
      <c r="AE1731" s="520"/>
      <c r="AF1731" s="520"/>
      <c r="AG1731" s="520"/>
      <c r="AH1731" s="520"/>
      <c r="AI1731" s="520"/>
      <c r="AJ1731" s="520"/>
      <c r="AK1731" s="520"/>
      <c r="AL1731" s="520"/>
      <c r="AM1731" s="520"/>
      <c r="AN1731" s="520"/>
      <c r="AO1731" s="520"/>
      <c r="AP1731" s="520"/>
      <c r="AQ1731" s="520"/>
      <c r="AR1731" s="520"/>
      <c r="AS1731" s="520"/>
      <c r="AT1731" s="520"/>
      <c r="AU1731" s="520"/>
      <c r="AV1731" s="520"/>
      <c r="AY1731" s="507"/>
      <c r="BA1731" s="507"/>
      <c r="BJ1731" s="493"/>
      <c r="CU1731" s="488"/>
      <c r="CW1731" s="488"/>
      <c r="EV1731" s="821"/>
      <c r="EW1731" s="821"/>
    </row>
    <row r="1732" spans="1:153" s="757" customFormat="1" hidden="1">
      <c r="A1732" s="487"/>
      <c r="B1732" s="487"/>
      <c r="C1732" s="487"/>
      <c r="D1732" s="487"/>
      <c r="I1732" s="487"/>
      <c r="J1732" s="487"/>
      <c r="K1732" s="487"/>
      <c r="L1732" s="487"/>
      <c r="M1732" s="487"/>
      <c r="N1732" s="487"/>
      <c r="O1732" s="875"/>
      <c r="Q1732" s="704"/>
      <c r="R1732" s="1026"/>
      <c r="S1732" s="704"/>
      <c r="T1732" s="1026"/>
      <c r="AB1732" s="520"/>
      <c r="AC1732" s="520"/>
      <c r="AD1732" s="520"/>
      <c r="AE1732" s="520"/>
      <c r="AF1732" s="520"/>
      <c r="AG1732" s="520"/>
      <c r="AH1732" s="520"/>
      <c r="AI1732" s="520"/>
      <c r="AJ1732" s="520"/>
      <c r="AK1732" s="520"/>
      <c r="AL1732" s="520"/>
      <c r="AM1732" s="520"/>
      <c r="AN1732" s="520"/>
      <c r="AO1732" s="520"/>
      <c r="AP1732" s="520"/>
      <c r="AQ1732" s="520"/>
      <c r="AR1732" s="520"/>
      <c r="AS1732" s="520"/>
      <c r="AT1732" s="520"/>
      <c r="AU1732" s="520"/>
      <c r="AV1732" s="520"/>
      <c r="AY1732" s="507"/>
      <c r="BA1732" s="507"/>
      <c r="BJ1732" s="493"/>
      <c r="CU1732" s="488"/>
      <c r="CW1732" s="488"/>
      <c r="EV1732" s="821"/>
      <c r="EW1732" s="821"/>
    </row>
    <row r="1733" spans="1:153" s="757" customFormat="1" hidden="1">
      <c r="A1733" s="487"/>
      <c r="B1733" s="487"/>
      <c r="C1733" s="487"/>
      <c r="D1733" s="487"/>
      <c r="I1733" s="487"/>
      <c r="J1733" s="487"/>
      <c r="K1733" s="487"/>
      <c r="L1733" s="487"/>
      <c r="M1733" s="487"/>
      <c r="N1733" s="487"/>
      <c r="O1733" s="875"/>
      <c r="Q1733" s="704"/>
      <c r="R1733" s="1026"/>
      <c r="S1733" s="704"/>
      <c r="T1733" s="1026"/>
      <c r="AB1733" s="520"/>
      <c r="AC1733" s="520"/>
      <c r="AD1733" s="520"/>
      <c r="AE1733" s="520"/>
      <c r="AF1733" s="520"/>
      <c r="AG1733" s="520"/>
      <c r="AH1733" s="520"/>
      <c r="AI1733" s="520"/>
      <c r="AJ1733" s="520"/>
      <c r="AK1733" s="520"/>
      <c r="AL1733" s="520"/>
      <c r="AM1733" s="520"/>
      <c r="AN1733" s="520"/>
      <c r="AO1733" s="520"/>
      <c r="AP1733" s="520"/>
      <c r="AQ1733" s="520"/>
      <c r="AR1733" s="520"/>
      <c r="AS1733" s="520"/>
      <c r="AT1733" s="520"/>
      <c r="AU1733" s="520"/>
      <c r="AV1733" s="520"/>
      <c r="AY1733" s="507"/>
      <c r="BA1733" s="507"/>
      <c r="BJ1733" s="493"/>
      <c r="CU1733" s="488"/>
      <c r="CW1733" s="488"/>
      <c r="EV1733" s="821"/>
      <c r="EW1733" s="821"/>
    </row>
    <row r="1734" spans="1:153" s="757" customFormat="1" hidden="1">
      <c r="A1734" s="487"/>
      <c r="B1734" s="487"/>
      <c r="C1734" s="487"/>
      <c r="D1734" s="487"/>
      <c r="I1734" s="487"/>
      <c r="J1734" s="487"/>
      <c r="K1734" s="487"/>
      <c r="L1734" s="487"/>
      <c r="M1734" s="487"/>
      <c r="N1734" s="487"/>
      <c r="O1734" s="875"/>
      <c r="Q1734" s="704"/>
      <c r="R1734" s="1026"/>
      <c r="S1734" s="704"/>
      <c r="T1734" s="1026"/>
      <c r="AB1734" s="520"/>
      <c r="AC1734" s="520"/>
      <c r="AD1734" s="520"/>
      <c r="AE1734" s="520"/>
      <c r="AF1734" s="520"/>
      <c r="AG1734" s="520"/>
      <c r="AH1734" s="520"/>
      <c r="AI1734" s="520"/>
      <c r="AJ1734" s="520"/>
      <c r="AK1734" s="520"/>
      <c r="AL1734" s="520"/>
      <c r="AM1734" s="520"/>
      <c r="AN1734" s="520"/>
      <c r="AO1734" s="520"/>
      <c r="AP1734" s="520"/>
      <c r="AQ1734" s="520"/>
      <c r="AR1734" s="520"/>
      <c r="AS1734" s="520"/>
      <c r="AT1734" s="520"/>
      <c r="AU1734" s="520"/>
      <c r="AV1734" s="520"/>
      <c r="AY1734" s="507"/>
      <c r="BA1734" s="507"/>
      <c r="BJ1734" s="493"/>
      <c r="CU1734" s="488"/>
      <c r="CW1734" s="488"/>
      <c r="EV1734" s="821"/>
      <c r="EW1734" s="821"/>
    </row>
    <row r="1735" spans="1:153" s="757" customFormat="1" hidden="1">
      <c r="A1735" s="487"/>
      <c r="B1735" s="487"/>
      <c r="C1735" s="487"/>
      <c r="D1735" s="487"/>
      <c r="I1735" s="487"/>
      <c r="J1735" s="487"/>
      <c r="K1735" s="487"/>
      <c r="L1735" s="487"/>
      <c r="M1735" s="487"/>
      <c r="N1735" s="487"/>
      <c r="O1735" s="875"/>
      <c r="Q1735" s="704"/>
      <c r="R1735" s="1026"/>
      <c r="S1735" s="704"/>
      <c r="T1735" s="1026"/>
      <c r="AB1735" s="520"/>
      <c r="AC1735" s="520"/>
      <c r="AD1735" s="520"/>
      <c r="AE1735" s="520"/>
      <c r="AF1735" s="520"/>
      <c r="AG1735" s="520"/>
      <c r="AH1735" s="520"/>
      <c r="AI1735" s="520"/>
      <c r="AJ1735" s="520"/>
      <c r="AK1735" s="520"/>
      <c r="AL1735" s="520"/>
      <c r="AM1735" s="520"/>
      <c r="AN1735" s="520"/>
      <c r="AO1735" s="520"/>
      <c r="AP1735" s="520"/>
      <c r="AQ1735" s="520"/>
      <c r="AR1735" s="520"/>
      <c r="AS1735" s="520"/>
      <c r="AT1735" s="520"/>
      <c r="AU1735" s="520"/>
      <c r="AV1735" s="520"/>
      <c r="AY1735" s="507"/>
      <c r="BA1735" s="507"/>
      <c r="BJ1735" s="493"/>
      <c r="CU1735" s="488"/>
      <c r="CW1735" s="488"/>
      <c r="EV1735" s="821"/>
      <c r="EW1735" s="821"/>
    </row>
    <row r="1736" spans="1:153" s="757" customFormat="1" hidden="1">
      <c r="A1736" s="487"/>
      <c r="B1736" s="487"/>
      <c r="C1736" s="487"/>
      <c r="D1736" s="487"/>
      <c r="I1736" s="487"/>
      <c r="J1736" s="487"/>
      <c r="K1736" s="487"/>
      <c r="L1736" s="487"/>
      <c r="M1736" s="487"/>
      <c r="N1736" s="487"/>
      <c r="O1736" s="875"/>
      <c r="Q1736" s="704"/>
      <c r="R1736" s="1026"/>
      <c r="S1736" s="704"/>
      <c r="T1736" s="1026"/>
      <c r="AB1736" s="520"/>
      <c r="AC1736" s="520"/>
      <c r="AD1736" s="520"/>
      <c r="AE1736" s="520"/>
      <c r="AF1736" s="520"/>
      <c r="AG1736" s="520"/>
      <c r="AH1736" s="520"/>
      <c r="AI1736" s="520"/>
      <c r="AJ1736" s="520"/>
      <c r="AK1736" s="520"/>
      <c r="AL1736" s="520"/>
      <c r="AM1736" s="520"/>
      <c r="AN1736" s="520"/>
      <c r="AO1736" s="520"/>
      <c r="AP1736" s="520"/>
      <c r="AQ1736" s="520"/>
      <c r="AR1736" s="520"/>
      <c r="AS1736" s="520"/>
      <c r="AT1736" s="520"/>
      <c r="AU1736" s="520"/>
      <c r="AV1736" s="520"/>
      <c r="AY1736" s="507"/>
      <c r="BA1736" s="507"/>
      <c r="BJ1736" s="493"/>
      <c r="CU1736" s="488"/>
      <c r="CW1736" s="488"/>
      <c r="EV1736" s="821"/>
      <c r="EW1736" s="821"/>
    </row>
    <row r="1737" spans="1:153" s="757" customFormat="1" hidden="1">
      <c r="A1737" s="487"/>
      <c r="B1737" s="487"/>
      <c r="C1737" s="487"/>
      <c r="D1737" s="487"/>
      <c r="I1737" s="487"/>
      <c r="J1737" s="487"/>
      <c r="K1737" s="487"/>
      <c r="L1737" s="487"/>
      <c r="M1737" s="487"/>
      <c r="N1737" s="487"/>
      <c r="O1737" s="875"/>
      <c r="Q1737" s="704"/>
      <c r="R1737" s="1026"/>
      <c r="S1737" s="704"/>
      <c r="T1737" s="1026"/>
      <c r="AB1737" s="520"/>
      <c r="AC1737" s="520"/>
      <c r="AD1737" s="520"/>
      <c r="AE1737" s="520"/>
      <c r="AF1737" s="520"/>
      <c r="AG1737" s="520"/>
      <c r="AH1737" s="520"/>
      <c r="AI1737" s="520"/>
      <c r="AJ1737" s="520"/>
      <c r="AK1737" s="520"/>
      <c r="AL1737" s="520"/>
      <c r="AM1737" s="520"/>
      <c r="AN1737" s="520"/>
      <c r="AO1737" s="520"/>
      <c r="AP1737" s="520"/>
      <c r="AQ1737" s="520"/>
      <c r="AR1737" s="520"/>
      <c r="AS1737" s="520"/>
      <c r="AT1737" s="520"/>
      <c r="AU1737" s="520"/>
      <c r="AV1737" s="520"/>
      <c r="AY1737" s="507"/>
      <c r="BA1737" s="507"/>
      <c r="BJ1737" s="493"/>
      <c r="CU1737" s="488"/>
      <c r="CW1737" s="488"/>
      <c r="EV1737" s="821"/>
      <c r="EW1737" s="821"/>
    </row>
    <row r="1738" spans="1:153" s="757" customFormat="1" hidden="1">
      <c r="A1738" s="487"/>
      <c r="B1738" s="487"/>
      <c r="C1738" s="487"/>
      <c r="D1738" s="487"/>
      <c r="I1738" s="487"/>
      <c r="J1738" s="487"/>
      <c r="K1738" s="487"/>
      <c r="L1738" s="487"/>
      <c r="M1738" s="487"/>
      <c r="N1738" s="487"/>
      <c r="O1738" s="875"/>
      <c r="Q1738" s="704"/>
      <c r="R1738" s="1026"/>
      <c r="S1738" s="704"/>
      <c r="T1738" s="1026"/>
      <c r="AB1738" s="520"/>
      <c r="AC1738" s="520"/>
      <c r="AD1738" s="520"/>
      <c r="AE1738" s="520"/>
      <c r="AF1738" s="520"/>
      <c r="AG1738" s="520"/>
      <c r="AH1738" s="520"/>
      <c r="AI1738" s="520"/>
      <c r="AJ1738" s="520"/>
      <c r="AK1738" s="520"/>
      <c r="AL1738" s="520"/>
      <c r="AM1738" s="520"/>
      <c r="AN1738" s="520"/>
      <c r="AO1738" s="520"/>
      <c r="AP1738" s="520"/>
      <c r="AQ1738" s="520"/>
      <c r="AR1738" s="520"/>
      <c r="AS1738" s="520"/>
      <c r="AT1738" s="520"/>
      <c r="AU1738" s="520"/>
      <c r="AV1738" s="520"/>
      <c r="AY1738" s="507"/>
      <c r="BA1738" s="507"/>
      <c r="BJ1738" s="493"/>
      <c r="CU1738" s="488"/>
      <c r="CW1738" s="488"/>
      <c r="EV1738" s="821"/>
      <c r="EW1738" s="821"/>
    </row>
    <row r="1739" spans="1:153" s="757" customFormat="1" hidden="1">
      <c r="A1739" s="487"/>
      <c r="B1739" s="487"/>
      <c r="C1739" s="487"/>
      <c r="D1739" s="487"/>
      <c r="I1739" s="487"/>
      <c r="J1739" s="487"/>
      <c r="K1739" s="487"/>
      <c r="L1739" s="487"/>
      <c r="M1739" s="487"/>
      <c r="N1739" s="487"/>
      <c r="O1739" s="875"/>
      <c r="Q1739" s="704"/>
      <c r="R1739" s="1026"/>
      <c r="S1739" s="704"/>
      <c r="T1739" s="1026"/>
      <c r="AB1739" s="520"/>
      <c r="AC1739" s="520"/>
      <c r="AD1739" s="520"/>
      <c r="AE1739" s="520"/>
      <c r="AF1739" s="520"/>
      <c r="AG1739" s="520"/>
      <c r="AH1739" s="520"/>
      <c r="AI1739" s="520"/>
      <c r="AJ1739" s="520"/>
      <c r="AK1739" s="520"/>
      <c r="AL1739" s="520"/>
      <c r="AM1739" s="520"/>
      <c r="AN1739" s="520"/>
      <c r="AO1739" s="520"/>
      <c r="AP1739" s="520"/>
      <c r="AQ1739" s="520"/>
      <c r="AR1739" s="520"/>
      <c r="AS1739" s="520"/>
      <c r="AT1739" s="520"/>
      <c r="AU1739" s="520"/>
      <c r="AV1739" s="520"/>
      <c r="AY1739" s="507"/>
      <c r="BA1739" s="507"/>
      <c r="BJ1739" s="493"/>
      <c r="CU1739" s="488"/>
      <c r="CW1739" s="488"/>
      <c r="EV1739" s="821"/>
      <c r="EW1739" s="821"/>
    </row>
    <row r="1740" spans="1:153" s="757" customFormat="1" hidden="1">
      <c r="A1740" s="487"/>
      <c r="B1740" s="487"/>
      <c r="C1740" s="487"/>
      <c r="D1740" s="487"/>
      <c r="I1740" s="487"/>
      <c r="J1740" s="487"/>
      <c r="K1740" s="487"/>
      <c r="L1740" s="487"/>
      <c r="M1740" s="487"/>
      <c r="N1740" s="487"/>
      <c r="O1740" s="875"/>
      <c r="Q1740" s="704"/>
      <c r="R1740" s="1026"/>
      <c r="S1740" s="704"/>
      <c r="T1740" s="1026"/>
      <c r="AB1740" s="520"/>
      <c r="AC1740" s="520"/>
      <c r="AD1740" s="520"/>
      <c r="AE1740" s="520"/>
      <c r="AF1740" s="520"/>
      <c r="AG1740" s="520"/>
      <c r="AH1740" s="520"/>
      <c r="AI1740" s="520"/>
      <c r="AJ1740" s="520"/>
      <c r="AK1740" s="520"/>
      <c r="AL1740" s="520"/>
      <c r="AM1740" s="520"/>
      <c r="AN1740" s="520"/>
      <c r="AO1740" s="520"/>
      <c r="AP1740" s="520"/>
      <c r="AQ1740" s="520"/>
      <c r="AR1740" s="520"/>
      <c r="AS1740" s="520"/>
      <c r="AT1740" s="520"/>
      <c r="AU1740" s="520"/>
      <c r="AV1740" s="520"/>
      <c r="AY1740" s="507"/>
      <c r="BA1740" s="507"/>
      <c r="BJ1740" s="493"/>
      <c r="CU1740" s="488"/>
      <c r="CW1740" s="488"/>
      <c r="EV1740" s="821"/>
      <c r="EW1740" s="821"/>
    </row>
    <row r="1741" spans="1:153" s="757" customFormat="1" hidden="1">
      <c r="A1741" s="487"/>
      <c r="B1741" s="487"/>
      <c r="C1741" s="487"/>
      <c r="D1741" s="487"/>
      <c r="I1741" s="487"/>
      <c r="J1741" s="487"/>
      <c r="K1741" s="487"/>
      <c r="L1741" s="487"/>
      <c r="M1741" s="487"/>
      <c r="N1741" s="487"/>
      <c r="O1741" s="875"/>
      <c r="Q1741" s="704"/>
      <c r="R1741" s="1026"/>
      <c r="S1741" s="704"/>
      <c r="T1741" s="1026"/>
      <c r="AB1741" s="520"/>
      <c r="AC1741" s="520"/>
      <c r="AD1741" s="520"/>
      <c r="AE1741" s="520"/>
      <c r="AF1741" s="520"/>
      <c r="AG1741" s="520"/>
      <c r="AH1741" s="520"/>
      <c r="AI1741" s="520"/>
      <c r="AJ1741" s="520"/>
      <c r="AK1741" s="520"/>
      <c r="AL1741" s="520"/>
      <c r="AM1741" s="520"/>
      <c r="AN1741" s="520"/>
      <c r="AO1741" s="520"/>
      <c r="AP1741" s="520"/>
      <c r="AQ1741" s="520"/>
      <c r="AR1741" s="520"/>
      <c r="AS1741" s="520"/>
      <c r="AT1741" s="520"/>
      <c r="AU1741" s="520"/>
      <c r="AV1741" s="520"/>
      <c r="AY1741" s="507"/>
      <c r="BA1741" s="507"/>
      <c r="BJ1741" s="493"/>
      <c r="CU1741" s="488"/>
      <c r="CW1741" s="488"/>
      <c r="EV1741" s="821"/>
      <c r="EW1741" s="821"/>
    </row>
    <row r="1742" spans="1:153" s="757" customFormat="1" hidden="1">
      <c r="A1742" s="487"/>
      <c r="B1742" s="487"/>
      <c r="C1742" s="487"/>
      <c r="D1742" s="487"/>
      <c r="I1742" s="487"/>
      <c r="J1742" s="487"/>
      <c r="K1742" s="487"/>
      <c r="L1742" s="487"/>
      <c r="M1742" s="487"/>
      <c r="N1742" s="487"/>
      <c r="O1742" s="875"/>
      <c r="Q1742" s="704"/>
      <c r="R1742" s="1026"/>
      <c r="S1742" s="704"/>
      <c r="T1742" s="1026"/>
      <c r="AB1742" s="520"/>
      <c r="AC1742" s="520"/>
      <c r="AD1742" s="520"/>
      <c r="AE1742" s="520"/>
      <c r="AF1742" s="520"/>
      <c r="AG1742" s="520"/>
      <c r="AH1742" s="520"/>
      <c r="AI1742" s="520"/>
      <c r="AJ1742" s="520"/>
      <c r="AK1742" s="520"/>
      <c r="AL1742" s="520"/>
      <c r="AM1742" s="520"/>
      <c r="AN1742" s="520"/>
      <c r="AO1742" s="520"/>
      <c r="AP1742" s="520"/>
      <c r="AQ1742" s="520"/>
      <c r="AR1742" s="520"/>
      <c r="AS1742" s="520"/>
      <c r="AT1742" s="520"/>
      <c r="AU1742" s="520"/>
      <c r="AV1742" s="520"/>
      <c r="AY1742" s="507"/>
      <c r="BA1742" s="507"/>
      <c r="BJ1742" s="493"/>
      <c r="CU1742" s="488"/>
      <c r="CW1742" s="488"/>
      <c r="EV1742" s="821"/>
      <c r="EW1742" s="821"/>
    </row>
    <row r="1743" spans="1:153" s="757" customFormat="1" hidden="1">
      <c r="A1743" s="487"/>
      <c r="B1743" s="487"/>
      <c r="C1743" s="487"/>
      <c r="D1743" s="487"/>
      <c r="I1743" s="487"/>
      <c r="J1743" s="487"/>
      <c r="K1743" s="487"/>
      <c r="L1743" s="487"/>
      <c r="M1743" s="487"/>
      <c r="N1743" s="487"/>
      <c r="O1743" s="875"/>
      <c r="Q1743" s="704"/>
      <c r="R1743" s="1026"/>
      <c r="S1743" s="704"/>
      <c r="T1743" s="1026"/>
      <c r="AB1743" s="520"/>
      <c r="AC1743" s="520"/>
      <c r="AD1743" s="520"/>
      <c r="AE1743" s="520"/>
      <c r="AF1743" s="520"/>
      <c r="AG1743" s="520"/>
      <c r="AH1743" s="520"/>
      <c r="AI1743" s="520"/>
      <c r="AJ1743" s="520"/>
      <c r="AK1743" s="520"/>
      <c r="AL1743" s="520"/>
      <c r="AM1743" s="520"/>
      <c r="AN1743" s="520"/>
      <c r="AO1743" s="520"/>
      <c r="AP1743" s="520"/>
      <c r="AQ1743" s="520"/>
      <c r="AR1743" s="520"/>
      <c r="AS1743" s="520"/>
      <c r="AT1743" s="520"/>
      <c r="AU1743" s="520"/>
      <c r="AV1743" s="520"/>
      <c r="AY1743" s="507"/>
      <c r="BA1743" s="507"/>
      <c r="BJ1743" s="493"/>
      <c r="CU1743" s="488"/>
      <c r="CW1743" s="488"/>
      <c r="EV1743" s="821"/>
      <c r="EW1743" s="821"/>
    </row>
    <row r="1744" spans="1:153" s="757" customFormat="1" hidden="1">
      <c r="A1744" s="487"/>
      <c r="B1744" s="487"/>
      <c r="C1744" s="487"/>
      <c r="D1744" s="487"/>
      <c r="I1744" s="487"/>
      <c r="J1744" s="487"/>
      <c r="K1744" s="487"/>
      <c r="L1744" s="487"/>
      <c r="M1744" s="487"/>
      <c r="N1744" s="487"/>
      <c r="O1744" s="875"/>
      <c r="Q1744" s="704"/>
      <c r="R1744" s="1026"/>
      <c r="S1744" s="704"/>
      <c r="T1744" s="1026"/>
      <c r="AB1744" s="520"/>
      <c r="AC1744" s="520"/>
      <c r="AD1744" s="520"/>
      <c r="AE1744" s="520"/>
      <c r="AF1744" s="520"/>
      <c r="AG1744" s="520"/>
      <c r="AH1744" s="520"/>
      <c r="AI1744" s="520"/>
      <c r="AJ1744" s="520"/>
      <c r="AK1744" s="520"/>
      <c r="AL1744" s="520"/>
      <c r="AM1744" s="520"/>
      <c r="AN1744" s="520"/>
      <c r="AO1744" s="520"/>
      <c r="AP1744" s="520"/>
      <c r="AQ1744" s="520"/>
      <c r="AR1744" s="520"/>
      <c r="AS1744" s="520"/>
      <c r="AT1744" s="520"/>
      <c r="AU1744" s="520"/>
      <c r="AV1744" s="520"/>
      <c r="AY1744" s="507"/>
      <c r="BA1744" s="507"/>
      <c r="BJ1744" s="493"/>
      <c r="CU1744" s="488"/>
      <c r="CW1744" s="488"/>
      <c r="EV1744" s="821"/>
      <c r="EW1744" s="821"/>
    </row>
    <row r="1745" spans="1:153" s="757" customFormat="1" hidden="1">
      <c r="A1745" s="487"/>
      <c r="B1745" s="487"/>
      <c r="C1745" s="487"/>
      <c r="D1745" s="487"/>
      <c r="I1745" s="487"/>
      <c r="J1745" s="487"/>
      <c r="K1745" s="487"/>
      <c r="L1745" s="487"/>
      <c r="M1745" s="487"/>
      <c r="N1745" s="487"/>
      <c r="O1745" s="875"/>
      <c r="Q1745" s="704"/>
      <c r="R1745" s="1026"/>
      <c r="S1745" s="704"/>
      <c r="T1745" s="1026"/>
      <c r="AB1745" s="520"/>
      <c r="AC1745" s="520"/>
      <c r="AD1745" s="520"/>
      <c r="AE1745" s="520"/>
      <c r="AF1745" s="520"/>
      <c r="AG1745" s="520"/>
      <c r="AH1745" s="520"/>
      <c r="AI1745" s="520"/>
      <c r="AJ1745" s="520"/>
      <c r="AK1745" s="520"/>
      <c r="AL1745" s="520"/>
      <c r="AM1745" s="520"/>
      <c r="AN1745" s="520"/>
      <c r="AO1745" s="520"/>
      <c r="AP1745" s="520"/>
      <c r="AQ1745" s="520"/>
      <c r="AR1745" s="520"/>
      <c r="AS1745" s="520"/>
      <c r="AT1745" s="520"/>
      <c r="AU1745" s="520"/>
      <c r="AV1745" s="520"/>
      <c r="AY1745" s="507"/>
      <c r="BA1745" s="507"/>
      <c r="BJ1745" s="493"/>
      <c r="CU1745" s="488"/>
      <c r="CW1745" s="488"/>
      <c r="EV1745" s="821"/>
      <c r="EW1745" s="821"/>
    </row>
    <row r="1746" spans="1:153" s="757" customFormat="1" hidden="1">
      <c r="A1746" s="487"/>
      <c r="B1746" s="487"/>
      <c r="C1746" s="487"/>
      <c r="D1746" s="487"/>
      <c r="I1746" s="487"/>
      <c r="J1746" s="487"/>
      <c r="K1746" s="487"/>
      <c r="L1746" s="487"/>
      <c r="M1746" s="487"/>
      <c r="N1746" s="487"/>
      <c r="O1746" s="875"/>
      <c r="Q1746" s="704"/>
      <c r="R1746" s="1026"/>
      <c r="S1746" s="704"/>
      <c r="T1746" s="1026"/>
      <c r="AB1746" s="520"/>
      <c r="AC1746" s="520"/>
      <c r="AD1746" s="520"/>
      <c r="AE1746" s="520"/>
      <c r="AF1746" s="520"/>
      <c r="AG1746" s="520"/>
      <c r="AH1746" s="520"/>
      <c r="AI1746" s="520"/>
      <c r="AJ1746" s="520"/>
      <c r="AK1746" s="520"/>
      <c r="AL1746" s="520"/>
      <c r="AM1746" s="520"/>
      <c r="AN1746" s="520"/>
      <c r="AO1746" s="520"/>
      <c r="AP1746" s="520"/>
      <c r="AQ1746" s="520"/>
      <c r="AR1746" s="520"/>
      <c r="AS1746" s="520"/>
      <c r="AT1746" s="520"/>
      <c r="AU1746" s="520"/>
      <c r="AV1746" s="520"/>
      <c r="AY1746" s="507"/>
      <c r="BA1746" s="507"/>
      <c r="BJ1746" s="493"/>
      <c r="CU1746" s="488"/>
      <c r="CW1746" s="488"/>
      <c r="EV1746" s="821"/>
      <c r="EW1746" s="821"/>
    </row>
    <row r="1747" spans="1:153" s="757" customFormat="1" hidden="1">
      <c r="A1747" s="487"/>
      <c r="B1747" s="487"/>
      <c r="C1747" s="487"/>
      <c r="D1747" s="487"/>
      <c r="I1747" s="487"/>
      <c r="J1747" s="487"/>
      <c r="K1747" s="487"/>
      <c r="L1747" s="487"/>
      <c r="M1747" s="487"/>
      <c r="N1747" s="487"/>
      <c r="O1747" s="875"/>
      <c r="Q1747" s="704"/>
      <c r="R1747" s="1026"/>
      <c r="S1747" s="704"/>
      <c r="T1747" s="1026"/>
      <c r="AB1747" s="520"/>
      <c r="AC1747" s="520"/>
      <c r="AD1747" s="520"/>
      <c r="AE1747" s="520"/>
      <c r="AF1747" s="520"/>
      <c r="AG1747" s="520"/>
      <c r="AH1747" s="520"/>
      <c r="AI1747" s="520"/>
      <c r="AJ1747" s="520"/>
      <c r="AK1747" s="520"/>
      <c r="AL1747" s="520"/>
      <c r="AM1747" s="520"/>
      <c r="AN1747" s="520"/>
      <c r="AO1747" s="520"/>
      <c r="AP1747" s="520"/>
      <c r="AQ1747" s="520"/>
      <c r="AR1747" s="520"/>
      <c r="AS1747" s="520"/>
      <c r="AT1747" s="520"/>
      <c r="AU1747" s="520"/>
      <c r="AV1747" s="520"/>
      <c r="AY1747" s="507"/>
      <c r="BA1747" s="507"/>
      <c r="BJ1747" s="493"/>
      <c r="CU1747" s="488"/>
      <c r="CW1747" s="488"/>
      <c r="EV1747" s="821"/>
      <c r="EW1747" s="821"/>
    </row>
    <row r="1748" spans="1:153" s="757" customFormat="1" hidden="1">
      <c r="A1748" s="487"/>
      <c r="B1748" s="487"/>
      <c r="C1748" s="487"/>
      <c r="D1748" s="487"/>
      <c r="I1748" s="487"/>
      <c r="J1748" s="487"/>
      <c r="K1748" s="487"/>
      <c r="L1748" s="487"/>
      <c r="M1748" s="487"/>
      <c r="N1748" s="487"/>
      <c r="O1748" s="875"/>
      <c r="Q1748" s="704"/>
      <c r="R1748" s="1026"/>
      <c r="S1748" s="704"/>
      <c r="T1748" s="1026"/>
      <c r="AB1748" s="520"/>
      <c r="AC1748" s="520"/>
      <c r="AD1748" s="520"/>
      <c r="AE1748" s="520"/>
      <c r="AF1748" s="520"/>
      <c r="AG1748" s="520"/>
      <c r="AH1748" s="520"/>
      <c r="AI1748" s="520"/>
      <c r="AJ1748" s="520"/>
      <c r="AK1748" s="520"/>
      <c r="AL1748" s="520"/>
      <c r="AM1748" s="520"/>
      <c r="AN1748" s="520"/>
      <c r="AO1748" s="520"/>
      <c r="AP1748" s="520"/>
      <c r="AQ1748" s="520"/>
      <c r="AR1748" s="520"/>
      <c r="AS1748" s="520"/>
      <c r="AT1748" s="520"/>
      <c r="AU1748" s="520"/>
      <c r="AV1748" s="520"/>
      <c r="AY1748" s="507"/>
      <c r="BA1748" s="507"/>
      <c r="BJ1748" s="493"/>
      <c r="CU1748" s="488"/>
      <c r="CW1748" s="488"/>
      <c r="EV1748" s="821"/>
      <c r="EW1748" s="821"/>
    </row>
    <row r="1749" spans="1:153" s="757" customFormat="1" hidden="1">
      <c r="A1749" s="487"/>
      <c r="B1749" s="487"/>
      <c r="C1749" s="487"/>
      <c r="D1749" s="487"/>
      <c r="I1749" s="487"/>
      <c r="J1749" s="487"/>
      <c r="K1749" s="487"/>
      <c r="L1749" s="487"/>
      <c r="M1749" s="487"/>
      <c r="N1749" s="487"/>
      <c r="O1749" s="875"/>
      <c r="Q1749" s="704"/>
      <c r="R1749" s="1026"/>
      <c r="S1749" s="704"/>
      <c r="T1749" s="1026"/>
      <c r="AB1749" s="520"/>
      <c r="AC1749" s="520"/>
      <c r="AD1749" s="520"/>
      <c r="AE1749" s="520"/>
      <c r="AF1749" s="520"/>
      <c r="AG1749" s="520"/>
      <c r="AH1749" s="520"/>
      <c r="AI1749" s="520"/>
      <c r="AJ1749" s="520"/>
      <c r="AK1749" s="520"/>
      <c r="AL1749" s="520"/>
      <c r="AM1749" s="520"/>
      <c r="AN1749" s="520"/>
      <c r="AO1749" s="520"/>
      <c r="AP1749" s="520"/>
      <c r="AQ1749" s="520"/>
      <c r="AR1749" s="520"/>
      <c r="AS1749" s="520"/>
      <c r="AT1749" s="520"/>
      <c r="AU1749" s="520"/>
      <c r="AV1749" s="520"/>
      <c r="AY1749" s="507"/>
      <c r="BA1749" s="507"/>
      <c r="BJ1749" s="493"/>
      <c r="CU1749" s="488"/>
      <c r="CW1749" s="488"/>
      <c r="EV1749" s="821"/>
      <c r="EW1749" s="821"/>
    </row>
    <row r="1750" spans="1:153" s="757" customFormat="1" hidden="1">
      <c r="A1750" s="487"/>
      <c r="B1750" s="487"/>
      <c r="C1750" s="487"/>
      <c r="D1750" s="487"/>
      <c r="I1750" s="487"/>
      <c r="J1750" s="487"/>
      <c r="K1750" s="487"/>
      <c r="L1750" s="487"/>
      <c r="M1750" s="487"/>
      <c r="N1750" s="487"/>
      <c r="O1750" s="875"/>
      <c r="Q1750" s="704"/>
      <c r="R1750" s="1026"/>
      <c r="S1750" s="704"/>
      <c r="T1750" s="1026"/>
      <c r="AB1750" s="520"/>
      <c r="AC1750" s="520"/>
      <c r="AD1750" s="520"/>
      <c r="AE1750" s="520"/>
      <c r="AF1750" s="520"/>
      <c r="AG1750" s="520"/>
      <c r="AH1750" s="520"/>
      <c r="AI1750" s="520"/>
      <c r="AJ1750" s="520"/>
      <c r="AK1750" s="520"/>
      <c r="AL1750" s="520"/>
      <c r="AM1750" s="520"/>
      <c r="AN1750" s="520"/>
      <c r="AO1750" s="520"/>
      <c r="AP1750" s="520"/>
      <c r="AQ1750" s="520"/>
      <c r="AR1750" s="520"/>
      <c r="AS1750" s="520"/>
      <c r="AT1750" s="520"/>
      <c r="AU1750" s="520"/>
      <c r="AV1750" s="520"/>
      <c r="AY1750" s="507"/>
      <c r="BA1750" s="507"/>
      <c r="BJ1750" s="493"/>
      <c r="CU1750" s="488"/>
      <c r="CW1750" s="488"/>
      <c r="EV1750" s="821"/>
      <c r="EW1750" s="821"/>
    </row>
    <row r="1751" spans="1:153" s="757" customFormat="1" hidden="1">
      <c r="A1751" s="487"/>
      <c r="B1751" s="487"/>
      <c r="C1751" s="487"/>
      <c r="D1751" s="487"/>
      <c r="I1751" s="487"/>
      <c r="J1751" s="487"/>
      <c r="K1751" s="487"/>
      <c r="L1751" s="487"/>
      <c r="M1751" s="487"/>
      <c r="N1751" s="487"/>
      <c r="O1751" s="875"/>
      <c r="Q1751" s="704"/>
      <c r="R1751" s="1026"/>
      <c r="S1751" s="704"/>
      <c r="T1751" s="1026"/>
      <c r="AB1751" s="520"/>
      <c r="AC1751" s="520"/>
      <c r="AD1751" s="520"/>
      <c r="AE1751" s="520"/>
      <c r="AF1751" s="520"/>
      <c r="AG1751" s="520"/>
      <c r="AH1751" s="520"/>
      <c r="AI1751" s="520"/>
      <c r="AJ1751" s="520"/>
      <c r="AK1751" s="520"/>
      <c r="AL1751" s="520"/>
      <c r="AM1751" s="520"/>
      <c r="AN1751" s="520"/>
      <c r="AO1751" s="520"/>
      <c r="AP1751" s="520"/>
      <c r="AQ1751" s="520"/>
      <c r="AR1751" s="520"/>
      <c r="AS1751" s="520"/>
      <c r="AT1751" s="520"/>
      <c r="AU1751" s="520"/>
      <c r="AV1751" s="520"/>
      <c r="AY1751" s="507"/>
      <c r="BA1751" s="507"/>
      <c r="BJ1751" s="493"/>
      <c r="CU1751" s="488"/>
      <c r="CW1751" s="488"/>
      <c r="EV1751" s="821"/>
      <c r="EW1751" s="821"/>
    </row>
    <row r="1752" spans="1:153" s="757" customFormat="1" hidden="1">
      <c r="A1752" s="487"/>
      <c r="B1752" s="487"/>
      <c r="C1752" s="487"/>
      <c r="D1752" s="487"/>
      <c r="I1752" s="487"/>
      <c r="J1752" s="487"/>
      <c r="K1752" s="487"/>
      <c r="L1752" s="487"/>
      <c r="M1752" s="487"/>
      <c r="N1752" s="487"/>
      <c r="O1752" s="875"/>
      <c r="Q1752" s="704"/>
      <c r="R1752" s="1026"/>
      <c r="S1752" s="704"/>
      <c r="T1752" s="1026"/>
      <c r="AB1752" s="520"/>
      <c r="AC1752" s="520"/>
      <c r="AD1752" s="520"/>
      <c r="AE1752" s="520"/>
      <c r="AF1752" s="520"/>
      <c r="AG1752" s="520"/>
      <c r="AH1752" s="520"/>
      <c r="AI1752" s="520"/>
      <c r="AJ1752" s="520"/>
      <c r="AK1752" s="520"/>
      <c r="AL1752" s="520"/>
      <c r="AM1752" s="520"/>
      <c r="AN1752" s="520"/>
      <c r="AO1752" s="520"/>
      <c r="AP1752" s="520"/>
      <c r="AQ1752" s="520"/>
      <c r="AR1752" s="520"/>
      <c r="AS1752" s="520"/>
      <c r="AT1752" s="520"/>
      <c r="AU1752" s="520"/>
      <c r="AV1752" s="520"/>
      <c r="AY1752" s="507"/>
      <c r="BA1752" s="507"/>
      <c r="BJ1752" s="493"/>
      <c r="CU1752" s="488"/>
      <c r="CW1752" s="488"/>
      <c r="EV1752" s="821"/>
      <c r="EW1752" s="821"/>
    </row>
    <row r="1753" spans="1:153" s="757" customFormat="1" hidden="1">
      <c r="A1753" s="487"/>
      <c r="B1753" s="487"/>
      <c r="C1753" s="487"/>
      <c r="D1753" s="487"/>
      <c r="I1753" s="487"/>
      <c r="J1753" s="487"/>
      <c r="K1753" s="487"/>
      <c r="L1753" s="487"/>
      <c r="M1753" s="487"/>
      <c r="N1753" s="487"/>
      <c r="O1753" s="875"/>
      <c r="Q1753" s="704"/>
      <c r="R1753" s="1026"/>
      <c r="S1753" s="704"/>
      <c r="T1753" s="1026"/>
      <c r="AB1753" s="520"/>
      <c r="AC1753" s="520"/>
      <c r="AD1753" s="520"/>
      <c r="AE1753" s="520"/>
      <c r="AF1753" s="520"/>
      <c r="AG1753" s="520"/>
      <c r="AH1753" s="520"/>
      <c r="AI1753" s="520"/>
      <c r="AJ1753" s="520"/>
      <c r="AK1753" s="520"/>
      <c r="AL1753" s="520"/>
      <c r="AM1753" s="520"/>
      <c r="AN1753" s="520"/>
      <c r="AO1753" s="520"/>
      <c r="AP1753" s="520"/>
      <c r="AQ1753" s="520"/>
      <c r="AR1753" s="520"/>
      <c r="AS1753" s="520"/>
      <c r="AT1753" s="520"/>
      <c r="AU1753" s="520"/>
      <c r="AV1753" s="520"/>
      <c r="AY1753" s="507"/>
      <c r="BA1753" s="507"/>
      <c r="BJ1753" s="493"/>
      <c r="CU1753" s="488"/>
      <c r="CW1753" s="488"/>
      <c r="EV1753" s="821"/>
      <c r="EW1753" s="821"/>
    </row>
    <row r="1754" spans="1:153" s="757" customFormat="1" hidden="1">
      <c r="A1754" s="487"/>
      <c r="B1754" s="487"/>
      <c r="C1754" s="487"/>
      <c r="D1754" s="487"/>
      <c r="I1754" s="487"/>
      <c r="J1754" s="487"/>
      <c r="K1754" s="487"/>
      <c r="L1754" s="487"/>
      <c r="M1754" s="487"/>
      <c r="N1754" s="487"/>
      <c r="O1754" s="875"/>
      <c r="Q1754" s="704"/>
      <c r="R1754" s="1026"/>
      <c r="S1754" s="704"/>
      <c r="T1754" s="1026"/>
      <c r="AB1754" s="520"/>
      <c r="AC1754" s="520"/>
      <c r="AD1754" s="520"/>
      <c r="AE1754" s="520"/>
      <c r="AF1754" s="520"/>
      <c r="AG1754" s="520"/>
      <c r="AH1754" s="520"/>
      <c r="AI1754" s="520"/>
      <c r="AJ1754" s="520"/>
      <c r="AK1754" s="520"/>
      <c r="AL1754" s="520"/>
      <c r="AM1754" s="520"/>
      <c r="AN1754" s="520"/>
      <c r="AO1754" s="520"/>
      <c r="AP1754" s="520"/>
      <c r="AQ1754" s="520"/>
      <c r="AR1754" s="520"/>
      <c r="AS1754" s="520"/>
      <c r="AT1754" s="520"/>
      <c r="AU1754" s="520"/>
      <c r="AV1754" s="520"/>
      <c r="AY1754" s="507"/>
      <c r="BA1754" s="507"/>
      <c r="BJ1754" s="493"/>
      <c r="CU1754" s="488"/>
      <c r="CW1754" s="488"/>
      <c r="EV1754" s="821"/>
      <c r="EW1754" s="821"/>
    </row>
    <row r="1755" spans="1:153" s="757" customFormat="1" hidden="1">
      <c r="A1755" s="487"/>
      <c r="B1755" s="487"/>
      <c r="C1755" s="487"/>
      <c r="D1755" s="487"/>
      <c r="I1755" s="487"/>
      <c r="J1755" s="487"/>
      <c r="K1755" s="487"/>
      <c r="L1755" s="487"/>
      <c r="M1755" s="487"/>
      <c r="N1755" s="487"/>
      <c r="O1755" s="875"/>
      <c r="Q1755" s="704"/>
      <c r="R1755" s="1026"/>
      <c r="S1755" s="704"/>
      <c r="T1755" s="1026"/>
      <c r="AB1755" s="520"/>
      <c r="AC1755" s="520"/>
      <c r="AD1755" s="520"/>
      <c r="AE1755" s="520"/>
      <c r="AF1755" s="520"/>
      <c r="AG1755" s="520"/>
      <c r="AH1755" s="520"/>
      <c r="AI1755" s="520"/>
      <c r="AJ1755" s="520"/>
      <c r="AK1755" s="520"/>
      <c r="AL1755" s="520"/>
      <c r="AM1755" s="520"/>
      <c r="AN1755" s="520"/>
      <c r="AO1755" s="520"/>
      <c r="AP1755" s="520"/>
      <c r="AQ1755" s="520"/>
      <c r="AR1755" s="520"/>
      <c r="AS1755" s="520"/>
      <c r="AT1755" s="520"/>
      <c r="AU1755" s="520"/>
      <c r="AV1755" s="520"/>
      <c r="AY1755" s="507"/>
      <c r="BA1755" s="507"/>
      <c r="BJ1755" s="493"/>
      <c r="CU1755" s="488"/>
      <c r="CW1755" s="488"/>
      <c r="EV1755" s="821"/>
      <c r="EW1755" s="821"/>
    </row>
    <row r="1756" spans="1:153" s="757" customFormat="1" hidden="1">
      <c r="A1756" s="487"/>
      <c r="B1756" s="487"/>
      <c r="C1756" s="487"/>
      <c r="D1756" s="487"/>
      <c r="I1756" s="487"/>
      <c r="J1756" s="487"/>
      <c r="K1756" s="487"/>
      <c r="L1756" s="487"/>
      <c r="M1756" s="487"/>
      <c r="N1756" s="487"/>
      <c r="O1756" s="875"/>
      <c r="Q1756" s="704"/>
      <c r="R1756" s="1026"/>
      <c r="S1756" s="704"/>
      <c r="T1756" s="1026"/>
      <c r="AB1756" s="520"/>
      <c r="AC1756" s="520"/>
      <c r="AD1756" s="520"/>
      <c r="AE1756" s="520"/>
      <c r="AF1756" s="520"/>
      <c r="AG1756" s="520"/>
      <c r="AH1756" s="520"/>
      <c r="AI1756" s="520"/>
      <c r="AJ1756" s="520"/>
      <c r="AK1756" s="520"/>
      <c r="AL1756" s="520"/>
      <c r="AM1756" s="520"/>
      <c r="AN1756" s="520"/>
      <c r="AO1756" s="520"/>
      <c r="AP1756" s="520"/>
      <c r="AQ1756" s="520"/>
      <c r="AR1756" s="520"/>
      <c r="AS1756" s="520"/>
      <c r="AT1756" s="520"/>
      <c r="AU1756" s="520"/>
      <c r="AV1756" s="520"/>
      <c r="AY1756" s="507"/>
      <c r="BA1756" s="507"/>
      <c r="BJ1756" s="493"/>
      <c r="CU1756" s="488"/>
      <c r="CW1756" s="488"/>
      <c r="EV1756" s="821"/>
      <c r="EW1756" s="821"/>
    </row>
    <row r="1757" spans="1:153" s="757" customFormat="1" hidden="1">
      <c r="A1757" s="487"/>
      <c r="B1757" s="487"/>
      <c r="C1757" s="487"/>
      <c r="D1757" s="487"/>
      <c r="I1757" s="487"/>
      <c r="J1757" s="487"/>
      <c r="K1757" s="487"/>
      <c r="L1757" s="487"/>
      <c r="M1757" s="487"/>
      <c r="N1757" s="487"/>
      <c r="O1757" s="875"/>
      <c r="Q1757" s="704"/>
      <c r="R1757" s="1026"/>
      <c r="S1757" s="704"/>
      <c r="T1757" s="1026"/>
      <c r="AB1757" s="520"/>
      <c r="AC1757" s="520"/>
      <c r="AD1757" s="520"/>
      <c r="AE1757" s="520"/>
      <c r="AF1757" s="520"/>
      <c r="AG1757" s="520"/>
      <c r="AH1757" s="520"/>
      <c r="AI1757" s="520"/>
      <c r="AJ1757" s="520"/>
      <c r="AK1757" s="520"/>
      <c r="AL1757" s="520"/>
      <c r="AM1757" s="520"/>
      <c r="AN1757" s="520"/>
      <c r="AO1757" s="520"/>
      <c r="AP1757" s="520"/>
      <c r="AQ1757" s="520"/>
      <c r="AR1757" s="520"/>
      <c r="AS1757" s="520"/>
      <c r="AT1757" s="520"/>
      <c r="AU1757" s="520"/>
      <c r="AV1757" s="520"/>
      <c r="AY1757" s="507"/>
      <c r="BA1757" s="507"/>
      <c r="BJ1757" s="493"/>
      <c r="CU1757" s="488"/>
      <c r="CW1757" s="488"/>
      <c r="EV1757" s="821"/>
      <c r="EW1757" s="821"/>
    </row>
    <row r="1758" spans="1:153" s="757" customFormat="1" hidden="1">
      <c r="A1758" s="487"/>
      <c r="B1758" s="487"/>
      <c r="C1758" s="487"/>
      <c r="D1758" s="487"/>
      <c r="I1758" s="487"/>
      <c r="J1758" s="487"/>
      <c r="K1758" s="487"/>
      <c r="L1758" s="487"/>
      <c r="M1758" s="487"/>
      <c r="N1758" s="487"/>
      <c r="O1758" s="875"/>
      <c r="Q1758" s="704"/>
      <c r="R1758" s="1026"/>
      <c r="S1758" s="704"/>
      <c r="T1758" s="1026"/>
      <c r="AB1758" s="520"/>
      <c r="AC1758" s="520"/>
      <c r="AD1758" s="520"/>
      <c r="AE1758" s="520"/>
      <c r="AF1758" s="520"/>
      <c r="AG1758" s="520"/>
      <c r="AH1758" s="520"/>
      <c r="AI1758" s="520"/>
      <c r="AJ1758" s="520"/>
      <c r="AK1758" s="520"/>
      <c r="AL1758" s="520"/>
      <c r="AM1758" s="520"/>
      <c r="AN1758" s="520"/>
      <c r="AO1758" s="520"/>
      <c r="AP1758" s="520"/>
      <c r="AQ1758" s="520"/>
      <c r="AR1758" s="520"/>
      <c r="AS1758" s="520"/>
      <c r="AT1758" s="520"/>
      <c r="AU1758" s="520"/>
      <c r="AV1758" s="520"/>
      <c r="AY1758" s="507"/>
      <c r="BA1758" s="507"/>
      <c r="BJ1758" s="493"/>
      <c r="CU1758" s="488"/>
      <c r="CW1758" s="488"/>
      <c r="EV1758" s="821"/>
      <c r="EW1758" s="821"/>
    </row>
    <row r="1759" spans="1:153" s="757" customFormat="1" hidden="1">
      <c r="A1759" s="487"/>
      <c r="B1759" s="487"/>
      <c r="C1759" s="487"/>
      <c r="D1759" s="487"/>
      <c r="I1759" s="487"/>
      <c r="J1759" s="487"/>
      <c r="K1759" s="487"/>
      <c r="L1759" s="487"/>
      <c r="M1759" s="487"/>
      <c r="N1759" s="487"/>
      <c r="O1759" s="875"/>
      <c r="Q1759" s="704"/>
      <c r="R1759" s="1026"/>
      <c r="S1759" s="704"/>
      <c r="T1759" s="1026"/>
      <c r="AB1759" s="520"/>
      <c r="AC1759" s="520"/>
      <c r="AD1759" s="520"/>
      <c r="AE1759" s="520"/>
      <c r="AF1759" s="520"/>
      <c r="AG1759" s="520"/>
      <c r="AH1759" s="520"/>
      <c r="AI1759" s="520"/>
      <c r="AJ1759" s="520"/>
      <c r="AK1759" s="520"/>
      <c r="AL1759" s="520"/>
      <c r="AM1759" s="520"/>
      <c r="AN1759" s="520"/>
      <c r="AO1759" s="520"/>
      <c r="AP1759" s="520"/>
      <c r="AQ1759" s="520"/>
      <c r="AR1759" s="520"/>
      <c r="AS1759" s="520"/>
      <c r="AT1759" s="520"/>
      <c r="AU1759" s="520"/>
      <c r="AV1759" s="520"/>
      <c r="AY1759" s="507"/>
      <c r="BA1759" s="507"/>
      <c r="BJ1759" s="493"/>
      <c r="CU1759" s="488"/>
      <c r="CW1759" s="488"/>
      <c r="EV1759" s="821"/>
      <c r="EW1759" s="821"/>
    </row>
    <row r="1760" spans="1:153" s="757" customFormat="1" hidden="1">
      <c r="A1760" s="487"/>
      <c r="B1760" s="487"/>
      <c r="C1760" s="487"/>
      <c r="D1760" s="487"/>
      <c r="I1760" s="487"/>
      <c r="J1760" s="487"/>
      <c r="K1760" s="487"/>
      <c r="L1760" s="487"/>
      <c r="M1760" s="487"/>
      <c r="N1760" s="487"/>
      <c r="O1760" s="875"/>
      <c r="Q1760" s="704"/>
      <c r="R1760" s="1026"/>
      <c r="S1760" s="704"/>
      <c r="T1760" s="1026"/>
      <c r="AB1760" s="520"/>
      <c r="AC1760" s="520"/>
      <c r="AD1760" s="520"/>
      <c r="AE1760" s="520"/>
      <c r="AF1760" s="520"/>
      <c r="AG1760" s="520"/>
      <c r="AH1760" s="520"/>
      <c r="AI1760" s="520"/>
      <c r="AJ1760" s="520"/>
      <c r="AK1760" s="520"/>
      <c r="AL1760" s="520"/>
      <c r="AM1760" s="520"/>
      <c r="AN1760" s="520"/>
      <c r="AO1760" s="520"/>
      <c r="AP1760" s="520"/>
      <c r="AQ1760" s="520"/>
      <c r="AR1760" s="520"/>
      <c r="AS1760" s="520"/>
      <c r="AT1760" s="520"/>
      <c r="AU1760" s="520"/>
      <c r="AV1760" s="520"/>
      <c r="AY1760" s="507"/>
      <c r="BA1760" s="507"/>
      <c r="BJ1760" s="493"/>
      <c r="CU1760" s="488"/>
      <c r="CW1760" s="488"/>
      <c r="EV1760" s="821"/>
      <c r="EW1760" s="821"/>
    </row>
    <row r="1761" spans="1:153" s="757" customFormat="1" hidden="1">
      <c r="A1761" s="487"/>
      <c r="B1761" s="487"/>
      <c r="C1761" s="487"/>
      <c r="D1761" s="487"/>
      <c r="I1761" s="487"/>
      <c r="J1761" s="487"/>
      <c r="K1761" s="487"/>
      <c r="L1761" s="487"/>
      <c r="M1761" s="487"/>
      <c r="N1761" s="487"/>
      <c r="O1761" s="875"/>
      <c r="Q1761" s="704"/>
      <c r="R1761" s="1026"/>
      <c r="S1761" s="704"/>
      <c r="T1761" s="1026"/>
      <c r="AB1761" s="520"/>
      <c r="AC1761" s="520"/>
      <c r="AD1761" s="520"/>
      <c r="AE1761" s="520"/>
      <c r="AF1761" s="520"/>
      <c r="AG1761" s="520"/>
      <c r="AH1761" s="520"/>
      <c r="AI1761" s="520"/>
      <c r="AJ1761" s="520"/>
      <c r="AK1761" s="520"/>
      <c r="AL1761" s="520"/>
      <c r="AM1761" s="520"/>
      <c r="AN1761" s="520"/>
      <c r="AO1761" s="520"/>
      <c r="AP1761" s="520"/>
      <c r="AQ1761" s="520"/>
      <c r="AR1761" s="520"/>
      <c r="AS1761" s="520"/>
      <c r="AT1761" s="520"/>
      <c r="AU1761" s="520"/>
      <c r="AV1761" s="520"/>
      <c r="AY1761" s="507"/>
      <c r="BA1761" s="507"/>
      <c r="BJ1761" s="493"/>
      <c r="CU1761" s="488"/>
      <c r="CW1761" s="488"/>
      <c r="EV1761" s="821"/>
      <c r="EW1761" s="821"/>
    </row>
    <row r="1762" spans="1:153" s="757" customFormat="1" hidden="1">
      <c r="A1762" s="487"/>
      <c r="B1762" s="487"/>
      <c r="C1762" s="487"/>
      <c r="D1762" s="487"/>
      <c r="I1762" s="487"/>
      <c r="J1762" s="487"/>
      <c r="K1762" s="487"/>
      <c r="L1762" s="487"/>
      <c r="M1762" s="487"/>
      <c r="N1762" s="487"/>
      <c r="O1762" s="875"/>
      <c r="Q1762" s="704"/>
      <c r="R1762" s="1026"/>
      <c r="S1762" s="704"/>
      <c r="T1762" s="1026"/>
      <c r="AB1762" s="520"/>
      <c r="AC1762" s="520"/>
      <c r="AD1762" s="520"/>
      <c r="AE1762" s="520"/>
      <c r="AF1762" s="520"/>
      <c r="AG1762" s="520"/>
      <c r="AH1762" s="520"/>
      <c r="AI1762" s="520"/>
      <c r="AJ1762" s="520"/>
      <c r="AK1762" s="520"/>
      <c r="AL1762" s="520"/>
      <c r="AM1762" s="520"/>
      <c r="AN1762" s="520"/>
      <c r="AO1762" s="520"/>
      <c r="AP1762" s="520"/>
      <c r="AQ1762" s="520"/>
      <c r="AR1762" s="520"/>
      <c r="AS1762" s="520"/>
      <c r="AT1762" s="520"/>
      <c r="AU1762" s="520"/>
      <c r="AV1762" s="520"/>
      <c r="AY1762" s="507"/>
      <c r="BA1762" s="507"/>
      <c r="BJ1762" s="493"/>
      <c r="CU1762" s="488"/>
      <c r="CW1762" s="488"/>
      <c r="EV1762" s="821"/>
      <c r="EW1762" s="821"/>
    </row>
    <row r="1763" spans="1:153" s="757" customFormat="1" hidden="1">
      <c r="A1763" s="487"/>
      <c r="B1763" s="487"/>
      <c r="C1763" s="487"/>
      <c r="D1763" s="487"/>
      <c r="I1763" s="487"/>
      <c r="J1763" s="487"/>
      <c r="K1763" s="487"/>
      <c r="L1763" s="487"/>
      <c r="M1763" s="487"/>
      <c r="N1763" s="487"/>
      <c r="O1763" s="875"/>
      <c r="Q1763" s="704"/>
      <c r="R1763" s="1026"/>
      <c r="S1763" s="704"/>
      <c r="T1763" s="1026"/>
      <c r="AB1763" s="520"/>
      <c r="AC1763" s="520"/>
      <c r="AD1763" s="520"/>
      <c r="AE1763" s="520"/>
      <c r="AF1763" s="520"/>
      <c r="AG1763" s="520"/>
      <c r="AH1763" s="520"/>
      <c r="AI1763" s="520"/>
      <c r="AJ1763" s="520"/>
      <c r="AK1763" s="520"/>
      <c r="AL1763" s="520"/>
      <c r="AM1763" s="520"/>
      <c r="AN1763" s="520"/>
      <c r="AO1763" s="520"/>
      <c r="AP1763" s="520"/>
      <c r="AQ1763" s="520"/>
      <c r="AR1763" s="520"/>
      <c r="AS1763" s="520"/>
      <c r="AT1763" s="520"/>
      <c r="AU1763" s="520"/>
      <c r="AV1763" s="520"/>
      <c r="AY1763" s="507"/>
      <c r="BA1763" s="507"/>
      <c r="BJ1763" s="493"/>
      <c r="CU1763" s="488"/>
      <c r="CW1763" s="488"/>
      <c r="EV1763" s="821"/>
      <c r="EW1763" s="821"/>
    </row>
    <row r="1764" spans="1:153" s="757" customFormat="1" hidden="1">
      <c r="A1764" s="487"/>
      <c r="B1764" s="487"/>
      <c r="C1764" s="487"/>
      <c r="D1764" s="487"/>
      <c r="I1764" s="487"/>
      <c r="J1764" s="487"/>
      <c r="K1764" s="487"/>
      <c r="L1764" s="487"/>
      <c r="M1764" s="487"/>
      <c r="N1764" s="487"/>
      <c r="O1764" s="875"/>
      <c r="Q1764" s="704"/>
      <c r="R1764" s="1026"/>
      <c r="S1764" s="704"/>
      <c r="T1764" s="1026"/>
      <c r="AB1764" s="520"/>
      <c r="AC1764" s="520"/>
      <c r="AD1764" s="520"/>
      <c r="AE1764" s="520"/>
      <c r="AF1764" s="520"/>
      <c r="AG1764" s="520"/>
      <c r="AH1764" s="520"/>
      <c r="AI1764" s="520"/>
      <c r="AJ1764" s="520"/>
      <c r="AK1764" s="520"/>
      <c r="AL1764" s="520"/>
      <c r="AM1764" s="520"/>
      <c r="AN1764" s="520"/>
      <c r="AO1764" s="520"/>
      <c r="AP1764" s="520"/>
      <c r="AQ1764" s="520"/>
      <c r="AR1764" s="520"/>
      <c r="AS1764" s="520"/>
      <c r="AT1764" s="520"/>
      <c r="AU1764" s="520"/>
      <c r="AV1764" s="520"/>
      <c r="AY1764" s="507"/>
      <c r="BA1764" s="507"/>
      <c r="BJ1764" s="493"/>
      <c r="CU1764" s="488"/>
      <c r="CW1764" s="488"/>
      <c r="EV1764" s="821"/>
      <c r="EW1764" s="821"/>
    </row>
    <row r="1765" spans="1:153" s="757" customFormat="1" hidden="1">
      <c r="A1765" s="487"/>
      <c r="B1765" s="487"/>
      <c r="C1765" s="487"/>
      <c r="D1765" s="487"/>
      <c r="I1765" s="487"/>
      <c r="J1765" s="487"/>
      <c r="K1765" s="487"/>
      <c r="L1765" s="487"/>
      <c r="M1765" s="487"/>
      <c r="N1765" s="487"/>
      <c r="O1765" s="875"/>
      <c r="Q1765" s="704"/>
      <c r="R1765" s="1026"/>
      <c r="S1765" s="704"/>
      <c r="T1765" s="1026"/>
      <c r="AB1765" s="520"/>
      <c r="AC1765" s="520"/>
      <c r="AD1765" s="520"/>
      <c r="AE1765" s="520"/>
      <c r="AF1765" s="520"/>
      <c r="AG1765" s="520"/>
      <c r="AH1765" s="520"/>
      <c r="AI1765" s="520"/>
      <c r="AJ1765" s="520"/>
      <c r="AK1765" s="520"/>
      <c r="AL1765" s="520"/>
      <c r="AM1765" s="520"/>
      <c r="AN1765" s="520"/>
      <c r="AO1765" s="520"/>
      <c r="AP1765" s="520"/>
      <c r="AQ1765" s="520"/>
      <c r="AR1765" s="520"/>
      <c r="AS1765" s="520"/>
      <c r="AT1765" s="520"/>
      <c r="AU1765" s="520"/>
      <c r="AV1765" s="520"/>
      <c r="AY1765" s="507"/>
      <c r="BA1765" s="507"/>
      <c r="BJ1765" s="493"/>
      <c r="CU1765" s="488"/>
      <c r="CW1765" s="488"/>
      <c r="EV1765" s="821"/>
      <c r="EW1765" s="821"/>
    </row>
    <row r="1766" spans="1:153" s="757" customFormat="1" hidden="1">
      <c r="A1766" s="487"/>
      <c r="B1766" s="487"/>
      <c r="C1766" s="487"/>
      <c r="D1766" s="487"/>
      <c r="I1766" s="487"/>
      <c r="J1766" s="487"/>
      <c r="K1766" s="487"/>
      <c r="L1766" s="487"/>
      <c r="M1766" s="487"/>
      <c r="N1766" s="487"/>
      <c r="O1766" s="875"/>
      <c r="Q1766" s="704"/>
      <c r="R1766" s="1026"/>
      <c r="S1766" s="704"/>
      <c r="T1766" s="1026"/>
      <c r="AB1766" s="520"/>
      <c r="AC1766" s="520"/>
      <c r="AD1766" s="520"/>
      <c r="AE1766" s="520"/>
      <c r="AF1766" s="520"/>
      <c r="AG1766" s="520"/>
      <c r="AH1766" s="520"/>
      <c r="AI1766" s="520"/>
      <c r="AJ1766" s="520"/>
      <c r="AK1766" s="520"/>
      <c r="AL1766" s="520"/>
      <c r="AM1766" s="520"/>
      <c r="AN1766" s="520"/>
      <c r="AO1766" s="520"/>
      <c r="AP1766" s="520"/>
      <c r="AQ1766" s="520"/>
      <c r="AR1766" s="520"/>
      <c r="AS1766" s="520"/>
      <c r="AT1766" s="520"/>
      <c r="AU1766" s="520"/>
      <c r="AV1766" s="520"/>
      <c r="AY1766" s="507"/>
      <c r="BA1766" s="507"/>
      <c r="BJ1766" s="493"/>
      <c r="CU1766" s="488"/>
      <c r="CW1766" s="488"/>
      <c r="EV1766" s="821"/>
      <c r="EW1766" s="821"/>
    </row>
    <row r="1767" spans="1:153" s="757" customFormat="1" hidden="1">
      <c r="A1767" s="487"/>
      <c r="B1767" s="487"/>
      <c r="C1767" s="487"/>
      <c r="D1767" s="487"/>
      <c r="I1767" s="487"/>
      <c r="J1767" s="487"/>
      <c r="K1767" s="487"/>
      <c r="L1767" s="487"/>
      <c r="M1767" s="487"/>
      <c r="N1767" s="487"/>
      <c r="O1767" s="875"/>
      <c r="Q1767" s="704"/>
      <c r="R1767" s="1026"/>
      <c r="S1767" s="704"/>
      <c r="T1767" s="1026"/>
      <c r="AB1767" s="520"/>
      <c r="AC1767" s="520"/>
      <c r="AD1767" s="520"/>
      <c r="AE1767" s="520"/>
      <c r="AF1767" s="520"/>
      <c r="AG1767" s="520"/>
      <c r="AH1767" s="520"/>
      <c r="AI1767" s="520"/>
      <c r="AJ1767" s="520"/>
      <c r="AK1767" s="520"/>
      <c r="AL1767" s="520"/>
      <c r="AM1767" s="520"/>
      <c r="AN1767" s="520"/>
      <c r="AO1767" s="520"/>
      <c r="AP1767" s="520"/>
      <c r="AQ1767" s="520"/>
      <c r="AR1767" s="520"/>
      <c r="AS1767" s="520"/>
      <c r="AT1767" s="520"/>
      <c r="AU1767" s="520"/>
      <c r="AV1767" s="520"/>
      <c r="AY1767" s="507"/>
      <c r="BA1767" s="507"/>
      <c r="BJ1767" s="493"/>
      <c r="CU1767" s="488"/>
      <c r="CW1767" s="488"/>
      <c r="EV1767" s="821"/>
      <c r="EW1767" s="821"/>
    </row>
    <row r="1768" spans="1:153" s="757" customFormat="1" hidden="1">
      <c r="A1768" s="487"/>
      <c r="B1768" s="487"/>
      <c r="C1768" s="487"/>
      <c r="D1768" s="487"/>
      <c r="I1768" s="487"/>
      <c r="J1768" s="487"/>
      <c r="K1768" s="487"/>
      <c r="L1768" s="487"/>
      <c r="M1768" s="487"/>
      <c r="N1768" s="487"/>
      <c r="O1768" s="875"/>
      <c r="Q1768" s="704"/>
      <c r="R1768" s="1026"/>
      <c r="S1768" s="704"/>
      <c r="T1768" s="1026"/>
      <c r="AB1768" s="520"/>
      <c r="AC1768" s="520"/>
      <c r="AD1768" s="520"/>
      <c r="AE1768" s="520"/>
      <c r="AF1768" s="520"/>
      <c r="AG1768" s="520"/>
      <c r="AH1768" s="520"/>
      <c r="AI1768" s="520"/>
      <c r="AJ1768" s="520"/>
      <c r="AK1768" s="520"/>
      <c r="AL1768" s="520"/>
      <c r="AM1768" s="520"/>
      <c r="AN1768" s="520"/>
      <c r="AO1768" s="520"/>
      <c r="AP1768" s="520"/>
      <c r="AQ1768" s="520"/>
      <c r="AR1768" s="520"/>
      <c r="AS1768" s="520"/>
      <c r="AT1768" s="520"/>
      <c r="AU1768" s="520"/>
      <c r="AV1768" s="520"/>
      <c r="AY1768" s="507"/>
      <c r="BA1768" s="507"/>
      <c r="BJ1768" s="493"/>
      <c r="CU1768" s="488"/>
      <c r="CW1768" s="488"/>
      <c r="EV1768" s="821"/>
      <c r="EW1768" s="821"/>
    </row>
    <row r="1769" spans="1:153" s="757" customFormat="1" hidden="1">
      <c r="A1769" s="487"/>
      <c r="B1769" s="487"/>
      <c r="C1769" s="487"/>
      <c r="D1769" s="487"/>
      <c r="I1769" s="487"/>
      <c r="J1769" s="487"/>
      <c r="K1769" s="487"/>
      <c r="L1769" s="487"/>
      <c r="M1769" s="487"/>
      <c r="N1769" s="487"/>
      <c r="O1769" s="875"/>
      <c r="Q1769" s="704"/>
      <c r="R1769" s="1026"/>
      <c r="S1769" s="704"/>
      <c r="T1769" s="1026"/>
      <c r="AB1769" s="520"/>
      <c r="AC1769" s="520"/>
      <c r="AD1769" s="520"/>
      <c r="AE1769" s="520"/>
      <c r="AF1769" s="520"/>
      <c r="AG1769" s="520"/>
      <c r="AH1769" s="520"/>
      <c r="AI1769" s="520"/>
      <c r="AJ1769" s="520"/>
      <c r="AK1769" s="520"/>
      <c r="AL1769" s="520"/>
      <c r="AM1769" s="520"/>
      <c r="AN1769" s="520"/>
      <c r="AO1769" s="520"/>
      <c r="AP1769" s="520"/>
      <c r="AQ1769" s="520"/>
      <c r="AR1769" s="520"/>
      <c r="AS1769" s="520"/>
      <c r="AT1769" s="520"/>
      <c r="AU1769" s="520"/>
      <c r="AV1769" s="520"/>
      <c r="AY1769" s="507"/>
      <c r="BA1769" s="507"/>
      <c r="BJ1769" s="493"/>
      <c r="CU1769" s="488"/>
      <c r="CW1769" s="488"/>
      <c r="EV1769" s="821"/>
      <c r="EW1769" s="821"/>
    </row>
    <row r="1770" spans="1:153" s="757" customFormat="1" hidden="1">
      <c r="A1770" s="487"/>
      <c r="B1770" s="487"/>
      <c r="C1770" s="487"/>
      <c r="D1770" s="487"/>
      <c r="I1770" s="487"/>
      <c r="J1770" s="487"/>
      <c r="K1770" s="487"/>
      <c r="L1770" s="487"/>
      <c r="M1770" s="487"/>
      <c r="N1770" s="487"/>
      <c r="O1770" s="875"/>
      <c r="Q1770" s="704"/>
      <c r="R1770" s="1026"/>
      <c r="S1770" s="704"/>
      <c r="T1770" s="1026"/>
      <c r="AB1770" s="520"/>
      <c r="AC1770" s="520"/>
      <c r="AD1770" s="520"/>
      <c r="AE1770" s="520"/>
      <c r="AF1770" s="520"/>
      <c r="AG1770" s="520"/>
      <c r="AH1770" s="520"/>
      <c r="AI1770" s="520"/>
      <c r="AJ1770" s="520"/>
      <c r="AK1770" s="520"/>
      <c r="AL1770" s="520"/>
      <c r="AM1770" s="520"/>
      <c r="AN1770" s="520"/>
      <c r="AO1770" s="520"/>
      <c r="AP1770" s="520"/>
      <c r="AQ1770" s="520"/>
      <c r="AR1770" s="520"/>
      <c r="AS1770" s="520"/>
      <c r="AT1770" s="520"/>
      <c r="AU1770" s="520"/>
      <c r="AV1770" s="520"/>
      <c r="AY1770" s="507"/>
      <c r="BA1770" s="507"/>
      <c r="BJ1770" s="493"/>
      <c r="CU1770" s="488"/>
      <c r="CW1770" s="488"/>
      <c r="EV1770" s="821"/>
      <c r="EW1770" s="821"/>
    </row>
    <row r="1771" spans="1:153" s="757" customFormat="1" hidden="1">
      <c r="A1771" s="487"/>
      <c r="B1771" s="487"/>
      <c r="C1771" s="487"/>
      <c r="D1771" s="487"/>
      <c r="I1771" s="487"/>
      <c r="J1771" s="487"/>
      <c r="K1771" s="487"/>
      <c r="L1771" s="487"/>
      <c r="M1771" s="487"/>
      <c r="N1771" s="487"/>
      <c r="O1771" s="875"/>
      <c r="Q1771" s="704"/>
      <c r="R1771" s="1026"/>
      <c r="S1771" s="704"/>
      <c r="T1771" s="1026"/>
      <c r="AB1771" s="520"/>
      <c r="AC1771" s="520"/>
      <c r="AD1771" s="520"/>
      <c r="AE1771" s="520"/>
      <c r="AF1771" s="520"/>
      <c r="AG1771" s="520"/>
      <c r="AH1771" s="520"/>
      <c r="AI1771" s="520"/>
      <c r="AJ1771" s="520"/>
      <c r="AK1771" s="520"/>
      <c r="AL1771" s="520"/>
      <c r="AM1771" s="520"/>
      <c r="AN1771" s="520"/>
      <c r="AO1771" s="520"/>
      <c r="AP1771" s="520"/>
      <c r="AQ1771" s="520"/>
      <c r="AR1771" s="520"/>
      <c r="AS1771" s="520"/>
      <c r="AT1771" s="520"/>
      <c r="AU1771" s="520"/>
      <c r="AV1771" s="520"/>
      <c r="AY1771" s="507"/>
      <c r="BA1771" s="507"/>
      <c r="BJ1771" s="493"/>
      <c r="CU1771" s="488"/>
      <c r="CW1771" s="488"/>
      <c r="EV1771" s="821"/>
      <c r="EW1771" s="821"/>
    </row>
    <row r="1772" spans="1:153" s="757" customFormat="1" hidden="1">
      <c r="A1772" s="487"/>
      <c r="B1772" s="487"/>
      <c r="C1772" s="487"/>
      <c r="D1772" s="487"/>
      <c r="I1772" s="487"/>
      <c r="J1772" s="487"/>
      <c r="K1772" s="487"/>
      <c r="L1772" s="487"/>
      <c r="M1772" s="487"/>
      <c r="N1772" s="487"/>
      <c r="O1772" s="875"/>
      <c r="Q1772" s="704"/>
      <c r="R1772" s="1026"/>
      <c r="S1772" s="704"/>
      <c r="T1772" s="1026"/>
      <c r="AB1772" s="520"/>
      <c r="AC1772" s="520"/>
      <c r="AD1772" s="520"/>
      <c r="AE1772" s="520"/>
      <c r="AF1772" s="520"/>
      <c r="AG1772" s="520"/>
      <c r="AH1772" s="520"/>
      <c r="AI1772" s="520"/>
      <c r="AJ1772" s="520"/>
      <c r="AK1772" s="520"/>
      <c r="AL1772" s="520"/>
      <c r="AM1772" s="520"/>
      <c r="AN1772" s="520"/>
      <c r="AO1772" s="520"/>
      <c r="AP1772" s="520"/>
      <c r="AQ1772" s="520"/>
      <c r="AR1772" s="520"/>
      <c r="AS1772" s="520"/>
      <c r="AT1772" s="520"/>
      <c r="AU1772" s="520"/>
      <c r="AV1772" s="520"/>
      <c r="AY1772" s="507"/>
      <c r="BA1772" s="507"/>
      <c r="BJ1772" s="493"/>
      <c r="CU1772" s="488"/>
      <c r="CW1772" s="488"/>
      <c r="EV1772" s="821"/>
      <c r="EW1772" s="821"/>
    </row>
    <row r="1773" spans="1:153" s="757" customFormat="1" hidden="1">
      <c r="A1773" s="487"/>
      <c r="B1773" s="487"/>
      <c r="C1773" s="487"/>
      <c r="D1773" s="487"/>
      <c r="I1773" s="487"/>
      <c r="J1773" s="487"/>
      <c r="K1773" s="487"/>
      <c r="L1773" s="487"/>
      <c r="M1773" s="487"/>
      <c r="N1773" s="487"/>
      <c r="O1773" s="875"/>
      <c r="Q1773" s="704"/>
      <c r="R1773" s="1026"/>
      <c r="S1773" s="704"/>
      <c r="T1773" s="1026"/>
      <c r="AB1773" s="520"/>
      <c r="AC1773" s="520"/>
      <c r="AD1773" s="520"/>
      <c r="AE1773" s="520"/>
      <c r="AF1773" s="520"/>
      <c r="AG1773" s="520"/>
      <c r="AH1773" s="520"/>
      <c r="AI1773" s="520"/>
      <c r="AJ1773" s="520"/>
      <c r="AK1773" s="520"/>
      <c r="AL1773" s="520"/>
      <c r="AM1773" s="520"/>
      <c r="AN1773" s="520"/>
      <c r="AO1773" s="520"/>
      <c r="AP1773" s="520"/>
      <c r="AQ1773" s="520"/>
      <c r="AR1773" s="520"/>
      <c r="AS1773" s="520"/>
      <c r="AT1773" s="520"/>
      <c r="AU1773" s="520"/>
      <c r="AV1773" s="520"/>
      <c r="AY1773" s="507"/>
      <c r="BA1773" s="507"/>
      <c r="BJ1773" s="493"/>
      <c r="CU1773" s="488"/>
      <c r="CW1773" s="488"/>
      <c r="EV1773" s="821"/>
      <c r="EW1773" s="821"/>
    </row>
    <row r="1774" spans="1:153" s="757" customFormat="1" hidden="1">
      <c r="A1774" s="487"/>
      <c r="B1774" s="487"/>
      <c r="C1774" s="487"/>
      <c r="D1774" s="487"/>
      <c r="I1774" s="487"/>
      <c r="J1774" s="487"/>
      <c r="K1774" s="487"/>
      <c r="L1774" s="487"/>
      <c r="M1774" s="487"/>
      <c r="N1774" s="487"/>
      <c r="O1774" s="875"/>
      <c r="Q1774" s="704"/>
      <c r="R1774" s="1026"/>
      <c r="S1774" s="704"/>
      <c r="T1774" s="1026"/>
      <c r="AB1774" s="520"/>
      <c r="AC1774" s="520"/>
      <c r="AD1774" s="520"/>
      <c r="AE1774" s="520"/>
      <c r="AF1774" s="520"/>
      <c r="AG1774" s="520"/>
      <c r="AH1774" s="520"/>
      <c r="AI1774" s="520"/>
      <c r="AJ1774" s="520"/>
      <c r="AK1774" s="520"/>
      <c r="AL1774" s="520"/>
      <c r="AM1774" s="520"/>
      <c r="AN1774" s="520"/>
      <c r="AO1774" s="520"/>
      <c r="AP1774" s="520"/>
      <c r="AQ1774" s="520"/>
      <c r="AR1774" s="520"/>
      <c r="AS1774" s="520"/>
      <c r="AT1774" s="520"/>
      <c r="AU1774" s="520"/>
      <c r="AV1774" s="520"/>
      <c r="AY1774" s="507"/>
      <c r="BA1774" s="507"/>
      <c r="BJ1774" s="493"/>
      <c r="CU1774" s="488"/>
      <c r="CW1774" s="488"/>
      <c r="EV1774" s="821"/>
      <c r="EW1774" s="821"/>
    </row>
    <row r="1775" spans="1:153" s="757" customFormat="1" hidden="1">
      <c r="A1775" s="487"/>
      <c r="B1775" s="487"/>
      <c r="C1775" s="487"/>
      <c r="D1775" s="487"/>
      <c r="I1775" s="487"/>
      <c r="J1775" s="487"/>
      <c r="K1775" s="487"/>
      <c r="L1775" s="487"/>
      <c r="M1775" s="487"/>
      <c r="N1775" s="487"/>
      <c r="O1775" s="875"/>
      <c r="Q1775" s="704"/>
      <c r="R1775" s="1026"/>
      <c r="S1775" s="704"/>
      <c r="T1775" s="1026"/>
      <c r="AB1775" s="520"/>
      <c r="AC1775" s="520"/>
      <c r="AD1775" s="520"/>
      <c r="AE1775" s="520"/>
      <c r="AF1775" s="520"/>
      <c r="AG1775" s="520"/>
      <c r="AH1775" s="520"/>
      <c r="AI1775" s="520"/>
      <c r="AJ1775" s="520"/>
      <c r="AK1775" s="520"/>
      <c r="AL1775" s="520"/>
      <c r="AM1775" s="520"/>
      <c r="AN1775" s="520"/>
      <c r="AO1775" s="520"/>
      <c r="AP1775" s="520"/>
      <c r="AQ1775" s="520"/>
      <c r="AR1775" s="520"/>
      <c r="AS1775" s="520"/>
      <c r="AT1775" s="520"/>
      <c r="AU1775" s="520"/>
      <c r="AV1775" s="520"/>
      <c r="AY1775" s="507"/>
      <c r="BA1775" s="507"/>
      <c r="BJ1775" s="493"/>
      <c r="CU1775" s="488"/>
      <c r="CW1775" s="488"/>
      <c r="EV1775" s="821"/>
      <c r="EW1775" s="821"/>
    </row>
    <row r="1776" spans="1:153" s="757" customFormat="1" hidden="1">
      <c r="A1776" s="487"/>
      <c r="B1776" s="487"/>
      <c r="C1776" s="487"/>
      <c r="D1776" s="487"/>
      <c r="I1776" s="487"/>
      <c r="J1776" s="487"/>
      <c r="K1776" s="487"/>
      <c r="L1776" s="487"/>
      <c r="M1776" s="487"/>
      <c r="N1776" s="487"/>
      <c r="O1776" s="875"/>
      <c r="Q1776" s="704"/>
      <c r="R1776" s="1026"/>
      <c r="S1776" s="704"/>
      <c r="T1776" s="1026"/>
      <c r="AB1776" s="520"/>
      <c r="AC1776" s="520"/>
      <c r="AD1776" s="520"/>
      <c r="AE1776" s="520"/>
      <c r="AF1776" s="520"/>
      <c r="AG1776" s="520"/>
      <c r="AH1776" s="520"/>
      <c r="AI1776" s="520"/>
      <c r="AJ1776" s="520"/>
      <c r="AK1776" s="520"/>
      <c r="AL1776" s="520"/>
      <c r="AM1776" s="520"/>
      <c r="AN1776" s="520"/>
      <c r="AO1776" s="520"/>
      <c r="AP1776" s="520"/>
      <c r="AQ1776" s="520"/>
      <c r="AR1776" s="520"/>
      <c r="AS1776" s="520"/>
      <c r="AT1776" s="520"/>
      <c r="AU1776" s="520"/>
      <c r="AV1776" s="520"/>
      <c r="AY1776" s="507"/>
      <c r="BA1776" s="507"/>
      <c r="BJ1776" s="493"/>
      <c r="CU1776" s="488"/>
      <c r="CW1776" s="488"/>
      <c r="EV1776" s="821"/>
      <c r="EW1776" s="821"/>
    </row>
    <row r="1777" spans="1:153" s="757" customFormat="1" hidden="1">
      <c r="A1777" s="487"/>
      <c r="B1777" s="487"/>
      <c r="C1777" s="487"/>
      <c r="D1777" s="487"/>
      <c r="I1777" s="487"/>
      <c r="J1777" s="487"/>
      <c r="K1777" s="487"/>
      <c r="L1777" s="487"/>
      <c r="M1777" s="487"/>
      <c r="N1777" s="487"/>
      <c r="O1777" s="875"/>
      <c r="Q1777" s="704"/>
      <c r="R1777" s="1026"/>
      <c r="S1777" s="704"/>
      <c r="T1777" s="1026"/>
      <c r="AB1777" s="520"/>
      <c r="AC1777" s="520"/>
      <c r="AD1777" s="520"/>
      <c r="AE1777" s="520"/>
      <c r="AF1777" s="520"/>
      <c r="AG1777" s="520"/>
      <c r="AH1777" s="520"/>
      <c r="AI1777" s="520"/>
      <c r="AJ1777" s="520"/>
      <c r="AK1777" s="520"/>
      <c r="AL1777" s="520"/>
      <c r="AM1777" s="520"/>
      <c r="AN1777" s="520"/>
      <c r="AO1777" s="520"/>
      <c r="AP1777" s="520"/>
      <c r="AQ1777" s="520"/>
      <c r="AR1777" s="520"/>
      <c r="AS1777" s="520"/>
      <c r="AT1777" s="520"/>
      <c r="AU1777" s="520"/>
      <c r="AV1777" s="520"/>
      <c r="AY1777" s="507"/>
      <c r="BA1777" s="507"/>
      <c r="BJ1777" s="493"/>
      <c r="CU1777" s="488"/>
      <c r="CW1777" s="488"/>
      <c r="EV1777" s="821"/>
      <c r="EW1777" s="821"/>
    </row>
    <row r="1778" spans="1:153" s="757" customFormat="1" hidden="1">
      <c r="A1778" s="487"/>
      <c r="B1778" s="487"/>
      <c r="C1778" s="487"/>
      <c r="D1778" s="487"/>
      <c r="I1778" s="487"/>
      <c r="J1778" s="487"/>
      <c r="K1778" s="487"/>
      <c r="L1778" s="487"/>
      <c r="M1778" s="487"/>
      <c r="N1778" s="487"/>
      <c r="O1778" s="875"/>
      <c r="Q1778" s="704"/>
      <c r="R1778" s="1026"/>
      <c r="S1778" s="704"/>
      <c r="T1778" s="1026"/>
      <c r="AB1778" s="520"/>
      <c r="AC1778" s="520"/>
      <c r="AD1778" s="520"/>
      <c r="AE1778" s="520"/>
      <c r="AF1778" s="520"/>
      <c r="AG1778" s="520"/>
      <c r="AH1778" s="520"/>
      <c r="AI1778" s="520"/>
      <c r="AJ1778" s="520"/>
      <c r="AK1778" s="520"/>
      <c r="AL1778" s="520"/>
      <c r="AM1778" s="520"/>
      <c r="AN1778" s="520"/>
      <c r="AO1778" s="520"/>
      <c r="AP1778" s="520"/>
      <c r="AQ1778" s="520"/>
      <c r="AR1778" s="520"/>
      <c r="AS1778" s="520"/>
      <c r="AT1778" s="520"/>
      <c r="AU1778" s="520"/>
      <c r="AV1778" s="520"/>
      <c r="AY1778" s="507"/>
      <c r="BA1778" s="507"/>
      <c r="BJ1778" s="493"/>
      <c r="CU1778" s="488"/>
      <c r="CW1778" s="488"/>
      <c r="EV1778" s="821"/>
      <c r="EW1778" s="821"/>
    </row>
    <row r="1779" spans="1:153" s="757" customFormat="1" hidden="1">
      <c r="A1779" s="487"/>
      <c r="B1779" s="487"/>
      <c r="C1779" s="487"/>
      <c r="D1779" s="487"/>
      <c r="I1779" s="487"/>
      <c r="J1779" s="487"/>
      <c r="K1779" s="487"/>
      <c r="L1779" s="487"/>
      <c r="M1779" s="487"/>
      <c r="N1779" s="487"/>
      <c r="O1779" s="875"/>
      <c r="Q1779" s="704"/>
      <c r="R1779" s="1026"/>
      <c r="S1779" s="704"/>
      <c r="T1779" s="1026"/>
      <c r="AB1779" s="520"/>
      <c r="AC1779" s="520"/>
      <c r="AD1779" s="520"/>
      <c r="AE1779" s="520"/>
      <c r="AF1779" s="520"/>
      <c r="AG1779" s="520"/>
      <c r="AH1779" s="520"/>
      <c r="AI1779" s="520"/>
      <c r="AJ1779" s="520"/>
      <c r="AK1779" s="520"/>
      <c r="AL1779" s="520"/>
      <c r="AM1779" s="520"/>
      <c r="AN1779" s="520"/>
      <c r="AO1779" s="520"/>
      <c r="AP1779" s="520"/>
      <c r="AQ1779" s="520"/>
      <c r="AR1779" s="520"/>
      <c r="AS1779" s="520"/>
      <c r="AT1779" s="520"/>
      <c r="AU1779" s="520"/>
      <c r="AV1779" s="520"/>
      <c r="AY1779" s="507"/>
      <c r="BA1779" s="507"/>
      <c r="BJ1779" s="493"/>
      <c r="CU1779" s="488"/>
      <c r="CW1779" s="488"/>
      <c r="EV1779" s="821"/>
      <c r="EW1779" s="821"/>
    </row>
    <row r="1780" spans="1:153" s="757" customFormat="1" hidden="1">
      <c r="A1780" s="487"/>
      <c r="B1780" s="487"/>
      <c r="C1780" s="487"/>
      <c r="D1780" s="487"/>
      <c r="I1780" s="487"/>
      <c r="J1780" s="487"/>
      <c r="K1780" s="487"/>
      <c r="L1780" s="487"/>
      <c r="M1780" s="487"/>
      <c r="N1780" s="487"/>
      <c r="O1780" s="875"/>
      <c r="Q1780" s="704"/>
      <c r="R1780" s="1026"/>
      <c r="S1780" s="704"/>
      <c r="T1780" s="1026"/>
      <c r="AB1780" s="520"/>
      <c r="AC1780" s="520"/>
      <c r="AD1780" s="520"/>
      <c r="AE1780" s="520"/>
      <c r="AF1780" s="520"/>
      <c r="AG1780" s="520"/>
      <c r="AH1780" s="520"/>
      <c r="AI1780" s="520"/>
      <c r="AJ1780" s="520"/>
      <c r="AK1780" s="520"/>
      <c r="AL1780" s="520"/>
      <c r="AM1780" s="520"/>
      <c r="AN1780" s="520"/>
      <c r="AO1780" s="520"/>
      <c r="AP1780" s="520"/>
      <c r="AQ1780" s="520"/>
      <c r="AR1780" s="520"/>
      <c r="AS1780" s="520"/>
      <c r="AT1780" s="520"/>
      <c r="AU1780" s="520"/>
      <c r="AV1780" s="520"/>
      <c r="AY1780" s="507"/>
      <c r="BA1780" s="507"/>
      <c r="BJ1780" s="493"/>
      <c r="CU1780" s="488"/>
      <c r="CW1780" s="488"/>
      <c r="EV1780" s="821"/>
      <c r="EW1780" s="821"/>
    </row>
    <row r="1781" spans="1:153" s="757" customFormat="1" hidden="1">
      <c r="A1781" s="487"/>
      <c r="B1781" s="487"/>
      <c r="C1781" s="487"/>
      <c r="D1781" s="487"/>
      <c r="I1781" s="487"/>
      <c r="J1781" s="487"/>
      <c r="K1781" s="487"/>
      <c r="L1781" s="487"/>
      <c r="M1781" s="487"/>
      <c r="N1781" s="487"/>
      <c r="O1781" s="875"/>
      <c r="Q1781" s="704"/>
      <c r="R1781" s="1026"/>
      <c r="S1781" s="704"/>
      <c r="T1781" s="1026"/>
      <c r="AB1781" s="520"/>
      <c r="AC1781" s="520"/>
      <c r="AD1781" s="520"/>
      <c r="AE1781" s="520"/>
      <c r="AF1781" s="520"/>
      <c r="AG1781" s="520"/>
      <c r="AH1781" s="520"/>
      <c r="AI1781" s="520"/>
      <c r="AJ1781" s="520"/>
      <c r="AK1781" s="520"/>
      <c r="AL1781" s="520"/>
      <c r="AM1781" s="520"/>
      <c r="AN1781" s="520"/>
      <c r="AO1781" s="520"/>
      <c r="AP1781" s="520"/>
      <c r="AQ1781" s="520"/>
      <c r="AR1781" s="520"/>
      <c r="AS1781" s="520"/>
      <c r="AT1781" s="520"/>
      <c r="AU1781" s="520"/>
      <c r="AV1781" s="520"/>
      <c r="AY1781" s="507"/>
      <c r="BA1781" s="507"/>
      <c r="BJ1781" s="493"/>
      <c r="CU1781" s="488"/>
      <c r="CW1781" s="488"/>
      <c r="EV1781" s="821"/>
      <c r="EW1781" s="821"/>
    </row>
    <row r="1782" spans="1:153" s="757" customFormat="1" hidden="1">
      <c r="A1782" s="487"/>
      <c r="B1782" s="487"/>
      <c r="C1782" s="487"/>
      <c r="D1782" s="487"/>
      <c r="I1782" s="487"/>
      <c r="J1782" s="487"/>
      <c r="K1782" s="487"/>
      <c r="L1782" s="487"/>
      <c r="M1782" s="487"/>
      <c r="N1782" s="487"/>
      <c r="O1782" s="875"/>
      <c r="Q1782" s="704"/>
      <c r="R1782" s="1026"/>
      <c r="S1782" s="704"/>
      <c r="T1782" s="1026"/>
      <c r="AB1782" s="520"/>
      <c r="AC1782" s="520"/>
      <c r="AD1782" s="520"/>
      <c r="AE1782" s="520"/>
      <c r="AF1782" s="520"/>
      <c r="AG1782" s="520"/>
      <c r="AH1782" s="520"/>
      <c r="AI1782" s="520"/>
      <c r="AJ1782" s="520"/>
      <c r="AK1782" s="520"/>
      <c r="AL1782" s="520"/>
      <c r="AM1782" s="520"/>
      <c r="AN1782" s="520"/>
      <c r="AO1782" s="520"/>
      <c r="AP1782" s="520"/>
      <c r="AQ1782" s="520"/>
      <c r="AR1782" s="520"/>
      <c r="AS1782" s="520"/>
      <c r="AT1782" s="520"/>
      <c r="AU1782" s="520"/>
      <c r="AV1782" s="520"/>
      <c r="AY1782" s="507"/>
      <c r="BA1782" s="507"/>
      <c r="BJ1782" s="493"/>
      <c r="CU1782" s="488"/>
      <c r="CW1782" s="488"/>
      <c r="EV1782" s="821"/>
      <c r="EW1782" s="821"/>
    </row>
    <row r="1783" spans="1:153" s="757" customFormat="1" hidden="1">
      <c r="A1783" s="487"/>
      <c r="B1783" s="487"/>
      <c r="C1783" s="487"/>
      <c r="D1783" s="487"/>
      <c r="I1783" s="487"/>
      <c r="J1783" s="487"/>
      <c r="K1783" s="487"/>
      <c r="L1783" s="487"/>
      <c r="M1783" s="487"/>
      <c r="N1783" s="487"/>
      <c r="O1783" s="875"/>
      <c r="Q1783" s="704"/>
      <c r="R1783" s="1026"/>
      <c r="S1783" s="704"/>
      <c r="T1783" s="1026"/>
      <c r="AB1783" s="520"/>
      <c r="AC1783" s="520"/>
      <c r="AD1783" s="520"/>
      <c r="AE1783" s="520"/>
      <c r="AF1783" s="520"/>
      <c r="AG1783" s="520"/>
      <c r="AH1783" s="520"/>
      <c r="AI1783" s="520"/>
      <c r="AJ1783" s="520"/>
      <c r="AK1783" s="520"/>
      <c r="AL1783" s="520"/>
      <c r="AM1783" s="520"/>
      <c r="AN1783" s="520"/>
      <c r="AO1783" s="520"/>
      <c r="AP1783" s="520"/>
      <c r="AQ1783" s="520"/>
      <c r="AR1783" s="520"/>
      <c r="AS1783" s="520"/>
      <c r="AT1783" s="520"/>
      <c r="AU1783" s="520"/>
      <c r="AV1783" s="520"/>
      <c r="AY1783" s="507"/>
      <c r="BA1783" s="507"/>
      <c r="BJ1783" s="493"/>
      <c r="CU1783" s="488"/>
      <c r="CW1783" s="488"/>
      <c r="EV1783" s="821"/>
      <c r="EW1783" s="821"/>
    </row>
    <row r="1784" spans="1:153" s="757" customFormat="1" hidden="1">
      <c r="A1784" s="487"/>
      <c r="B1784" s="487"/>
      <c r="C1784" s="487"/>
      <c r="D1784" s="487"/>
      <c r="I1784" s="487"/>
      <c r="J1784" s="487"/>
      <c r="K1784" s="487"/>
      <c r="L1784" s="487"/>
      <c r="M1784" s="487"/>
      <c r="N1784" s="487"/>
      <c r="O1784" s="875"/>
      <c r="Q1784" s="704"/>
      <c r="R1784" s="1026"/>
      <c r="S1784" s="704"/>
      <c r="T1784" s="1026"/>
      <c r="AB1784" s="520"/>
      <c r="AC1784" s="520"/>
      <c r="AD1784" s="520"/>
      <c r="AE1784" s="520"/>
      <c r="AF1784" s="520"/>
      <c r="AG1784" s="520"/>
      <c r="AH1784" s="520"/>
      <c r="AI1784" s="520"/>
      <c r="AJ1784" s="520"/>
      <c r="AK1784" s="520"/>
      <c r="AL1784" s="520"/>
      <c r="AM1784" s="520"/>
      <c r="AN1784" s="520"/>
      <c r="AO1784" s="520"/>
      <c r="AP1784" s="520"/>
      <c r="AQ1784" s="520"/>
      <c r="AR1784" s="520"/>
      <c r="AS1784" s="520"/>
      <c r="AT1784" s="520"/>
      <c r="AU1784" s="520"/>
      <c r="AV1784" s="520"/>
      <c r="AY1784" s="507"/>
      <c r="BA1784" s="507"/>
      <c r="BJ1784" s="493"/>
      <c r="CU1784" s="488"/>
      <c r="CW1784" s="488"/>
      <c r="EV1784" s="821"/>
      <c r="EW1784" s="821"/>
    </row>
    <row r="1785" spans="1:153" s="757" customFormat="1" hidden="1">
      <c r="A1785" s="487"/>
      <c r="B1785" s="487"/>
      <c r="C1785" s="487"/>
      <c r="D1785" s="487"/>
      <c r="I1785" s="487"/>
      <c r="J1785" s="487"/>
      <c r="K1785" s="487"/>
      <c r="L1785" s="487"/>
      <c r="M1785" s="487"/>
      <c r="N1785" s="487"/>
      <c r="O1785" s="875"/>
      <c r="Q1785" s="704"/>
      <c r="R1785" s="1026"/>
      <c r="S1785" s="704"/>
      <c r="T1785" s="1026"/>
      <c r="AB1785" s="520"/>
      <c r="AC1785" s="520"/>
      <c r="AD1785" s="520"/>
      <c r="AE1785" s="520"/>
      <c r="AF1785" s="520"/>
      <c r="AG1785" s="520"/>
      <c r="AH1785" s="520"/>
      <c r="AI1785" s="520"/>
      <c r="AJ1785" s="520"/>
      <c r="AK1785" s="520"/>
      <c r="AL1785" s="520"/>
      <c r="AM1785" s="520"/>
      <c r="AN1785" s="520"/>
      <c r="AO1785" s="520"/>
      <c r="AP1785" s="520"/>
      <c r="AQ1785" s="520"/>
      <c r="AR1785" s="520"/>
      <c r="AS1785" s="520"/>
      <c r="AT1785" s="520"/>
      <c r="AU1785" s="520"/>
      <c r="AV1785" s="520"/>
      <c r="AY1785" s="507"/>
      <c r="BA1785" s="507"/>
      <c r="BJ1785" s="493"/>
      <c r="CU1785" s="488"/>
      <c r="CW1785" s="488"/>
      <c r="EV1785" s="821"/>
      <c r="EW1785" s="821"/>
    </row>
    <row r="1786" spans="1:153" s="757" customFormat="1" hidden="1">
      <c r="A1786" s="487"/>
      <c r="B1786" s="487"/>
      <c r="C1786" s="487"/>
      <c r="D1786" s="487"/>
      <c r="I1786" s="487"/>
      <c r="J1786" s="487"/>
      <c r="K1786" s="487"/>
      <c r="L1786" s="487"/>
      <c r="M1786" s="487"/>
      <c r="N1786" s="487"/>
      <c r="O1786" s="875"/>
      <c r="Q1786" s="704"/>
      <c r="R1786" s="1026"/>
      <c r="S1786" s="704"/>
      <c r="T1786" s="1026"/>
      <c r="AB1786" s="520"/>
      <c r="AC1786" s="520"/>
      <c r="AD1786" s="520"/>
      <c r="AE1786" s="520"/>
      <c r="AF1786" s="520"/>
      <c r="AG1786" s="520"/>
      <c r="AH1786" s="520"/>
      <c r="AI1786" s="520"/>
      <c r="AJ1786" s="520"/>
      <c r="AK1786" s="520"/>
      <c r="AL1786" s="520"/>
      <c r="AM1786" s="520"/>
      <c r="AN1786" s="520"/>
      <c r="AO1786" s="520"/>
      <c r="AP1786" s="520"/>
      <c r="AQ1786" s="520"/>
      <c r="AR1786" s="520"/>
      <c r="AS1786" s="520"/>
      <c r="AT1786" s="520"/>
      <c r="AU1786" s="520"/>
      <c r="AV1786" s="520"/>
      <c r="AY1786" s="507"/>
      <c r="BA1786" s="507"/>
      <c r="BJ1786" s="493"/>
      <c r="CU1786" s="488"/>
      <c r="CW1786" s="488"/>
      <c r="EV1786" s="821"/>
      <c r="EW1786" s="821"/>
    </row>
    <row r="1787" spans="1:153" s="757" customFormat="1" hidden="1">
      <c r="A1787" s="487"/>
      <c r="B1787" s="487"/>
      <c r="C1787" s="487"/>
      <c r="D1787" s="487"/>
      <c r="I1787" s="487"/>
      <c r="J1787" s="487"/>
      <c r="K1787" s="487"/>
      <c r="L1787" s="487"/>
      <c r="M1787" s="487"/>
      <c r="N1787" s="487"/>
      <c r="O1787" s="875"/>
      <c r="Q1787" s="704"/>
      <c r="R1787" s="1026"/>
      <c r="S1787" s="704"/>
      <c r="T1787" s="1026"/>
      <c r="AB1787" s="520"/>
      <c r="AC1787" s="520"/>
      <c r="AD1787" s="520"/>
      <c r="AE1787" s="520"/>
      <c r="AF1787" s="520"/>
      <c r="AG1787" s="520"/>
      <c r="AH1787" s="520"/>
      <c r="AI1787" s="520"/>
      <c r="AJ1787" s="520"/>
      <c r="AK1787" s="520"/>
      <c r="AL1787" s="520"/>
      <c r="AM1787" s="520"/>
      <c r="AN1787" s="520"/>
      <c r="AO1787" s="520"/>
      <c r="AP1787" s="520"/>
      <c r="AQ1787" s="520"/>
      <c r="AR1787" s="520"/>
      <c r="AS1787" s="520"/>
      <c r="AT1787" s="520"/>
      <c r="AU1787" s="520"/>
      <c r="AV1787" s="520"/>
      <c r="AY1787" s="507"/>
      <c r="BA1787" s="507"/>
      <c r="BJ1787" s="493"/>
      <c r="CU1787" s="488"/>
      <c r="CW1787" s="488"/>
      <c r="EV1787" s="821"/>
      <c r="EW1787" s="821"/>
    </row>
    <row r="1788" spans="1:153" s="757" customFormat="1" hidden="1">
      <c r="A1788" s="487"/>
      <c r="B1788" s="487"/>
      <c r="C1788" s="487"/>
      <c r="D1788" s="487"/>
      <c r="I1788" s="487"/>
      <c r="J1788" s="487"/>
      <c r="K1788" s="487"/>
      <c r="L1788" s="487"/>
      <c r="M1788" s="487"/>
      <c r="N1788" s="487"/>
      <c r="O1788" s="875"/>
      <c r="Q1788" s="704"/>
      <c r="R1788" s="1026"/>
      <c r="S1788" s="704"/>
      <c r="T1788" s="1026"/>
      <c r="AB1788" s="520"/>
      <c r="AC1788" s="520"/>
      <c r="AD1788" s="520"/>
      <c r="AE1788" s="520"/>
      <c r="AF1788" s="520"/>
      <c r="AG1788" s="520"/>
      <c r="AH1788" s="520"/>
      <c r="AI1788" s="520"/>
      <c r="AJ1788" s="520"/>
      <c r="AK1788" s="520"/>
      <c r="AL1788" s="520"/>
      <c r="AM1788" s="520"/>
      <c r="AN1788" s="520"/>
      <c r="AO1788" s="520"/>
      <c r="AP1788" s="520"/>
      <c r="AQ1788" s="520"/>
      <c r="AR1788" s="520"/>
      <c r="AS1788" s="520"/>
      <c r="AT1788" s="520"/>
      <c r="AU1788" s="520"/>
      <c r="AV1788" s="520"/>
      <c r="AY1788" s="507"/>
      <c r="BA1788" s="507"/>
      <c r="BJ1788" s="493"/>
      <c r="CU1788" s="488"/>
      <c r="CW1788" s="488"/>
      <c r="EV1788" s="821"/>
      <c r="EW1788" s="821"/>
    </row>
    <row r="1789" spans="1:153" s="757" customFormat="1" hidden="1">
      <c r="A1789" s="487"/>
      <c r="B1789" s="487"/>
      <c r="C1789" s="487"/>
      <c r="D1789" s="487"/>
      <c r="I1789" s="487"/>
      <c r="J1789" s="487"/>
      <c r="K1789" s="487"/>
      <c r="L1789" s="487"/>
      <c r="M1789" s="487"/>
      <c r="N1789" s="487"/>
      <c r="O1789" s="875"/>
      <c r="Q1789" s="704"/>
      <c r="R1789" s="1026"/>
      <c r="S1789" s="704"/>
      <c r="T1789" s="1026"/>
      <c r="AB1789" s="520"/>
      <c r="AC1789" s="520"/>
      <c r="AD1789" s="520"/>
      <c r="AE1789" s="520"/>
      <c r="AF1789" s="520"/>
      <c r="AG1789" s="520"/>
      <c r="AH1789" s="520"/>
      <c r="AI1789" s="520"/>
      <c r="AJ1789" s="520"/>
      <c r="AK1789" s="520"/>
      <c r="AL1789" s="520"/>
      <c r="AM1789" s="520"/>
      <c r="AN1789" s="520"/>
      <c r="AO1789" s="520"/>
      <c r="AP1789" s="520"/>
      <c r="AQ1789" s="520"/>
      <c r="AR1789" s="520"/>
      <c r="AS1789" s="520"/>
      <c r="AT1789" s="520"/>
      <c r="AU1789" s="520"/>
      <c r="AV1789" s="520"/>
      <c r="AY1789" s="507"/>
      <c r="BA1789" s="507"/>
      <c r="BJ1789" s="493"/>
      <c r="CU1789" s="488"/>
      <c r="CW1789" s="488"/>
      <c r="EV1789" s="821"/>
      <c r="EW1789" s="821"/>
    </row>
    <row r="1790" spans="1:153" s="757" customFormat="1" hidden="1">
      <c r="A1790" s="487"/>
      <c r="B1790" s="487"/>
      <c r="C1790" s="487"/>
      <c r="D1790" s="487"/>
      <c r="I1790" s="487"/>
      <c r="J1790" s="487"/>
      <c r="K1790" s="487"/>
      <c r="L1790" s="487"/>
      <c r="M1790" s="487"/>
      <c r="N1790" s="487"/>
      <c r="O1790" s="875"/>
      <c r="Q1790" s="704"/>
      <c r="R1790" s="1026"/>
      <c r="S1790" s="704"/>
      <c r="T1790" s="1026"/>
      <c r="AB1790" s="520"/>
      <c r="AC1790" s="520"/>
      <c r="AD1790" s="520"/>
      <c r="AE1790" s="520"/>
      <c r="AF1790" s="520"/>
      <c r="AG1790" s="520"/>
      <c r="AH1790" s="520"/>
      <c r="AI1790" s="520"/>
      <c r="AJ1790" s="520"/>
      <c r="AK1790" s="520"/>
      <c r="AL1790" s="520"/>
      <c r="AM1790" s="520"/>
      <c r="AN1790" s="520"/>
      <c r="AO1790" s="520"/>
      <c r="AP1790" s="520"/>
      <c r="AQ1790" s="520"/>
      <c r="AR1790" s="520"/>
      <c r="AS1790" s="520"/>
      <c r="AT1790" s="520"/>
      <c r="AU1790" s="520"/>
      <c r="AV1790" s="520"/>
      <c r="AY1790" s="507"/>
      <c r="BA1790" s="507"/>
      <c r="BJ1790" s="493"/>
      <c r="CU1790" s="488"/>
      <c r="CW1790" s="488"/>
      <c r="EV1790" s="821"/>
      <c r="EW1790" s="821"/>
    </row>
    <row r="1791" spans="1:153" s="757" customFormat="1" hidden="1">
      <c r="A1791" s="487"/>
      <c r="B1791" s="487"/>
      <c r="C1791" s="487"/>
      <c r="D1791" s="487"/>
      <c r="I1791" s="487"/>
      <c r="J1791" s="487"/>
      <c r="K1791" s="487"/>
      <c r="L1791" s="487"/>
      <c r="M1791" s="487"/>
      <c r="N1791" s="487"/>
      <c r="O1791" s="875"/>
      <c r="Q1791" s="704"/>
      <c r="R1791" s="1026"/>
      <c r="S1791" s="704"/>
      <c r="T1791" s="1026"/>
      <c r="AB1791" s="520"/>
      <c r="AC1791" s="520"/>
      <c r="AD1791" s="520"/>
      <c r="AE1791" s="520"/>
      <c r="AF1791" s="520"/>
      <c r="AG1791" s="520"/>
      <c r="AH1791" s="520"/>
      <c r="AI1791" s="520"/>
      <c r="AJ1791" s="520"/>
      <c r="AK1791" s="520"/>
      <c r="AL1791" s="520"/>
      <c r="AM1791" s="520"/>
      <c r="AN1791" s="520"/>
      <c r="AO1791" s="520"/>
      <c r="AP1791" s="520"/>
      <c r="AQ1791" s="520"/>
      <c r="AR1791" s="520"/>
      <c r="AS1791" s="520"/>
      <c r="AT1791" s="520"/>
      <c r="AU1791" s="520"/>
      <c r="AV1791" s="520"/>
      <c r="AY1791" s="507"/>
      <c r="BA1791" s="507"/>
      <c r="BJ1791" s="493"/>
      <c r="CU1791" s="488"/>
      <c r="CW1791" s="488"/>
      <c r="EV1791" s="821"/>
      <c r="EW1791" s="821"/>
    </row>
    <row r="1792" spans="1:153" s="757" customFormat="1" hidden="1">
      <c r="A1792" s="487"/>
      <c r="B1792" s="487"/>
      <c r="C1792" s="487"/>
      <c r="D1792" s="487"/>
      <c r="I1792" s="487"/>
      <c r="J1792" s="487"/>
      <c r="K1792" s="487"/>
      <c r="L1792" s="487"/>
      <c r="M1792" s="487"/>
      <c r="N1792" s="487"/>
      <c r="O1792" s="875"/>
      <c r="Q1792" s="704"/>
      <c r="R1792" s="1026"/>
      <c r="S1792" s="704"/>
      <c r="T1792" s="1026"/>
      <c r="AB1792" s="520"/>
      <c r="AC1792" s="520"/>
      <c r="AD1792" s="520"/>
      <c r="AE1792" s="520"/>
      <c r="AF1792" s="520"/>
      <c r="AG1792" s="520"/>
      <c r="AH1792" s="520"/>
      <c r="AI1792" s="520"/>
      <c r="AJ1792" s="520"/>
      <c r="AK1792" s="520"/>
      <c r="AL1792" s="520"/>
      <c r="AM1792" s="520"/>
      <c r="AN1792" s="520"/>
      <c r="AO1792" s="520"/>
      <c r="AP1792" s="520"/>
      <c r="AQ1792" s="520"/>
      <c r="AR1792" s="520"/>
      <c r="AS1792" s="520"/>
      <c r="AT1792" s="520"/>
      <c r="AU1792" s="520"/>
      <c r="AV1792" s="520"/>
      <c r="AY1792" s="507"/>
      <c r="BA1792" s="507"/>
      <c r="BJ1792" s="493"/>
      <c r="CU1792" s="488"/>
      <c r="CW1792" s="488"/>
      <c r="EV1792" s="821"/>
      <c r="EW1792" s="821"/>
    </row>
    <row r="1793" spans="1:153" s="757" customFormat="1" hidden="1">
      <c r="A1793" s="487"/>
      <c r="B1793" s="487"/>
      <c r="C1793" s="487"/>
      <c r="D1793" s="487"/>
      <c r="I1793" s="487"/>
      <c r="J1793" s="487"/>
      <c r="K1793" s="487"/>
      <c r="L1793" s="487"/>
      <c r="M1793" s="487"/>
      <c r="N1793" s="487"/>
      <c r="O1793" s="875"/>
      <c r="Q1793" s="704"/>
      <c r="R1793" s="1026"/>
      <c r="S1793" s="704"/>
      <c r="T1793" s="1026"/>
      <c r="AB1793" s="520"/>
      <c r="AC1793" s="520"/>
      <c r="AD1793" s="520"/>
      <c r="AE1793" s="520"/>
      <c r="AF1793" s="520"/>
      <c r="AG1793" s="520"/>
      <c r="AH1793" s="520"/>
      <c r="AI1793" s="520"/>
      <c r="AJ1793" s="520"/>
      <c r="AK1793" s="520"/>
      <c r="AL1793" s="520"/>
      <c r="AM1793" s="520"/>
      <c r="AN1793" s="520"/>
      <c r="AO1793" s="520"/>
      <c r="AP1793" s="520"/>
      <c r="AQ1793" s="520"/>
      <c r="AR1793" s="520"/>
      <c r="AS1793" s="520"/>
      <c r="AT1793" s="520"/>
      <c r="AU1793" s="520"/>
      <c r="AV1793" s="520"/>
      <c r="AY1793" s="507"/>
      <c r="BA1793" s="507"/>
      <c r="BJ1793" s="493"/>
      <c r="CU1793" s="488"/>
      <c r="CW1793" s="488"/>
      <c r="EV1793" s="821"/>
      <c r="EW1793" s="821"/>
    </row>
    <row r="1794" spans="1:153" s="757" customFormat="1" hidden="1">
      <c r="A1794" s="487"/>
      <c r="B1794" s="487"/>
      <c r="C1794" s="487"/>
      <c r="D1794" s="487"/>
      <c r="I1794" s="487"/>
      <c r="J1794" s="487"/>
      <c r="K1794" s="487"/>
      <c r="L1794" s="487"/>
      <c r="M1794" s="487"/>
      <c r="N1794" s="487"/>
      <c r="O1794" s="875"/>
      <c r="Q1794" s="704"/>
      <c r="R1794" s="1026"/>
      <c r="S1794" s="704"/>
      <c r="T1794" s="1026"/>
      <c r="AB1794" s="520"/>
      <c r="AC1794" s="520"/>
      <c r="AD1794" s="520"/>
      <c r="AE1794" s="520"/>
      <c r="AF1794" s="520"/>
      <c r="AG1794" s="520"/>
      <c r="AH1794" s="520"/>
      <c r="AI1794" s="520"/>
      <c r="AJ1794" s="520"/>
      <c r="AK1794" s="520"/>
      <c r="AL1794" s="520"/>
      <c r="AM1794" s="520"/>
      <c r="AN1794" s="520"/>
      <c r="AO1794" s="520"/>
      <c r="AP1794" s="520"/>
      <c r="AQ1794" s="520"/>
      <c r="AR1794" s="520"/>
      <c r="AS1794" s="520"/>
      <c r="AT1794" s="520"/>
      <c r="AU1794" s="520"/>
      <c r="AV1794" s="520"/>
      <c r="AY1794" s="507"/>
      <c r="BA1794" s="507"/>
      <c r="BJ1794" s="493"/>
      <c r="CU1794" s="488"/>
      <c r="CW1794" s="488"/>
      <c r="EV1794" s="821"/>
      <c r="EW1794" s="821"/>
    </row>
    <row r="1795" spans="1:153" s="757" customFormat="1" hidden="1">
      <c r="A1795" s="487"/>
      <c r="B1795" s="487"/>
      <c r="C1795" s="487"/>
      <c r="D1795" s="487"/>
      <c r="I1795" s="487"/>
      <c r="J1795" s="487"/>
      <c r="K1795" s="487"/>
      <c r="L1795" s="487"/>
      <c r="M1795" s="487"/>
      <c r="N1795" s="487"/>
      <c r="O1795" s="875"/>
      <c r="Q1795" s="704"/>
      <c r="R1795" s="1026"/>
      <c r="S1795" s="704"/>
      <c r="T1795" s="1026"/>
      <c r="AB1795" s="520"/>
      <c r="AC1795" s="520"/>
      <c r="AD1795" s="520"/>
      <c r="AE1795" s="520"/>
      <c r="AF1795" s="520"/>
      <c r="AG1795" s="520"/>
      <c r="AH1795" s="520"/>
      <c r="AI1795" s="520"/>
      <c r="AJ1795" s="520"/>
      <c r="AK1795" s="520"/>
      <c r="AL1795" s="520"/>
      <c r="AM1795" s="520"/>
      <c r="AN1795" s="520"/>
      <c r="AO1795" s="520"/>
      <c r="AP1795" s="520"/>
      <c r="AQ1795" s="520"/>
      <c r="AR1795" s="520"/>
      <c r="AS1795" s="520"/>
      <c r="AT1795" s="520"/>
      <c r="AU1795" s="520"/>
      <c r="AV1795" s="520"/>
      <c r="AY1795" s="507"/>
      <c r="BA1795" s="507"/>
      <c r="BJ1795" s="493"/>
      <c r="CU1795" s="488"/>
      <c r="CW1795" s="488"/>
      <c r="EV1795" s="821"/>
      <c r="EW1795" s="821"/>
    </row>
    <row r="1796" spans="1:153" s="757" customFormat="1" hidden="1">
      <c r="A1796" s="487"/>
      <c r="B1796" s="487"/>
      <c r="C1796" s="487"/>
      <c r="D1796" s="487"/>
      <c r="I1796" s="487"/>
      <c r="J1796" s="487"/>
      <c r="K1796" s="487"/>
      <c r="L1796" s="487"/>
      <c r="M1796" s="487"/>
      <c r="N1796" s="487"/>
      <c r="O1796" s="875"/>
      <c r="Q1796" s="704"/>
      <c r="R1796" s="1026"/>
      <c r="S1796" s="704"/>
      <c r="T1796" s="1026"/>
      <c r="AB1796" s="520"/>
      <c r="AC1796" s="520"/>
      <c r="AD1796" s="520"/>
      <c r="AE1796" s="520"/>
      <c r="AF1796" s="520"/>
      <c r="AG1796" s="520"/>
      <c r="AH1796" s="520"/>
      <c r="AI1796" s="520"/>
      <c r="AJ1796" s="520"/>
      <c r="AK1796" s="520"/>
      <c r="AL1796" s="520"/>
      <c r="AM1796" s="520"/>
      <c r="AN1796" s="520"/>
      <c r="AO1796" s="520"/>
      <c r="AP1796" s="520"/>
      <c r="AQ1796" s="520"/>
      <c r="AR1796" s="520"/>
      <c r="AS1796" s="520"/>
      <c r="AT1796" s="520"/>
      <c r="AU1796" s="520"/>
      <c r="AV1796" s="520"/>
      <c r="AY1796" s="507"/>
      <c r="BA1796" s="507"/>
      <c r="BJ1796" s="493"/>
      <c r="CU1796" s="488"/>
      <c r="CW1796" s="488"/>
      <c r="EV1796" s="821"/>
      <c r="EW1796" s="821"/>
    </row>
    <row r="1797" spans="1:153" s="757" customFormat="1" hidden="1">
      <c r="A1797" s="487"/>
      <c r="B1797" s="487"/>
      <c r="C1797" s="487"/>
      <c r="D1797" s="487"/>
      <c r="I1797" s="487"/>
      <c r="J1797" s="487"/>
      <c r="K1797" s="487"/>
      <c r="L1797" s="487"/>
      <c r="M1797" s="487"/>
      <c r="N1797" s="487"/>
      <c r="O1797" s="875"/>
      <c r="Q1797" s="704"/>
      <c r="R1797" s="1026"/>
      <c r="S1797" s="704"/>
      <c r="T1797" s="1026"/>
      <c r="AB1797" s="520"/>
      <c r="AC1797" s="520"/>
      <c r="AD1797" s="520"/>
      <c r="AE1797" s="520"/>
      <c r="AF1797" s="520"/>
      <c r="AG1797" s="520"/>
      <c r="AH1797" s="520"/>
      <c r="AI1797" s="520"/>
      <c r="AJ1797" s="520"/>
      <c r="AK1797" s="520"/>
      <c r="AL1797" s="520"/>
      <c r="AM1797" s="520"/>
      <c r="AN1797" s="520"/>
      <c r="AO1797" s="520"/>
      <c r="AP1797" s="520"/>
      <c r="AQ1797" s="520"/>
      <c r="AR1797" s="520"/>
      <c r="AS1797" s="520"/>
      <c r="AT1797" s="520"/>
      <c r="AU1797" s="520"/>
      <c r="AV1797" s="520"/>
      <c r="AY1797" s="507"/>
      <c r="BA1797" s="507"/>
      <c r="BJ1797" s="493"/>
      <c r="CU1797" s="488"/>
      <c r="CW1797" s="488"/>
      <c r="EV1797" s="821"/>
      <c r="EW1797" s="821"/>
    </row>
    <row r="1798" spans="1:153" s="757" customFormat="1" hidden="1">
      <c r="A1798" s="487"/>
      <c r="B1798" s="487"/>
      <c r="C1798" s="487"/>
      <c r="D1798" s="487"/>
      <c r="I1798" s="487"/>
      <c r="J1798" s="487"/>
      <c r="K1798" s="487"/>
      <c r="L1798" s="487"/>
      <c r="M1798" s="487"/>
      <c r="N1798" s="487"/>
      <c r="O1798" s="875"/>
      <c r="Q1798" s="704"/>
      <c r="R1798" s="1026"/>
      <c r="S1798" s="704"/>
      <c r="T1798" s="1026"/>
      <c r="AB1798" s="520"/>
      <c r="AC1798" s="520"/>
      <c r="AD1798" s="520"/>
      <c r="AE1798" s="520"/>
      <c r="AF1798" s="520"/>
      <c r="AG1798" s="520"/>
      <c r="AH1798" s="520"/>
      <c r="AI1798" s="520"/>
      <c r="AJ1798" s="520"/>
      <c r="AK1798" s="520"/>
      <c r="AL1798" s="520"/>
      <c r="AM1798" s="520"/>
      <c r="AN1798" s="520"/>
      <c r="AO1798" s="520"/>
      <c r="AP1798" s="520"/>
      <c r="AQ1798" s="520"/>
      <c r="AR1798" s="520"/>
      <c r="AS1798" s="520"/>
      <c r="AT1798" s="520"/>
      <c r="AU1798" s="520"/>
      <c r="AV1798" s="520"/>
      <c r="AY1798" s="507"/>
      <c r="BA1798" s="507"/>
      <c r="BJ1798" s="493"/>
      <c r="CU1798" s="488"/>
      <c r="CW1798" s="488"/>
      <c r="EV1798" s="821"/>
      <c r="EW1798" s="821"/>
    </row>
    <row r="1799" spans="1:153" s="757" customFormat="1" hidden="1">
      <c r="A1799" s="487"/>
      <c r="B1799" s="487"/>
      <c r="C1799" s="487"/>
      <c r="D1799" s="487"/>
      <c r="I1799" s="487"/>
      <c r="J1799" s="487"/>
      <c r="K1799" s="487"/>
      <c r="L1799" s="487"/>
      <c r="M1799" s="487"/>
      <c r="N1799" s="487"/>
      <c r="O1799" s="875"/>
      <c r="Q1799" s="704"/>
      <c r="R1799" s="1026"/>
      <c r="S1799" s="704"/>
      <c r="T1799" s="1026"/>
      <c r="AB1799" s="520"/>
      <c r="AC1799" s="520"/>
      <c r="AD1799" s="520"/>
      <c r="AE1799" s="520"/>
      <c r="AF1799" s="520"/>
      <c r="AG1799" s="520"/>
      <c r="AH1799" s="520"/>
      <c r="AI1799" s="520"/>
      <c r="AJ1799" s="520"/>
      <c r="AK1799" s="520"/>
      <c r="AL1799" s="520"/>
      <c r="AM1799" s="520"/>
      <c r="AN1799" s="520"/>
      <c r="AO1799" s="520"/>
      <c r="AP1799" s="520"/>
      <c r="AQ1799" s="520"/>
      <c r="AR1799" s="520"/>
      <c r="AS1799" s="520"/>
      <c r="AT1799" s="520"/>
      <c r="AU1799" s="520"/>
      <c r="AV1799" s="520"/>
      <c r="AY1799" s="507"/>
      <c r="BA1799" s="507"/>
      <c r="BJ1799" s="493"/>
      <c r="CU1799" s="488"/>
      <c r="CW1799" s="488"/>
      <c r="EV1799" s="821"/>
      <c r="EW1799" s="821"/>
    </row>
    <row r="1800" spans="1:153" s="757" customFormat="1" hidden="1">
      <c r="A1800" s="487"/>
      <c r="B1800" s="487"/>
      <c r="C1800" s="487"/>
      <c r="D1800" s="487"/>
      <c r="I1800" s="487"/>
      <c r="J1800" s="487"/>
      <c r="K1800" s="487"/>
      <c r="L1800" s="487"/>
      <c r="M1800" s="487"/>
      <c r="N1800" s="487"/>
      <c r="O1800" s="875"/>
      <c r="Q1800" s="704"/>
      <c r="R1800" s="1026"/>
      <c r="S1800" s="704"/>
      <c r="T1800" s="1026"/>
      <c r="AB1800" s="520"/>
      <c r="AC1800" s="520"/>
      <c r="AD1800" s="520"/>
      <c r="AE1800" s="520"/>
      <c r="AF1800" s="520"/>
      <c r="AG1800" s="520"/>
      <c r="AH1800" s="520"/>
      <c r="AI1800" s="520"/>
      <c r="AJ1800" s="520"/>
      <c r="AK1800" s="520"/>
      <c r="AL1800" s="520"/>
      <c r="AM1800" s="520"/>
      <c r="AN1800" s="520"/>
      <c r="AO1800" s="520"/>
      <c r="AP1800" s="520"/>
      <c r="AQ1800" s="520"/>
      <c r="AR1800" s="520"/>
      <c r="AS1800" s="520"/>
      <c r="AT1800" s="520"/>
      <c r="AU1800" s="520"/>
      <c r="AV1800" s="520"/>
      <c r="AY1800" s="507"/>
      <c r="BA1800" s="507"/>
      <c r="BJ1800" s="493"/>
      <c r="CU1800" s="488"/>
      <c r="CW1800" s="488"/>
      <c r="EV1800" s="821"/>
      <c r="EW1800" s="821"/>
    </row>
    <row r="1801" spans="1:153" s="757" customFormat="1" hidden="1">
      <c r="A1801" s="487"/>
      <c r="B1801" s="487"/>
      <c r="C1801" s="487"/>
      <c r="D1801" s="487"/>
      <c r="I1801" s="487"/>
      <c r="J1801" s="487"/>
      <c r="K1801" s="487"/>
      <c r="L1801" s="487"/>
      <c r="M1801" s="487"/>
      <c r="N1801" s="487"/>
      <c r="O1801" s="875"/>
      <c r="Q1801" s="704"/>
      <c r="R1801" s="1026"/>
      <c r="S1801" s="704"/>
      <c r="T1801" s="1026"/>
      <c r="AB1801" s="520"/>
      <c r="AC1801" s="520"/>
      <c r="AD1801" s="520"/>
      <c r="AE1801" s="520"/>
      <c r="AF1801" s="520"/>
      <c r="AG1801" s="520"/>
      <c r="AH1801" s="520"/>
      <c r="AI1801" s="520"/>
      <c r="AJ1801" s="520"/>
      <c r="AK1801" s="520"/>
      <c r="AL1801" s="520"/>
      <c r="AM1801" s="520"/>
      <c r="AN1801" s="520"/>
      <c r="AO1801" s="520"/>
      <c r="AP1801" s="520"/>
      <c r="AQ1801" s="520"/>
      <c r="AR1801" s="520"/>
      <c r="AS1801" s="520"/>
      <c r="AT1801" s="520"/>
      <c r="AU1801" s="520"/>
      <c r="AV1801" s="520"/>
      <c r="AY1801" s="507"/>
      <c r="BA1801" s="507"/>
      <c r="BJ1801" s="493"/>
      <c r="CU1801" s="488"/>
      <c r="CW1801" s="488"/>
      <c r="EV1801" s="821"/>
      <c r="EW1801" s="821"/>
    </row>
    <row r="1802" spans="1:153" s="757" customFormat="1" hidden="1">
      <c r="A1802" s="487"/>
      <c r="B1802" s="487"/>
      <c r="C1802" s="487"/>
      <c r="D1802" s="487"/>
      <c r="I1802" s="487"/>
      <c r="J1802" s="487"/>
      <c r="K1802" s="487"/>
      <c r="L1802" s="487"/>
      <c r="M1802" s="487"/>
      <c r="N1802" s="487"/>
      <c r="O1802" s="875"/>
      <c r="Q1802" s="704"/>
      <c r="R1802" s="1026"/>
      <c r="S1802" s="704"/>
      <c r="T1802" s="1026"/>
      <c r="AB1802" s="520"/>
      <c r="AC1802" s="520"/>
      <c r="AD1802" s="520"/>
      <c r="AE1802" s="520"/>
      <c r="AF1802" s="520"/>
      <c r="AG1802" s="520"/>
      <c r="AH1802" s="520"/>
      <c r="AI1802" s="520"/>
      <c r="AJ1802" s="520"/>
      <c r="AK1802" s="520"/>
      <c r="AL1802" s="520"/>
      <c r="AM1802" s="520"/>
      <c r="AN1802" s="520"/>
      <c r="AO1802" s="520"/>
      <c r="AP1802" s="520"/>
      <c r="AQ1802" s="520"/>
      <c r="AR1802" s="520"/>
      <c r="AS1802" s="520"/>
      <c r="AT1802" s="520"/>
      <c r="AU1802" s="520"/>
      <c r="AV1802" s="520"/>
      <c r="AY1802" s="507"/>
      <c r="BA1802" s="507"/>
      <c r="BJ1802" s="493"/>
      <c r="CU1802" s="488"/>
      <c r="CW1802" s="488"/>
      <c r="EV1802" s="821"/>
      <c r="EW1802" s="821"/>
    </row>
    <row r="1803" spans="1:153" s="757" customFormat="1" hidden="1">
      <c r="A1803" s="487"/>
      <c r="B1803" s="487"/>
      <c r="C1803" s="487"/>
      <c r="D1803" s="487"/>
      <c r="I1803" s="487"/>
      <c r="J1803" s="487"/>
      <c r="K1803" s="487"/>
      <c r="L1803" s="487"/>
      <c r="M1803" s="487"/>
      <c r="N1803" s="487"/>
      <c r="O1803" s="875"/>
      <c r="Q1803" s="704"/>
      <c r="R1803" s="1026"/>
      <c r="S1803" s="704"/>
      <c r="T1803" s="1026"/>
      <c r="AB1803" s="520"/>
      <c r="AC1803" s="520"/>
      <c r="AD1803" s="520"/>
      <c r="AE1803" s="520"/>
      <c r="AF1803" s="520"/>
      <c r="AG1803" s="520"/>
      <c r="AH1803" s="520"/>
      <c r="AI1803" s="520"/>
      <c r="AJ1803" s="520"/>
      <c r="AK1803" s="520"/>
      <c r="AL1803" s="520"/>
      <c r="AM1803" s="520"/>
      <c r="AN1803" s="520"/>
      <c r="AO1803" s="520"/>
      <c r="AP1803" s="520"/>
      <c r="AQ1803" s="520"/>
      <c r="AR1803" s="520"/>
      <c r="AS1803" s="520"/>
      <c r="AT1803" s="520"/>
      <c r="AU1803" s="520"/>
      <c r="AV1803" s="520"/>
      <c r="AY1803" s="507"/>
      <c r="BA1803" s="507"/>
      <c r="BJ1803" s="493"/>
      <c r="CU1803" s="488"/>
      <c r="CW1803" s="488"/>
      <c r="EV1803" s="821"/>
      <c r="EW1803" s="821"/>
    </row>
    <row r="1804" spans="1:153" s="757" customFormat="1" hidden="1">
      <c r="A1804" s="487"/>
      <c r="B1804" s="487"/>
      <c r="C1804" s="487"/>
      <c r="D1804" s="487"/>
      <c r="I1804" s="487"/>
      <c r="J1804" s="487"/>
      <c r="K1804" s="487"/>
      <c r="L1804" s="487"/>
      <c r="M1804" s="487"/>
      <c r="N1804" s="487"/>
      <c r="O1804" s="875"/>
      <c r="Q1804" s="704"/>
      <c r="R1804" s="1026"/>
      <c r="S1804" s="704"/>
      <c r="T1804" s="1026"/>
      <c r="AB1804" s="520"/>
      <c r="AC1804" s="520"/>
      <c r="AD1804" s="520"/>
      <c r="AE1804" s="520"/>
      <c r="AF1804" s="520"/>
      <c r="AG1804" s="520"/>
      <c r="AH1804" s="520"/>
      <c r="AI1804" s="520"/>
      <c r="AJ1804" s="520"/>
      <c r="AK1804" s="520"/>
      <c r="AL1804" s="520"/>
      <c r="AM1804" s="520"/>
      <c r="AN1804" s="520"/>
      <c r="AO1804" s="520"/>
      <c r="AP1804" s="520"/>
      <c r="AQ1804" s="520"/>
      <c r="AR1804" s="520"/>
      <c r="AS1804" s="520"/>
      <c r="AT1804" s="520"/>
      <c r="AU1804" s="520"/>
      <c r="AV1804" s="520"/>
      <c r="AY1804" s="507"/>
      <c r="BA1804" s="507"/>
      <c r="BJ1804" s="493"/>
      <c r="CU1804" s="488"/>
      <c r="CW1804" s="488"/>
      <c r="EV1804" s="821"/>
      <c r="EW1804" s="821"/>
    </row>
    <row r="1805" spans="1:153" s="757" customFormat="1" hidden="1">
      <c r="A1805" s="487"/>
      <c r="B1805" s="487"/>
      <c r="C1805" s="487"/>
      <c r="D1805" s="487"/>
      <c r="I1805" s="487"/>
      <c r="J1805" s="487"/>
      <c r="K1805" s="487"/>
      <c r="L1805" s="487"/>
      <c r="M1805" s="487"/>
      <c r="N1805" s="487"/>
      <c r="O1805" s="875"/>
      <c r="Q1805" s="704"/>
      <c r="R1805" s="1026"/>
      <c r="S1805" s="704"/>
      <c r="T1805" s="1026"/>
      <c r="AB1805" s="520"/>
      <c r="AC1805" s="520"/>
      <c r="AD1805" s="520"/>
      <c r="AE1805" s="520"/>
      <c r="AF1805" s="520"/>
      <c r="AG1805" s="520"/>
      <c r="AH1805" s="520"/>
      <c r="AI1805" s="520"/>
      <c r="AJ1805" s="520"/>
      <c r="AK1805" s="520"/>
      <c r="AL1805" s="520"/>
      <c r="AM1805" s="520"/>
      <c r="AN1805" s="520"/>
      <c r="AO1805" s="520"/>
      <c r="AP1805" s="520"/>
      <c r="AQ1805" s="520"/>
      <c r="AR1805" s="520"/>
      <c r="AS1805" s="520"/>
      <c r="AT1805" s="520"/>
      <c r="AU1805" s="520"/>
      <c r="AV1805" s="520"/>
      <c r="AY1805" s="507"/>
      <c r="BA1805" s="507"/>
      <c r="BJ1805" s="493"/>
      <c r="CU1805" s="488"/>
      <c r="CW1805" s="488"/>
      <c r="EV1805" s="821"/>
      <c r="EW1805" s="821"/>
    </row>
    <row r="1806" spans="1:153" s="757" customFormat="1" hidden="1">
      <c r="A1806" s="487"/>
      <c r="B1806" s="487"/>
      <c r="C1806" s="487"/>
      <c r="D1806" s="487"/>
      <c r="I1806" s="487"/>
      <c r="J1806" s="487"/>
      <c r="K1806" s="487"/>
      <c r="L1806" s="487"/>
      <c r="M1806" s="487"/>
      <c r="N1806" s="487"/>
      <c r="O1806" s="875"/>
      <c r="Q1806" s="704"/>
      <c r="R1806" s="1026"/>
      <c r="S1806" s="704"/>
      <c r="T1806" s="1026"/>
      <c r="AB1806" s="520"/>
      <c r="AC1806" s="520"/>
      <c r="AD1806" s="520"/>
      <c r="AE1806" s="520"/>
      <c r="AF1806" s="520"/>
      <c r="AG1806" s="520"/>
      <c r="AH1806" s="520"/>
      <c r="AI1806" s="520"/>
      <c r="AJ1806" s="520"/>
      <c r="AK1806" s="520"/>
      <c r="AL1806" s="520"/>
      <c r="AM1806" s="520"/>
      <c r="AN1806" s="520"/>
      <c r="AO1806" s="520"/>
      <c r="AP1806" s="520"/>
      <c r="AQ1806" s="520"/>
      <c r="AR1806" s="520"/>
      <c r="AS1806" s="520"/>
      <c r="AT1806" s="520"/>
      <c r="AU1806" s="520"/>
      <c r="AV1806" s="520"/>
      <c r="AY1806" s="507"/>
      <c r="BA1806" s="507"/>
      <c r="BJ1806" s="493"/>
      <c r="CU1806" s="488"/>
      <c r="CW1806" s="488"/>
      <c r="EV1806" s="821"/>
      <c r="EW1806" s="821"/>
    </row>
    <row r="1807" spans="1:153" s="757" customFormat="1" hidden="1">
      <c r="A1807" s="487"/>
      <c r="B1807" s="487"/>
      <c r="C1807" s="487"/>
      <c r="D1807" s="487"/>
      <c r="I1807" s="487"/>
      <c r="J1807" s="487"/>
      <c r="K1807" s="487"/>
      <c r="L1807" s="487"/>
      <c r="M1807" s="487"/>
      <c r="N1807" s="487"/>
      <c r="O1807" s="875"/>
      <c r="Q1807" s="704"/>
      <c r="R1807" s="1026"/>
      <c r="S1807" s="704"/>
      <c r="T1807" s="1026"/>
      <c r="AB1807" s="520"/>
      <c r="AC1807" s="520"/>
      <c r="AD1807" s="520"/>
      <c r="AE1807" s="520"/>
      <c r="AF1807" s="520"/>
      <c r="AG1807" s="520"/>
      <c r="AH1807" s="520"/>
      <c r="AI1807" s="520"/>
      <c r="AJ1807" s="520"/>
      <c r="AK1807" s="520"/>
      <c r="AL1807" s="520"/>
      <c r="AM1807" s="520"/>
      <c r="AN1807" s="520"/>
      <c r="AO1807" s="520"/>
      <c r="AP1807" s="520"/>
      <c r="AQ1807" s="520"/>
      <c r="AR1807" s="520"/>
      <c r="AS1807" s="520"/>
      <c r="AT1807" s="520"/>
      <c r="AU1807" s="520"/>
      <c r="AV1807" s="520"/>
      <c r="AY1807" s="507"/>
      <c r="BA1807" s="507"/>
      <c r="BJ1807" s="493"/>
      <c r="CU1807" s="488"/>
      <c r="CW1807" s="488"/>
      <c r="EV1807" s="821"/>
      <c r="EW1807" s="821"/>
    </row>
    <row r="1808" spans="1:153" s="757" customFormat="1" hidden="1">
      <c r="A1808" s="487"/>
      <c r="B1808" s="487"/>
      <c r="C1808" s="487"/>
      <c r="D1808" s="487"/>
      <c r="I1808" s="487"/>
      <c r="J1808" s="487"/>
      <c r="K1808" s="487"/>
      <c r="L1808" s="487"/>
      <c r="M1808" s="487"/>
      <c r="N1808" s="487"/>
      <c r="O1808" s="875"/>
      <c r="Q1808" s="704"/>
      <c r="R1808" s="1026"/>
      <c r="S1808" s="704"/>
      <c r="T1808" s="1026"/>
      <c r="AB1808" s="520"/>
      <c r="AC1808" s="520"/>
      <c r="AD1808" s="520"/>
      <c r="AE1808" s="520"/>
      <c r="AF1808" s="520"/>
      <c r="AG1808" s="520"/>
      <c r="AH1808" s="520"/>
      <c r="AI1808" s="520"/>
      <c r="AJ1808" s="520"/>
      <c r="AK1808" s="520"/>
      <c r="AL1808" s="520"/>
      <c r="AM1808" s="520"/>
      <c r="AN1808" s="520"/>
      <c r="AO1808" s="520"/>
      <c r="AP1808" s="520"/>
      <c r="AQ1808" s="520"/>
      <c r="AR1808" s="520"/>
      <c r="AS1808" s="520"/>
      <c r="AT1808" s="520"/>
      <c r="AU1808" s="520"/>
      <c r="AV1808" s="520"/>
      <c r="AY1808" s="507"/>
      <c r="BA1808" s="507"/>
      <c r="BJ1808" s="493"/>
      <c r="CU1808" s="488"/>
      <c r="CW1808" s="488"/>
      <c r="EV1808" s="821"/>
      <c r="EW1808" s="821"/>
    </row>
    <row r="1809" spans="1:153" s="757" customFormat="1" hidden="1">
      <c r="A1809" s="487"/>
      <c r="B1809" s="487"/>
      <c r="C1809" s="487"/>
      <c r="D1809" s="487"/>
      <c r="I1809" s="487"/>
      <c r="J1809" s="487"/>
      <c r="K1809" s="487"/>
      <c r="L1809" s="487"/>
      <c r="M1809" s="487"/>
      <c r="N1809" s="487"/>
      <c r="O1809" s="875"/>
      <c r="Q1809" s="704"/>
      <c r="R1809" s="1026"/>
      <c r="S1809" s="704"/>
      <c r="T1809" s="1026"/>
      <c r="AB1809" s="520"/>
      <c r="AC1809" s="520"/>
      <c r="AD1809" s="520"/>
      <c r="AE1809" s="520"/>
      <c r="AF1809" s="520"/>
      <c r="AG1809" s="520"/>
      <c r="AH1809" s="520"/>
      <c r="AI1809" s="520"/>
      <c r="AJ1809" s="520"/>
      <c r="AK1809" s="520"/>
      <c r="AL1809" s="520"/>
      <c r="AM1809" s="520"/>
      <c r="AN1809" s="520"/>
      <c r="AO1809" s="520"/>
      <c r="AP1809" s="520"/>
      <c r="AQ1809" s="520"/>
      <c r="AR1809" s="520"/>
      <c r="AS1809" s="520"/>
      <c r="AT1809" s="520"/>
      <c r="AU1809" s="520"/>
      <c r="AV1809" s="520"/>
      <c r="AY1809" s="507"/>
      <c r="BA1809" s="507"/>
      <c r="BJ1809" s="493"/>
      <c r="CU1809" s="488"/>
      <c r="CW1809" s="488"/>
      <c r="EV1809" s="821"/>
      <c r="EW1809" s="821"/>
    </row>
    <row r="1810" spans="1:153" s="757" customFormat="1" hidden="1">
      <c r="A1810" s="487"/>
      <c r="B1810" s="487"/>
      <c r="C1810" s="487"/>
      <c r="D1810" s="487"/>
      <c r="I1810" s="487"/>
      <c r="J1810" s="487"/>
      <c r="K1810" s="487"/>
      <c r="L1810" s="487"/>
      <c r="M1810" s="487"/>
      <c r="N1810" s="487"/>
      <c r="O1810" s="875"/>
      <c r="Q1810" s="704"/>
      <c r="R1810" s="1026"/>
      <c r="S1810" s="704"/>
      <c r="T1810" s="1026"/>
      <c r="AB1810" s="520"/>
      <c r="AC1810" s="520"/>
      <c r="AD1810" s="520"/>
      <c r="AE1810" s="520"/>
      <c r="AF1810" s="520"/>
      <c r="AG1810" s="520"/>
      <c r="AH1810" s="520"/>
      <c r="AI1810" s="520"/>
      <c r="AJ1810" s="520"/>
      <c r="AK1810" s="520"/>
      <c r="AL1810" s="520"/>
      <c r="AM1810" s="520"/>
      <c r="AN1810" s="520"/>
      <c r="AO1810" s="520"/>
      <c r="AP1810" s="520"/>
      <c r="AQ1810" s="520"/>
      <c r="AR1810" s="520"/>
      <c r="AS1810" s="520"/>
      <c r="AT1810" s="520"/>
      <c r="AU1810" s="520"/>
      <c r="AV1810" s="520"/>
      <c r="AY1810" s="507"/>
      <c r="BA1810" s="507"/>
      <c r="BJ1810" s="493"/>
      <c r="CU1810" s="488"/>
      <c r="CW1810" s="488"/>
      <c r="EV1810" s="821"/>
      <c r="EW1810" s="821"/>
    </row>
    <row r="1811" spans="1:153" s="757" customFormat="1" hidden="1">
      <c r="A1811" s="487"/>
      <c r="B1811" s="487"/>
      <c r="C1811" s="487"/>
      <c r="D1811" s="487"/>
      <c r="I1811" s="487"/>
      <c r="J1811" s="487"/>
      <c r="K1811" s="487"/>
      <c r="L1811" s="487"/>
      <c r="M1811" s="487"/>
      <c r="N1811" s="487"/>
      <c r="O1811" s="875"/>
      <c r="Q1811" s="704"/>
      <c r="R1811" s="1026"/>
      <c r="S1811" s="704"/>
      <c r="T1811" s="1026"/>
      <c r="AB1811" s="520"/>
      <c r="AC1811" s="520"/>
      <c r="AD1811" s="520"/>
      <c r="AE1811" s="520"/>
      <c r="AF1811" s="520"/>
      <c r="AG1811" s="520"/>
      <c r="AH1811" s="520"/>
      <c r="AI1811" s="520"/>
      <c r="AJ1811" s="520"/>
      <c r="AK1811" s="520"/>
      <c r="AL1811" s="520"/>
      <c r="AM1811" s="520"/>
      <c r="AN1811" s="520"/>
      <c r="AO1811" s="520"/>
      <c r="AP1811" s="520"/>
      <c r="AQ1811" s="520"/>
      <c r="AR1811" s="520"/>
      <c r="AS1811" s="520"/>
      <c r="AT1811" s="520"/>
      <c r="AU1811" s="520"/>
      <c r="AV1811" s="520"/>
      <c r="AY1811" s="507"/>
      <c r="BA1811" s="507"/>
      <c r="BJ1811" s="493"/>
      <c r="CU1811" s="488"/>
      <c r="CW1811" s="488"/>
      <c r="EV1811" s="821"/>
      <c r="EW1811" s="821"/>
    </row>
    <row r="1812" spans="1:153" s="757" customFormat="1" hidden="1">
      <c r="A1812" s="487"/>
      <c r="B1812" s="487"/>
      <c r="C1812" s="487"/>
      <c r="D1812" s="487"/>
      <c r="I1812" s="487"/>
      <c r="J1812" s="487"/>
      <c r="K1812" s="487"/>
      <c r="L1812" s="487"/>
      <c r="M1812" s="487"/>
      <c r="N1812" s="487"/>
      <c r="O1812" s="875"/>
      <c r="Q1812" s="704"/>
      <c r="R1812" s="1026"/>
      <c r="S1812" s="704"/>
      <c r="T1812" s="1026"/>
      <c r="AB1812" s="520"/>
      <c r="AC1812" s="520"/>
      <c r="AD1812" s="520"/>
      <c r="AE1812" s="520"/>
      <c r="AF1812" s="520"/>
      <c r="AG1812" s="520"/>
      <c r="AH1812" s="520"/>
      <c r="AI1812" s="520"/>
      <c r="AJ1812" s="520"/>
      <c r="AK1812" s="520"/>
      <c r="AL1812" s="520"/>
      <c r="AM1812" s="520"/>
      <c r="AN1812" s="520"/>
      <c r="AO1812" s="520"/>
      <c r="AP1812" s="520"/>
      <c r="AQ1812" s="520"/>
      <c r="AR1812" s="520"/>
      <c r="AS1812" s="520"/>
      <c r="AT1812" s="520"/>
      <c r="AU1812" s="520"/>
      <c r="AV1812" s="520"/>
      <c r="AY1812" s="507"/>
      <c r="BA1812" s="507"/>
      <c r="BJ1812" s="493"/>
      <c r="CU1812" s="488"/>
      <c r="CW1812" s="488"/>
      <c r="EV1812" s="821"/>
      <c r="EW1812" s="821"/>
    </row>
    <row r="1813" spans="1:153" s="757" customFormat="1" hidden="1">
      <c r="A1813" s="487"/>
      <c r="B1813" s="487"/>
      <c r="C1813" s="487"/>
      <c r="D1813" s="487"/>
      <c r="I1813" s="487"/>
      <c r="J1813" s="487"/>
      <c r="K1813" s="487"/>
      <c r="L1813" s="487"/>
      <c r="M1813" s="487"/>
      <c r="N1813" s="487"/>
      <c r="O1813" s="875"/>
      <c r="Q1813" s="704"/>
      <c r="R1813" s="1026"/>
      <c r="S1813" s="704"/>
      <c r="T1813" s="1026"/>
      <c r="AB1813" s="520"/>
      <c r="AC1813" s="520"/>
      <c r="AD1813" s="520"/>
      <c r="AE1813" s="520"/>
      <c r="AF1813" s="520"/>
      <c r="AG1813" s="520"/>
      <c r="AH1813" s="520"/>
      <c r="AI1813" s="520"/>
      <c r="AJ1813" s="520"/>
      <c r="AK1813" s="520"/>
      <c r="AL1813" s="520"/>
      <c r="AM1813" s="520"/>
      <c r="AN1813" s="520"/>
      <c r="AO1813" s="520"/>
      <c r="AP1813" s="520"/>
      <c r="AQ1813" s="520"/>
      <c r="AR1813" s="520"/>
      <c r="AS1813" s="520"/>
      <c r="AT1813" s="520"/>
      <c r="AU1813" s="520"/>
      <c r="AV1813" s="520"/>
      <c r="AY1813" s="507"/>
      <c r="BA1813" s="507"/>
      <c r="BJ1813" s="493"/>
      <c r="CU1813" s="488"/>
      <c r="CW1813" s="488"/>
      <c r="EV1813" s="821"/>
      <c r="EW1813" s="821"/>
    </row>
    <row r="1814" spans="1:153" s="757" customFormat="1" hidden="1">
      <c r="A1814" s="487"/>
      <c r="B1814" s="487"/>
      <c r="C1814" s="487"/>
      <c r="D1814" s="487"/>
      <c r="I1814" s="487"/>
      <c r="J1814" s="487"/>
      <c r="K1814" s="487"/>
      <c r="L1814" s="487"/>
      <c r="M1814" s="487"/>
      <c r="N1814" s="487"/>
      <c r="O1814" s="875"/>
      <c r="Q1814" s="704"/>
      <c r="R1814" s="1026"/>
      <c r="S1814" s="704"/>
      <c r="T1814" s="1026"/>
      <c r="AB1814" s="520"/>
      <c r="AC1814" s="520"/>
      <c r="AD1814" s="520"/>
      <c r="AE1814" s="520"/>
      <c r="AF1814" s="520"/>
      <c r="AG1814" s="520"/>
      <c r="AH1814" s="520"/>
      <c r="AI1814" s="520"/>
      <c r="AJ1814" s="520"/>
      <c r="AK1814" s="520"/>
      <c r="AL1814" s="520"/>
      <c r="AM1814" s="520"/>
      <c r="AN1814" s="520"/>
      <c r="AO1814" s="520"/>
      <c r="AP1814" s="520"/>
      <c r="AQ1814" s="520"/>
      <c r="AR1814" s="520"/>
      <c r="AS1814" s="520"/>
      <c r="AT1814" s="520"/>
      <c r="AU1814" s="520"/>
      <c r="AV1814" s="520"/>
      <c r="AY1814" s="507"/>
      <c r="BA1814" s="507"/>
      <c r="BJ1814" s="493"/>
      <c r="CU1814" s="488"/>
      <c r="CW1814" s="488"/>
      <c r="EV1814" s="821"/>
      <c r="EW1814" s="821"/>
    </row>
    <row r="1815" spans="1:153" s="757" customFormat="1" hidden="1">
      <c r="A1815" s="487"/>
      <c r="B1815" s="487"/>
      <c r="C1815" s="487"/>
      <c r="D1815" s="487"/>
      <c r="I1815" s="487"/>
      <c r="J1815" s="487"/>
      <c r="K1815" s="487"/>
      <c r="L1815" s="487"/>
      <c r="M1815" s="487"/>
      <c r="N1815" s="487"/>
      <c r="O1815" s="875"/>
      <c r="Q1815" s="704"/>
      <c r="R1815" s="1026"/>
      <c r="S1815" s="704"/>
      <c r="T1815" s="1026"/>
      <c r="AB1815" s="520"/>
      <c r="AC1815" s="520"/>
      <c r="AD1815" s="520"/>
      <c r="AE1815" s="520"/>
      <c r="AF1815" s="520"/>
      <c r="AG1815" s="520"/>
      <c r="AH1815" s="520"/>
      <c r="AI1815" s="520"/>
      <c r="AJ1815" s="520"/>
      <c r="AK1815" s="520"/>
      <c r="AL1815" s="520"/>
      <c r="AM1815" s="520"/>
      <c r="AN1815" s="520"/>
      <c r="AO1815" s="520"/>
      <c r="AP1815" s="520"/>
      <c r="AQ1815" s="520"/>
      <c r="AR1815" s="520"/>
      <c r="AS1815" s="520"/>
      <c r="AT1815" s="520"/>
      <c r="AU1815" s="520"/>
      <c r="AV1815" s="520"/>
      <c r="AY1815" s="507"/>
      <c r="BA1815" s="507"/>
      <c r="BJ1815" s="493"/>
      <c r="CU1815" s="488"/>
      <c r="CW1815" s="488"/>
      <c r="EV1815" s="821"/>
      <c r="EW1815" s="821"/>
    </row>
    <row r="1816" spans="1:153" s="757" customFormat="1" hidden="1">
      <c r="A1816" s="487"/>
      <c r="B1816" s="487"/>
      <c r="C1816" s="487"/>
      <c r="D1816" s="487"/>
      <c r="I1816" s="487"/>
      <c r="J1816" s="487"/>
      <c r="K1816" s="487"/>
      <c r="L1816" s="487"/>
      <c r="M1816" s="487"/>
      <c r="N1816" s="487"/>
      <c r="O1816" s="875"/>
      <c r="Q1816" s="704"/>
      <c r="R1816" s="1026"/>
      <c r="S1816" s="704"/>
      <c r="T1816" s="1026"/>
      <c r="AB1816" s="520"/>
      <c r="AC1816" s="520"/>
      <c r="AD1816" s="520"/>
      <c r="AE1816" s="520"/>
      <c r="AF1816" s="520"/>
      <c r="AG1816" s="520"/>
      <c r="AH1816" s="520"/>
      <c r="AI1816" s="520"/>
      <c r="AJ1816" s="520"/>
      <c r="AK1816" s="520"/>
      <c r="AL1816" s="520"/>
      <c r="AM1816" s="520"/>
      <c r="AN1816" s="520"/>
      <c r="AO1816" s="520"/>
      <c r="AP1816" s="520"/>
      <c r="AQ1816" s="520"/>
      <c r="AR1816" s="520"/>
      <c r="AS1816" s="520"/>
      <c r="AT1816" s="520"/>
      <c r="AU1816" s="520"/>
      <c r="AV1816" s="520"/>
      <c r="AY1816" s="507"/>
      <c r="BA1816" s="507"/>
      <c r="BJ1816" s="493"/>
      <c r="CU1816" s="488"/>
      <c r="CW1816" s="488"/>
      <c r="EV1816" s="821"/>
      <c r="EW1816" s="821"/>
    </row>
    <row r="1817" spans="1:153" s="757" customFormat="1" hidden="1">
      <c r="A1817" s="487"/>
      <c r="B1817" s="487"/>
      <c r="C1817" s="487"/>
      <c r="D1817" s="487"/>
      <c r="I1817" s="487"/>
      <c r="J1817" s="487"/>
      <c r="K1817" s="487"/>
      <c r="L1817" s="487"/>
      <c r="M1817" s="487"/>
      <c r="N1817" s="487"/>
      <c r="O1817" s="875"/>
      <c r="Q1817" s="704"/>
      <c r="R1817" s="1026"/>
      <c r="S1817" s="704"/>
      <c r="T1817" s="1026"/>
      <c r="AB1817" s="520"/>
      <c r="AC1817" s="520"/>
      <c r="AD1817" s="520"/>
      <c r="AE1817" s="520"/>
      <c r="AF1817" s="520"/>
      <c r="AG1817" s="520"/>
      <c r="AH1817" s="520"/>
      <c r="AI1817" s="520"/>
      <c r="AJ1817" s="520"/>
      <c r="AK1817" s="520"/>
      <c r="AL1817" s="520"/>
      <c r="AM1817" s="520"/>
      <c r="AN1817" s="520"/>
      <c r="AO1817" s="520"/>
      <c r="AP1817" s="520"/>
      <c r="AQ1817" s="520"/>
      <c r="AR1817" s="520"/>
      <c r="AS1817" s="520"/>
      <c r="AT1817" s="520"/>
      <c r="AU1817" s="520"/>
      <c r="AV1817" s="520"/>
      <c r="AY1817" s="507"/>
      <c r="BA1817" s="507"/>
      <c r="BJ1817" s="493"/>
      <c r="CU1817" s="488"/>
      <c r="CW1817" s="488"/>
      <c r="EV1817" s="821"/>
      <c r="EW1817" s="821"/>
    </row>
    <row r="1818" spans="1:153" s="757" customFormat="1" hidden="1">
      <c r="A1818" s="487"/>
      <c r="B1818" s="487"/>
      <c r="C1818" s="487"/>
      <c r="D1818" s="487"/>
      <c r="I1818" s="487"/>
      <c r="J1818" s="487"/>
      <c r="K1818" s="487"/>
      <c r="L1818" s="487"/>
      <c r="M1818" s="487"/>
      <c r="N1818" s="487"/>
      <c r="O1818" s="875"/>
      <c r="Q1818" s="704"/>
      <c r="R1818" s="1026"/>
      <c r="S1818" s="704"/>
      <c r="T1818" s="1026"/>
      <c r="AB1818" s="520"/>
      <c r="AC1818" s="520"/>
      <c r="AD1818" s="520"/>
      <c r="AE1818" s="520"/>
      <c r="AF1818" s="520"/>
      <c r="AG1818" s="520"/>
      <c r="AH1818" s="520"/>
      <c r="AI1818" s="520"/>
      <c r="AJ1818" s="520"/>
      <c r="AK1818" s="520"/>
      <c r="AL1818" s="520"/>
      <c r="AM1818" s="520"/>
      <c r="AN1818" s="520"/>
      <c r="AO1818" s="520"/>
      <c r="AP1818" s="520"/>
      <c r="AQ1818" s="520"/>
      <c r="AR1818" s="520"/>
      <c r="AS1818" s="520"/>
      <c r="AT1818" s="520"/>
      <c r="AU1818" s="520"/>
      <c r="AV1818" s="520"/>
      <c r="AY1818" s="507"/>
      <c r="BA1818" s="507"/>
      <c r="BJ1818" s="493"/>
      <c r="CU1818" s="488"/>
      <c r="CW1818" s="488"/>
      <c r="EV1818" s="821"/>
      <c r="EW1818" s="821"/>
    </row>
    <row r="1819" spans="1:153" s="757" customFormat="1" hidden="1">
      <c r="A1819" s="487"/>
      <c r="B1819" s="487"/>
      <c r="C1819" s="487"/>
      <c r="D1819" s="487"/>
      <c r="I1819" s="487"/>
      <c r="J1819" s="487"/>
      <c r="K1819" s="487"/>
      <c r="L1819" s="487"/>
      <c r="M1819" s="487"/>
      <c r="N1819" s="487"/>
      <c r="O1819" s="875"/>
      <c r="Q1819" s="704"/>
      <c r="R1819" s="1026"/>
      <c r="S1819" s="704"/>
      <c r="T1819" s="1026"/>
      <c r="AB1819" s="520"/>
      <c r="AC1819" s="520"/>
      <c r="AD1819" s="520"/>
      <c r="AE1819" s="520"/>
      <c r="AF1819" s="520"/>
      <c r="AG1819" s="520"/>
      <c r="AH1819" s="520"/>
      <c r="AI1819" s="520"/>
      <c r="AJ1819" s="520"/>
      <c r="AK1819" s="520"/>
      <c r="AL1819" s="520"/>
      <c r="AM1819" s="520"/>
      <c r="AN1819" s="520"/>
      <c r="AO1819" s="520"/>
      <c r="AP1819" s="520"/>
      <c r="AQ1819" s="520"/>
      <c r="AR1819" s="520"/>
      <c r="AS1819" s="520"/>
      <c r="AT1819" s="520"/>
      <c r="AU1819" s="520"/>
      <c r="AV1819" s="520"/>
      <c r="AY1819" s="507"/>
      <c r="BA1819" s="507"/>
      <c r="BJ1819" s="493"/>
      <c r="CU1819" s="488"/>
      <c r="CW1819" s="488"/>
      <c r="EV1819" s="821"/>
      <c r="EW1819" s="821"/>
    </row>
    <row r="1820" spans="1:153" s="757" customFormat="1" hidden="1">
      <c r="A1820" s="487"/>
      <c r="B1820" s="487"/>
      <c r="C1820" s="487"/>
      <c r="D1820" s="487"/>
      <c r="I1820" s="487"/>
      <c r="J1820" s="487"/>
      <c r="K1820" s="487"/>
      <c r="L1820" s="487"/>
      <c r="M1820" s="487"/>
      <c r="N1820" s="487"/>
      <c r="O1820" s="875"/>
      <c r="Q1820" s="704"/>
      <c r="R1820" s="1026"/>
      <c r="S1820" s="704"/>
      <c r="T1820" s="1026"/>
      <c r="AB1820" s="520"/>
      <c r="AC1820" s="520"/>
      <c r="AD1820" s="520"/>
      <c r="AE1820" s="520"/>
      <c r="AF1820" s="520"/>
      <c r="AG1820" s="520"/>
      <c r="AH1820" s="520"/>
      <c r="AI1820" s="520"/>
      <c r="AJ1820" s="520"/>
      <c r="AK1820" s="520"/>
      <c r="AL1820" s="520"/>
      <c r="AM1820" s="520"/>
      <c r="AN1820" s="520"/>
      <c r="AO1820" s="520"/>
      <c r="AP1820" s="520"/>
      <c r="AQ1820" s="520"/>
      <c r="AR1820" s="520"/>
      <c r="AS1820" s="520"/>
      <c r="AT1820" s="520"/>
      <c r="AU1820" s="520"/>
      <c r="AV1820" s="520"/>
      <c r="AY1820" s="507"/>
      <c r="BA1820" s="507"/>
      <c r="BJ1820" s="493"/>
      <c r="CU1820" s="488"/>
      <c r="CW1820" s="488"/>
      <c r="EV1820" s="821"/>
      <c r="EW1820" s="821"/>
    </row>
    <row r="1821" spans="1:153" s="757" customFormat="1" hidden="1">
      <c r="A1821" s="487"/>
      <c r="B1821" s="487"/>
      <c r="C1821" s="487"/>
      <c r="D1821" s="487"/>
      <c r="I1821" s="487"/>
      <c r="J1821" s="487"/>
      <c r="K1821" s="487"/>
      <c r="L1821" s="487"/>
      <c r="M1821" s="487"/>
      <c r="N1821" s="487"/>
      <c r="O1821" s="875"/>
      <c r="Q1821" s="704"/>
      <c r="R1821" s="1026"/>
      <c r="S1821" s="704"/>
      <c r="T1821" s="1026"/>
      <c r="AB1821" s="520"/>
      <c r="AC1821" s="520"/>
      <c r="AD1821" s="520"/>
      <c r="AE1821" s="520"/>
      <c r="AF1821" s="520"/>
      <c r="AG1821" s="520"/>
      <c r="AH1821" s="520"/>
      <c r="AI1821" s="520"/>
      <c r="AJ1821" s="520"/>
      <c r="AK1821" s="520"/>
      <c r="AL1821" s="520"/>
      <c r="AM1821" s="520"/>
      <c r="AN1821" s="520"/>
      <c r="AO1821" s="520"/>
      <c r="AP1821" s="520"/>
      <c r="AQ1821" s="520"/>
      <c r="AR1821" s="520"/>
      <c r="AS1821" s="520"/>
      <c r="AT1821" s="520"/>
      <c r="AU1821" s="520"/>
      <c r="AV1821" s="520"/>
      <c r="AY1821" s="507"/>
      <c r="BA1821" s="507"/>
      <c r="BJ1821" s="493"/>
      <c r="CU1821" s="488"/>
      <c r="CW1821" s="488"/>
      <c r="EV1821" s="821"/>
      <c r="EW1821" s="821"/>
    </row>
    <row r="1822" spans="1:153" s="757" customFormat="1" hidden="1">
      <c r="A1822" s="487"/>
      <c r="B1822" s="487"/>
      <c r="C1822" s="487"/>
      <c r="D1822" s="487"/>
      <c r="I1822" s="487"/>
      <c r="J1822" s="487"/>
      <c r="K1822" s="487"/>
      <c r="L1822" s="487"/>
      <c r="M1822" s="487"/>
      <c r="N1822" s="487"/>
      <c r="O1822" s="875"/>
      <c r="Q1822" s="704"/>
      <c r="R1822" s="1026"/>
      <c r="S1822" s="704"/>
      <c r="T1822" s="1026"/>
      <c r="AB1822" s="520"/>
      <c r="AC1822" s="520"/>
      <c r="AD1822" s="520"/>
      <c r="AE1822" s="520"/>
      <c r="AF1822" s="520"/>
      <c r="AG1822" s="520"/>
      <c r="AH1822" s="520"/>
      <c r="AI1822" s="520"/>
      <c r="AJ1822" s="520"/>
      <c r="AK1822" s="520"/>
      <c r="AL1822" s="520"/>
      <c r="AM1822" s="520"/>
      <c r="AN1822" s="520"/>
      <c r="AO1822" s="520"/>
      <c r="AP1822" s="520"/>
      <c r="AQ1822" s="520"/>
      <c r="AR1822" s="520"/>
      <c r="AS1822" s="520"/>
      <c r="AT1822" s="520"/>
      <c r="AU1822" s="520"/>
      <c r="AV1822" s="520"/>
      <c r="AY1822" s="507"/>
      <c r="BA1822" s="507"/>
      <c r="BJ1822" s="493"/>
      <c r="CU1822" s="488"/>
      <c r="CW1822" s="488"/>
      <c r="EV1822" s="821"/>
      <c r="EW1822" s="821"/>
    </row>
    <row r="1823" spans="1:153" s="757" customFormat="1" hidden="1">
      <c r="A1823" s="487"/>
      <c r="B1823" s="487"/>
      <c r="C1823" s="487"/>
      <c r="D1823" s="487"/>
      <c r="I1823" s="487"/>
      <c r="J1823" s="487"/>
      <c r="K1823" s="487"/>
      <c r="L1823" s="487"/>
      <c r="M1823" s="487"/>
      <c r="N1823" s="487"/>
      <c r="O1823" s="875"/>
      <c r="Q1823" s="704"/>
      <c r="R1823" s="1026"/>
      <c r="S1823" s="704"/>
      <c r="T1823" s="1026"/>
      <c r="AB1823" s="520"/>
      <c r="AC1823" s="520"/>
      <c r="AD1823" s="520"/>
      <c r="AE1823" s="520"/>
      <c r="AF1823" s="520"/>
      <c r="AG1823" s="520"/>
      <c r="AH1823" s="520"/>
      <c r="AI1823" s="520"/>
      <c r="AJ1823" s="520"/>
      <c r="AK1823" s="520"/>
      <c r="AL1823" s="520"/>
      <c r="AM1823" s="520"/>
      <c r="AN1823" s="520"/>
      <c r="AO1823" s="520"/>
      <c r="AP1823" s="520"/>
      <c r="AQ1823" s="520"/>
      <c r="AR1823" s="520"/>
      <c r="AS1823" s="520"/>
      <c r="AT1823" s="520"/>
      <c r="AU1823" s="520"/>
      <c r="AV1823" s="520"/>
      <c r="AY1823" s="507"/>
      <c r="BA1823" s="507"/>
      <c r="BJ1823" s="493"/>
      <c r="CU1823" s="488"/>
      <c r="CW1823" s="488"/>
      <c r="EV1823" s="821"/>
      <c r="EW1823" s="821"/>
    </row>
    <row r="1824" spans="1:153" s="757" customFormat="1" hidden="1">
      <c r="A1824" s="487"/>
      <c r="B1824" s="487"/>
      <c r="C1824" s="487"/>
      <c r="D1824" s="487"/>
      <c r="I1824" s="487"/>
      <c r="J1824" s="487"/>
      <c r="K1824" s="487"/>
      <c r="L1824" s="487"/>
      <c r="M1824" s="487"/>
      <c r="N1824" s="487"/>
      <c r="O1824" s="875"/>
      <c r="Q1824" s="704"/>
      <c r="R1824" s="1026"/>
      <c r="S1824" s="704"/>
      <c r="T1824" s="1026"/>
      <c r="AB1824" s="520"/>
      <c r="AC1824" s="520"/>
      <c r="AD1824" s="520"/>
      <c r="AE1824" s="520"/>
      <c r="AF1824" s="520"/>
      <c r="AG1824" s="520"/>
      <c r="AH1824" s="520"/>
      <c r="AI1824" s="520"/>
      <c r="AJ1824" s="520"/>
      <c r="AK1824" s="520"/>
      <c r="AL1824" s="520"/>
      <c r="AM1824" s="520"/>
      <c r="AN1824" s="520"/>
      <c r="AO1824" s="520"/>
      <c r="AP1824" s="520"/>
      <c r="AQ1824" s="520"/>
      <c r="AR1824" s="520"/>
      <c r="AS1824" s="520"/>
      <c r="AT1824" s="520"/>
      <c r="AU1824" s="520"/>
      <c r="AV1824" s="520"/>
      <c r="AY1824" s="507"/>
      <c r="BA1824" s="507"/>
      <c r="BJ1824" s="493"/>
      <c r="CU1824" s="488"/>
      <c r="CW1824" s="488"/>
      <c r="EV1824" s="821"/>
      <c r="EW1824" s="821"/>
    </row>
    <row r="1825" spans="1:153" s="757" customFormat="1" hidden="1">
      <c r="A1825" s="487"/>
      <c r="B1825" s="487"/>
      <c r="C1825" s="487"/>
      <c r="D1825" s="487"/>
      <c r="I1825" s="487"/>
      <c r="J1825" s="487"/>
      <c r="K1825" s="487"/>
      <c r="L1825" s="487"/>
      <c r="M1825" s="487"/>
      <c r="N1825" s="487"/>
      <c r="O1825" s="875"/>
      <c r="Q1825" s="704"/>
      <c r="R1825" s="1026"/>
      <c r="S1825" s="704"/>
      <c r="T1825" s="1026"/>
      <c r="AB1825" s="520"/>
      <c r="AC1825" s="520"/>
      <c r="AD1825" s="520"/>
      <c r="AE1825" s="520"/>
      <c r="AF1825" s="520"/>
      <c r="AG1825" s="520"/>
      <c r="AH1825" s="520"/>
      <c r="AI1825" s="520"/>
      <c r="AJ1825" s="520"/>
      <c r="AK1825" s="520"/>
      <c r="AL1825" s="520"/>
      <c r="AM1825" s="520"/>
      <c r="AN1825" s="520"/>
      <c r="AO1825" s="520"/>
      <c r="AP1825" s="520"/>
      <c r="AQ1825" s="520"/>
      <c r="AR1825" s="520"/>
      <c r="AS1825" s="520"/>
      <c r="AT1825" s="520"/>
      <c r="AU1825" s="520"/>
      <c r="AV1825" s="520"/>
      <c r="AY1825" s="507"/>
      <c r="BA1825" s="507"/>
      <c r="BJ1825" s="493"/>
      <c r="CU1825" s="488"/>
      <c r="CW1825" s="488"/>
      <c r="EV1825" s="821"/>
      <c r="EW1825" s="821"/>
    </row>
    <row r="1826" spans="1:153" s="757" customFormat="1" hidden="1">
      <c r="A1826" s="487"/>
      <c r="B1826" s="487"/>
      <c r="C1826" s="487"/>
      <c r="D1826" s="487"/>
      <c r="I1826" s="487"/>
      <c r="J1826" s="487"/>
      <c r="K1826" s="487"/>
      <c r="L1826" s="487"/>
      <c r="M1826" s="487"/>
      <c r="N1826" s="487"/>
      <c r="O1826" s="875"/>
      <c r="Q1826" s="704"/>
      <c r="R1826" s="1026"/>
      <c r="S1826" s="704"/>
      <c r="T1826" s="1026"/>
      <c r="AB1826" s="520"/>
      <c r="AC1826" s="520"/>
      <c r="AD1826" s="520"/>
      <c r="AE1826" s="520"/>
      <c r="AF1826" s="520"/>
      <c r="AG1826" s="520"/>
      <c r="AH1826" s="520"/>
      <c r="AI1826" s="520"/>
      <c r="AJ1826" s="520"/>
      <c r="AK1826" s="520"/>
      <c r="AL1826" s="520"/>
      <c r="AM1826" s="520"/>
      <c r="AN1826" s="520"/>
      <c r="AO1826" s="520"/>
      <c r="AP1826" s="520"/>
      <c r="AQ1826" s="520"/>
      <c r="AR1826" s="520"/>
      <c r="AS1826" s="520"/>
      <c r="AT1826" s="520"/>
      <c r="AU1826" s="520"/>
      <c r="AV1826" s="520"/>
      <c r="AY1826" s="507"/>
      <c r="BA1826" s="507"/>
      <c r="BJ1826" s="493"/>
      <c r="CU1826" s="488"/>
      <c r="CW1826" s="488"/>
      <c r="EV1826" s="821"/>
      <c r="EW1826" s="821"/>
    </row>
    <row r="1827" spans="1:153" s="757" customFormat="1" hidden="1">
      <c r="A1827" s="487"/>
      <c r="B1827" s="487"/>
      <c r="C1827" s="487"/>
      <c r="D1827" s="487"/>
      <c r="I1827" s="487"/>
      <c r="J1827" s="487"/>
      <c r="K1827" s="487"/>
      <c r="L1827" s="487"/>
      <c r="M1827" s="487"/>
      <c r="N1827" s="487"/>
      <c r="O1827" s="875"/>
      <c r="Q1827" s="704"/>
      <c r="R1827" s="1026"/>
      <c r="S1827" s="704"/>
      <c r="T1827" s="1026"/>
      <c r="AB1827" s="520"/>
      <c r="AC1827" s="520"/>
      <c r="AD1827" s="520"/>
      <c r="AE1827" s="520"/>
      <c r="AF1827" s="520"/>
      <c r="AG1827" s="520"/>
      <c r="AH1827" s="520"/>
      <c r="AI1827" s="520"/>
      <c r="AJ1827" s="520"/>
      <c r="AK1827" s="520"/>
      <c r="AL1827" s="520"/>
      <c r="AM1827" s="520"/>
      <c r="AN1827" s="520"/>
      <c r="AO1827" s="520"/>
      <c r="AP1827" s="520"/>
      <c r="AQ1827" s="520"/>
      <c r="AR1827" s="520"/>
      <c r="AS1827" s="520"/>
      <c r="AT1827" s="520"/>
      <c r="AU1827" s="520"/>
      <c r="AV1827" s="520"/>
      <c r="AY1827" s="507"/>
      <c r="BA1827" s="507"/>
      <c r="BJ1827" s="493"/>
      <c r="CU1827" s="488"/>
      <c r="CW1827" s="488"/>
      <c r="EV1827" s="821"/>
      <c r="EW1827" s="821"/>
    </row>
    <row r="1828" spans="1:153" s="757" customFormat="1" hidden="1">
      <c r="A1828" s="487"/>
      <c r="B1828" s="487"/>
      <c r="C1828" s="487"/>
      <c r="D1828" s="487"/>
      <c r="I1828" s="487"/>
      <c r="J1828" s="487"/>
      <c r="K1828" s="487"/>
      <c r="L1828" s="487"/>
      <c r="M1828" s="487"/>
      <c r="N1828" s="487"/>
      <c r="O1828" s="875"/>
      <c r="Q1828" s="704"/>
      <c r="R1828" s="1026"/>
      <c r="S1828" s="704"/>
      <c r="T1828" s="1026"/>
      <c r="AB1828" s="520"/>
      <c r="AC1828" s="520"/>
      <c r="AD1828" s="520"/>
      <c r="AE1828" s="520"/>
      <c r="AF1828" s="520"/>
      <c r="AG1828" s="520"/>
      <c r="AH1828" s="520"/>
      <c r="AI1828" s="520"/>
      <c r="AJ1828" s="520"/>
      <c r="AK1828" s="520"/>
      <c r="AL1828" s="520"/>
      <c r="AM1828" s="520"/>
      <c r="AN1828" s="520"/>
      <c r="AO1828" s="520"/>
      <c r="AP1828" s="520"/>
      <c r="AQ1828" s="520"/>
      <c r="AR1828" s="520"/>
      <c r="AS1828" s="520"/>
      <c r="AT1828" s="520"/>
      <c r="AU1828" s="520"/>
      <c r="AV1828" s="520"/>
      <c r="AY1828" s="507"/>
      <c r="BA1828" s="507"/>
      <c r="BJ1828" s="493"/>
      <c r="CU1828" s="488"/>
      <c r="CW1828" s="488"/>
      <c r="EV1828" s="821"/>
      <c r="EW1828" s="821"/>
    </row>
    <row r="1829" spans="1:153" s="757" customFormat="1" hidden="1">
      <c r="A1829" s="487"/>
      <c r="B1829" s="487"/>
      <c r="C1829" s="487"/>
      <c r="D1829" s="487"/>
      <c r="I1829" s="487"/>
      <c r="J1829" s="487"/>
      <c r="K1829" s="487"/>
      <c r="L1829" s="487"/>
      <c r="M1829" s="487"/>
      <c r="N1829" s="487"/>
      <c r="O1829" s="875"/>
      <c r="Q1829" s="704"/>
      <c r="R1829" s="1026"/>
      <c r="S1829" s="704"/>
      <c r="T1829" s="1026"/>
      <c r="AB1829" s="520"/>
      <c r="AC1829" s="520"/>
      <c r="AD1829" s="520"/>
      <c r="AE1829" s="520"/>
      <c r="AF1829" s="520"/>
      <c r="AG1829" s="520"/>
      <c r="AH1829" s="520"/>
      <c r="AI1829" s="520"/>
      <c r="AJ1829" s="520"/>
      <c r="AK1829" s="520"/>
      <c r="AL1829" s="520"/>
      <c r="AM1829" s="520"/>
      <c r="AN1829" s="520"/>
      <c r="AO1829" s="520"/>
      <c r="AP1829" s="520"/>
      <c r="AQ1829" s="520"/>
      <c r="AR1829" s="520"/>
      <c r="AS1829" s="520"/>
      <c r="AT1829" s="520"/>
      <c r="AU1829" s="520"/>
      <c r="AV1829" s="520"/>
      <c r="AY1829" s="507"/>
      <c r="BA1829" s="507"/>
      <c r="BJ1829" s="493"/>
      <c r="CU1829" s="488"/>
      <c r="CW1829" s="488"/>
      <c r="EV1829" s="821"/>
      <c r="EW1829" s="821"/>
    </row>
    <row r="1830" spans="1:153" s="757" customFormat="1" hidden="1">
      <c r="A1830" s="487"/>
      <c r="B1830" s="487"/>
      <c r="C1830" s="487"/>
      <c r="D1830" s="487"/>
      <c r="I1830" s="487"/>
      <c r="J1830" s="487"/>
      <c r="K1830" s="487"/>
      <c r="L1830" s="487"/>
      <c r="M1830" s="487"/>
      <c r="N1830" s="487"/>
      <c r="O1830" s="875"/>
      <c r="Q1830" s="704"/>
      <c r="R1830" s="1026"/>
      <c r="S1830" s="704"/>
      <c r="T1830" s="1026"/>
      <c r="AB1830" s="520"/>
      <c r="AC1830" s="520"/>
      <c r="AD1830" s="520"/>
      <c r="AE1830" s="520"/>
      <c r="AF1830" s="520"/>
      <c r="AG1830" s="520"/>
      <c r="AH1830" s="520"/>
      <c r="AI1830" s="520"/>
      <c r="AJ1830" s="520"/>
      <c r="AK1830" s="520"/>
      <c r="AL1830" s="520"/>
      <c r="AM1830" s="520"/>
      <c r="AN1830" s="520"/>
      <c r="AO1830" s="520"/>
      <c r="AP1830" s="520"/>
      <c r="AQ1830" s="520"/>
      <c r="AR1830" s="520"/>
      <c r="AS1830" s="520"/>
      <c r="AT1830" s="520"/>
      <c r="AU1830" s="520"/>
      <c r="AV1830" s="520"/>
      <c r="AY1830" s="507"/>
      <c r="BA1830" s="507"/>
      <c r="BJ1830" s="493"/>
      <c r="CU1830" s="488"/>
      <c r="CW1830" s="488"/>
      <c r="EV1830" s="821"/>
      <c r="EW1830" s="821"/>
    </row>
    <row r="1831" spans="1:153" s="757" customFormat="1" hidden="1">
      <c r="A1831" s="487"/>
      <c r="B1831" s="487"/>
      <c r="C1831" s="487"/>
      <c r="D1831" s="487"/>
      <c r="I1831" s="487"/>
      <c r="J1831" s="487"/>
      <c r="K1831" s="487"/>
      <c r="L1831" s="487"/>
      <c r="M1831" s="487"/>
      <c r="N1831" s="487"/>
      <c r="O1831" s="875"/>
      <c r="Q1831" s="704"/>
      <c r="R1831" s="1026"/>
      <c r="S1831" s="704"/>
      <c r="T1831" s="1026"/>
      <c r="AB1831" s="520"/>
      <c r="AC1831" s="520"/>
      <c r="AD1831" s="520"/>
      <c r="AE1831" s="520"/>
      <c r="AF1831" s="520"/>
      <c r="AG1831" s="520"/>
      <c r="AH1831" s="520"/>
      <c r="AI1831" s="520"/>
      <c r="AJ1831" s="520"/>
      <c r="AK1831" s="520"/>
      <c r="AL1831" s="520"/>
      <c r="AM1831" s="520"/>
      <c r="AN1831" s="520"/>
      <c r="AO1831" s="520"/>
      <c r="AP1831" s="520"/>
      <c r="AQ1831" s="520"/>
      <c r="AR1831" s="520"/>
      <c r="AS1831" s="520"/>
      <c r="AT1831" s="520"/>
      <c r="AU1831" s="520"/>
      <c r="AV1831" s="520"/>
      <c r="AY1831" s="507"/>
      <c r="BA1831" s="507"/>
      <c r="BJ1831" s="493"/>
      <c r="CU1831" s="488"/>
      <c r="CW1831" s="488"/>
      <c r="EV1831" s="821"/>
      <c r="EW1831" s="821"/>
    </row>
    <row r="1832" spans="1:153" s="757" customFormat="1" hidden="1">
      <c r="A1832" s="487"/>
      <c r="B1832" s="487"/>
      <c r="C1832" s="487"/>
      <c r="D1832" s="487"/>
      <c r="I1832" s="487"/>
      <c r="J1832" s="487"/>
      <c r="K1832" s="487"/>
      <c r="L1832" s="487"/>
      <c r="M1832" s="487"/>
      <c r="N1832" s="487"/>
      <c r="O1832" s="875"/>
      <c r="Q1832" s="704"/>
      <c r="R1832" s="1026"/>
      <c r="S1832" s="704"/>
      <c r="T1832" s="1026"/>
      <c r="AB1832" s="520"/>
      <c r="AC1832" s="520"/>
      <c r="AD1832" s="520"/>
      <c r="AE1832" s="520"/>
      <c r="AF1832" s="520"/>
      <c r="AG1832" s="520"/>
      <c r="AH1832" s="520"/>
      <c r="AI1832" s="520"/>
      <c r="AJ1832" s="520"/>
      <c r="AK1832" s="520"/>
      <c r="AL1832" s="520"/>
      <c r="AM1832" s="520"/>
      <c r="AN1832" s="520"/>
      <c r="AO1832" s="520"/>
      <c r="AP1832" s="520"/>
      <c r="AQ1832" s="520"/>
      <c r="AR1832" s="520"/>
      <c r="AS1832" s="520"/>
      <c r="AT1832" s="520"/>
      <c r="AU1832" s="520"/>
      <c r="AV1832" s="520"/>
      <c r="AY1832" s="507"/>
      <c r="BA1832" s="507"/>
      <c r="BJ1832" s="493"/>
      <c r="CU1832" s="488"/>
      <c r="CW1832" s="488"/>
      <c r="EV1832" s="821"/>
      <c r="EW1832" s="821"/>
    </row>
    <row r="1833" spans="1:153" s="757" customFormat="1" hidden="1">
      <c r="A1833" s="487"/>
      <c r="B1833" s="487"/>
      <c r="C1833" s="487"/>
      <c r="D1833" s="487"/>
      <c r="I1833" s="487"/>
      <c r="J1833" s="487"/>
      <c r="K1833" s="487"/>
      <c r="L1833" s="487"/>
      <c r="M1833" s="487"/>
      <c r="N1833" s="487"/>
      <c r="O1833" s="875"/>
      <c r="Q1833" s="704"/>
      <c r="R1833" s="1026"/>
      <c r="S1833" s="704"/>
      <c r="T1833" s="1026"/>
      <c r="AB1833" s="520"/>
      <c r="AC1833" s="520"/>
      <c r="AD1833" s="520"/>
      <c r="AE1833" s="520"/>
      <c r="AF1833" s="520"/>
      <c r="AG1833" s="520"/>
      <c r="AH1833" s="520"/>
      <c r="AI1833" s="520"/>
      <c r="AJ1833" s="520"/>
      <c r="AK1833" s="520"/>
      <c r="AL1833" s="520"/>
      <c r="AM1833" s="520"/>
      <c r="AN1833" s="520"/>
      <c r="AO1833" s="520"/>
      <c r="AP1833" s="520"/>
      <c r="AQ1833" s="520"/>
      <c r="AR1833" s="520"/>
      <c r="AS1833" s="520"/>
      <c r="AT1833" s="520"/>
      <c r="AU1833" s="520"/>
      <c r="AV1833" s="520"/>
      <c r="AY1833" s="507"/>
      <c r="BA1833" s="507"/>
      <c r="BJ1833" s="493"/>
      <c r="CU1833" s="488"/>
      <c r="CW1833" s="488"/>
      <c r="EV1833" s="821"/>
      <c r="EW1833" s="821"/>
    </row>
    <row r="1834" spans="1:153" s="757" customFormat="1" hidden="1">
      <c r="A1834" s="487"/>
      <c r="B1834" s="487"/>
      <c r="C1834" s="487"/>
      <c r="D1834" s="487"/>
      <c r="I1834" s="487"/>
      <c r="J1834" s="487"/>
      <c r="K1834" s="487"/>
      <c r="L1834" s="487"/>
      <c r="M1834" s="487"/>
      <c r="N1834" s="487"/>
      <c r="O1834" s="875"/>
      <c r="Q1834" s="704"/>
      <c r="R1834" s="1026"/>
      <c r="S1834" s="704"/>
      <c r="T1834" s="1026"/>
      <c r="AB1834" s="520"/>
      <c r="AC1834" s="520"/>
      <c r="AD1834" s="520"/>
      <c r="AE1834" s="520"/>
      <c r="AF1834" s="520"/>
      <c r="AG1834" s="520"/>
      <c r="AH1834" s="520"/>
      <c r="AI1834" s="520"/>
      <c r="AJ1834" s="520"/>
      <c r="AK1834" s="520"/>
      <c r="AL1834" s="520"/>
      <c r="AM1834" s="520"/>
      <c r="AN1834" s="520"/>
      <c r="AO1834" s="520"/>
      <c r="AP1834" s="520"/>
      <c r="AQ1834" s="520"/>
      <c r="AR1834" s="520"/>
      <c r="AS1834" s="520"/>
      <c r="AT1834" s="520"/>
      <c r="AU1834" s="520"/>
      <c r="AV1834" s="520"/>
      <c r="AY1834" s="507"/>
      <c r="BA1834" s="507"/>
      <c r="BJ1834" s="493"/>
      <c r="CU1834" s="488"/>
      <c r="CW1834" s="488"/>
      <c r="EV1834" s="821"/>
      <c r="EW1834" s="821"/>
    </row>
    <row r="1835" spans="1:153" s="757" customFormat="1" hidden="1">
      <c r="A1835" s="487"/>
      <c r="B1835" s="487"/>
      <c r="C1835" s="487"/>
      <c r="D1835" s="487"/>
      <c r="I1835" s="487"/>
      <c r="J1835" s="487"/>
      <c r="K1835" s="487"/>
      <c r="L1835" s="487"/>
      <c r="M1835" s="487"/>
      <c r="N1835" s="487"/>
      <c r="O1835" s="875"/>
      <c r="Q1835" s="704"/>
      <c r="R1835" s="1026"/>
      <c r="S1835" s="704"/>
      <c r="T1835" s="1026"/>
      <c r="AB1835" s="520"/>
      <c r="AC1835" s="520"/>
      <c r="AD1835" s="520"/>
      <c r="AE1835" s="520"/>
      <c r="AF1835" s="520"/>
      <c r="AG1835" s="520"/>
      <c r="AH1835" s="520"/>
      <c r="AI1835" s="520"/>
      <c r="AJ1835" s="520"/>
      <c r="AK1835" s="520"/>
      <c r="AL1835" s="520"/>
      <c r="AM1835" s="520"/>
      <c r="AN1835" s="520"/>
      <c r="AO1835" s="520"/>
      <c r="AP1835" s="520"/>
      <c r="AQ1835" s="520"/>
      <c r="AR1835" s="520"/>
      <c r="AS1835" s="520"/>
      <c r="AT1835" s="520"/>
      <c r="AU1835" s="520"/>
      <c r="AV1835" s="520"/>
      <c r="AY1835" s="507"/>
      <c r="BA1835" s="507"/>
      <c r="BJ1835" s="493"/>
      <c r="CU1835" s="488"/>
      <c r="CW1835" s="488"/>
      <c r="EV1835" s="821"/>
      <c r="EW1835" s="821"/>
    </row>
    <row r="1836" spans="1:153" s="757" customFormat="1" hidden="1">
      <c r="A1836" s="487"/>
      <c r="B1836" s="487"/>
      <c r="C1836" s="487"/>
      <c r="D1836" s="487"/>
      <c r="I1836" s="487"/>
      <c r="J1836" s="487"/>
      <c r="K1836" s="487"/>
      <c r="L1836" s="487"/>
      <c r="M1836" s="487"/>
      <c r="N1836" s="487"/>
      <c r="O1836" s="875"/>
      <c r="Q1836" s="704"/>
      <c r="R1836" s="1026"/>
      <c r="S1836" s="704"/>
      <c r="T1836" s="1026"/>
      <c r="AB1836" s="520"/>
      <c r="AC1836" s="520"/>
      <c r="AD1836" s="520"/>
      <c r="AE1836" s="520"/>
      <c r="AF1836" s="520"/>
      <c r="AG1836" s="520"/>
      <c r="AH1836" s="520"/>
      <c r="AI1836" s="520"/>
      <c r="AJ1836" s="520"/>
      <c r="AK1836" s="520"/>
      <c r="AL1836" s="520"/>
      <c r="AM1836" s="520"/>
      <c r="AN1836" s="520"/>
      <c r="AO1836" s="520"/>
      <c r="AP1836" s="520"/>
      <c r="AQ1836" s="520"/>
      <c r="AR1836" s="520"/>
      <c r="AS1836" s="520"/>
      <c r="AT1836" s="520"/>
      <c r="AU1836" s="520"/>
      <c r="AV1836" s="520"/>
      <c r="AY1836" s="507"/>
      <c r="BA1836" s="507"/>
      <c r="BJ1836" s="493"/>
      <c r="CU1836" s="488"/>
      <c r="CW1836" s="488"/>
      <c r="EV1836" s="821"/>
      <c r="EW1836" s="821"/>
    </row>
    <row r="1837" spans="1:153" s="757" customFormat="1" hidden="1">
      <c r="A1837" s="487"/>
      <c r="B1837" s="487"/>
      <c r="C1837" s="487"/>
      <c r="D1837" s="487"/>
      <c r="I1837" s="487"/>
      <c r="J1837" s="487"/>
      <c r="K1837" s="487"/>
      <c r="L1837" s="487"/>
      <c r="M1837" s="487"/>
      <c r="N1837" s="487"/>
      <c r="O1837" s="875"/>
      <c r="Q1837" s="704"/>
      <c r="R1837" s="1026"/>
      <c r="S1837" s="704"/>
      <c r="T1837" s="1026"/>
      <c r="AB1837" s="520"/>
      <c r="AC1837" s="520"/>
      <c r="AD1837" s="520"/>
      <c r="AE1837" s="520"/>
      <c r="AF1837" s="520"/>
      <c r="AG1837" s="520"/>
      <c r="AH1837" s="520"/>
      <c r="AI1837" s="520"/>
      <c r="AJ1837" s="520"/>
      <c r="AK1837" s="520"/>
      <c r="AL1837" s="520"/>
      <c r="AM1837" s="520"/>
      <c r="AN1837" s="520"/>
      <c r="AO1837" s="520"/>
      <c r="AP1837" s="520"/>
      <c r="AQ1837" s="520"/>
      <c r="AR1837" s="520"/>
      <c r="AS1837" s="520"/>
      <c r="AT1837" s="520"/>
      <c r="AU1837" s="520"/>
      <c r="AV1837" s="520"/>
      <c r="AY1837" s="507"/>
      <c r="BA1837" s="507"/>
      <c r="BJ1837" s="493"/>
      <c r="CU1837" s="488"/>
      <c r="CW1837" s="488"/>
      <c r="EV1837" s="821"/>
      <c r="EW1837" s="821"/>
    </row>
    <row r="1838" spans="1:153" s="757" customFormat="1" hidden="1">
      <c r="A1838" s="487"/>
      <c r="B1838" s="487"/>
      <c r="C1838" s="487"/>
      <c r="D1838" s="487"/>
      <c r="I1838" s="487"/>
      <c r="J1838" s="487"/>
      <c r="K1838" s="487"/>
      <c r="L1838" s="487"/>
      <c r="M1838" s="487"/>
      <c r="N1838" s="487"/>
      <c r="O1838" s="875"/>
      <c r="Q1838" s="704"/>
      <c r="R1838" s="1026"/>
      <c r="S1838" s="704"/>
      <c r="T1838" s="1026"/>
      <c r="AB1838" s="520"/>
      <c r="AC1838" s="520"/>
      <c r="AD1838" s="520"/>
      <c r="AE1838" s="520"/>
      <c r="AF1838" s="520"/>
      <c r="AG1838" s="520"/>
      <c r="AH1838" s="520"/>
      <c r="AI1838" s="520"/>
      <c r="AJ1838" s="520"/>
      <c r="AK1838" s="520"/>
      <c r="AL1838" s="520"/>
      <c r="AM1838" s="520"/>
      <c r="AN1838" s="520"/>
      <c r="AO1838" s="520"/>
      <c r="AP1838" s="520"/>
      <c r="AQ1838" s="520"/>
      <c r="AR1838" s="520"/>
      <c r="AS1838" s="520"/>
      <c r="AT1838" s="520"/>
      <c r="AU1838" s="520"/>
      <c r="AV1838" s="520"/>
      <c r="AY1838" s="507"/>
      <c r="BA1838" s="507"/>
      <c r="BJ1838" s="493"/>
      <c r="CU1838" s="488"/>
      <c r="CW1838" s="488"/>
      <c r="EV1838" s="821"/>
      <c r="EW1838" s="821"/>
    </row>
    <row r="1839" spans="1:153" s="757" customFormat="1" hidden="1">
      <c r="A1839" s="487"/>
      <c r="B1839" s="487"/>
      <c r="C1839" s="487"/>
      <c r="D1839" s="487"/>
      <c r="I1839" s="487"/>
      <c r="J1839" s="487"/>
      <c r="K1839" s="487"/>
      <c r="L1839" s="487"/>
      <c r="M1839" s="487"/>
      <c r="N1839" s="487"/>
      <c r="O1839" s="875"/>
      <c r="Q1839" s="704"/>
      <c r="R1839" s="1026"/>
      <c r="S1839" s="704"/>
      <c r="T1839" s="1026"/>
      <c r="AB1839" s="520"/>
      <c r="AC1839" s="520"/>
      <c r="AD1839" s="520"/>
      <c r="AE1839" s="520"/>
      <c r="AF1839" s="520"/>
      <c r="AG1839" s="520"/>
      <c r="AH1839" s="520"/>
      <c r="AI1839" s="520"/>
      <c r="AJ1839" s="520"/>
      <c r="AK1839" s="520"/>
      <c r="AL1839" s="520"/>
      <c r="AM1839" s="520"/>
      <c r="AN1839" s="520"/>
      <c r="AO1839" s="520"/>
      <c r="AP1839" s="520"/>
      <c r="AQ1839" s="520"/>
      <c r="AR1839" s="520"/>
      <c r="AS1839" s="520"/>
      <c r="AT1839" s="520"/>
      <c r="AU1839" s="520"/>
      <c r="AV1839" s="520"/>
      <c r="AY1839" s="507"/>
      <c r="BA1839" s="507"/>
      <c r="BJ1839" s="493"/>
      <c r="CU1839" s="488"/>
      <c r="CW1839" s="488"/>
      <c r="EV1839" s="821"/>
      <c r="EW1839" s="821"/>
    </row>
    <row r="1840" spans="1:153" s="757" customFormat="1" hidden="1">
      <c r="A1840" s="487"/>
      <c r="B1840" s="487"/>
      <c r="C1840" s="487"/>
      <c r="D1840" s="487"/>
      <c r="I1840" s="487"/>
      <c r="J1840" s="487"/>
      <c r="K1840" s="487"/>
      <c r="L1840" s="487"/>
      <c r="M1840" s="487"/>
      <c r="N1840" s="487"/>
      <c r="O1840" s="875"/>
      <c r="Q1840" s="704"/>
      <c r="R1840" s="1026"/>
      <c r="S1840" s="704"/>
      <c r="T1840" s="1026"/>
      <c r="AB1840" s="520"/>
      <c r="AC1840" s="520"/>
      <c r="AD1840" s="520"/>
      <c r="AE1840" s="520"/>
      <c r="AF1840" s="520"/>
      <c r="AG1840" s="520"/>
      <c r="AH1840" s="520"/>
      <c r="AI1840" s="520"/>
      <c r="AJ1840" s="520"/>
      <c r="AK1840" s="520"/>
      <c r="AL1840" s="520"/>
      <c r="AM1840" s="520"/>
      <c r="AN1840" s="520"/>
      <c r="AO1840" s="520"/>
      <c r="AP1840" s="520"/>
      <c r="AQ1840" s="520"/>
      <c r="AR1840" s="520"/>
      <c r="AS1840" s="520"/>
      <c r="AT1840" s="520"/>
      <c r="AU1840" s="520"/>
      <c r="AV1840" s="520"/>
      <c r="AY1840" s="507"/>
      <c r="BA1840" s="507"/>
      <c r="BJ1840" s="493"/>
      <c r="CU1840" s="488"/>
      <c r="CW1840" s="488"/>
      <c r="EV1840" s="821"/>
      <c r="EW1840" s="821"/>
    </row>
    <row r="1841" spans="1:153" s="757" customFormat="1" hidden="1">
      <c r="A1841" s="487"/>
      <c r="B1841" s="487"/>
      <c r="C1841" s="487"/>
      <c r="D1841" s="487"/>
      <c r="I1841" s="487"/>
      <c r="J1841" s="487"/>
      <c r="K1841" s="487"/>
      <c r="L1841" s="487"/>
      <c r="M1841" s="487"/>
      <c r="N1841" s="487"/>
      <c r="O1841" s="875"/>
      <c r="Q1841" s="704"/>
      <c r="R1841" s="1026"/>
      <c r="S1841" s="704"/>
      <c r="T1841" s="1026"/>
      <c r="AB1841" s="520"/>
      <c r="AC1841" s="520"/>
      <c r="AD1841" s="520"/>
      <c r="AE1841" s="520"/>
      <c r="AF1841" s="520"/>
      <c r="AG1841" s="520"/>
      <c r="AH1841" s="520"/>
      <c r="AI1841" s="520"/>
      <c r="AJ1841" s="520"/>
      <c r="AK1841" s="520"/>
      <c r="AL1841" s="520"/>
      <c r="AM1841" s="520"/>
      <c r="AN1841" s="520"/>
      <c r="AO1841" s="520"/>
      <c r="AP1841" s="520"/>
      <c r="AQ1841" s="520"/>
      <c r="AR1841" s="520"/>
      <c r="AS1841" s="520"/>
      <c r="AT1841" s="520"/>
      <c r="AU1841" s="520"/>
      <c r="AV1841" s="520"/>
      <c r="AY1841" s="507"/>
      <c r="BA1841" s="507"/>
      <c r="BJ1841" s="493"/>
      <c r="CU1841" s="488"/>
      <c r="CW1841" s="488"/>
      <c r="EV1841" s="821"/>
      <c r="EW1841" s="821"/>
    </row>
    <row r="1842" spans="1:153" s="757" customFormat="1" hidden="1">
      <c r="A1842" s="487"/>
      <c r="B1842" s="487"/>
      <c r="C1842" s="487"/>
      <c r="D1842" s="487"/>
      <c r="I1842" s="487"/>
      <c r="J1842" s="487"/>
      <c r="K1842" s="487"/>
      <c r="L1842" s="487"/>
      <c r="M1842" s="487"/>
      <c r="N1842" s="487"/>
      <c r="O1842" s="875"/>
      <c r="Q1842" s="704"/>
      <c r="R1842" s="1026"/>
      <c r="S1842" s="704"/>
      <c r="T1842" s="1026"/>
      <c r="AB1842" s="520"/>
      <c r="AC1842" s="520"/>
      <c r="AD1842" s="520"/>
      <c r="AE1842" s="520"/>
      <c r="AF1842" s="520"/>
      <c r="AG1842" s="520"/>
      <c r="AH1842" s="520"/>
      <c r="AI1842" s="520"/>
      <c r="AJ1842" s="520"/>
      <c r="AK1842" s="520"/>
      <c r="AL1842" s="520"/>
      <c r="AM1842" s="520"/>
      <c r="AN1842" s="520"/>
      <c r="AO1842" s="520"/>
      <c r="AP1842" s="520"/>
      <c r="AQ1842" s="520"/>
      <c r="AR1842" s="520"/>
      <c r="AS1842" s="520"/>
      <c r="AT1842" s="520"/>
      <c r="AU1842" s="520"/>
      <c r="AV1842" s="520"/>
      <c r="AY1842" s="507"/>
      <c r="BA1842" s="507"/>
      <c r="BJ1842" s="493"/>
      <c r="CU1842" s="488"/>
      <c r="CW1842" s="488"/>
      <c r="EV1842" s="821"/>
      <c r="EW1842" s="821"/>
    </row>
    <row r="1843" spans="1:153" s="757" customFormat="1" hidden="1">
      <c r="A1843" s="487"/>
      <c r="B1843" s="487"/>
      <c r="C1843" s="487"/>
      <c r="D1843" s="487"/>
      <c r="I1843" s="487"/>
      <c r="J1843" s="487"/>
      <c r="K1843" s="487"/>
      <c r="L1843" s="487"/>
      <c r="M1843" s="487"/>
      <c r="N1843" s="487"/>
      <c r="O1843" s="875"/>
      <c r="Q1843" s="704"/>
      <c r="R1843" s="1026"/>
      <c r="S1843" s="704"/>
      <c r="T1843" s="1026"/>
      <c r="AB1843" s="520"/>
      <c r="AC1843" s="520"/>
      <c r="AD1843" s="520"/>
      <c r="AE1843" s="520"/>
      <c r="AF1843" s="520"/>
      <c r="AG1843" s="520"/>
      <c r="AH1843" s="520"/>
      <c r="AI1843" s="520"/>
      <c r="AJ1843" s="520"/>
      <c r="AK1843" s="520"/>
      <c r="AL1843" s="520"/>
      <c r="AM1843" s="520"/>
      <c r="AN1843" s="520"/>
      <c r="AO1843" s="520"/>
      <c r="AP1843" s="520"/>
      <c r="AQ1843" s="520"/>
      <c r="AR1843" s="520"/>
      <c r="AS1843" s="520"/>
      <c r="AT1843" s="520"/>
      <c r="AU1843" s="520"/>
      <c r="AV1843" s="520"/>
      <c r="AY1843" s="507"/>
      <c r="BA1843" s="507"/>
      <c r="BJ1843" s="493"/>
      <c r="CU1843" s="488"/>
      <c r="CW1843" s="488"/>
      <c r="EV1843" s="821"/>
      <c r="EW1843" s="821"/>
    </row>
    <row r="1844" spans="1:153" s="757" customFormat="1" hidden="1">
      <c r="A1844" s="487"/>
      <c r="B1844" s="487"/>
      <c r="C1844" s="487"/>
      <c r="D1844" s="487"/>
      <c r="I1844" s="487"/>
      <c r="J1844" s="487"/>
      <c r="K1844" s="487"/>
      <c r="L1844" s="487"/>
      <c r="M1844" s="487"/>
      <c r="N1844" s="487"/>
      <c r="O1844" s="875"/>
      <c r="Q1844" s="704"/>
      <c r="R1844" s="1026"/>
      <c r="S1844" s="704"/>
      <c r="T1844" s="1026"/>
      <c r="AB1844" s="520"/>
      <c r="AC1844" s="520"/>
      <c r="AD1844" s="520"/>
      <c r="AE1844" s="520"/>
      <c r="AF1844" s="520"/>
      <c r="AG1844" s="520"/>
      <c r="AH1844" s="520"/>
      <c r="AI1844" s="520"/>
      <c r="AJ1844" s="520"/>
      <c r="AK1844" s="520"/>
      <c r="AL1844" s="520"/>
      <c r="AM1844" s="520"/>
      <c r="AN1844" s="520"/>
      <c r="AO1844" s="520"/>
      <c r="AP1844" s="520"/>
      <c r="AQ1844" s="520"/>
      <c r="AR1844" s="520"/>
      <c r="AS1844" s="520"/>
      <c r="AT1844" s="520"/>
      <c r="AU1844" s="520"/>
      <c r="AV1844" s="520"/>
      <c r="AY1844" s="507"/>
      <c r="BA1844" s="507"/>
      <c r="BJ1844" s="493"/>
      <c r="CU1844" s="488"/>
      <c r="CW1844" s="488"/>
      <c r="EV1844" s="821"/>
      <c r="EW1844" s="821"/>
    </row>
    <row r="1845" spans="1:153" s="757" customFormat="1" hidden="1">
      <c r="A1845" s="487"/>
      <c r="B1845" s="487"/>
      <c r="C1845" s="487"/>
      <c r="D1845" s="487"/>
      <c r="I1845" s="487"/>
      <c r="J1845" s="487"/>
      <c r="K1845" s="487"/>
      <c r="L1845" s="487"/>
      <c r="M1845" s="487"/>
      <c r="N1845" s="487"/>
      <c r="O1845" s="875"/>
      <c r="Q1845" s="704"/>
      <c r="R1845" s="1026"/>
      <c r="S1845" s="704"/>
      <c r="T1845" s="1026"/>
      <c r="AB1845" s="520"/>
      <c r="AC1845" s="520"/>
      <c r="AD1845" s="520"/>
      <c r="AE1845" s="520"/>
      <c r="AF1845" s="520"/>
      <c r="AG1845" s="520"/>
      <c r="AH1845" s="520"/>
      <c r="AI1845" s="520"/>
      <c r="AJ1845" s="520"/>
      <c r="AK1845" s="520"/>
      <c r="AL1845" s="520"/>
      <c r="AM1845" s="520"/>
      <c r="AN1845" s="520"/>
      <c r="AO1845" s="520"/>
      <c r="AP1845" s="520"/>
      <c r="AQ1845" s="520"/>
      <c r="AR1845" s="520"/>
      <c r="AS1845" s="520"/>
      <c r="AT1845" s="520"/>
      <c r="AU1845" s="520"/>
      <c r="AV1845" s="520"/>
      <c r="AY1845" s="507"/>
      <c r="BA1845" s="507"/>
      <c r="BJ1845" s="493"/>
      <c r="CU1845" s="488"/>
      <c r="CW1845" s="488"/>
      <c r="EV1845" s="821"/>
      <c r="EW1845" s="821"/>
    </row>
    <row r="1846" spans="1:153" s="757" customFormat="1" hidden="1">
      <c r="A1846" s="487"/>
      <c r="B1846" s="487"/>
      <c r="C1846" s="487"/>
      <c r="D1846" s="487"/>
      <c r="I1846" s="487"/>
      <c r="J1846" s="487"/>
      <c r="K1846" s="487"/>
      <c r="L1846" s="487"/>
      <c r="M1846" s="487"/>
      <c r="N1846" s="487"/>
      <c r="O1846" s="875"/>
      <c r="Q1846" s="704"/>
      <c r="R1846" s="1026"/>
      <c r="S1846" s="704"/>
      <c r="T1846" s="1026"/>
      <c r="AB1846" s="520"/>
      <c r="AC1846" s="520"/>
      <c r="AD1846" s="520"/>
      <c r="AE1846" s="520"/>
      <c r="AF1846" s="520"/>
      <c r="AG1846" s="520"/>
      <c r="AH1846" s="520"/>
      <c r="AI1846" s="520"/>
      <c r="AJ1846" s="520"/>
      <c r="AK1846" s="520"/>
      <c r="AL1846" s="520"/>
      <c r="AM1846" s="520"/>
      <c r="AN1846" s="520"/>
      <c r="AO1846" s="520"/>
      <c r="AP1846" s="520"/>
      <c r="AQ1846" s="520"/>
      <c r="AR1846" s="520"/>
      <c r="AS1846" s="520"/>
      <c r="AT1846" s="520"/>
      <c r="AU1846" s="520"/>
      <c r="AV1846" s="520"/>
      <c r="AY1846" s="507"/>
      <c r="BA1846" s="507"/>
      <c r="BJ1846" s="493"/>
      <c r="CU1846" s="488"/>
      <c r="CW1846" s="488"/>
      <c r="EV1846" s="821"/>
      <c r="EW1846" s="821"/>
    </row>
    <row r="1847" spans="1:153" s="757" customFormat="1" hidden="1">
      <c r="A1847" s="487"/>
      <c r="B1847" s="487"/>
      <c r="C1847" s="487"/>
      <c r="D1847" s="487"/>
      <c r="I1847" s="487"/>
      <c r="J1847" s="487"/>
      <c r="K1847" s="487"/>
      <c r="L1847" s="487"/>
      <c r="M1847" s="487"/>
      <c r="N1847" s="487"/>
      <c r="O1847" s="875"/>
      <c r="Q1847" s="704"/>
      <c r="R1847" s="1026"/>
      <c r="S1847" s="704"/>
      <c r="T1847" s="1026"/>
      <c r="AB1847" s="520"/>
      <c r="AC1847" s="520"/>
      <c r="AD1847" s="520"/>
      <c r="AE1847" s="520"/>
      <c r="AF1847" s="520"/>
      <c r="AG1847" s="520"/>
      <c r="AH1847" s="520"/>
      <c r="AI1847" s="520"/>
      <c r="AJ1847" s="520"/>
      <c r="AK1847" s="520"/>
      <c r="AL1847" s="520"/>
      <c r="AM1847" s="520"/>
      <c r="AN1847" s="520"/>
      <c r="AO1847" s="520"/>
      <c r="AP1847" s="520"/>
      <c r="AQ1847" s="520"/>
      <c r="AR1847" s="520"/>
      <c r="AS1847" s="520"/>
      <c r="AT1847" s="520"/>
      <c r="AU1847" s="520"/>
      <c r="AV1847" s="520"/>
      <c r="AY1847" s="507"/>
      <c r="BA1847" s="507"/>
      <c r="BJ1847" s="493"/>
      <c r="CU1847" s="488"/>
      <c r="CW1847" s="488"/>
      <c r="EV1847" s="821"/>
      <c r="EW1847" s="821"/>
    </row>
    <row r="1848" spans="1:153" s="757" customFormat="1" hidden="1">
      <c r="A1848" s="487"/>
      <c r="B1848" s="487"/>
      <c r="C1848" s="487"/>
      <c r="D1848" s="487"/>
      <c r="I1848" s="487"/>
      <c r="J1848" s="487"/>
      <c r="K1848" s="487"/>
      <c r="L1848" s="487"/>
      <c r="M1848" s="487"/>
      <c r="N1848" s="487"/>
      <c r="O1848" s="875"/>
      <c r="Q1848" s="704"/>
      <c r="R1848" s="1026"/>
      <c r="S1848" s="704"/>
      <c r="T1848" s="1026"/>
      <c r="AB1848" s="520"/>
      <c r="AC1848" s="520"/>
      <c r="AD1848" s="520"/>
      <c r="AE1848" s="520"/>
      <c r="AF1848" s="520"/>
      <c r="AG1848" s="520"/>
      <c r="AH1848" s="520"/>
      <c r="AI1848" s="520"/>
      <c r="AJ1848" s="520"/>
      <c r="AK1848" s="520"/>
      <c r="AL1848" s="520"/>
      <c r="AM1848" s="520"/>
      <c r="AN1848" s="520"/>
      <c r="AO1848" s="520"/>
      <c r="AP1848" s="520"/>
      <c r="AQ1848" s="520"/>
      <c r="AR1848" s="520"/>
      <c r="AS1848" s="520"/>
      <c r="AT1848" s="520"/>
      <c r="AU1848" s="520"/>
      <c r="AV1848" s="520"/>
      <c r="AY1848" s="507"/>
      <c r="BA1848" s="507"/>
      <c r="BJ1848" s="493"/>
      <c r="CU1848" s="488"/>
      <c r="CW1848" s="488"/>
      <c r="EV1848" s="821"/>
      <c r="EW1848" s="821"/>
    </row>
    <row r="1849" spans="1:153" s="757" customFormat="1" hidden="1">
      <c r="A1849" s="487"/>
      <c r="B1849" s="487"/>
      <c r="C1849" s="487"/>
      <c r="D1849" s="487"/>
      <c r="I1849" s="487"/>
      <c r="J1849" s="487"/>
      <c r="K1849" s="487"/>
      <c r="L1849" s="487"/>
      <c r="M1849" s="487"/>
      <c r="N1849" s="487"/>
      <c r="O1849" s="875"/>
      <c r="Q1849" s="704"/>
      <c r="R1849" s="1026"/>
      <c r="S1849" s="704"/>
      <c r="T1849" s="1026"/>
      <c r="AB1849" s="520"/>
      <c r="AC1849" s="520"/>
      <c r="AD1849" s="520"/>
      <c r="AE1849" s="520"/>
      <c r="AF1849" s="520"/>
      <c r="AG1849" s="520"/>
      <c r="AH1849" s="520"/>
      <c r="AI1849" s="520"/>
      <c r="AJ1849" s="520"/>
      <c r="AK1849" s="520"/>
      <c r="AL1849" s="520"/>
      <c r="AM1849" s="520"/>
      <c r="AN1849" s="520"/>
      <c r="AO1849" s="520"/>
      <c r="AP1849" s="520"/>
      <c r="AQ1849" s="520"/>
      <c r="AR1849" s="520"/>
      <c r="AS1849" s="520"/>
      <c r="AT1849" s="520"/>
      <c r="AU1849" s="520"/>
      <c r="AV1849" s="520"/>
      <c r="AY1849" s="507"/>
      <c r="BA1849" s="507"/>
      <c r="BJ1849" s="493"/>
      <c r="CU1849" s="488"/>
      <c r="CW1849" s="488"/>
      <c r="EV1849" s="821"/>
      <c r="EW1849" s="821"/>
    </row>
    <row r="1850" spans="1:153" s="757" customFormat="1" hidden="1">
      <c r="A1850" s="487"/>
      <c r="B1850" s="487"/>
      <c r="C1850" s="487"/>
      <c r="D1850" s="487"/>
      <c r="I1850" s="487"/>
      <c r="J1850" s="487"/>
      <c r="K1850" s="487"/>
      <c r="L1850" s="487"/>
      <c r="M1850" s="487"/>
      <c r="N1850" s="487"/>
      <c r="O1850" s="875"/>
      <c r="Q1850" s="704"/>
      <c r="R1850" s="1026"/>
      <c r="S1850" s="704"/>
      <c r="T1850" s="1026"/>
      <c r="AB1850" s="520"/>
      <c r="AC1850" s="520"/>
      <c r="AD1850" s="520"/>
      <c r="AE1850" s="520"/>
      <c r="AF1850" s="520"/>
      <c r="AG1850" s="520"/>
      <c r="AH1850" s="520"/>
      <c r="AI1850" s="520"/>
      <c r="AJ1850" s="520"/>
      <c r="AK1850" s="520"/>
      <c r="AL1850" s="520"/>
      <c r="AM1850" s="520"/>
      <c r="AN1850" s="520"/>
      <c r="AO1850" s="520"/>
      <c r="AP1850" s="520"/>
      <c r="AQ1850" s="520"/>
      <c r="AR1850" s="520"/>
      <c r="AS1850" s="520"/>
      <c r="AT1850" s="520"/>
      <c r="AU1850" s="520"/>
      <c r="AV1850" s="520"/>
      <c r="AY1850" s="507"/>
      <c r="BA1850" s="507"/>
      <c r="BJ1850" s="493"/>
      <c r="CU1850" s="488"/>
      <c r="CW1850" s="488"/>
      <c r="EV1850" s="821"/>
      <c r="EW1850" s="821"/>
    </row>
    <row r="1851" spans="1:153" s="757" customFormat="1" hidden="1">
      <c r="A1851" s="487"/>
      <c r="B1851" s="487"/>
      <c r="C1851" s="487"/>
      <c r="D1851" s="487"/>
      <c r="I1851" s="487"/>
      <c r="J1851" s="487"/>
      <c r="K1851" s="487"/>
      <c r="L1851" s="487"/>
      <c r="M1851" s="487"/>
      <c r="N1851" s="487"/>
      <c r="O1851" s="875"/>
      <c r="Q1851" s="704"/>
      <c r="R1851" s="1026"/>
      <c r="S1851" s="704"/>
      <c r="T1851" s="1026"/>
      <c r="AB1851" s="520"/>
      <c r="AC1851" s="520"/>
      <c r="AD1851" s="520"/>
      <c r="AE1851" s="520"/>
      <c r="AF1851" s="520"/>
      <c r="AG1851" s="520"/>
      <c r="AH1851" s="520"/>
      <c r="AI1851" s="520"/>
      <c r="AJ1851" s="520"/>
      <c r="AK1851" s="520"/>
      <c r="AL1851" s="520"/>
      <c r="AM1851" s="520"/>
      <c r="AN1851" s="520"/>
      <c r="AO1851" s="520"/>
      <c r="AP1851" s="520"/>
      <c r="AQ1851" s="520"/>
      <c r="AR1851" s="520"/>
      <c r="AS1851" s="520"/>
      <c r="AT1851" s="520"/>
      <c r="AU1851" s="520"/>
      <c r="AV1851" s="520"/>
      <c r="AY1851" s="507"/>
      <c r="BA1851" s="507"/>
      <c r="BJ1851" s="493"/>
      <c r="CU1851" s="488"/>
      <c r="CW1851" s="488"/>
      <c r="EV1851" s="821"/>
      <c r="EW1851" s="821"/>
    </row>
    <row r="1852" spans="1:153" s="757" customFormat="1" hidden="1">
      <c r="A1852" s="487"/>
      <c r="B1852" s="487"/>
      <c r="C1852" s="487"/>
      <c r="D1852" s="487"/>
      <c r="I1852" s="487"/>
      <c r="J1852" s="487"/>
      <c r="K1852" s="487"/>
      <c r="L1852" s="487"/>
      <c r="M1852" s="487"/>
      <c r="N1852" s="487"/>
      <c r="O1852" s="875"/>
      <c r="Q1852" s="704"/>
      <c r="R1852" s="1026"/>
      <c r="S1852" s="704"/>
      <c r="T1852" s="1026"/>
      <c r="AB1852" s="520"/>
      <c r="AC1852" s="520"/>
      <c r="AD1852" s="520"/>
      <c r="AE1852" s="520"/>
      <c r="AF1852" s="520"/>
      <c r="AG1852" s="520"/>
      <c r="AH1852" s="520"/>
      <c r="AI1852" s="520"/>
      <c r="AJ1852" s="520"/>
      <c r="AK1852" s="520"/>
      <c r="AL1852" s="520"/>
      <c r="AM1852" s="520"/>
      <c r="AN1852" s="520"/>
      <c r="AO1852" s="520"/>
      <c r="AP1852" s="520"/>
      <c r="AQ1852" s="520"/>
      <c r="AR1852" s="520"/>
      <c r="AS1852" s="520"/>
      <c r="AT1852" s="520"/>
      <c r="AU1852" s="520"/>
      <c r="AV1852" s="520"/>
      <c r="AY1852" s="507"/>
      <c r="BA1852" s="507"/>
      <c r="BJ1852" s="493"/>
      <c r="CU1852" s="488"/>
      <c r="CW1852" s="488"/>
      <c r="EV1852" s="821"/>
      <c r="EW1852" s="821"/>
    </row>
    <row r="1853" spans="1:153" s="757" customFormat="1" hidden="1">
      <c r="A1853" s="487"/>
      <c r="B1853" s="487"/>
      <c r="C1853" s="487"/>
      <c r="D1853" s="487"/>
      <c r="I1853" s="487"/>
      <c r="J1853" s="487"/>
      <c r="K1853" s="487"/>
      <c r="L1853" s="487"/>
      <c r="M1853" s="487"/>
      <c r="N1853" s="487"/>
      <c r="O1853" s="875"/>
      <c r="Q1853" s="704"/>
      <c r="R1853" s="1026"/>
      <c r="S1853" s="704"/>
      <c r="T1853" s="1026"/>
      <c r="AB1853" s="520"/>
      <c r="AC1853" s="520"/>
      <c r="AD1853" s="520"/>
      <c r="AE1853" s="520"/>
      <c r="AF1853" s="520"/>
      <c r="AG1853" s="520"/>
      <c r="AH1853" s="520"/>
      <c r="AI1853" s="520"/>
      <c r="AJ1853" s="520"/>
      <c r="AK1853" s="520"/>
      <c r="AL1853" s="520"/>
      <c r="AM1853" s="520"/>
      <c r="AN1853" s="520"/>
      <c r="AO1853" s="520"/>
      <c r="AP1853" s="520"/>
      <c r="AQ1853" s="520"/>
      <c r="AR1853" s="520"/>
      <c r="AS1853" s="520"/>
      <c r="AT1853" s="520"/>
      <c r="AU1853" s="520"/>
      <c r="AV1853" s="520"/>
      <c r="AY1853" s="507"/>
      <c r="BA1853" s="507"/>
      <c r="BJ1853" s="493"/>
      <c r="CU1853" s="488"/>
      <c r="CW1853" s="488"/>
      <c r="EV1853" s="821"/>
      <c r="EW1853" s="821"/>
    </row>
    <row r="1854" spans="1:153" s="757" customFormat="1" hidden="1">
      <c r="A1854" s="487"/>
      <c r="B1854" s="487"/>
      <c r="C1854" s="487"/>
      <c r="D1854" s="487"/>
      <c r="I1854" s="487"/>
      <c r="J1854" s="487"/>
      <c r="K1854" s="487"/>
      <c r="L1854" s="487"/>
      <c r="M1854" s="487"/>
      <c r="N1854" s="487"/>
      <c r="O1854" s="875"/>
      <c r="Q1854" s="704"/>
      <c r="R1854" s="1026"/>
      <c r="S1854" s="704"/>
      <c r="T1854" s="1026"/>
      <c r="AB1854" s="520"/>
      <c r="AC1854" s="520"/>
      <c r="AD1854" s="520"/>
      <c r="AE1854" s="520"/>
      <c r="AF1854" s="520"/>
      <c r="AG1854" s="520"/>
      <c r="AH1854" s="520"/>
      <c r="AI1854" s="520"/>
      <c r="AJ1854" s="520"/>
      <c r="AK1854" s="520"/>
      <c r="AL1854" s="520"/>
      <c r="AM1854" s="520"/>
      <c r="AN1854" s="520"/>
      <c r="AO1854" s="520"/>
      <c r="AP1854" s="520"/>
      <c r="AQ1854" s="520"/>
      <c r="AR1854" s="520"/>
      <c r="AS1854" s="520"/>
      <c r="AT1854" s="520"/>
      <c r="AU1854" s="520"/>
      <c r="AV1854" s="520"/>
      <c r="AY1854" s="507"/>
      <c r="BA1854" s="507"/>
      <c r="BJ1854" s="493"/>
      <c r="CU1854" s="488"/>
      <c r="CW1854" s="488"/>
      <c r="EV1854" s="821"/>
      <c r="EW1854" s="821"/>
    </row>
    <row r="1855" spans="1:153" s="757" customFormat="1" hidden="1">
      <c r="A1855" s="487"/>
      <c r="B1855" s="487"/>
      <c r="C1855" s="487"/>
      <c r="D1855" s="487"/>
      <c r="I1855" s="487"/>
      <c r="J1855" s="487"/>
      <c r="K1855" s="487"/>
      <c r="L1855" s="487"/>
      <c r="M1855" s="487"/>
      <c r="N1855" s="487"/>
      <c r="O1855" s="875"/>
      <c r="Q1855" s="704"/>
      <c r="R1855" s="1026"/>
      <c r="S1855" s="704"/>
      <c r="T1855" s="1026"/>
      <c r="AB1855" s="520"/>
      <c r="AC1855" s="520"/>
      <c r="AD1855" s="520"/>
      <c r="AE1855" s="520"/>
      <c r="AF1855" s="520"/>
      <c r="AG1855" s="520"/>
      <c r="AH1855" s="520"/>
      <c r="AI1855" s="520"/>
      <c r="AJ1855" s="520"/>
      <c r="AK1855" s="520"/>
      <c r="AL1855" s="520"/>
      <c r="AM1855" s="520"/>
      <c r="AN1855" s="520"/>
      <c r="AO1855" s="520"/>
      <c r="AP1855" s="520"/>
      <c r="AQ1855" s="520"/>
      <c r="AR1855" s="520"/>
      <c r="AS1855" s="520"/>
      <c r="AT1855" s="520"/>
      <c r="AU1855" s="520"/>
      <c r="AV1855" s="520"/>
      <c r="AY1855" s="507"/>
      <c r="BA1855" s="507"/>
      <c r="BJ1855" s="493"/>
      <c r="CU1855" s="488"/>
      <c r="CW1855" s="488"/>
      <c r="EV1855" s="821"/>
      <c r="EW1855" s="821"/>
    </row>
    <row r="1856" spans="1:153" s="757" customFormat="1" hidden="1">
      <c r="A1856" s="487"/>
      <c r="B1856" s="487"/>
      <c r="C1856" s="487"/>
      <c r="D1856" s="487"/>
      <c r="I1856" s="487"/>
      <c r="J1856" s="487"/>
      <c r="K1856" s="487"/>
      <c r="L1856" s="487"/>
      <c r="M1856" s="487"/>
      <c r="N1856" s="487"/>
      <c r="O1856" s="875"/>
      <c r="Q1856" s="704"/>
      <c r="R1856" s="1026"/>
      <c r="S1856" s="704"/>
      <c r="T1856" s="1026"/>
      <c r="AB1856" s="520"/>
      <c r="AC1856" s="520"/>
      <c r="AD1856" s="520"/>
      <c r="AE1856" s="520"/>
      <c r="AF1856" s="520"/>
      <c r="AG1856" s="520"/>
      <c r="AH1856" s="520"/>
      <c r="AI1856" s="520"/>
      <c r="AJ1856" s="520"/>
      <c r="AK1856" s="520"/>
      <c r="AL1856" s="520"/>
      <c r="AM1856" s="520"/>
      <c r="AN1856" s="520"/>
      <c r="AO1856" s="520"/>
      <c r="AP1856" s="520"/>
      <c r="AQ1856" s="520"/>
      <c r="AR1856" s="520"/>
      <c r="AS1856" s="520"/>
      <c r="AT1856" s="520"/>
      <c r="AU1856" s="520"/>
      <c r="AV1856" s="520"/>
      <c r="AY1856" s="507"/>
      <c r="BA1856" s="507"/>
      <c r="BJ1856" s="493"/>
      <c r="CU1856" s="488"/>
      <c r="CW1856" s="488"/>
      <c r="EV1856" s="821"/>
      <c r="EW1856" s="821"/>
    </row>
    <row r="1857" spans="1:153" s="757" customFormat="1" hidden="1">
      <c r="A1857" s="487"/>
      <c r="B1857" s="487"/>
      <c r="C1857" s="487"/>
      <c r="D1857" s="487"/>
      <c r="I1857" s="487"/>
      <c r="J1857" s="487"/>
      <c r="K1857" s="487"/>
      <c r="L1857" s="487"/>
      <c r="M1857" s="487"/>
      <c r="N1857" s="487"/>
      <c r="O1857" s="875"/>
      <c r="Q1857" s="704"/>
      <c r="R1857" s="1026"/>
      <c r="S1857" s="704"/>
      <c r="T1857" s="1026"/>
      <c r="AB1857" s="520"/>
      <c r="AC1857" s="520"/>
      <c r="AD1857" s="520"/>
      <c r="AE1857" s="520"/>
      <c r="AF1857" s="520"/>
      <c r="AG1857" s="520"/>
      <c r="AH1857" s="520"/>
      <c r="AI1857" s="520"/>
      <c r="AJ1857" s="520"/>
      <c r="AK1857" s="520"/>
      <c r="AL1857" s="520"/>
      <c r="AM1857" s="520"/>
      <c r="AN1857" s="520"/>
      <c r="AO1857" s="520"/>
      <c r="AP1857" s="520"/>
      <c r="AQ1857" s="520"/>
      <c r="AR1857" s="520"/>
      <c r="AS1857" s="520"/>
      <c r="AT1857" s="520"/>
      <c r="AU1857" s="520"/>
      <c r="AV1857" s="520"/>
      <c r="AY1857" s="507"/>
      <c r="BA1857" s="507"/>
      <c r="BJ1857" s="493"/>
      <c r="CU1857" s="488"/>
      <c r="CW1857" s="488"/>
      <c r="EV1857" s="821"/>
      <c r="EW1857" s="821"/>
    </row>
    <row r="1858" spans="1:153" s="757" customFormat="1" hidden="1">
      <c r="A1858" s="487"/>
      <c r="B1858" s="487"/>
      <c r="C1858" s="487"/>
      <c r="D1858" s="487"/>
      <c r="I1858" s="487"/>
      <c r="J1858" s="487"/>
      <c r="K1858" s="487"/>
      <c r="L1858" s="487"/>
      <c r="M1858" s="487"/>
      <c r="N1858" s="487"/>
      <c r="O1858" s="875"/>
      <c r="Q1858" s="704"/>
      <c r="R1858" s="1026"/>
      <c r="S1858" s="704"/>
      <c r="T1858" s="1026"/>
      <c r="AB1858" s="520"/>
      <c r="AC1858" s="520"/>
      <c r="AD1858" s="520"/>
      <c r="AE1858" s="520"/>
      <c r="AF1858" s="520"/>
      <c r="AG1858" s="520"/>
      <c r="AH1858" s="520"/>
      <c r="AI1858" s="520"/>
      <c r="AJ1858" s="520"/>
      <c r="AK1858" s="520"/>
      <c r="AL1858" s="520"/>
      <c r="AM1858" s="520"/>
      <c r="AN1858" s="520"/>
      <c r="AO1858" s="520"/>
      <c r="AP1858" s="520"/>
      <c r="AQ1858" s="520"/>
      <c r="AR1858" s="520"/>
      <c r="AS1858" s="520"/>
      <c r="AT1858" s="520"/>
      <c r="AU1858" s="520"/>
      <c r="AV1858" s="520"/>
      <c r="AY1858" s="507"/>
      <c r="BA1858" s="507"/>
      <c r="BJ1858" s="493"/>
      <c r="CU1858" s="488"/>
      <c r="CW1858" s="488"/>
      <c r="EV1858" s="821"/>
      <c r="EW1858" s="821"/>
    </row>
    <row r="1859" spans="1:153" s="757" customFormat="1" hidden="1">
      <c r="A1859" s="487"/>
      <c r="B1859" s="487"/>
      <c r="C1859" s="487"/>
      <c r="D1859" s="487"/>
      <c r="I1859" s="487"/>
      <c r="J1859" s="487"/>
      <c r="K1859" s="487"/>
      <c r="L1859" s="487"/>
      <c r="M1859" s="487"/>
      <c r="N1859" s="487"/>
      <c r="O1859" s="875"/>
      <c r="Q1859" s="704"/>
      <c r="R1859" s="1026"/>
      <c r="S1859" s="704"/>
      <c r="T1859" s="1026"/>
      <c r="AB1859" s="520"/>
      <c r="AC1859" s="520"/>
      <c r="AD1859" s="520"/>
      <c r="AE1859" s="520"/>
      <c r="AF1859" s="520"/>
      <c r="AG1859" s="520"/>
      <c r="AH1859" s="520"/>
      <c r="AI1859" s="520"/>
      <c r="AJ1859" s="520"/>
      <c r="AK1859" s="520"/>
      <c r="AL1859" s="520"/>
      <c r="AM1859" s="520"/>
      <c r="AN1859" s="520"/>
      <c r="AO1859" s="520"/>
      <c r="AP1859" s="520"/>
      <c r="AQ1859" s="520"/>
      <c r="AR1859" s="520"/>
      <c r="AS1859" s="520"/>
      <c r="AT1859" s="520"/>
      <c r="AU1859" s="520"/>
      <c r="AV1859" s="520"/>
      <c r="AY1859" s="507"/>
      <c r="BA1859" s="507"/>
      <c r="BJ1859" s="493"/>
      <c r="CU1859" s="488"/>
      <c r="CW1859" s="488"/>
      <c r="EV1859" s="821"/>
      <c r="EW1859" s="821"/>
    </row>
    <row r="1860" spans="1:153" s="757" customFormat="1" hidden="1">
      <c r="A1860" s="487"/>
      <c r="B1860" s="487"/>
      <c r="C1860" s="487"/>
      <c r="D1860" s="487"/>
      <c r="I1860" s="487"/>
      <c r="J1860" s="487"/>
      <c r="K1860" s="487"/>
      <c r="L1860" s="487"/>
      <c r="M1860" s="487"/>
      <c r="N1860" s="487"/>
      <c r="O1860" s="875"/>
      <c r="Q1860" s="704"/>
      <c r="R1860" s="1026"/>
      <c r="S1860" s="704"/>
      <c r="T1860" s="1026"/>
      <c r="AB1860" s="520"/>
      <c r="AC1860" s="520"/>
      <c r="AD1860" s="520"/>
      <c r="AE1860" s="520"/>
      <c r="AF1860" s="520"/>
      <c r="AG1860" s="520"/>
      <c r="AH1860" s="520"/>
      <c r="AI1860" s="520"/>
      <c r="AJ1860" s="520"/>
      <c r="AK1860" s="520"/>
      <c r="AL1860" s="520"/>
      <c r="AM1860" s="520"/>
      <c r="AN1860" s="520"/>
      <c r="AO1860" s="520"/>
      <c r="AP1860" s="520"/>
      <c r="AQ1860" s="520"/>
      <c r="AR1860" s="520"/>
      <c r="AS1860" s="520"/>
      <c r="AT1860" s="520"/>
      <c r="AU1860" s="520"/>
      <c r="AV1860" s="520"/>
      <c r="AY1860" s="507"/>
      <c r="BA1860" s="507"/>
      <c r="BJ1860" s="493"/>
      <c r="CU1860" s="488"/>
      <c r="CW1860" s="488"/>
      <c r="EV1860" s="821"/>
      <c r="EW1860" s="821"/>
    </row>
    <row r="1861" spans="1:153" s="757" customFormat="1" hidden="1">
      <c r="A1861" s="487"/>
      <c r="B1861" s="487"/>
      <c r="C1861" s="487"/>
      <c r="D1861" s="487"/>
      <c r="I1861" s="487"/>
      <c r="J1861" s="487"/>
      <c r="K1861" s="487"/>
      <c r="L1861" s="487"/>
      <c r="M1861" s="487"/>
      <c r="N1861" s="487"/>
      <c r="O1861" s="875"/>
      <c r="Q1861" s="704"/>
      <c r="R1861" s="1026"/>
      <c r="S1861" s="704"/>
      <c r="T1861" s="1026"/>
      <c r="AB1861" s="520"/>
      <c r="AC1861" s="520"/>
      <c r="AD1861" s="520"/>
      <c r="AE1861" s="520"/>
      <c r="AF1861" s="520"/>
      <c r="AG1861" s="520"/>
      <c r="AH1861" s="520"/>
      <c r="AI1861" s="520"/>
      <c r="AJ1861" s="520"/>
      <c r="AK1861" s="520"/>
      <c r="AL1861" s="520"/>
      <c r="AM1861" s="520"/>
      <c r="AN1861" s="520"/>
      <c r="AO1861" s="520"/>
      <c r="AP1861" s="520"/>
      <c r="AQ1861" s="520"/>
      <c r="AR1861" s="520"/>
      <c r="AS1861" s="520"/>
      <c r="AT1861" s="520"/>
      <c r="AU1861" s="520"/>
      <c r="AV1861" s="520"/>
      <c r="AY1861" s="507"/>
      <c r="BA1861" s="507"/>
      <c r="BJ1861" s="493"/>
      <c r="CU1861" s="488"/>
      <c r="CW1861" s="488"/>
      <c r="EV1861" s="821"/>
      <c r="EW1861" s="821"/>
    </row>
    <row r="1862" spans="1:153" s="757" customFormat="1" hidden="1">
      <c r="A1862" s="487"/>
      <c r="B1862" s="487"/>
      <c r="C1862" s="487"/>
      <c r="D1862" s="487"/>
      <c r="I1862" s="487"/>
      <c r="J1862" s="487"/>
      <c r="K1862" s="487"/>
      <c r="L1862" s="487"/>
      <c r="M1862" s="487"/>
      <c r="N1862" s="487"/>
      <c r="O1862" s="875"/>
      <c r="Q1862" s="704"/>
      <c r="R1862" s="1026"/>
      <c r="S1862" s="704"/>
      <c r="T1862" s="1026"/>
      <c r="AB1862" s="520"/>
      <c r="AC1862" s="520"/>
      <c r="AD1862" s="520"/>
      <c r="AE1862" s="520"/>
      <c r="AF1862" s="520"/>
      <c r="AG1862" s="520"/>
      <c r="AH1862" s="520"/>
      <c r="AI1862" s="520"/>
      <c r="AJ1862" s="520"/>
      <c r="AK1862" s="520"/>
      <c r="AL1862" s="520"/>
      <c r="AM1862" s="520"/>
      <c r="AN1862" s="520"/>
      <c r="AO1862" s="520"/>
      <c r="AP1862" s="520"/>
      <c r="AQ1862" s="520"/>
      <c r="AR1862" s="520"/>
      <c r="AS1862" s="520"/>
      <c r="AT1862" s="520"/>
      <c r="AU1862" s="520"/>
      <c r="AV1862" s="520"/>
      <c r="AY1862" s="507"/>
      <c r="BA1862" s="507"/>
      <c r="BJ1862" s="493"/>
      <c r="CU1862" s="488"/>
      <c r="CW1862" s="488"/>
      <c r="EV1862" s="821"/>
      <c r="EW1862" s="821"/>
    </row>
    <row r="1863" spans="1:153" s="757" customFormat="1" hidden="1">
      <c r="A1863" s="487"/>
      <c r="B1863" s="487"/>
      <c r="C1863" s="487"/>
      <c r="D1863" s="487"/>
      <c r="I1863" s="487"/>
      <c r="J1863" s="487"/>
      <c r="K1863" s="487"/>
      <c r="L1863" s="487"/>
      <c r="M1863" s="487"/>
      <c r="N1863" s="487"/>
      <c r="O1863" s="875"/>
      <c r="Q1863" s="704"/>
      <c r="R1863" s="1026"/>
      <c r="S1863" s="704"/>
      <c r="T1863" s="1026"/>
      <c r="AB1863" s="520"/>
      <c r="AC1863" s="520"/>
      <c r="AD1863" s="520"/>
      <c r="AE1863" s="520"/>
      <c r="AF1863" s="520"/>
      <c r="AG1863" s="520"/>
      <c r="AH1863" s="520"/>
      <c r="AI1863" s="520"/>
      <c r="AJ1863" s="520"/>
      <c r="AK1863" s="520"/>
      <c r="AL1863" s="520"/>
      <c r="AM1863" s="520"/>
      <c r="AN1863" s="520"/>
      <c r="AO1863" s="520"/>
      <c r="AP1863" s="520"/>
      <c r="AQ1863" s="520"/>
      <c r="AR1863" s="520"/>
      <c r="AS1863" s="520"/>
      <c r="AT1863" s="520"/>
      <c r="AU1863" s="520"/>
      <c r="AV1863" s="520"/>
      <c r="AY1863" s="507"/>
      <c r="BA1863" s="507"/>
      <c r="BJ1863" s="493"/>
      <c r="CU1863" s="488"/>
      <c r="CW1863" s="488"/>
      <c r="EV1863" s="821"/>
      <c r="EW1863" s="821"/>
    </row>
    <row r="1864" spans="1:153" s="757" customFormat="1" hidden="1">
      <c r="A1864" s="487"/>
      <c r="B1864" s="487"/>
      <c r="C1864" s="487"/>
      <c r="D1864" s="487"/>
      <c r="I1864" s="487"/>
      <c r="J1864" s="487"/>
      <c r="K1864" s="487"/>
      <c r="L1864" s="487"/>
      <c r="M1864" s="487"/>
      <c r="N1864" s="487"/>
      <c r="O1864" s="875"/>
      <c r="Q1864" s="704"/>
      <c r="R1864" s="1026"/>
      <c r="S1864" s="704"/>
      <c r="T1864" s="1026"/>
      <c r="AB1864" s="520"/>
      <c r="AC1864" s="520"/>
      <c r="AD1864" s="520"/>
      <c r="AE1864" s="520"/>
      <c r="AF1864" s="520"/>
      <c r="AG1864" s="520"/>
      <c r="AH1864" s="520"/>
      <c r="AI1864" s="520"/>
      <c r="AJ1864" s="520"/>
      <c r="AK1864" s="520"/>
      <c r="AL1864" s="520"/>
      <c r="AM1864" s="520"/>
      <c r="AN1864" s="520"/>
      <c r="AO1864" s="520"/>
      <c r="AP1864" s="520"/>
      <c r="AQ1864" s="520"/>
      <c r="AR1864" s="520"/>
      <c r="AS1864" s="520"/>
      <c r="AT1864" s="520"/>
      <c r="AU1864" s="520"/>
      <c r="AV1864" s="520"/>
      <c r="AY1864" s="507"/>
      <c r="BA1864" s="507"/>
      <c r="BJ1864" s="493"/>
      <c r="CU1864" s="488"/>
      <c r="CW1864" s="488"/>
      <c r="EV1864" s="821"/>
      <c r="EW1864" s="821"/>
    </row>
    <row r="1865" spans="1:153" s="757" customFormat="1" hidden="1">
      <c r="A1865" s="487"/>
      <c r="B1865" s="487"/>
      <c r="C1865" s="487"/>
      <c r="D1865" s="487"/>
      <c r="I1865" s="487"/>
      <c r="J1865" s="487"/>
      <c r="K1865" s="487"/>
      <c r="L1865" s="487"/>
      <c r="M1865" s="487"/>
      <c r="N1865" s="487"/>
      <c r="O1865" s="875"/>
      <c r="Q1865" s="704"/>
      <c r="R1865" s="1026"/>
      <c r="S1865" s="704"/>
      <c r="T1865" s="1026"/>
      <c r="AB1865" s="520"/>
      <c r="AC1865" s="520"/>
      <c r="AD1865" s="520"/>
      <c r="AE1865" s="520"/>
      <c r="AF1865" s="520"/>
      <c r="AG1865" s="520"/>
      <c r="AH1865" s="520"/>
      <c r="AI1865" s="520"/>
      <c r="AJ1865" s="520"/>
      <c r="AK1865" s="520"/>
      <c r="AL1865" s="520"/>
      <c r="AM1865" s="520"/>
      <c r="AN1865" s="520"/>
      <c r="AO1865" s="520"/>
      <c r="AP1865" s="520"/>
      <c r="AQ1865" s="520"/>
      <c r="AR1865" s="520"/>
      <c r="AS1865" s="520"/>
      <c r="AT1865" s="520"/>
      <c r="AU1865" s="520"/>
      <c r="AV1865" s="520"/>
      <c r="AY1865" s="507"/>
      <c r="BA1865" s="507"/>
      <c r="BJ1865" s="493"/>
      <c r="CU1865" s="488"/>
      <c r="CW1865" s="488"/>
      <c r="EV1865" s="821"/>
      <c r="EW1865" s="821"/>
    </row>
    <row r="1866" spans="1:153" s="757" customFormat="1" hidden="1">
      <c r="A1866" s="487"/>
      <c r="B1866" s="487"/>
      <c r="C1866" s="487"/>
      <c r="D1866" s="487"/>
      <c r="I1866" s="487"/>
      <c r="J1866" s="487"/>
      <c r="K1866" s="487"/>
      <c r="L1866" s="487"/>
      <c r="M1866" s="487"/>
      <c r="N1866" s="487"/>
      <c r="O1866" s="875"/>
      <c r="Q1866" s="704"/>
      <c r="R1866" s="1026"/>
      <c r="S1866" s="704"/>
      <c r="T1866" s="1026"/>
      <c r="AB1866" s="520"/>
      <c r="AC1866" s="520"/>
      <c r="AD1866" s="520"/>
      <c r="AE1866" s="520"/>
      <c r="AF1866" s="520"/>
      <c r="AG1866" s="520"/>
      <c r="AH1866" s="520"/>
      <c r="AI1866" s="520"/>
      <c r="AJ1866" s="520"/>
      <c r="AK1866" s="520"/>
      <c r="AL1866" s="520"/>
      <c r="AM1866" s="520"/>
      <c r="AN1866" s="520"/>
      <c r="AO1866" s="520"/>
      <c r="AP1866" s="520"/>
      <c r="AQ1866" s="520"/>
      <c r="AR1866" s="520"/>
      <c r="AS1866" s="520"/>
      <c r="AT1866" s="520"/>
      <c r="AU1866" s="520"/>
      <c r="AV1866" s="520"/>
      <c r="AY1866" s="507"/>
      <c r="BA1866" s="507"/>
      <c r="BJ1866" s="493"/>
      <c r="CU1866" s="488"/>
      <c r="CW1866" s="488"/>
      <c r="EV1866" s="821"/>
      <c r="EW1866" s="821"/>
    </row>
    <row r="1867" spans="1:153" s="757" customFormat="1" hidden="1">
      <c r="A1867" s="487"/>
      <c r="B1867" s="487"/>
      <c r="C1867" s="487"/>
      <c r="D1867" s="487"/>
      <c r="I1867" s="487"/>
      <c r="J1867" s="487"/>
      <c r="K1867" s="487"/>
      <c r="L1867" s="487"/>
      <c r="M1867" s="487"/>
      <c r="N1867" s="487"/>
      <c r="O1867" s="875"/>
      <c r="Q1867" s="704"/>
      <c r="R1867" s="1026"/>
      <c r="S1867" s="704"/>
      <c r="T1867" s="1026"/>
      <c r="AB1867" s="520"/>
      <c r="AC1867" s="520"/>
      <c r="AD1867" s="520"/>
      <c r="AE1867" s="520"/>
      <c r="AF1867" s="520"/>
      <c r="AG1867" s="520"/>
      <c r="AH1867" s="520"/>
      <c r="AI1867" s="520"/>
      <c r="AJ1867" s="520"/>
      <c r="AK1867" s="520"/>
      <c r="AL1867" s="520"/>
      <c r="AM1867" s="520"/>
      <c r="AN1867" s="520"/>
      <c r="AO1867" s="520"/>
      <c r="AP1867" s="520"/>
      <c r="AQ1867" s="520"/>
      <c r="AR1867" s="520"/>
      <c r="AS1867" s="520"/>
      <c r="AT1867" s="520"/>
      <c r="AU1867" s="520"/>
      <c r="AV1867" s="520"/>
      <c r="AY1867" s="507"/>
      <c r="BA1867" s="507"/>
      <c r="BJ1867" s="493"/>
      <c r="CU1867" s="488"/>
      <c r="CW1867" s="488"/>
      <c r="EV1867" s="821"/>
      <c r="EW1867" s="821"/>
    </row>
    <row r="1868" spans="1:153" s="757" customFormat="1" hidden="1">
      <c r="A1868" s="487"/>
      <c r="B1868" s="487"/>
      <c r="C1868" s="487"/>
      <c r="D1868" s="487"/>
      <c r="I1868" s="487"/>
      <c r="J1868" s="487"/>
      <c r="K1868" s="487"/>
      <c r="L1868" s="487"/>
      <c r="M1868" s="487"/>
      <c r="N1868" s="487"/>
      <c r="O1868" s="875"/>
      <c r="Q1868" s="704"/>
      <c r="R1868" s="1026"/>
      <c r="S1868" s="704"/>
      <c r="T1868" s="1026"/>
      <c r="AB1868" s="520"/>
      <c r="AC1868" s="520"/>
      <c r="AD1868" s="520"/>
      <c r="AE1868" s="520"/>
      <c r="AF1868" s="520"/>
      <c r="AG1868" s="520"/>
      <c r="AH1868" s="520"/>
      <c r="AI1868" s="520"/>
      <c r="AJ1868" s="520"/>
      <c r="AK1868" s="520"/>
      <c r="AL1868" s="520"/>
      <c r="AM1868" s="520"/>
      <c r="AN1868" s="520"/>
      <c r="AO1868" s="520"/>
      <c r="AP1868" s="520"/>
      <c r="AQ1868" s="520"/>
      <c r="AR1868" s="520"/>
      <c r="AS1868" s="520"/>
      <c r="AT1868" s="520"/>
      <c r="AU1868" s="520"/>
      <c r="AV1868" s="520"/>
      <c r="AY1868" s="507"/>
      <c r="BA1868" s="507"/>
      <c r="BJ1868" s="493"/>
      <c r="CU1868" s="488"/>
      <c r="CW1868" s="488"/>
      <c r="EV1868" s="821"/>
      <c r="EW1868" s="821"/>
    </row>
    <row r="1869" spans="1:153" s="757" customFormat="1" hidden="1">
      <c r="A1869" s="487"/>
      <c r="B1869" s="487"/>
      <c r="C1869" s="487"/>
      <c r="D1869" s="487"/>
      <c r="I1869" s="487"/>
      <c r="J1869" s="487"/>
      <c r="K1869" s="487"/>
      <c r="L1869" s="487"/>
      <c r="M1869" s="487"/>
      <c r="N1869" s="487"/>
      <c r="O1869" s="875"/>
      <c r="Q1869" s="704"/>
      <c r="R1869" s="1026"/>
      <c r="S1869" s="704"/>
      <c r="T1869" s="1026"/>
      <c r="AB1869" s="520"/>
      <c r="AC1869" s="520"/>
      <c r="AD1869" s="520"/>
      <c r="AE1869" s="520"/>
      <c r="AF1869" s="520"/>
      <c r="AG1869" s="520"/>
      <c r="AH1869" s="520"/>
      <c r="AI1869" s="520"/>
      <c r="AJ1869" s="520"/>
      <c r="AK1869" s="520"/>
      <c r="AL1869" s="520"/>
      <c r="AM1869" s="520"/>
      <c r="AN1869" s="520"/>
      <c r="AO1869" s="520"/>
      <c r="AP1869" s="520"/>
      <c r="AQ1869" s="520"/>
      <c r="AR1869" s="520"/>
      <c r="AS1869" s="520"/>
      <c r="AT1869" s="520"/>
      <c r="AU1869" s="520"/>
      <c r="AV1869" s="520"/>
      <c r="AY1869" s="507"/>
      <c r="BA1869" s="507"/>
      <c r="BJ1869" s="493"/>
      <c r="CU1869" s="488"/>
      <c r="CW1869" s="488"/>
      <c r="EV1869" s="821"/>
      <c r="EW1869" s="821"/>
    </row>
    <row r="1870" spans="1:153" s="757" customFormat="1" hidden="1">
      <c r="A1870" s="487"/>
      <c r="B1870" s="487"/>
      <c r="C1870" s="487"/>
      <c r="D1870" s="487"/>
      <c r="I1870" s="487"/>
      <c r="J1870" s="487"/>
      <c r="K1870" s="487"/>
      <c r="L1870" s="487"/>
      <c r="M1870" s="487"/>
      <c r="N1870" s="487"/>
      <c r="O1870" s="875"/>
      <c r="Q1870" s="704"/>
      <c r="R1870" s="1026"/>
      <c r="S1870" s="704"/>
      <c r="T1870" s="1026"/>
      <c r="AB1870" s="520"/>
      <c r="AC1870" s="520"/>
      <c r="AD1870" s="520"/>
      <c r="AE1870" s="520"/>
      <c r="AF1870" s="520"/>
      <c r="AG1870" s="520"/>
      <c r="AH1870" s="520"/>
      <c r="AI1870" s="520"/>
      <c r="AJ1870" s="520"/>
      <c r="AK1870" s="520"/>
      <c r="AL1870" s="520"/>
      <c r="AM1870" s="520"/>
      <c r="AN1870" s="520"/>
      <c r="AO1870" s="520"/>
      <c r="AP1870" s="520"/>
      <c r="AQ1870" s="520"/>
      <c r="AR1870" s="520"/>
      <c r="AS1870" s="520"/>
      <c r="AT1870" s="520"/>
      <c r="AU1870" s="520"/>
      <c r="AV1870" s="520"/>
      <c r="AY1870" s="507"/>
      <c r="BA1870" s="507"/>
      <c r="BJ1870" s="493"/>
      <c r="CU1870" s="488"/>
      <c r="CW1870" s="488"/>
      <c r="EV1870" s="821"/>
      <c r="EW1870" s="821"/>
    </row>
    <row r="1871" spans="1:153" s="757" customFormat="1" hidden="1">
      <c r="A1871" s="487"/>
      <c r="B1871" s="487"/>
      <c r="C1871" s="487"/>
      <c r="D1871" s="487"/>
      <c r="I1871" s="487"/>
      <c r="J1871" s="487"/>
      <c r="K1871" s="487"/>
      <c r="L1871" s="487"/>
      <c r="M1871" s="487"/>
      <c r="N1871" s="487"/>
      <c r="O1871" s="875"/>
      <c r="Q1871" s="704"/>
      <c r="R1871" s="1026"/>
      <c r="S1871" s="704"/>
      <c r="T1871" s="1026"/>
      <c r="AB1871" s="520"/>
      <c r="AC1871" s="520"/>
      <c r="AD1871" s="520"/>
      <c r="AE1871" s="520"/>
      <c r="AF1871" s="520"/>
      <c r="AG1871" s="520"/>
      <c r="AH1871" s="520"/>
      <c r="AI1871" s="520"/>
      <c r="AJ1871" s="520"/>
      <c r="AK1871" s="520"/>
      <c r="AL1871" s="520"/>
      <c r="AM1871" s="520"/>
      <c r="AN1871" s="520"/>
      <c r="AO1871" s="520"/>
      <c r="AP1871" s="520"/>
      <c r="AQ1871" s="520"/>
      <c r="AR1871" s="520"/>
      <c r="AS1871" s="520"/>
      <c r="AT1871" s="520"/>
      <c r="AU1871" s="520"/>
      <c r="AV1871" s="520"/>
      <c r="AY1871" s="507"/>
      <c r="BA1871" s="507"/>
      <c r="BJ1871" s="493"/>
      <c r="CU1871" s="488"/>
      <c r="CW1871" s="488"/>
      <c r="EV1871" s="821"/>
      <c r="EW1871" s="821"/>
    </row>
    <row r="1872" spans="1:153" s="757" customFormat="1" hidden="1">
      <c r="A1872" s="487"/>
      <c r="B1872" s="487"/>
      <c r="C1872" s="487"/>
      <c r="D1872" s="487"/>
      <c r="I1872" s="487"/>
      <c r="J1872" s="487"/>
      <c r="K1872" s="487"/>
      <c r="L1872" s="487"/>
      <c r="M1872" s="487"/>
      <c r="N1872" s="487"/>
      <c r="O1872" s="875"/>
      <c r="Q1872" s="704"/>
      <c r="R1872" s="1026"/>
      <c r="S1872" s="704"/>
      <c r="T1872" s="1026"/>
      <c r="AB1872" s="520"/>
      <c r="AC1872" s="520"/>
      <c r="AD1872" s="520"/>
      <c r="AE1872" s="520"/>
      <c r="AF1872" s="520"/>
      <c r="AG1872" s="520"/>
      <c r="AH1872" s="520"/>
      <c r="AI1872" s="520"/>
      <c r="AJ1872" s="520"/>
      <c r="AK1872" s="520"/>
      <c r="AL1872" s="520"/>
      <c r="AM1872" s="520"/>
      <c r="AN1872" s="520"/>
      <c r="AO1872" s="520"/>
      <c r="AP1872" s="520"/>
      <c r="AQ1872" s="520"/>
      <c r="AR1872" s="520"/>
      <c r="AS1872" s="520"/>
      <c r="AT1872" s="520"/>
      <c r="AU1872" s="520"/>
      <c r="AV1872" s="520"/>
      <c r="AY1872" s="507"/>
      <c r="BA1872" s="507"/>
      <c r="BJ1872" s="493"/>
      <c r="CU1872" s="488"/>
      <c r="CW1872" s="488"/>
      <c r="EV1872" s="821"/>
      <c r="EW1872" s="821"/>
    </row>
    <row r="1873" spans="1:153" s="757" customFormat="1" hidden="1">
      <c r="A1873" s="487"/>
      <c r="B1873" s="487"/>
      <c r="C1873" s="487"/>
      <c r="D1873" s="487"/>
      <c r="I1873" s="487"/>
      <c r="J1873" s="487"/>
      <c r="K1873" s="487"/>
      <c r="L1873" s="487"/>
      <c r="M1873" s="487"/>
      <c r="N1873" s="487"/>
      <c r="O1873" s="875"/>
      <c r="Q1873" s="704"/>
      <c r="R1873" s="1026"/>
      <c r="S1873" s="704"/>
      <c r="T1873" s="1026"/>
      <c r="AB1873" s="520"/>
      <c r="AC1873" s="520"/>
      <c r="AD1873" s="520"/>
      <c r="AE1873" s="520"/>
      <c r="AF1873" s="520"/>
      <c r="AG1873" s="520"/>
      <c r="AH1873" s="520"/>
      <c r="AI1873" s="520"/>
      <c r="AJ1873" s="520"/>
      <c r="AK1873" s="520"/>
      <c r="AL1873" s="520"/>
      <c r="AM1873" s="520"/>
      <c r="AN1873" s="520"/>
      <c r="AO1873" s="520"/>
      <c r="AP1873" s="520"/>
      <c r="AQ1873" s="520"/>
      <c r="AR1873" s="520"/>
      <c r="AS1873" s="520"/>
      <c r="AT1873" s="520"/>
      <c r="AU1873" s="520"/>
      <c r="AV1873" s="520"/>
      <c r="AY1873" s="507"/>
      <c r="BA1873" s="507"/>
      <c r="BJ1873" s="493"/>
      <c r="CU1873" s="488"/>
      <c r="CW1873" s="488"/>
      <c r="EV1873" s="821"/>
      <c r="EW1873" s="821"/>
    </row>
    <row r="1874" spans="1:153" s="757" customFormat="1" hidden="1">
      <c r="A1874" s="487"/>
      <c r="B1874" s="487"/>
      <c r="C1874" s="487"/>
      <c r="D1874" s="487"/>
      <c r="I1874" s="487"/>
      <c r="J1874" s="487"/>
      <c r="K1874" s="487"/>
      <c r="L1874" s="487"/>
      <c r="M1874" s="487"/>
      <c r="N1874" s="487"/>
      <c r="O1874" s="875"/>
      <c r="Q1874" s="704"/>
      <c r="R1874" s="1026"/>
      <c r="S1874" s="704"/>
      <c r="T1874" s="1026"/>
      <c r="AB1874" s="520"/>
      <c r="AC1874" s="520"/>
      <c r="AD1874" s="520"/>
      <c r="AE1874" s="520"/>
      <c r="AF1874" s="520"/>
      <c r="AG1874" s="520"/>
      <c r="AH1874" s="520"/>
      <c r="AI1874" s="520"/>
      <c r="AJ1874" s="520"/>
      <c r="AK1874" s="520"/>
      <c r="AL1874" s="520"/>
      <c r="AM1874" s="520"/>
      <c r="AN1874" s="520"/>
      <c r="AO1874" s="520"/>
      <c r="AP1874" s="520"/>
      <c r="AQ1874" s="520"/>
      <c r="AR1874" s="520"/>
      <c r="AS1874" s="520"/>
      <c r="AT1874" s="520"/>
      <c r="AU1874" s="520"/>
      <c r="AV1874" s="520"/>
      <c r="AY1874" s="507"/>
      <c r="BA1874" s="507"/>
      <c r="BJ1874" s="493"/>
      <c r="CU1874" s="488"/>
      <c r="CW1874" s="488"/>
      <c r="EV1874" s="821"/>
      <c r="EW1874" s="821"/>
    </row>
    <row r="1875" spans="1:153" s="757" customFormat="1" hidden="1">
      <c r="A1875" s="487"/>
      <c r="B1875" s="487"/>
      <c r="C1875" s="487"/>
      <c r="D1875" s="487"/>
      <c r="I1875" s="487"/>
      <c r="J1875" s="487"/>
      <c r="K1875" s="487"/>
      <c r="L1875" s="487"/>
      <c r="M1875" s="487"/>
      <c r="N1875" s="487"/>
      <c r="O1875" s="875"/>
      <c r="Q1875" s="704"/>
      <c r="R1875" s="1026"/>
      <c r="S1875" s="704"/>
      <c r="T1875" s="1026"/>
      <c r="AB1875" s="520"/>
      <c r="AC1875" s="520"/>
      <c r="AD1875" s="520"/>
      <c r="AE1875" s="520"/>
      <c r="AF1875" s="520"/>
      <c r="AG1875" s="520"/>
      <c r="AH1875" s="520"/>
      <c r="AI1875" s="520"/>
      <c r="AJ1875" s="520"/>
      <c r="AK1875" s="520"/>
      <c r="AL1875" s="520"/>
      <c r="AM1875" s="520"/>
      <c r="AN1875" s="520"/>
      <c r="AO1875" s="520"/>
      <c r="AP1875" s="520"/>
      <c r="AQ1875" s="520"/>
      <c r="AR1875" s="520"/>
      <c r="AS1875" s="520"/>
      <c r="AT1875" s="520"/>
      <c r="AU1875" s="520"/>
      <c r="AV1875" s="520"/>
      <c r="AY1875" s="507"/>
      <c r="BA1875" s="507"/>
      <c r="BJ1875" s="493"/>
      <c r="CU1875" s="488"/>
      <c r="CW1875" s="488"/>
      <c r="EV1875" s="821"/>
      <c r="EW1875" s="821"/>
    </row>
    <row r="1876" spans="1:153" s="757" customFormat="1" hidden="1">
      <c r="A1876" s="487"/>
      <c r="B1876" s="487"/>
      <c r="C1876" s="487"/>
      <c r="D1876" s="487"/>
      <c r="I1876" s="487"/>
      <c r="J1876" s="487"/>
      <c r="K1876" s="487"/>
      <c r="L1876" s="487"/>
      <c r="M1876" s="487"/>
      <c r="N1876" s="487"/>
      <c r="O1876" s="875"/>
      <c r="Q1876" s="704"/>
      <c r="R1876" s="1026"/>
      <c r="S1876" s="704"/>
      <c r="T1876" s="1026"/>
      <c r="AB1876" s="520"/>
      <c r="AC1876" s="520"/>
      <c r="AD1876" s="520"/>
      <c r="AE1876" s="520"/>
      <c r="AF1876" s="520"/>
      <c r="AG1876" s="520"/>
      <c r="AH1876" s="520"/>
      <c r="AI1876" s="520"/>
      <c r="AJ1876" s="520"/>
      <c r="AK1876" s="520"/>
      <c r="AL1876" s="520"/>
      <c r="AM1876" s="520"/>
      <c r="AN1876" s="520"/>
      <c r="AO1876" s="520"/>
      <c r="AP1876" s="520"/>
      <c r="AQ1876" s="520"/>
      <c r="AR1876" s="520"/>
      <c r="AS1876" s="520"/>
      <c r="AT1876" s="520"/>
      <c r="AU1876" s="520"/>
      <c r="AV1876" s="520"/>
      <c r="AY1876" s="507"/>
      <c r="BA1876" s="507"/>
      <c r="BJ1876" s="493"/>
      <c r="CU1876" s="488"/>
      <c r="CW1876" s="488"/>
      <c r="EV1876" s="821"/>
      <c r="EW1876" s="821"/>
    </row>
    <row r="1877" spans="1:153" s="757" customFormat="1" hidden="1">
      <c r="A1877" s="487"/>
      <c r="B1877" s="487"/>
      <c r="C1877" s="487"/>
      <c r="D1877" s="487"/>
      <c r="I1877" s="487"/>
      <c r="J1877" s="487"/>
      <c r="K1877" s="487"/>
      <c r="L1877" s="487"/>
      <c r="M1877" s="487"/>
      <c r="N1877" s="487"/>
      <c r="O1877" s="875"/>
      <c r="Q1877" s="704"/>
      <c r="R1877" s="1026"/>
      <c r="S1877" s="704"/>
      <c r="T1877" s="1026"/>
      <c r="AB1877" s="520"/>
      <c r="AC1877" s="520"/>
      <c r="AD1877" s="520"/>
      <c r="AE1877" s="520"/>
      <c r="AF1877" s="520"/>
      <c r="AG1877" s="520"/>
      <c r="AH1877" s="520"/>
      <c r="AI1877" s="520"/>
      <c r="AJ1877" s="520"/>
      <c r="AK1877" s="520"/>
      <c r="AL1877" s="520"/>
      <c r="AM1877" s="520"/>
      <c r="AN1877" s="520"/>
      <c r="AO1877" s="520"/>
      <c r="AP1877" s="520"/>
      <c r="AQ1877" s="520"/>
      <c r="AR1877" s="520"/>
      <c r="AS1877" s="520"/>
      <c r="AT1877" s="520"/>
      <c r="AU1877" s="520"/>
      <c r="AV1877" s="520"/>
      <c r="AY1877" s="507"/>
      <c r="BA1877" s="507"/>
      <c r="BJ1877" s="493"/>
      <c r="CU1877" s="488"/>
      <c r="CW1877" s="488"/>
      <c r="EV1877" s="821"/>
      <c r="EW1877" s="821"/>
    </row>
    <row r="1878" spans="1:153" s="757" customFormat="1" hidden="1">
      <c r="A1878" s="487"/>
      <c r="B1878" s="487"/>
      <c r="C1878" s="487"/>
      <c r="D1878" s="487"/>
      <c r="I1878" s="487"/>
      <c r="J1878" s="487"/>
      <c r="K1878" s="487"/>
      <c r="L1878" s="487"/>
      <c r="M1878" s="487"/>
      <c r="N1878" s="487"/>
      <c r="O1878" s="875"/>
      <c r="Q1878" s="704"/>
      <c r="R1878" s="1026"/>
      <c r="S1878" s="704"/>
      <c r="T1878" s="1026"/>
      <c r="AB1878" s="520"/>
      <c r="AC1878" s="520"/>
      <c r="AD1878" s="520"/>
      <c r="AE1878" s="520"/>
      <c r="AF1878" s="520"/>
      <c r="AG1878" s="520"/>
      <c r="AH1878" s="520"/>
      <c r="AI1878" s="520"/>
      <c r="AJ1878" s="520"/>
      <c r="AK1878" s="520"/>
      <c r="AL1878" s="520"/>
      <c r="AM1878" s="520"/>
      <c r="AN1878" s="520"/>
      <c r="AO1878" s="520"/>
      <c r="AP1878" s="520"/>
      <c r="AQ1878" s="520"/>
      <c r="AR1878" s="520"/>
      <c r="AS1878" s="520"/>
      <c r="AT1878" s="520"/>
      <c r="AU1878" s="520"/>
      <c r="AV1878" s="520"/>
      <c r="AY1878" s="507"/>
      <c r="BA1878" s="507"/>
      <c r="BJ1878" s="493"/>
      <c r="CU1878" s="488"/>
      <c r="CW1878" s="488"/>
      <c r="EV1878" s="821"/>
      <c r="EW1878" s="821"/>
    </row>
    <row r="1879" spans="1:153" s="757" customFormat="1" hidden="1">
      <c r="A1879" s="487"/>
      <c r="B1879" s="487"/>
      <c r="C1879" s="487"/>
      <c r="D1879" s="487"/>
      <c r="I1879" s="487"/>
      <c r="J1879" s="487"/>
      <c r="K1879" s="487"/>
      <c r="L1879" s="487"/>
      <c r="M1879" s="487"/>
      <c r="N1879" s="487"/>
      <c r="O1879" s="875"/>
      <c r="Q1879" s="704"/>
      <c r="R1879" s="1026"/>
      <c r="S1879" s="704"/>
      <c r="T1879" s="1026"/>
      <c r="AB1879" s="520"/>
      <c r="AC1879" s="520"/>
      <c r="AD1879" s="520"/>
      <c r="AE1879" s="520"/>
      <c r="AF1879" s="520"/>
      <c r="AG1879" s="520"/>
      <c r="AH1879" s="520"/>
      <c r="AI1879" s="520"/>
      <c r="AJ1879" s="520"/>
      <c r="AK1879" s="520"/>
      <c r="AL1879" s="520"/>
      <c r="AM1879" s="520"/>
      <c r="AN1879" s="520"/>
      <c r="AO1879" s="520"/>
      <c r="AP1879" s="520"/>
      <c r="AQ1879" s="520"/>
      <c r="AR1879" s="520"/>
      <c r="AS1879" s="520"/>
      <c r="AT1879" s="520"/>
      <c r="AU1879" s="520"/>
      <c r="AV1879" s="520"/>
      <c r="AY1879" s="507"/>
      <c r="BA1879" s="507"/>
      <c r="BJ1879" s="493"/>
      <c r="CU1879" s="488"/>
      <c r="CW1879" s="488"/>
      <c r="EV1879" s="821"/>
      <c r="EW1879" s="821"/>
    </row>
    <row r="1880" spans="1:153" s="757" customFormat="1" hidden="1">
      <c r="A1880" s="487"/>
      <c r="B1880" s="487"/>
      <c r="C1880" s="487"/>
      <c r="D1880" s="487"/>
      <c r="I1880" s="487"/>
      <c r="J1880" s="487"/>
      <c r="K1880" s="487"/>
      <c r="L1880" s="487"/>
      <c r="M1880" s="487"/>
      <c r="N1880" s="487"/>
      <c r="O1880" s="875"/>
      <c r="Q1880" s="704"/>
      <c r="R1880" s="1026"/>
      <c r="S1880" s="704"/>
      <c r="T1880" s="1026"/>
      <c r="AB1880" s="520"/>
      <c r="AC1880" s="520"/>
      <c r="AD1880" s="520"/>
      <c r="AE1880" s="520"/>
      <c r="AF1880" s="520"/>
      <c r="AG1880" s="520"/>
      <c r="AH1880" s="520"/>
      <c r="AI1880" s="520"/>
      <c r="AJ1880" s="520"/>
      <c r="AK1880" s="520"/>
      <c r="AL1880" s="520"/>
      <c r="AM1880" s="520"/>
      <c r="AN1880" s="520"/>
      <c r="AO1880" s="520"/>
      <c r="AP1880" s="520"/>
      <c r="AQ1880" s="520"/>
      <c r="AR1880" s="520"/>
      <c r="AS1880" s="520"/>
      <c r="AT1880" s="520"/>
      <c r="AU1880" s="520"/>
      <c r="AV1880" s="520"/>
      <c r="AY1880" s="507"/>
      <c r="BA1880" s="507"/>
      <c r="BJ1880" s="493"/>
      <c r="CU1880" s="488"/>
      <c r="CW1880" s="488"/>
      <c r="EV1880" s="821"/>
      <c r="EW1880" s="821"/>
    </row>
    <row r="1881" spans="1:153" s="757" customFormat="1" hidden="1">
      <c r="A1881" s="487"/>
      <c r="B1881" s="487"/>
      <c r="C1881" s="487"/>
      <c r="D1881" s="487"/>
      <c r="I1881" s="487"/>
      <c r="J1881" s="487"/>
      <c r="K1881" s="487"/>
      <c r="L1881" s="487"/>
      <c r="M1881" s="487"/>
      <c r="N1881" s="487"/>
      <c r="O1881" s="875"/>
      <c r="Q1881" s="704"/>
      <c r="R1881" s="1026"/>
      <c r="S1881" s="704"/>
      <c r="T1881" s="1026"/>
      <c r="AB1881" s="520"/>
      <c r="AC1881" s="520"/>
      <c r="AD1881" s="520"/>
      <c r="AE1881" s="520"/>
      <c r="AF1881" s="520"/>
      <c r="AG1881" s="520"/>
      <c r="AH1881" s="520"/>
      <c r="AI1881" s="520"/>
      <c r="AJ1881" s="520"/>
      <c r="AK1881" s="520"/>
      <c r="AL1881" s="520"/>
      <c r="AM1881" s="520"/>
      <c r="AN1881" s="520"/>
      <c r="AO1881" s="520"/>
      <c r="AP1881" s="520"/>
      <c r="AQ1881" s="520"/>
      <c r="AR1881" s="520"/>
      <c r="AS1881" s="520"/>
      <c r="AT1881" s="520"/>
      <c r="AU1881" s="520"/>
      <c r="AV1881" s="520"/>
      <c r="AY1881" s="507"/>
      <c r="BA1881" s="507"/>
      <c r="BJ1881" s="493"/>
      <c r="CU1881" s="488"/>
      <c r="CW1881" s="488"/>
      <c r="EV1881" s="821"/>
      <c r="EW1881" s="821"/>
    </row>
    <row r="1882" spans="1:153" s="757" customFormat="1" hidden="1">
      <c r="A1882" s="487"/>
      <c r="B1882" s="487"/>
      <c r="C1882" s="487"/>
      <c r="D1882" s="487"/>
      <c r="I1882" s="487"/>
      <c r="J1882" s="487"/>
      <c r="K1882" s="487"/>
      <c r="L1882" s="487"/>
      <c r="M1882" s="487"/>
      <c r="N1882" s="487"/>
      <c r="O1882" s="875"/>
      <c r="Q1882" s="704"/>
      <c r="R1882" s="1026"/>
      <c r="S1882" s="704"/>
      <c r="T1882" s="1026"/>
      <c r="AB1882" s="520"/>
      <c r="AC1882" s="520"/>
      <c r="AD1882" s="520"/>
      <c r="AE1882" s="520"/>
      <c r="AF1882" s="520"/>
      <c r="AG1882" s="520"/>
      <c r="AH1882" s="520"/>
      <c r="AI1882" s="520"/>
      <c r="AJ1882" s="520"/>
      <c r="AK1882" s="520"/>
      <c r="AL1882" s="520"/>
      <c r="AM1882" s="520"/>
      <c r="AN1882" s="520"/>
      <c r="AO1882" s="520"/>
      <c r="AP1882" s="520"/>
      <c r="AQ1882" s="520"/>
      <c r="AR1882" s="520"/>
      <c r="AS1882" s="520"/>
      <c r="AT1882" s="520"/>
      <c r="AU1882" s="520"/>
      <c r="AV1882" s="520"/>
      <c r="AY1882" s="507"/>
      <c r="BA1882" s="507"/>
      <c r="BJ1882" s="493"/>
      <c r="CU1882" s="488"/>
      <c r="CW1882" s="488"/>
      <c r="EV1882" s="821"/>
      <c r="EW1882" s="821"/>
    </row>
    <row r="1883" spans="1:153" s="757" customFormat="1" hidden="1">
      <c r="A1883" s="487"/>
      <c r="B1883" s="487"/>
      <c r="C1883" s="487"/>
      <c r="D1883" s="487"/>
      <c r="I1883" s="487"/>
      <c r="J1883" s="487"/>
      <c r="K1883" s="487"/>
      <c r="L1883" s="487"/>
      <c r="M1883" s="487"/>
      <c r="N1883" s="487"/>
      <c r="O1883" s="875"/>
      <c r="Q1883" s="704"/>
      <c r="R1883" s="1026"/>
      <c r="S1883" s="704"/>
      <c r="T1883" s="1026"/>
      <c r="AB1883" s="520"/>
      <c r="AC1883" s="520"/>
      <c r="AD1883" s="520"/>
      <c r="AE1883" s="520"/>
      <c r="AF1883" s="520"/>
      <c r="AG1883" s="520"/>
      <c r="AH1883" s="520"/>
      <c r="AI1883" s="520"/>
      <c r="AJ1883" s="520"/>
      <c r="AK1883" s="520"/>
      <c r="AL1883" s="520"/>
      <c r="AM1883" s="520"/>
      <c r="AN1883" s="520"/>
      <c r="AO1883" s="520"/>
      <c r="AP1883" s="520"/>
      <c r="AQ1883" s="520"/>
      <c r="AR1883" s="520"/>
      <c r="AS1883" s="520"/>
      <c r="AT1883" s="520"/>
      <c r="AU1883" s="520"/>
      <c r="AV1883" s="520"/>
      <c r="AY1883" s="507"/>
      <c r="BA1883" s="507"/>
      <c r="BJ1883" s="493"/>
      <c r="CU1883" s="488"/>
      <c r="CW1883" s="488"/>
      <c r="EV1883" s="821"/>
      <c r="EW1883" s="821"/>
    </row>
    <row r="1884" spans="1:153" s="757" customFormat="1" hidden="1">
      <c r="A1884" s="487"/>
      <c r="B1884" s="487"/>
      <c r="C1884" s="487"/>
      <c r="D1884" s="487"/>
      <c r="I1884" s="487"/>
      <c r="J1884" s="487"/>
      <c r="K1884" s="487"/>
      <c r="L1884" s="487"/>
      <c r="M1884" s="487"/>
      <c r="N1884" s="487"/>
      <c r="O1884" s="875"/>
      <c r="Q1884" s="704"/>
      <c r="R1884" s="1026"/>
      <c r="S1884" s="704"/>
      <c r="T1884" s="1026"/>
      <c r="AB1884" s="520"/>
      <c r="AC1884" s="520"/>
      <c r="AD1884" s="520"/>
      <c r="AE1884" s="520"/>
      <c r="AF1884" s="520"/>
      <c r="AG1884" s="520"/>
      <c r="AH1884" s="520"/>
      <c r="AI1884" s="520"/>
      <c r="AJ1884" s="520"/>
      <c r="AK1884" s="520"/>
      <c r="AL1884" s="520"/>
      <c r="AM1884" s="520"/>
      <c r="AN1884" s="520"/>
      <c r="AO1884" s="520"/>
      <c r="AP1884" s="520"/>
      <c r="AQ1884" s="520"/>
      <c r="AR1884" s="520"/>
      <c r="AS1884" s="520"/>
      <c r="AT1884" s="520"/>
      <c r="AU1884" s="520"/>
      <c r="AV1884" s="520"/>
      <c r="AY1884" s="507"/>
      <c r="BA1884" s="507"/>
      <c r="BJ1884" s="493"/>
      <c r="CU1884" s="488"/>
      <c r="CW1884" s="488"/>
      <c r="EV1884" s="821"/>
      <c r="EW1884" s="821"/>
    </row>
    <row r="1885" spans="1:153" s="757" customFormat="1" hidden="1">
      <c r="A1885" s="487"/>
      <c r="B1885" s="487"/>
      <c r="C1885" s="487"/>
      <c r="D1885" s="487"/>
      <c r="I1885" s="487"/>
      <c r="J1885" s="487"/>
      <c r="K1885" s="487"/>
      <c r="L1885" s="487"/>
      <c r="M1885" s="487"/>
      <c r="N1885" s="487"/>
      <c r="O1885" s="875"/>
      <c r="Q1885" s="704"/>
      <c r="R1885" s="1026"/>
      <c r="S1885" s="704"/>
      <c r="T1885" s="1026"/>
      <c r="AB1885" s="520"/>
      <c r="AC1885" s="520"/>
      <c r="AD1885" s="520"/>
      <c r="AE1885" s="520"/>
      <c r="AF1885" s="520"/>
      <c r="AG1885" s="520"/>
      <c r="AH1885" s="520"/>
      <c r="AI1885" s="520"/>
      <c r="AJ1885" s="520"/>
      <c r="AK1885" s="520"/>
      <c r="AL1885" s="520"/>
      <c r="AM1885" s="520"/>
      <c r="AN1885" s="520"/>
      <c r="AO1885" s="520"/>
      <c r="AP1885" s="520"/>
      <c r="AQ1885" s="520"/>
      <c r="AR1885" s="520"/>
      <c r="AS1885" s="520"/>
      <c r="AT1885" s="520"/>
      <c r="AU1885" s="520"/>
      <c r="AV1885" s="520"/>
      <c r="AY1885" s="507"/>
      <c r="BA1885" s="507"/>
      <c r="BJ1885" s="493"/>
      <c r="CU1885" s="488"/>
      <c r="CW1885" s="488"/>
      <c r="EV1885" s="821"/>
      <c r="EW1885" s="821"/>
    </row>
    <row r="1886" spans="1:153" s="757" customFormat="1" hidden="1">
      <c r="A1886" s="487"/>
      <c r="B1886" s="487"/>
      <c r="C1886" s="487"/>
      <c r="D1886" s="487"/>
      <c r="I1886" s="487"/>
      <c r="J1886" s="487"/>
      <c r="K1886" s="487"/>
      <c r="L1886" s="487"/>
      <c r="M1886" s="487"/>
      <c r="N1886" s="487"/>
      <c r="O1886" s="875"/>
      <c r="Q1886" s="704"/>
      <c r="R1886" s="1026"/>
      <c r="S1886" s="704"/>
      <c r="T1886" s="1026"/>
      <c r="AB1886" s="520"/>
      <c r="AC1886" s="520"/>
      <c r="AD1886" s="520"/>
      <c r="AE1886" s="520"/>
      <c r="AF1886" s="520"/>
      <c r="AG1886" s="520"/>
      <c r="AH1886" s="520"/>
      <c r="AI1886" s="520"/>
      <c r="AJ1886" s="520"/>
      <c r="AK1886" s="520"/>
      <c r="AL1886" s="520"/>
      <c r="AM1886" s="520"/>
      <c r="AN1886" s="520"/>
      <c r="AO1886" s="520"/>
      <c r="AP1886" s="520"/>
      <c r="AQ1886" s="520"/>
      <c r="AR1886" s="520"/>
      <c r="AS1886" s="520"/>
      <c r="AT1886" s="520"/>
      <c r="AU1886" s="520"/>
      <c r="AV1886" s="520"/>
      <c r="AY1886" s="507"/>
      <c r="BA1886" s="507"/>
      <c r="BJ1886" s="493"/>
      <c r="CU1886" s="488"/>
      <c r="CW1886" s="488"/>
      <c r="EV1886" s="821"/>
      <c r="EW1886" s="821"/>
    </row>
    <row r="1887" spans="1:153" s="757" customFormat="1" hidden="1">
      <c r="A1887" s="487"/>
      <c r="B1887" s="487"/>
      <c r="C1887" s="487"/>
      <c r="D1887" s="487"/>
      <c r="I1887" s="487"/>
      <c r="J1887" s="487"/>
      <c r="K1887" s="487"/>
      <c r="L1887" s="487"/>
      <c r="M1887" s="487"/>
      <c r="N1887" s="487"/>
      <c r="O1887" s="875"/>
      <c r="Q1887" s="704"/>
      <c r="R1887" s="1026"/>
      <c r="S1887" s="704"/>
      <c r="T1887" s="1026"/>
      <c r="AB1887" s="520"/>
      <c r="AC1887" s="520"/>
      <c r="AD1887" s="520"/>
      <c r="AE1887" s="520"/>
      <c r="AF1887" s="520"/>
      <c r="AG1887" s="520"/>
      <c r="AH1887" s="520"/>
      <c r="AI1887" s="520"/>
      <c r="AJ1887" s="520"/>
      <c r="AK1887" s="520"/>
      <c r="AL1887" s="520"/>
      <c r="AM1887" s="520"/>
      <c r="AN1887" s="520"/>
      <c r="AO1887" s="520"/>
      <c r="AP1887" s="520"/>
      <c r="AQ1887" s="520"/>
      <c r="AR1887" s="520"/>
      <c r="AS1887" s="520"/>
      <c r="AT1887" s="520"/>
      <c r="AU1887" s="520"/>
      <c r="AV1887" s="520"/>
      <c r="AY1887" s="507"/>
      <c r="BA1887" s="507"/>
      <c r="BJ1887" s="493"/>
      <c r="CU1887" s="488"/>
      <c r="CW1887" s="488"/>
      <c r="EV1887" s="821"/>
      <c r="EW1887" s="821"/>
    </row>
    <row r="1888" spans="1:153" s="757" customFormat="1" hidden="1">
      <c r="A1888" s="487"/>
      <c r="B1888" s="487"/>
      <c r="C1888" s="487"/>
      <c r="D1888" s="487"/>
      <c r="I1888" s="487"/>
      <c r="J1888" s="487"/>
      <c r="K1888" s="487"/>
      <c r="L1888" s="487"/>
      <c r="M1888" s="487"/>
      <c r="N1888" s="487"/>
      <c r="O1888" s="875"/>
      <c r="Q1888" s="704"/>
      <c r="R1888" s="1026"/>
      <c r="S1888" s="704"/>
      <c r="T1888" s="1026"/>
      <c r="AB1888" s="520"/>
      <c r="AC1888" s="520"/>
      <c r="AD1888" s="520"/>
      <c r="AE1888" s="520"/>
      <c r="AF1888" s="520"/>
      <c r="AG1888" s="520"/>
      <c r="AH1888" s="520"/>
      <c r="AI1888" s="520"/>
      <c r="AJ1888" s="520"/>
      <c r="AK1888" s="520"/>
      <c r="AL1888" s="520"/>
      <c r="AM1888" s="520"/>
      <c r="AN1888" s="520"/>
      <c r="AO1888" s="520"/>
      <c r="AP1888" s="520"/>
      <c r="AQ1888" s="520"/>
      <c r="AR1888" s="520"/>
      <c r="AS1888" s="520"/>
      <c r="AT1888" s="520"/>
      <c r="AU1888" s="520"/>
      <c r="AV1888" s="520"/>
      <c r="AY1888" s="507"/>
      <c r="BA1888" s="507"/>
      <c r="BJ1888" s="493"/>
      <c r="CU1888" s="488"/>
      <c r="CW1888" s="488"/>
      <c r="EV1888" s="821"/>
      <c r="EW1888" s="821"/>
    </row>
    <row r="1889" spans="1:153" s="757" customFormat="1" hidden="1">
      <c r="A1889" s="487"/>
      <c r="B1889" s="487"/>
      <c r="C1889" s="487"/>
      <c r="D1889" s="487"/>
      <c r="I1889" s="487"/>
      <c r="J1889" s="487"/>
      <c r="K1889" s="487"/>
      <c r="L1889" s="487"/>
      <c r="M1889" s="487"/>
      <c r="N1889" s="487"/>
      <c r="O1889" s="875"/>
      <c r="Q1889" s="704"/>
      <c r="R1889" s="1026"/>
      <c r="S1889" s="704"/>
      <c r="T1889" s="1026"/>
      <c r="AB1889" s="520"/>
      <c r="AC1889" s="520"/>
      <c r="AD1889" s="520"/>
      <c r="AE1889" s="520"/>
      <c r="AF1889" s="520"/>
      <c r="AG1889" s="520"/>
      <c r="AH1889" s="520"/>
      <c r="AI1889" s="520"/>
      <c r="AJ1889" s="520"/>
      <c r="AK1889" s="520"/>
      <c r="AL1889" s="520"/>
      <c r="AM1889" s="520"/>
      <c r="AN1889" s="520"/>
      <c r="AO1889" s="520"/>
      <c r="AP1889" s="520"/>
      <c r="AQ1889" s="520"/>
      <c r="AR1889" s="520"/>
      <c r="AS1889" s="520"/>
      <c r="AT1889" s="520"/>
      <c r="AU1889" s="520"/>
      <c r="AV1889" s="520"/>
      <c r="AY1889" s="507"/>
      <c r="BA1889" s="507"/>
      <c r="BJ1889" s="493"/>
      <c r="CU1889" s="488"/>
      <c r="CW1889" s="488"/>
      <c r="EV1889" s="821"/>
      <c r="EW1889" s="821"/>
    </row>
    <row r="1890" spans="1:153" s="757" customFormat="1" hidden="1">
      <c r="A1890" s="487"/>
      <c r="B1890" s="487"/>
      <c r="C1890" s="487"/>
      <c r="D1890" s="487"/>
      <c r="I1890" s="487"/>
      <c r="J1890" s="487"/>
      <c r="K1890" s="487"/>
      <c r="L1890" s="487"/>
      <c r="M1890" s="487"/>
      <c r="N1890" s="487"/>
      <c r="O1890" s="875"/>
      <c r="Q1890" s="704"/>
      <c r="R1890" s="1026"/>
      <c r="S1890" s="704"/>
      <c r="T1890" s="1026"/>
      <c r="AB1890" s="520"/>
      <c r="AC1890" s="520"/>
      <c r="AD1890" s="520"/>
      <c r="AE1890" s="520"/>
      <c r="AF1890" s="520"/>
      <c r="AG1890" s="520"/>
      <c r="AH1890" s="520"/>
      <c r="AI1890" s="520"/>
      <c r="AJ1890" s="520"/>
      <c r="AK1890" s="520"/>
      <c r="AL1890" s="520"/>
      <c r="AM1890" s="520"/>
      <c r="AN1890" s="520"/>
      <c r="AO1890" s="520"/>
      <c r="AP1890" s="520"/>
      <c r="AQ1890" s="520"/>
      <c r="AR1890" s="520"/>
      <c r="AS1890" s="520"/>
      <c r="AT1890" s="520"/>
      <c r="AU1890" s="520"/>
      <c r="AV1890" s="520"/>
      <c r="AY1890" s="507"/>
      <c r="BA1890" s="507"/>
      <c r="BJ1890" s="493"/>
      <c r="CU1890" s="488"/>
      <c r="CW1890" s="488"/>
      <c r="EV1890" s="821"/>
      <c r="EW1890" s="821"/>
    </row>
    <row r="1891" spans="1:153" s="757" customFormat="1" hidden="1">
      <c r="A1891" s="487"/>
      <c r="B1891" s="487"/>
      <c r="C1891" s="487"/>
      <c r="D1891" s="487"/>
      <c r="I1891" s="487"/>
      <c r="J1891" s="487"/>
      <c r="K1891" s="487"/>
      <c r="L1891" s="487"/>
      <c r="M1891" s="487"/>
      <c r="N1891" s="487"/>
      <c r="O1891" s="875"/>
      <c r="Q1891" s="704"/>
      <c r="R1891" s="1026"/>
      <c r="S1891" s="704"/>
      <c r="T1891" s="1026"/>
      <c r="AB1891" s="520"/>
      <c r="AC1891" s="520"/>
      <c r="AD1891" s="520"/>
      <c r="AE1891" s="520"/>
      <c r="AF1891" s="520"/>
      <c r="AG1891" s="520"/>
      <c r="AH1891" s="520"/>
      <c r="AI1891" s="520"/>
      <c r="AJ1891" s="520"/>
      <c r="AK1891" s="520"/>
      <c r="AL1891" s="520"/>
      <c r="AM1891" s="520"/>
      <c r="AN1891" s="520"/>
      <c r="AO1891" s="520"/>
      <c r="AP1891" s="520"/>
      <c r="AQ1891" s="520"/>
      <c r="AR1891" s="520"/>
      <c r="AS1891" s="520"/>
      <c r="AT1891" s="520"/>
      <c r="AU1891" s="520"/>
      <c r="AV1891" s="520"/>
      <c r="AY1891" s="507"/>
      <c r="BA1891" s="507"/>
      <c r="BJ1891" s="493"/>
      <c r="CU1891" s="488"/>
      <c r="CW1891" s="488"/>
      <c r="EV1891" s="821"/>
      <c r="EW1891" s="821"/>
    </row>
    <row r="1892" spans="1:153" s="757" customFormat="1" hidden="1">
      <c r="A1892" s="487"/>
      <c r="B1892" s="487"/>
      <c r="C1892" s="487"/>
      <c r="D1892" s="487"/>
      <c r="I1892" s="487"/>
      <c r="J1892" s="487"/>
      <c r="K1892" s="487"/>
      <c r="L1892" s="487"/>
      <c r="M1892" s="487"/>
      <c r="N1892" s="487"/>
      <c r="O1892" s="875"/>
      <c r="Q1892" s="704"/>
      <c r="R1892" s="1026"/>
      <c r="S1892" s="704"/>
      <c r="T1892" s="1026"/>
      <c r="AB1892" s="520"/>
      <c r="AC1892" s="520"/>
      <c r="AD1892" s="520"/>
      <c r="AE1892" s="520"/>
      <c r="AF1892" s="520"/>
      <c r="AG1892" s="520"/>
      <c r="AH1892" s="520"/>
      <c r="AI1892" s="520"/>
      <c r="AJ1892" s="520"/>
      <c r="AK1892" s="520"/>
      <c r="AL1892" s="520"/>
      <c r="AM1892" s="520"/>
      <c r="AN1892" s="520"/>
      <c r="AO1892" s="520"/>
      <c r="AP1892" s="520"/>
      <c r="AQ1892" s="520"/>
      <c r="AR1892" s="520"/>
      <c r="AS1892" s="520"/>
      <c r="AT1892" s="520"/>
      <c r="AU1892" s="520"/>
      <c r="AV1892" s="520"/>
      <c r="AY1892" s="507"/>
      <c r="BA1892" s="507"/>
      <c r="BJ1892" s="493"/>
      <c r="CU1892" s="488"/>
      <c r="CW1892" s="488"/>
      <c r="EV1892" s="821"/>
      <c r="EW1892" s="821"/>
    </row>
    <row r="1893" spans="1:153" s="757" customFormat="1" hidden="1">
      <c r="A1893" s="487"/>
      <c r="B1893" s="487"/>
      <c r="C1893" s="487"/>
      <c r="D1893" s="487"/>
      <c r="I1893" s="487"/>
      <c r="J1893" s="487"/>
      <c r="K1893" s="487"/>
      <c r="L1893" s="487"/>
      <c r="M1893" s="487"/>
      <c r="N1893" s="487"/>
      <c r="O1893" s="875"/>
      <c r="Q1893" s="704"/>
      <c r="R1893" s="1026"/>
      <c r="S1893" s="704"/>
      <c r="T1893" s="1026"/>
      <c r="AB1893" s="520"/>
      <c r="AC1893" s="520"/>
      <c r="AD1893" s="520"/>
      <c r="AE1893" s="520"/>
      <c r="AF1893" s="520"/>
      <c r="AG1893" s="520"/>
      <c r="AH1893" s="520"/>
      <c r="AI1893" s="520"/>
      <c r="AJ1893" s="520"/>
      <c r="AK1893" s="520"/>
      <c r="AL1893" s="520"/>
      <c r="AM1893" s="520"/>
      <c r="AN1893" s="520"/>
      <c r="AO1893" s="520"/>
      <c r="AP1893" s="520"/>
      <c r="AQ1893" s="520"/>
      <c r="AR1893" s="520"/>
      <c r="AS1893" s="520"/>
      <c r="AT1893" s="520"/>
      <c r="AU1893" s="520"/>
      <c r="AV1893" s="520"/>
      <c r="AY1893" s="507"/>
      <c r="BA1893" s="507"/>
      <c r="BJ1893" s="493"/>
      <c r="CU1893" s="488"/>
      <c r="CW1893" s="488"/>
      <c r="EV1893" s="821"/>
      <c r="EW1893" s="821"/>
    </row>
    <row r="1894" spans="1:153" s="757" customFormat="1" hidden="1">
      <c r="A1894" s="487"/>
      <c r="B1894" s="487"/>
      <c r="C1894" s="487"/>
      <c r="D1894" s="487"/>
      <c r="I1894" s="487"/>
      <c r="J1894" s="487"/>
      <c r="K1894" s="487"/>
      <c r="L1894" s="487"/>
      <c r="M1894" s="487"/>
      <c r="N1894" s="487"/>
      <c r="O1894" s="875"/>
      <c r="Q1894" s="704"/>
      <c r="R1894" s="1026"/>
      <c r="S1894" s="704"/>
      <c r="T1894" s="1026"/>
      <c r="AB1894" s="520"/>
      <c r="AC1894" s="520"/>
      <c r="AD1894" s="520"/>
      <c r="AE1894" s="520"/>
      <c r="AF1894" s="520"/>
      <c r="AG1894" s="520"/>
      <c r="AH1894" s="520"/>
      <c r="AI1894" s="520"/>
      <c r="AJ1894" s="520"/>
      <c r="AK1894" s="520"/>
      <c r="AL1894" s="520"/>
      <c r="AM1894" s="520"/>
      <c r="AN1894" s="520"/>
      <c r="AO1894" s="520"/>
      <c r="AP1894" s="520"/>
      <c r="AQ1894" s="520"/>
      <c r="AR1894" s="520"/>
      <c r="AS1894" s="520"/>
      <c r="AT1894" s="520"/>
      <c r="AU1894" s="520"/>
      <c r="AV1894" s="520"/>
      <c r="AY1894" s="507"/>
      <c r="BA1894" s="507"/>
      <c r="BJ1894" s="493"/>
      <c r="CU1894" s="488"/>
      <c r="CW1894" s="488"/>
      <c r="EV1894" s="821"/>
      <c r="EW1894" s="821"/>
    </row>
    <row r="1895" spans="1:153" s="757" customFormat="1" hidden="1">
      <c r="A1895" s="487"/>
      <c r="B1895" s="487"/>
      <c r="C1895" s="487"/>
      <c r="D1895" s="487"/>
      <c r="I1895" s="487"/>
      <c r="J1895" s="487"/>
      <c r="K1895" s="487"/>
      <c r="L1895" s="487"/>
      <c r="M1895" s="487"/>
      <c r="N1895" s="487"/>
      <c r="O1895" s="875"/>
      <c r="Q1895" s="704"/>
      <c r="R1895" s="1026"/>
      <c r="S1895" s="704"/>
      <c r="T1895" s="1026"/>
      <c r="AB1895" s="520"/>
      <c r="AC1895" s="520"/>
      <c r="AD1895" s="520"/>
      <c r="AE1895" s="520"/>
      <c r="AF1895" s="520"/>
      <c r="AG1895" s="520"/>
      <c r="AH1895" s="520"/>
      <c r="AI1895" s="520"/>
      <c r="AJ1895" s="520"/>
      <c r="AK1895" s="520"/>
      <c r="AL1895" s="520"/>
      <c r="AM1895" s="520"/>
      <c r="AN1895" s="520"/>
      <c r="AO1895" s="520"/>
      <c r="AP1895" s="520"/>
      <c r="AQ1895" s="520"/>
      <c r="AR1895" s="520"/>
      <c r="AS1895" s="520"/>
      <c r="AT1895" s="520"/>
      <c r="AU1895" s="520"/>
      <c r="AV1895" s="520"/>
      <c r="AY1895" s="507"/>
      <c r="BA1895" s="507"/>
      <c r="BJ1895" s="493"/>
      <c r="CU1895" s="488"/>
      <c r="CW1895" s="488"/>
      <c r="EV1895" s="821"/>
      <c r="EW1895" s="821"/>
    </row>
    <row r="1896" spans="1:153" s="757" customFormat="1" hidden="1">
      <c r="A1896" s="487"/>
      <c r="B1896" s="487"/>
      <c r="C1896" s="487"/>
      <c r="D1896" s="487"/>
      <c r="I1896" s="487"/>
      <c r="J1896" s="487"/>
      <c r="K1896" s="487"/>
      <c r="L1896" s="487"/>
      <c r="M1896" s="487"/>
      <c r="N1896" s="487"/>
      <c r="O1896" s="875"/>
      <c r="Q1896" s="704"/>
      <c r="R1896" s="1026"/>
      <c r="S1896" s="704"/>
      <c r="T1896" s="1026"/>
      <c r="AB1896" s="520"/>
      <c r="AC1896" s="520"/>
      <c r="AD1896" s="520"/>
      <c r="AE1896" s="520"/>
      <c r="AF1896" s="520"/>
      <c r="AG1896" s="520"/>
      <c r="AH1896" s="520"/>
      <c r="AI1896" s="520"/>
      <c r="AJ1896" s="520"/>
      <c r="AK1896" s="520"/>
      <c r="AL1896" s="520"/>
      <c r="AM1896" s="520"/>
      <c r="AN1896" s="520"/>
      <c r="AO1896" s="520"/>
      <c r="AP1896" s="520"/>
      <c r="AQ1896" s="520"/>
      <c r="AR1896" s="520"/>
      <c r="AS1896" s="520"/>
      <c r="AT1896" s="520"/>
      <c r="AU1896" s="520"/>
      <c r="AV1896" s="520"/>
      <c r="AY1896" s="507"/>
      <c r="BA1896" s="507"/>
      <c r="BJ1896" s="493"/>
      <c r="CU1896" s="488"/>
      <c r="CW1896" s="488"/>
      <c r="EV1896" s="821"/>
      <c r="EW1896" s="821"/>
    </row>
    <row r="1897" spans="1:153" s="757" customFormat="1" hidden="1">
      <c r="A1897" s="487"/>
      <c r="B1897" s="487"/>
      <c r="C1897" s="487"/>
      <c r="D1897" s="487"/>
      <c r="I1897" s="487"/>
      <c r="J1897" s="487"/>
      <c r="K1897" s="487"/>
      <c r="L1897" s="487"/>
      <c r="M1897" s="487"/>
      <c r="N1897" s="487"/>
      <c r="O1897" s="875"/>
      <c r="Q1897" s="704"/>
      <c r="R1897" s="1026"/>
      <c r="S1897" s="704"/>
      <c r="T1897" s="1026"/>
      <c r="AB1897" s="520"/>
      <c r="AC1897" s="520"/>
      <c r="AD1897" s="520"/>
      <c r="AE1897" s="520"/>
      <c r="AF1897" s="520"/>
      <c r="AG1897" s="520"/>
      <c r="AH1897" s="520"/>
      <c r="AI1897" s="520"/>
      <c r="AJ1897" s="520"/>
      <c r="AK1897" s="520"/>
      <c r="AL1897" s="520"/>
      <c r="AM1897" s="520"/>
      <c r="AN1897" s="520"/>
      <c r="AO1897" s="520"/>
      <c r="AP1897" s="520"/>
      <c r="AQ1897" s="520"/>
      <c r="AR1897" s="520"/>
      <c r="AS1897" s="520"/>
      <c r="AT1897" s="520"/>
      <c r="AU1897" s="520"/>
      <c r="AV1897" s="520"/>
      <c r="AY1897" s="507"/>
      <c r="BA1897" s="507"/>
      <c r="BJ1897" s="493"/>
      <c r="CU1897" s="488"/>
      <c r="CW1897" s="488"/>
      <c r="EV1897" s="821"/>
      <c r="EW1897" s="821"/>
    </row>
    <row r="1898" spans="1:153" s="757" customFormat="1" hidden="1">
      <c r="A1898" s="487"/>
      <c r="B1898" s="487"/>
      <c r="C1898" s="487"/>
      <c r="D1898" s="487"/>
      <c r="I1898" s="487"/>
      <c r="J1898" s="487"/>
      <c r="K1898" s="487"/>
      <c r="L1898" s="487"/>
      <c r="M1898" s="487"/>
      <c r="N1898" s="487"/>
      <c r="O1898" s="875"/>
      <c r="Q1898" s="704"/>
      <c r="R1898" s="1026"/>
      <c r="S1898" s="704"/>
      <c r="T1898" s="1026"/>
      <c r="AB1898" s="520"/>
      <c r="AC1898" s="520"/>
      <c r="AD1898" s="520"/>
      <c r="AE1898" s="520"/>
      <c r="AF1898" s="520"/>
      <c r="AG1898" s="520"/>
      <c r="AH1898" s="520"/>
      <c r="AI1898" s="520"/>
      <c r="AJ1898" s="520"/>
      <c r="AK1898" s="520"/>
      <c r="AL1898" s="520"/>
      <c r="AM1898" s="520"/>
      <c r="AN1898" s="520"/>
      <c r="AO1898" s="520"/>
      <c r="AP1898" s="520"/>
      <c r="AQ1898" s="520"/>
      <c r="AR1898" s="520"/>
      <c r="AS1898" s="520"/>
      <c r="AT1898" s="520"/>
      <c r="AU1898" s="520"/>
      <c r="AV1898" s="520"/>
      <c r="AY1898" s="507"/>
      <c r="BA1898" s="507"/>
      <c r="BJ1898" s="493"/>
      <c r="CU1898" s="488"/>
      <c r="CW1898" s="488"/>
      <c r="EV1898" s="821"/>
      <c r="EW1898" s="821"/>
    </row>
    <row r="1899" spans="1:153" s="757" customFormat="1" hidden="1">
      <c r="A1899" s="487"/>
      <c r="B1899" s="487"/>
      <c r="C1899" s="487"/>
      <c r="D1899" s="487"/>
      <c r="I1899" s="487"/>
      <c r="J1899" s="487"/>
      <c r="K1899" s="487"/>
      <c r="L1899" s="487"/>
      <c r="M1899" s="487"/>
      <c r="N1899" s="487"/>
      <c r="O1899" s="875"/>
      <c r="Q1899" s="704"/>
      <c r="R1899" s="1026"/>
      <c r="S1899" s="704"/>
      <c r="T1899" s="1026"/>
      <c r="AB1899" s="520"/>
      <c r="AC1899" s="520"/>
      <c r="AD1899" s="520"/>
      <c r="AE1899" s="520"/>
      <c r="AF1899" s="520"/>
      <c r="AG1899" s="520"/>
      <c r="AH1899" s="520"/>
      <c r="AI1899" s="520"/>
      <c r="AJ1899" s="520"/>
      <c r="AK1899" s="520"/>
      <c r="AL1899" s="520"/>
      <c r="AM1899" s="520"/>
      <c r="AN1899" s="520"/>
      <c r="AO1899" s="520"/>
      <c r="AP1899" s="520"/>
      <c r="AQ1899" s="520"/>
      <c r="AR1899" s="520"/>
      <c r="AS1899" s="520"/>
      <c r="AT1899" s="520"/>
      <c r="AU1899" s="520"/>
      <c r="AV1899" s="520"/>
      <c r="AY1899" s="507"/>
      <c r="BA1899" s="507"/>
      <c r="BJ1899" s="493"/>
      <c r="CU1899" s="488"/>
      <c r="CW1899" s="488"/>
      <c r="EV1899" s="821"/>
      <c r="EW1899" s="821"/>
    </row>
    <row r="1900" spans="1:153" s="757" customFormat="1" hidden="1">
      <c r="A1900" s="487"/>
      <c r="B1900" s="487"/>
      <c r="C1900" s="487"/>
      <c r="D1900" s="487"/>
      <c r="I1900" s="487"/>
      <c r="J1900" s="487"/>
      <c r="K1900" s="487"/>
      <c r="L1900" s="487"/>
      <c r="M1900" s="487"/>
      <c r="N1900" s="487"/>
      <c r="O1900" s="875"/>
      <c r="Q1900" s="704"/>
      <c r="R1900" s="1026"/>
      <c r="S1900" s="704"/>
      <c r="T1900" s="1026"/>
      <c r="AB1900" s="520"/>
      <c r="AC1900" s="520"/>
      <c r="AD1900" s="520"/>
      <c r="AE1900" s="520"/>
      <c r="AF1900" s="520"/>
      <c r="AG1900" s="520"/>
      <c r="AH1900" s="520"/>
      <c r="AI1900" s="520"/>
      <c r="AJ1900" s="520"/>
      <c r="AK1900" s="520"/>
      <c r="AL1900" s="520"/>
      <c r="AM1900" s="520"/>
      <c r="AN1900" s="520"/>
      <c r="AO1900" s="520"/>
      <c r="AP1900" s="520"/>
      <c r="AQ1900" s="520"/>
      <c r="AR1900" s="520"/>
      <c r="AS1900" s="520"/>
      <c r="AT1900" s="520"/>
      <c r="AU1900" s="520"/>
      <c r="AV1900" s="520"/>
      <c r="AY1900" s="507"/>
      <c r="BA1900" s="507"/>
      <c r="BJ1900" s="493"/>
      <c r="CU1900" s="488"/>
      <c r="CW1900" s="488"/>
      <c r="EV1900" s="821"/>
      <c r="EW1900" s="821"/>
    </row>
    <row r="1901" spans="1:153" s="757" customFormat="1" hidden="1">
      <c r="A1901" s="487"/>
      <c r="B1901" s="487"/>
      <c r="C1901" s="487"/>
      <c r="D1901" s="487"/>
      <c r="I1901" s="487"/>
      <c r="J1901" s="487"/>
      <c r="K1901" s="487"/>
      <c r="L1901" s="487"/>
      <c r="M1901" s="487"/>
      <c r="N1901" s="487"/>
      <c r="O1901" s="875"/>
      <c r="Q1901" s="704"/>
      <c r="R1901" s="1026"/>
      <c r="S1901" s="704"/>
      <c r="T1901" s="1026"/>
      <c r="AB1901" s="520"/>
      <c r="AC1901" s="520"/>
      <c r="AD1901" s="520"/>
      <c r="AE1901" s="520"/>
      <c r="AF1901" s="520"/>
      <c r="AG1901" s="520"/>
      <c r="AH1901" s="520"/>
      <c r="AI1901" s="520"/>
      <c r="AJ1901" s="520"/>
      <c r="AK1901" s="520"/>
      <c r="AL1901" s="520"/>
      <c r="AM1901" s="520"/>
      <c r="AN1901" s="520"/>
      <c r="AO1901" s="520"/>
      <c r="AP1901" s="520"/>
      <c r="AQ1901" s="520"/>
      <c r="AR1901" s="520"/>
      <c r="AS1901" s="520"/>
      <c r="AT1901" s="520"/>
      <c r="AU1901" s="520"/>
      <c r="AV1901" s="520"/>
      <c r="AY1901" s="507"/>
      <c r="BA1901" s="507"/>
      <c r="BJ1901" s="493"/>
      <c r="CU1901" s="488"/>
      <c r="CW1901" s="488"/>
      <c r="EV1901" s="821"/>
      <c r="EW1901" s="821"/>
    </row>
    <row r="1902" spans="1:153" s="757" customFormat="1" hidden="1">
      <c r="A1902" s="487"/>
      <c r="B1902" s="487"/>
      <c r="C1902" s="487"/>
      <c r="D1902" s="487"/>
      <c r="I1902" s="487"/>
      <c r="J1902" s="487"/>
      <c r="K1902" s="487"/>
      <c r="L1902" s="487"/>
      <c r="M1902" s="487"/>
      <c r="N1902" s="487"/>
      <c r="O1902" s="875"/>
      <c r="Q1902" s="704"/>
      <c r="R1902" s="1026"/>
      <c r="S1902" s="704"/>
      <c r="T1902" s="1026"/>
      <c r="AB1902" s="520"/>
      <c r="AC1902" s="520"/>
      <c r="AD1902" s="520"/>
      <c r="AE1902" s="520"/>
      <c r="AF1902" s="520"/>
      <c r="AG1902" s="520"/>
      <c r="AH1902" s="520"/>
      <c r="AI1902" s="520"/>
      <c r="AJ1902" s="520"/>
      <c r="AK1902" s="520"/>
      <c r="AL1902" s="520"/>
      <c r="AM1902" s="520"/>
      <c r="AN1902" s="520"/>
      <c r="AO1902" s="520"/>
      <c r="AP1902" s="520"/>
      <c r="AQ1902" s="520"/>
      <c r="AR1902" s="520"/>
      <c r="AS1902" s="520"/>
      <c r="AT1902" s="520"/>
      <c r="AU1902" s="520"/>
      <c r="AV1902" s="520"/>
      <c r="AY1902" s="507"/>
      <c r="BA1902" s="507"/>
      <c r="BJ1902" s="493"/>
      <c r="CU1902" s="488"/>
      <c r="CW1902" s="488"/>
      <c r="EV1902" s="821"/>
      <c r="EW1902" s="821"/>
    </row>
    <row r="1903" spans="1:153" s="757" customFormat="1" hidden="1">
      <c r="A1903" s="487"/>
      <c r="B1903" s="487"/>
      <c r="C1903" s="487"/>
      <c r="D1903" s="487"/>
      <c r="I1903" s="487"/>
      <c r="J1903" s="487"/>
      <c r="K1903" s="487"/>
      <c r="L1903" s="487"/>
      <c r="M1903" s="487"/>
      <c r="N1903" s="487"/>
      <c r="O1903" s="875"/>
      <c r="Q1903" s="704"/>
      <c r="R1903" s="1026"/>
      <c r="S1903" s="704"/>
      <c r="T1903" s="1026"/>
      <c r="AB1903" s="520"/>
      <c r="AC1903" s="520"/>
      <c r="AD1903" s="520"/>
      <c r="AE1903" s="520"/>
      <c r="AF1903" s="520"/>
      <c r="AG1903" s="520"/>
      <c r="AH1903" s="520"/>
      <c r="AI1903" s="520"/>
      <c r="AJ1903" s="520"/>
      <c r="AK1903" s="520"/>
      <c r="AL1903" s="520"/>
      <c r="AM1903" s="520"/>
      <c r="AN1903" s="520"/>
      <c r="AO1903" s="520"/>
      <c r="AP1903" s="520"/>
      <c r="AQ1903" s="520"/>
      <c r="AR1903" s="520"/>
      <c r="AS1903" s="520"/>
      <c r="AT1903" s="520"/>
      <c r="AU1903" s="520"/>
      <c r="AV1903" s="520"/>
      <c r="AY1903" s="507"/>
      <c r="BA1903" s="507"/>
      <c r="BJ1903" s="493"/>
      <c r="CU1903" s="488"/>
      <c r="CW1903" s="488"/>
      <c r="EV1903" s="821"/>
      <c r="EW1903" s="821"/>
    </row>
    <row r="1904" spans="1:153" s="757" customFormat="1" hidden="1">
      <c r="A1904" s="487"/>
      <c r="B1904" s="487"/>
      <c r="C1904" s="487"/>
      <c r="D1904" s="487"/>
      <c r="I1904" s="487"/>
      <c r="J1904" s="487"/>
      <c r="K1904" s="487"/>
      <c r="L1904" s="487"/>
      <c r="M1904" s="487"/>
      <c r="N1904" s="487"/>
      <c r="O1904" s="875"/>
      <c r="Q1904" s="704"/>
      <c r="R1904" s="1026"/>
      <c r="S1904" s="704"/>
      <c r="T1904" s="1026"/>
      <c r="AB1904" s="520"/>
      <c r="AC1904" s="520"/>
      <c r="AD1904" s="520"/>
      <c r="AE1904" s="520"/>
      <c r="AF1904" s="520"/>
      <c r="AG1904" s="520"/>
      <c r="AH1904" s="520"/>
      <c r="AI1904" s="520"/>
      <c r="AJ1904" s="520"/>
      <c r="AK1904" s="520"/>
      <c r="AL1904" s="520"/>
      <c r="AM1904" s="520"/>
      <c r="AN1904" s="520"/>
      <c r="AO1904" s="520"/>
      <c r="AP1904" s="520"/>
      <c r="AQ1904" s="520"/>
      <c r="AR1904" s="520"/>
      <c r="AS1904" s="520"/>
      <c r="AT1904" s="520"/>
      <c r="AU1904" s="520"/>
      <c r="AV1904" s="520"/>
      <c r="AY1904" s="507"/>
      <c r="BA1904" s="507"/>
      <c r="BJ1904" s="493"/>
      <c r="CU1904" s="488"/>
      <c r="CW1904" s="488"/>
      <c r="EV1904" s="821"/>
      <c r="EW1904" s="821"/>
    </row>
    <row r="1905" spans="1:153" s="757" customFormat="1" hidden="1">
      <c r="A1905" s="487"/>
      <c r="B1905" s="487"/>
      <c r="C1905" s="487"/>
      <c r="D1905" s="487"/>
      <c r="I1905" s="487"/>
      <c r="J1905" s="487"/>
      <c r="K1905" s="487"/>
      <c r="L1905" s="487"/>
      <c r="M1905" s="487"/>
      <c r="N1905" s="487"/>
      <c r="O1905" s="875"/>
      <c r="Q1905" s="704"/>
      <c r="R1905" s="1026"/>
      <c r="S1905" s="704"/>
      <c r="T1905" s="1026"/>
      <c r="AB1905" s="520"/>
      <c r="AC1905" s="520"/>
      <c r="AD1905" s="520"/>
      <c r="AE1905" s="520"/>
      <c r="AF1905" s="520"/>
      <c r="AG1905" s="520"/>
      <c r="AH1905" s="520"/>
      <c r="AI1905" s="520"/>
      <c r="AJ1905" s="520"/>
      <c r="AK1905" s="520"/>
      <c r="AL1905" s="520"/>
      <c r="AM1905" s="520"/>
      <c r="AN1905" s="520"/>
      <c r="AO1905" s="520"/>
      <c r="AP1905" s="520"/>
      <c r="AQ1905" s="520"/>
      <c r="AR1905" s="520"/>
      <c r="AS1905" s="520"/>
      <c r="AT1905" s="520"/>
      <c r="AU1905" s="520"/>
      <c r="AV1905" s="520"/>
      <c r="AY1905" s="507"/>
      <c r="BA1905" s="507"/>
      <c r="BJ1905" s="493"/>
      <c r="CU1905" s="488"/>
      <c r="CW1905" s="488"/>
      <c r="EV1905" s="821"/>
      <c r="EW1905" s="821"/>
    </row>
    <row r="1906" spans="1:153" s="757" customFormat="1" hidden="1">
      <c r="A1906" s="487"/>
      <c r="B1906" s="487"/>
      <c r="C1906" s="487"/>
      <c r="D1906" s="487"/>
      <c r="I1906" s="487"/>
      <c r="J1906" s="487"/>
      <c r="K1906" s="487"/>
      <c r="L1906" s="487"/>
      <c r="M1906" s="487"/>
      <c r="N1906" s="487"/>
      <c r="O1906" s="875"/>
      <c r="Q1906" s="704"/>
      <c r="R1906" s="1026"/>
      <c r="S1906" s="704"/>
      <c r="T1906" s="1026"/>
      <c r="AB1906" s="520"/>
      <c r="AC1906" s="520"/>
      <c r="AD1906" s="520"/>
      <c r="AE1906" s="520"/>
      <c r="AF1906" s="520"/>
      <c r="AG1906" s="520"/>
      <c r="AH1906" s="520"/>
      <c r="AI1906" s="520"/>
      <c r="AJ1906" s="520"/>
      <c r="AK1906" s="520"/>
      <c r="AL1906" s="520"/>
      <c r="AM1906" s="520"/>
      <c r="AN1906" s="520"/>
      <c r="AO1906" s="520"/>
      <c r="AP1906" s="520"/>
      <c r="AQ1906" s="520"/>
      <c r="AR1906" s="520"/>
      <c r="AS1906" s="520"/>
      <c r="AT1906" s="520"/>
      <c r="AU1906" s="520"/>
      <c r="AV1906" s="520"/>
      <c r="AY1906" s="507"/>
      <c r="BA1906" s="507"/>
      <c r="BJ1906" s="493"/>
      <c r="CU1906" s="488"/>
      <c r="CW1906" s="488"/>
      <c r="EV1906" s="821"/>
      <c r="EW1906" s="821"/>
    </row>
    <row r="1907" spans="1:153" s="757" customFormat="1" hidden="1">
      <c r="A1907" s="487"/>
      <c r="B1907" s="487"/>
      <c r="C1907" s="487"/>
      <c r="D1907" s="487"/>
      <c r="I1907" s="487"/>
      <c r="J1907" s="487"/>
      <c r="K1907" s="487"/>
      <c r="L1907" s="487"/>
      <c r="M1907" s="487"/>
      <c r="N1907" s="487"/>
      <c r="O1907" s="875"/>
      <c r="Q1907" s="704"/>
      <c r="R1907" s="1026"/>
      <c r="S1907" s="704"/>
      <c r="T1907" s="1026"/>
      <c r="AB1907" s="520"/>
      <c r="AC1907" s="520"/>
      <c r="AD1907" s="520"/>
      <c r="AE1907" s="520"/>
      <c r="AF1907" s="520"/>
      <c r="AG1907" s="520"/>
      <c r="AH1907" s="520"/>
      <c r="AI1907" s="520"/>
      <c r="AJ1907" s="520"/>
      <c r="AK1907" s="520"/>
      <c r="AL1907" s="520"/>
      <c r="AM1907" s="520"/>
      <c r="AN1907" s="520"/>
      <c r="AO1907" s="520"/>
      <c r="AP1907" s="520"/>
      <c r="AQ1907" s="520"/>
      <c r="AR1907" s="520"/>
      <c r="AS1907" s="520"/>
      <c r="AT1907" s="520"/>
      <c r="AU1907" s="520"/>
      <c r="AV1907" s="520"/>
      <c r="AY1907" s="507"/>
      <c r="BA1907" s="507"/>
      <c r="BJ1907" s="493"/>
      <c r="CU1907" s="488"/>
      <c r="CW1907" s="488"/>
      <c r="EV1907" s="821"/>
      <c r="EW1907" s="821"/>
    </row>
    <row r="1908" spans="1:153" s="757" customFormat="1" hidden="1">
      <c r="A1908" s="487"/>
      <c r="B1908" s="487"/>
      <c r="C1908" s="487"/>
      <c r="D1908" s="487"/>
      <c r="I1908" s="487"/>
      <c r="J1908" s="487"/>
      <c r="K1908" s="487"/>
      <c r="L1908" s="487"/>
      <c r="M1908" s="487"/>
      <c r="N1908" s="487"/>
      <c r="O1908" s="875"/>
      <c r="Q1908" s="704"/>
      <c r="R1908" s="1026"/>
      <c r="S1908" s="704"/>
      <c r="T1908" s="1026"/>
      <c r="AB1908" s="520"/>
      <c r="AC1908" s="520"/>
      <c r="AD1908" s="520"/>
      <c r="AE1908" s="520"/>
      <c r="AF1908" s="520"/>
      <c r="AG1908" s="520"/>
      <c r="AH1908" s="520"/>
      <c r="AI1908" s="520"/>
      <c r="AJ1908" s="520"/>
      <c r="AK1908" s="520"/>
      <c r="AL1908" s="520"/>
      <c r="AM1908" s="520"/>
      <c r="AN1908" s="520"/>
      <c r="AO1908" s="520"/>
      <c r="AP1908" s="520"/>
      <c r="AQ1908" s="520"/>
      <c r="AR1908" s="520"/>
      <c r="AS1908" s="520"/>
      <c r="AT1908" s="520"/>
      <c r="AU1908" s="520"/>
      <c r="AV1908" s="520"/>
      <c r="AY1908" s="507"/>
      <c r="BA1908" s="507"/>
      <c r="BJ1908" s="493"/>
      <c r="CU1908" s="488"/>
      <c r="CW1908" s="488"/>
      <c r="EV1908" s="821"/>
      <c r="EW1908" s="821"/>
    </row>
    <row r="1909" spans="1:153" s="757" customFormat="1" hidden="1">
      <c r="A1909" s="487"/>
      <c r="B1909" s="487"/>
      <c r="C1909" s="487"/>
      <c r="D1909" s="487"/>
      <c r="I1909" s="487"/>
      <c r="J1909" s="487"/>
      <c r="K1909" s="487"/>
      <c r="L1909" s="487"/>
      <c r="M1909" s="487"/>
      <c r="N1909" s="487"/>
      <c r="O1909" s="875"/>
      <c r="Q1909" s="704"/>
      <c r="R1909" s="1026"/>
      <c r="S1909" s="704"/>
      <c r="T1909" s="1026"/>
      <c r="AB1909" s="520"/>
      <c r="AC1909" s="520"/>
      <c r="AD1909" s="520"/>
      <c r="AE1909" s="520"/>
      <c r="AF1909" s="520"/>
      <c r="AG1909" s="520"/>
      <c r="AH1909" s="520"/>
      <c r="AI1909" s="520"/>
      <c r="AJ1909" s="520"/>
      <c r="AK1909" s="520"/>
      <c r="AL1909" s="520"/>
      <c r="AM1909" s="520"/>
      <c r="AN1909" s="520"/>
      <c r="AO1909" s="520"/>
      <c r="AP1909" s="520"/>
      <c r="AQ1909" s="520"/>
      <c r="AR1909" s="520"/>
      <c r="AS1909" s="520"/>
      <c r="AT1909" s="520"/>
      <c r="AU1909" s="520"/>
      <c r="AV1909" s="520"/>
      <c r="AY1909" s="507"/>
      <c r="BA1909" s="507"/>
      <c r="BJ1909" s="493"/>
      <c r="CU1909" s="488"/>
      <c r="CW1909" s="488"/>
      <c r="EV1909" s="821"/>
      <c r="EW1909" s="821"/>
    </row>
    <row r="1910" spans="1:153" s="757" customFormat="1" hidden="1">
      <c r="A1910" s="487"/>
      <c r="B1910" s="487"/>
      <c r="C1910" s="487"/>
      <c r="D1910" s="487"/>
      <c r="I1910" s="487"/>
      <c r="J1910" s="487"/>
      <c r="K1910" s="487"/>
      <c r="L1910" s="487"/>
      <c r="M1910" s="487"/>
      <c r="N1910" s="487"/>
      <c r="O1910" s="875"/>
      <c r="Q1910" s="704"/>
      <c r="R1910" s="1026"/>
      <c r="S1910" s="704"/>
      <c r="T1910" s="1026"/>
      <c r="AB1910" s="520"/>
      <c r="AC1910" s="520"/>
      <c r="AD1910" s="520"/>
      <c r="AE1910" s="520"/>
      <c r="AF1910" s="520"/>
      <c r="AG1910" s="520"/>
      <c r="AH1910" s="520"/>
      <c r="AI1910" s="520"/>
      <c r="AJ1910" s="520"/>
      <c r="AK1910" s="520"/>
      <c r="AL1910" s="520"/>
      <c r="AM1910" s="520"/>
      <c r="AN1910" s="520"/>
      <c r="AO1910" s="520"/>
      <c r="AP1910" s="520"/>
      <c r="AQ1910" s="520"/>
      <c r="AR1910" s="520"/>
      <c r="AS1910" s="520"/>
      <c r="AT1910" s="520"/>
      <c r="AU1910" s="520"/>
      <c r="AV1910" s="520"/>
      <c r="AY1910" s="507"/>
      <c r="BA1910" s="507"/>
      <c r="BJ1910" s="493"/>
      <c r="CU1910" s="488"/>
      <c r="CW1910" s="488"/>
      <c r="EV1910" s="821"/>
      <c r="EW1910" s="821"/>
    </row>
    <row r="1911" spans="1:153" s="757" customFormat="1" hidden="1">
      <c r="A1911" s="487"/>
      <c r="B1911" s="487"/>
      <c r="C1911" s="487"/>
      <c r="D1911" s="487"/>
      <c r="I1911" s="487"/>
      <c r="J1911" s="487"/>
      <c r="K1911" s="487"/>
      <c r="L1911" s="487"/>
      <c r="M1911" s="487"/>
      <c r="N1911" s="487"/>
      <c r="O1911" s="875"/>
      <c r="Q1911" s="704"/>
      <c r="R1911" s="1026"/>
      <c r="S1911" s="704"/>
      <c r="T1911" s="1026"/>
      <c r="AB1911" s="520"/>
      <c r="AC1911" s="520"/>
      <c r="AD1911" s="520"/>
      <c r="AE1911" s="520"/>
      <c r="AF1911" s="520"/>
      <c r="AG1911" s="520"/>
      <c r="AH1911" s="520"/>
      <c r="AI1911" s="520"/>
      <c r="AJ1911" s="520"/>
      <c r="AK1911" s="520"/>
      <c r="AL1911" s="520"/>
      <c r="AM1911" s="520"/>
      <c r="AN1911" s="520"/>
      <c r="AO1911" s="520"/>
      <c r="AP1911" s="520"/>
      <c r="AQ1911" s="520"/>
      <c r="AR1911" s="520"/>
      <c r="AS1911" s="520"/>
      <c r="AT1911" s="520"/>
      <c r="AU1911" s="520"/>
      <c r="AV1911" s="520"/>
      <c r="AY1911" s="507"/>
      <c r="BA1911" s="507"/>
      <c r="BJ1911" s="493"/>
      <c r="CU1911" s="488"/>
      <c r="CW1911" s="488"/>
      <c r="EV1911" s="821"/>
      <c r="EW1911" s="821"/>
    </row>
    <row r="1912" spans="1:153" s="757" customFormat="1" hidden="1">
      <c r="A1912" s="487"/>
      <c r="B1912" s="487"/>
      <c r="C1912" s="487"/>
      <c r="D1912" s="487"/>
      <c r="I1912" s="487"/>
      <c r="J1912" s="487"/>
      <c r="K1912" s="487"/>
      <c r="L1912" s="487"/>
      <c r="M1912" s="487"/>
      <c r="N1912" s="487"/>
      <c r="O1912" s="875"/>
      <c r="Q1912" s="704"/>
      <c r="R1912" s="1026"/>
      <c r="S1912" s="704"/>
      <c r="T1912" s="1026"/>
      <c r="AB1912" s="520"/>
      <c r="AC1912" s="520"/>
      <c r="AD1912" s="520"/>
      <c r="AE1912" s="520"/>
      <c r="AF1912" s="520"/>
      <c r="AG1912" s="520"/>
      <c r="AH1912" s="520"/>
      <c r="AI1912" s="520"/>
      <c r="AJ1912" s="520"/>
      <c r="AK1912" s="520"/>
      <c r="AL1912" s="520"/>
      <c r="AM1912" s="520"/>
      <c r="AN1912" s="520"/>
      <c r="AO1912" s="520"/>
      <c r="AP1912" s="520"/>
      <c r="AQ1912" s="520"/>
      <c r="AR1912" s="520"/>
      <c r="AS1912" s="520"/>
      <c r="AT1912" s="520"/>
      <c r="AU1912" s="520"/>
      <c r="AV1912" s="520"/>
      <c r="AY1912" s="507"/>
      <c r="BA1912" s="507"/>
      <c r="BJ1912" s="493"/>
      <c r="CU1912" s="488"/>
      <c r="CW1912" s="488"/>
      <c r="EV1912" s="821"/>
      <c r="EW1912" s="821"/>
    </row>
    <row r="1913" spans="1:153" s="757" customFormat="1" hidden="1">
      <c r="A1913" s="487"/>
      <c r="B1913" s="487"/>
      <c r="C1913" s="487"/>
      <c r="D1913" s="487"/>
      <c r="I1913" s="487"/>
      <c r="J1913" s="487"/>
      <c r="K1913" s="487"/>
      <c r="L1913" s="487"/>
      <c r="M1913" s="487"/>
      <c r="N1913" s="487"/>
      <c r="O1913" s="875"/>
      <c r="Q1913" s="704"/>
      <c r="R1913" s="1026"/>
      <c r="S1913" s="704"/>
      <c r="T1913" s="1026"/>
      <c r="AB1913" s="520"/>
      <c r="AC1913" s="520"/>
      <c r="AD1913" s="520"/>
      <c r="AE1913" s="520"/>
      <c r="AF1913" s="520"/>
      <c r="AG1913" s="520"/>
      <c r="AH1913" s="520"/>
      <c r="AI1913" s="520"/>
      <c r="AJ1913" s="520"/>
      <c r="AK1913" s="520"/>
      <c r="AL1913" s="520"/>
      <c r="AM1913" s="520"/>
      <c r="AN1913" s="520"/>
      <c r="AO1913" s="520"/>
      <c r="AP1913" s="520"/>
      <c r="AQ1913" s="520"/>
      <c r="AR1913" s="520"/>
      <c r="AS1913" s="520"/>
      <c r="AT1913" s="520"/>
      <c r="AU1913" s="520"/>
      <c r="AV1913" s="520"/>
      <c r="AY1913" s="507"/>
      <c r="BA1913" s="507"/>
      <c r="BJ1913" s="493"/>
      <c r="CU1913" s="488"/>
      <c r="CW1913" s="488"/>
      <c r="EV1913" s="821"/>
      <c r="EW1913" s="821"/>
    </row>
    <row r="1914" spans="1:153" s="757" customFormat="1" hidden="1">
      <c r="A1914" s="487"/>
      <c r="B1914" s="487"/>
      <c r="C1914" s="487"/>
      <c r="D1914" s="487"/>
      <c r="I1914" s="487"/>
      <c r="J1914" s="487"/>
      <c r="K1914" s="487"/>
      <c r="L1914" s="487"/>
      <c r="M1914" s="487"/>
      <c r="N1914" s="487"/>
      <c r="O1914" s="875"/>
      <c r="Q1914" s="704"/>
      <c r="R1914" s="1026"/>
      <c r="S1914" s="704"/>
      <c r="T1914" s="1026"/>
      <c r="AB1914" s="520"/>
      <c r="AC1914" s="520"/>
      <c r="AD1914" s="520"/>
      <c r="AE1914" s="520"/>
      <c r="AF1914" s="520"/>
      <c r="AG1914" s="520"/>
      <c r="AH1914" s="520"/>
      <c r="AI1914" s="520"/>
      <c r="AJ1914" s="520"/>
      <c r="AK1914" s="520"/>
      <c r="AL1914" s="520"/>
      <c r="AM1914" s="520"/>
      <c r="AN1914" s="520"/>
      <c r="AO1914" s="520"/>
      <c r="AP1914" s="520"/>
      <c r="AQ1914" s="520"/>
      <c r="AR1914" s="520"/>
      <c r="AS1914" s="520"/>
      <c r="AT1914" s="520"/>
      <c r="AU1914" s="520"/>
      <c r="AV1914" s="520"/>
      <c r="AY1914" s="507"/>
      <c r="BA1914" s="507"/>
      <c r="BJ1914" s="493"/>
      <c r="CU1914" s="488"/>
      <c r="CW1914" s="488"/>
      <c r="EV1914" s="821"/>
      <c r="EW1914" s="821"/>
    </row>
    <row r="1915" spans="1:153" s="757" customFormat="1" hidden="1">
      <c r="A1915" s="487"/>
      <c r="B1915" s="487"/>
      <c r="C1915" s="487"/>
      <c r="D1915" s="487"/>
      <c r="I1915" s="487"/>
      <c r="J1915" s="487"/>
      <c r="K1915" s="487"/>
      <c r="L1915" s="487"/>
      <c r="M1915" s="487"/>
      <c r="N1915" s="487"/>
      <c r="O1915" s="875"/>
      <c r="Q1915" s="704"/>
      <c r="R1915" s="1026"/>
      <c r="S1915" s="704"/>
      <c r="T1915" s="1026"/>
      <c r="AB1915" s="520"/>
      <c r="AC1915" s="520"/>
      <c r="AD1915" s="520"/>
      <c r="AE1915" s="520"/>
      <c r="AF1915" s="520"/>
      <c r="AG1915" s="520"/>
      <c r="AH1915" s="520"/>
      <c r="AI1915" s="520"/>
      <c r="AJ1915" s="520"/>
      <c r="AK1915" s="520"/>
      <c r="AL1915" s="520"/>
      <c r="AM1915" s="520"/>
      <c r="AN1915" s="520"/>
      <c r="AO1915" s="520"/>
      <c r="AP1915" s="520"/>
      <c r="AQ1915" s="520"/>
      <c r="AR1915" s="520"/>
      <c r="AS1915" s="520"/>
      <c r="AT1915" s="520"/>
      <c r="AU1915" s="520"/>
      <c r="AV1915" s="520"/>
      <c r="AY1915" s="507"/>
      <c r="BA1915" s="507"/>
      <c r="BJ1915" s="493"/>
      <c r="CU1915" s="488"/>
      <c r="CW1915" s="488"/>
      <c r="EV1915" s="821"/>
      <c r="EW1915" s="821"/>
    </row>
    <row r="1916" spans="1:153" s="757" customFormat="1" hidden="1">
      <c r="A1916" s="487"/>
      <c r="B1916" s="487"/>
      <c r="C1916" s="487"/>
      <c r="D1916" s="487"/>
      <c r="I1916" s="487"/>
      <c r="J1916" s="487"/>
      <c r="K1916" s="487"/>
      <c r="L1916" s="487"/>
      <c r="M1916" s="487"/>
      <c r="N1916" s="487"/>
      <c r="O1916" s="875"/>
      <c r="Q1916" s="704"/>
      <c r="R1916" s="1026"/>
      <c r="S1916" s="704"/>
      <c r="T1916" s="1026"/>
      <c r="AB1916" s="520"/>
      <c r="AC1916" s="520"/>
      <c r="AD1916" s="520"/>
      <c r="AE1916" s="520"/>
      <c r="AF1916" s="520"/>
      <c r="AG1916" s="520"/>
      <c r="AH1916" s="520"/>
      <c r="AI1916" s="520"/>
      <c r="AJ1916" s="520"/>
      <c r="AK1916" s="520"/>
      <c r="AL1916" s="520"/>
      <c r="AM1916" s="520"/>
      <c r="AN1916" s="520"/>
      <c r="AO1916" s="520"/>
      <c r="AP1916" s="520"/>
      <c r="AQ1916" s="520"/>
      <c r="AR1916" s="520"/>
      <c r="AS1916" s="520"/>
      <c r="AT1916" s="520"/>
      <c r="AU1916" s="520"/>
      <c r="AV1916" s="520"/>
      <c r="AY1916" s="507"/>
      <c r="BA1916" s="507"/>
      <c r="BJ1916" s="493"/>
      <c r="CU1916" s="488"/>
      <c r="CW1916" s="488"/>
      <c r="EV1916" s="821"/>
      <c r="EW1916" s="821"/>
    </row>
    <row r="1917" spans="1:153" s="757" customFormat="1" hidden="1">
      <c r="A1917" s="487"/>
      <c r="B1917" s="487"/>
      <c r="C1917" s="487"/>
      <c r="D1917" s="487"/>
      <c r="I1917" s="487"/>
      <c r="J1917" s="487"/>
      <c r="K1917" s="487"/>
      <c r="L1917" s="487"/>
      <c r="M1917" s="487"/>
      <c r="N1917" s="487"/>
      <c r="O1917" s="875"/>
      <c r="Q1917" s="704"/>
      <c r="R1917" s="1026"/>
      <c r="S1917" s="704"/>
      <c r="T1917" s="1026"/>
      <c r="AB1917" s="520"/>
      <c r="AC1917" s="520"/>
      <c r="AD1917" s="520"/>
      <c r="AE1917" s="520"/>
      <c r="AF1917" s="520"/>
      <c r="AG1917" s="520"/>
      <c r="AH1917" s="520"/>
      <c r="AI1917" s="520"/>
      <c r="AJ1917" s="520"/>
      <c r="AK1917" s="520"/>
      <c r="AL1917" s="520"/>
      <c r="AM1917" s="520"/>
      <c r="AN1917" s="520"/>
      <c r="AO1917" s="520"/>
      <c r="AP1917" s="520"/>
      <c r="AQ1917" s="520"/>
      <c r="AR1917" s="520"/>
      <c r="AS1917" s="520"/>
      <c r="AT1917" s="520"/>
      <c r="AU1917" s="520"/>
      <c r="AV1917" s="520"/>
      <c r="AY1917" s="507"/>
      <c r="BA1917" s="507"/>
      <c r="BJ1917" s="493"/>
      <c r="CU1917" s="488"/>
      <c r="CW1917" s="488"/>
      <c r="EV1917" s="821"/>
      <c r="EW1917" s="821"/>
    </row>
    <row r="1918" spans="1:153" s="757" customFormat="1" hidden="1">
      <c r="A1918" s="487"/>
      <c r="B1918" s="487"/>
      <c r="C1918" s="487"/>
      <c r="D1918" s="487"/>
      <c r="I1918" s="487"/>
      <c r="J1918" s="487"/>
      <c r="K1918" s="487"/>
      <c r="L1918" s="487"/>
      <c r="M1918" s="487"/>
      <c r="N1918" s="487"/>
      <c r="O1918" s="875"/>
      <c r="Q1918" s="704"/>
      <c r="R1918" s="1026"/>
      <c r="S1918" s="704"/>
      <c r="T1918" s="1026"/>
      <c r="AB1918" s="520"/>
      <c r="AC1918" s="520"/>
      <c r="AD1918" s="520"/>
      <c r="AE1918" s="520"/>
      <c r="AF1918" s="520"/>
      <c r="AG1918" s="520"/>
      <c r="AH1918" s="520"/>
      <c r="AI1918" s="520"/>
      <c r="AJ1918" s="520"/>
      <c r="AK1918" s="520"/>
      <c r="AL1918" s="520"/>
      <c r="AM1918" s="520"/>
      <c r="AN1918" s="520"/>
      <c r="AO1918" s="520"/>
      <c r="AP1918" s="520"/>
      <c r="AQ1918" s="520"/>
      <c r="AR1918" s="520"/>
      <c r="AS1918" s="520"/>
      <c r="AT1918" s="520"/>
      <c r="AU1918" s="520"/>
      <c r="AV1918" s="520"/>
      <c r="AY1918" s="507"/>
      <c r="BA1918" s="507"/>
      <c r="BJ1918" s="493"/>
      <c r="CU1918" s="488"/>
      <c r="CW1918" s="488"/>
      <c r="EV1918" s="821"/>
      <c r="EW1918" s="821"/>
    </row>
    <row r="1919" spans="1:153" s="757" customFormat="1" hidden="1">
      <c r="A1919" s="487"/>
      <c r="B1919" s="487"/>
      <c r="C1919" s="487"/>
      <c r="D1919" s="487"/>
      <c r="I1919" s="487"/>
      <c r="J1919" s="487"/>
      <c r="K1919" s="487"/>
      <c r="L1919" s="487"/>
      <c r="M1919" s="487"/>
      <c r="N1919" s="487"/>
      <c r="O1919" s="875"/>
      <c r="Q1919" s="704"/>
      <c r="R1919" s="1026"/>
      <c r="S1919" s="704"/>
      <c r="T1919" s="1026"/>
      <c r="AB1919" s="520"/>
      <c r="AC1919" s="520"/>
      <c r="AD1919" s="520"/>
      <c r="AE1919" s="520"/>
      <c r="AF1919" s="520"/>
      <c r="AG1919" s="520"/>
      <c r="AH1919" s="520"/>
      <c r="AI1919" s="520"/>
      <c r="AJ1919" s="520"/>
      <c r="AK1919" s="520"/>
      <c r="AL1919" s="520"/>
      <c r="AM1919" s="520"/>
      <c r="AN1919" s="520"/>
      <c r="AO1919" s="520"/>
      <c r="AP1919" s="520"/>
      <c r="AQ1919" s="520"/>
      <c r="AR1919" s="520"/>
      <c r="AS1919" s="520"/>
      <c r="AT1919" s="520"/>
      <c r="AU1919" s="520"/>
      <c r="AV1919" s="520"/>
      <c r="AY1919" s="507"/>
      <c r="BA1919" s="507"/>
      <c r="BJ1919" s="493"/>
      <c r="CU1919" s="488"/>
      <c r="CW1919" s="488"/>
      <c r="EV1919" s="821"/>
      <c r="EW1919" s="821"/>
    </row>
    <row r="1920" spans="1:153" s="757" customFormat="1" hidden="1">
      <c r="A1920" s="487"/>
      <c r="B1920" s="487"/>
      <c r="C1920" s="487"/>
      <c r="D1920" s="487"/>
      <c r="I1920" s="487"/>
      <c r="J1920" s="487"/>
      <c r="K1920" s="487"/>
      <c r="L1920" s="487"/>
      <c r="M1920" s="487"/>
      <c r="N1920" s="487"/>
      <c r="O1920" s="875"/>
      <c r="Q1920" s="704"/>
      <c r="R1920" s="1026"/>
      <c r="S1920" s="704"/>
      <c r="T1920" s="1026"/>
      <c r="AB1920" s="520"/>
      <c r="AC1920" s="520"/>
      <c r="AD1920" s="520"/>
      <c r="AE1920" s="520"/>
      <c r="AF1920" s="520"/>
      <c r="AG1920" s="520"/>
      <c r="AH1920" s="520"/>
      <c r="AI1920" s="520"/>
      <c r="AJ1920" s="520"/>
      <c r="AK1920" s="520"/>
      <c r="AL1920" s="520"/>
      <c r="AM1920" s="520"/>
      <c r="AN1920" s="520"/>
      <c r="AO1920" s="520"/>
      <c r="AP1920" s="520"/>
      <c r="AQ1920" s="520"/>
      <c r="AR1920" s="520"/>
      <c r="AS1920" s="520"/>
      <c r="AT1920" s="520"/>
      <c r="AU1920" s="520"/>
      <c r="AV1920" s="520"/>
      <c r="AY1920" s="507"/>
      <c r="BA1920" s="507"/>
      <c r="BJ1920" s="493"/>
      <c r="CU1920" s="488"/>
      <c r="CW1920" s="488"/>
      <c r="EV1920" s="821"/>
      <c r="EW1920" s="821"/>
    </row>
    <row r="1921" spans="1:153" s="757" customFormat="1" hidden="1">
      <c r="A1921" s="487"/>
      <c r="B1921" s="487"/>
      <c r="C1921" s="487"/>
      <c r="D1921" s="487"/>
      <c r="I1921" s="487"/>
      <c r="J1921" s="487"/>
      <c r="K1921" s="487"/>
      <c r="L1921" s="487"/>
      <c r="M1921" s="487"/>
      <c r="N1921" s="487"/>
      <c r="O1921" s="875"/>
      <c r="Q1921" s="704"/>
      <c r="R1921" s="1026"/>
      <c r="S1921" s="704"/>
      <c r="T1921" s="1026"/>
      <c r="AB1921" s="520"/>
      <c r="AC1921" s="520"/>
      <c r="AD1921" s="520"/>
      <c r="AE1921" s="520"/>
      <c r="AF1921" s="520"/>
      <c r="AG1921" s="520"/>
      <c r="AH1921" s="520"/>
      <c r="AI1921" s="520"/>
      <c r="AJ1921" s="520"/>
      <c r="AK1921" s="520"/>
      <c r="AL1921" s="520"/>
      <c r="AM1921" s="520"/>
      <c r="AN1921" s="520"/>
      <c r="AO1921" s="520"/>
      <c r="AP1921" s="520"/>
      <c r="AQ1921" s="520"/>
      <c r="AR1921" s="520"/>
      <c r="AS1921" s="520"/>
      <c r="AT1921" s="520"/>
      <c r="AU1921" s="520"/>
      <c r="AV1921" s="520"/>
      <c r="AY1921" s="507"/>
      <c r="BA1921" s="507"/>
      <c r="BJ1921" s="493"/>
      <c r="CU1921" s="488"/>
      <c r="CW1921" s="488"/>
      <c r="EV1921" s="821"/>
      <c r="EW1921" s="821"/>
    </row>
    <row r="1922" spans="1:153" s="757" customFormat="1" hidden="1">
      <c r="A1922" s="487"/>
      <c r="B1922" s="487"/>
      <c r="C1922" s="487"/>
      <c r="D1922" s="487"/>
      <c r="I1922" s="487"/>
      <c r="J1922" s="487"/>
      <c r="K1922" s="487"/>
      <c r="L1922" s="487"/>
      <c r="M1922" s="487"/>
      <c r="N1922" s="487"/>
      <c r="O1922" s="875"/>
      <c r="Q1922" s="704"/>
      <c r="R1922" s="1026"/>
      <c r="S1922" s="704"/>
      <c r="T1922" s="1026"/>
      <c r="AB1922" s="520"/>
      <c r="AC1922" s="520"/>
      <c r="AD1922" s="520"/>
      <c r="AE1922" s="520"/>
      <c r="AF1922" s="520"/>
      <c r="AG1922" s="520"/>
      <c r="AH1922" s="520"/>
      <c r="AI1922" s="520"/>
      <c r="AJ1922" s="520"/>
      <c r="AK1922" s="520"/>
      <c r="AL1922" s="520"/>
      <c r="AM1922" s="520"/>
      <c r="AN1922" s="520"/>
      <c r="AO1922" s="520"/>
      <c r="AP1922" s="520"/>
      <c r="AQ1922" s="520"/>
      <c r="AR1922" s="520"/>
      <c r="AS1922" s="520"/>
      <c r="AT1922" s="520"/>
      <c r="AU1922" s="520"/>
      <c r="AV1922" s="520"/>
      <c r="AY1922" s="507"/>
      <c r="BA1922" s="507"/>
      <c r="BJ1922" s="493"/>
      <c r="CU1922" s="488"/>
      <c r="CW1922" s="488"/>
      <c r="EV1922" s="821"/>
      <c r="EW1922" s="821"/>
    </row>
    <row r="1923" spans="1:153" s="757" customFormat="1" hidden="1">
      <c r="A1923" s="487"/>
      <c r="B1923" s="487"/>
      <c r="C1923" s="487"/>
      <c r="D1923" s="487"/>
      <c r="I1923" s="487"/>
      <c r="J1923" s="487"/>
      <c r="K1923" s="487"/>
      <c r="L1923" s="487"/>
      <c r="M1923" s="487"/>
      <c r="N1923" s="487"/>
      <c r="O1923" s="875"/>
      <c r="Q1923" s="704"/>
      <c r="R1923" s="1026"/>
      <c r="S1923" s="704"/>
      <c r="T1923" s="1026"/>
      <c r="AB1923" s="520"/>
      <c r="AC1923" s="520"/>
      <c r="AD1923" s="520"/>
      <c r="AE1923" s="520"/>
      <c r="AF1923" s="520"/>
      <c r="AG1923" s="520"/>
      <c r="AH1923" s="520"/>
      <c r="AI1923" s="520"/>
      <c r="AJ1923" s="520"/>
      <c r="AK1923" s="520"/>
      <c r="AL1923" s="520"/>
      <c r="AM1923" s="520"/>
      <c r="AN1923" s="520"/>
      <c r="AO1923" s="520"/>
      <c r="AP1923" s="520"/>
      <c r="AQ1923" s="520"/>
      <c r="AR1923" s="520"/>
      <c r="AS1923" s="520"/>
      <c r="AT1923" s="520"/>
      <c r="AU1923" s="520"/>
      <c r="AV1923" s="520"/>
      <c r="AY1923" s="507"/>
      <c r="BA1923" s="507"/>
      <c r="BJ1923" s="493"/>
      <c r="CU1923" s="488"/>
      <c r="CW1923" s="488"/>
      <c r="EV1923" s="821"/>
      <c r="EW1923" s="821"/>
    </row>
    <row r="1924" spans="1:153" s="757" customFormat="1" hidden="1">
      <c r="A1924" s="487"/>
      <c r="B1924" s="487"/>
      <c r="C1924" s="487"/>
      <c r="D1924" s="487"/>
      <c r="I1924" s="487"/>
      <c r="J1924" s="487"/>
      <c r="K1924" s="487"/>
      <c r="L1924" s="487"/>
      <c r="M1924" s="487"/>
      <c r="N1924" s="487"/>
      <c r="O1924" s="875"/>
      <c r="Q1924" s="704"/>
      <c r="R1924" s="1026"/>
      <c r="S1924" s="704"/>
      <c r="T1924" s="1026"/>
      <c r="AB1924" s="520"/>
      <c r="AC1924" s="520"/>
      <c r="AD1924" s="520"/>
      <c r="AE1924" s="520"/>
      <c r="AF1924" s="520"/>
      <c r="AG1924" s="520"/>
      <c r="AH1924" s="520"/>
      <c r="AI1924" s="520"/>
      <c r="AJ1924" s="520"/>
      <c r="AK1924" s="520"/>
      <c r="AL1924" s="520"/>
      <c r="AM1924" s="520"/>
      <c r="AN1924" s="520"/>
      <c r="AO1924" s="520"/>
      <c r="AP1924" s="520"/>
      <c r="AQ1924" s="520"/>
      <c r="AR1924" s="520"/>
      <c r="AS1924" s="520"/>
      <c r="AT1924" s="520"/>
      <c r="AU1924" s="520"/>
      <c r="AV1924" s="520"/>
      <c r="AY1924" s="507"/>
      <c r="BA1924" s="507"/>
      <c r="BJ1924" s="493"/>
      <c r="CU1924" s="488"/>
      <c r="CW1924" s="488"/>
      <c r="EV1924" s="821"/>
      <c r="EW1924" s="821"/>
    </row>
    <row r="1925" spans="1:153" s="757" customFormat="1" hidden="1">
      <c r="A1925" s="487"/>
      <c r="B1925" s="487"/>
      <c r="C1925" s="487"/>
      <c r="D1925" s="487"/>
      <c r="I1925" s="487"/>
      <c r="J1925" s="487"/>
      <c r="K1925" s="487"/>
      <c r="L1925" s="487"/>
      <c r="M1925" s="487"/>
      <c r="N1925" s="487"/>
      <c r="O1925" s="875"/>
      <c r="Q1925" s="704"/>
      <c r="R1925" s="1026"/>
      <c r="S1925" s="704"/>
      <c r="T1925" s="1026"/>
      <c r="AB1925" s="520"/>
      <c r="AC1925" s="520"/>
      <c r="AD1925" s="520"/>
      <c r="AE1925" s="520"/>
      <c r="AF1925" s="520"/>
      <c r="AG1925" s="520"/>
      <c r="AH1925" s="520"/>
      <c r="AI1925" s="520"/>
      <c r="AJ1925" s="520"/>
      <c r="AK1925" s="520"/>
      <c r="AL1925" s="520"/>
      <c r="AM1925" s="520"/>
      <c r="AN1925" s="520"/>
      <c r="AO1925" s="520"/>
      <c r="AP1925" s="520"/>
      <c r="AQ1925" s="520"/>
      <c r="AR1925" s="520"/>
      <c r="AS1925" s="520"/>
      <c r="AT1925" s="520"/>
      <c r="AU1925" s="520"/>
      <c r="AV1925" s="520"/>
      <c r="AY1925" s="507"/>
      <c r="BA1925" s="507"/>
      <c r="BJ1925" s="493"/>
      <c r="CU1925" s="488"/>
      <c r="CW1925" s="488"/>
      <c r="EV1925" s="821"/>
      <c r="EW1925" s="821"/>
    </row>
    <row r="1926" spans="1:153" s="757" customFormat="1" hidden="1">
      <c r="A1926" s="487"/>
      <c r="B1926" s="487"/>
      <c r="C1926" s="487"/>
      <c r="D1926" s="487"/>
      <c r="I1926" s="487"/>
      <c r="J1926" s="487"/>
      <c r="K1926" s="487"/>
      <c r="L1926" s="487"/>
      <c r="M1926" s="487"/>
      <c r="N1926" s="487"/>
      <c r="O1926" s="875"/>
      <c r="Q1926" s="704"/>
      <c r="R1926" s="1026"/>
      <c r="S1926" s="704"/>
      <c r="T1926" s="1026"/>
      <c r="AB1926" s="520"/>
      <c r="AC1926" s="520"/>
      <c r="AD1926" s="520"/>
      <c r="AE1926" s="520"/>
      <c r="AF1926" s="520"/>
      <c r="AG1926" s="520"/>
      <c r="AH1926" s="520"/>
      <c r="AI1926" s="520"/>
      <c r="AJ1926" s="520"/>
      <c r="AK1926" s="520"/>
      <c r="AL1926" s="520"/>
      <c r="AM1926" s="520"/>
      <c r="AN1926" s="520"/>
      <c r="AO1926" s="520"/>
      <c r="AP1926" s="520"/>
      <c r="AQ1926" s="520"/>
      <c r="AR1926" s="520"/>
      <c r="AS1926" s="520"/>
      <c r="AT1926" s="520"/>
      <c r="AU1926" s="520"/>
      <c r="AV1926" s="520"/>
      <c r="AY1926" s="507"/>
      <c r="BA1926" s="507"/>
      <c r="BJ1926" s="493"/>
      <c r="CU1926" s="488"/>
      <c r="CW1926" s="488"/>
      <c r="EV1926" s="821"/>
      <c r="EW1926" s="821"/>
    </row>
    <row r="1927" spans="1:153" s="757" customFormat="1" hidden="1">
      <c r="A1927" s="487"/>
      <c r="B1927" s="487"/>
      <c r="C1927" s="487"/>
      <c r="D1927" s="487"/>
      <c r="I1927" s="487"/>
      <c r="J1927" s="487"/>
      <c r="K1927" s="487"/>
      <c r="L1927" s="487"/>
      <c r="M1927" s="487"/>
      <c r="N1927" s="487"/>
      <c r="O1927" s="875"/>
      <c r="Q1927" s="704"/>
      <c r="R1927" s="1026"/>
      <c r="S1927" s="704"/>
      <c r="T1927" s="1026"/>
      <c r="AB1927" s="520"/>
      <c r="AC1927" s="520"/>
      <c r="AD1927" s="520"/>
      <c r="AE1927" s="520"/>
      <c r="AF1927" s="520"/>
      <c r="AG1927" s="520"/>
      <c r="AH1927" s="520"/>
      <c r="AI1927" s="520"/>
      <c r="AJ1927" s="520"/>
      <c r="AK1927" s="520"/>
      <c r="AL1927" s="520"/>
      <c r="AM1927" s="520"/>
      <c r="AN1927" s="520"/>
      <c r="AO1927" s="520"/>
      <c r="AP1927" s="520"/>
      <c r="AQ1927" s="520"/>
      <c r="AR1927" s="520"/>
      <c r="AS1927" s="520"/>
      <c r="AT1927" s="520"/>
      <c r="AU1927" s="520"/>
      <c r="AV1927" s="520"/>
      <c r="AY1927" s="507"/>
      <c r="BA1927" s="507"/>
      <c r="BJ1927" s="493"/>
      <c r="CU1927" s="488"/>
      <c r="CW1927" s="488"/>
      <c r="EV1927" s="821"/>
      <c r="EW1927" s="821"/>
    </row>
    <row r="1928" spans="1:153" s="757" customFormat="1" hidden="1">
      <c r="A1928" s="487"/>
      <c r="B1928" s="487"/>
      <c r="C1928" s="487"/>
      <c r="D1928" s="487"/>
      <c r="I1928" s="487"/>
      <c r="J1928" s="487"/>
      <c r="K1928" s="487"/>
      <c r="L1928" s="487"/>
      <c r="M1928" s="487"/>
      <c r="N1928" s="487"/>
      <c r="O1928" s="875"/>
      <c r="Q1928" s="704"/>
      <c r="R1928" s="1026"/>
      <c r="S1928" s="704"/>
      <c r="T1928" s="1026"/>
      <c r="AB1928" s="520"/>
      <c r="AC1928" s="520"/>
      <c r="AD1928" s="520"/>
      <c r="AE1928" s="520"/>
      <c r="AF1928" s="520"/>
      <c r="AG1928" s="520"/>
      <c r="AH1928" s="520"/>
      <c r="AI1928" s="520"/>
      <c r="AJ1928" s="520"/>
      <c r="AK1928" s="520"/>
      <c r="AL1928" s="520"/>
      <c r="AM1928" s="520"/>
      <c r="AN1928" s="520"/>
      <c r="AO1928" s="520"/>
      <c r="AP1928" s="520"/>
      <c r="AQ1928" s="520"/>
      <c r="AR1928" s="520"/>
      <c r="AS1928" s="520"/>
      <c r="AT1928" s="520"/>
      <c r="AU1928" s="520"/>
      <c r="AV1928" s="520"/>
      <c r="AY1928" s="507"/>
      <c r="BA1928" s="507"/>
      <c r="BJ1928" s="493"/>
      <c r="CU1928" s="488"/>
      <c r="CW1928" s="488"/>
      <c r="EV1928" s="821"/>
      <c r="EW1928" s="821"/>
    </row>
    <row r="1929" spans="1:153" s="757" customFormat="1" hidden="1">
      <c r="A1929" s="487"/>
      <c r="B1929" s="487"/>
      <c r="C1929" s="487"/>
      <c r="D1929" s="487"/>
      <c r="I1929" s="487"/>
      <c r="J1929" s="487"/>
      <c r="K1929" s="487"/>
      <c r="L1929" s="487"/>
      <c r="M1929" s="487"/>
      <c r="N1929" s="487"/>
      <c r="O1929" s="875"/>
      <c r="Q1929" s="704"/>
      <c r="R1929" s="1026"/>
      <c r="S1929" s="704"/>
      <c r="T1929" s="1026"/>
      <c r="AB1929" s="520"/>
      <c r="AC1929" s="520"/>
      <c r="AD1929" s="520"/>
      <c r="AE1929" s="520"/>
      <c r="AF1929" s="520"/>
      <c r="AG1929" s="520"/>
      <c r="AH1929" s="520"/>
      <c r="AI1929" s="520"/>
      <c r="AJ1929" s="520"/>
      <c r="AK1929" s="520"/>
      <c r="AL1929" s="520"/>
      <c r="AM1929" s="520"/>
      <c r="AN1929" s="520"/>
      <c r="AO1929" s="520"/>
      <c r="AP1929" s="520"/>
      <c r="AQ1929" s="520"/>
      <c r="AR1929" s="520"/>
      <c r="AS1929" s="520"/>
      <c r="AT1929" s="520"/>
      <c r="AU1929" s="520"/>
      <c r="AV1929" s="520"/>
      <c r="AY1929" s="507"/>
      <c r="BA1929" s="507"/>
      <c r="BJ1929" s="493"/>
      <c r="CU1929" s="488"/>
      <c r="CW1929" s="488"/>
      <c r="EV1929" s="821"/>
      <c r="EW1929" s="821"/>
    </row>
    <row r="1930" spans="1:153" s="757" customFormat="1" hidden="1">
      <c r="A1930" s="487"/>
      <c r="B1930" s="487"/>
      <c r="C1930" s="487"/>
      <c r="D1930" s="487"/>
      <c r="I1930" s="487"/>
      <c r="J1930" s="487"/>
      <c r="K1930" s="487"/>
      <c r="L1930" s="487"/>
      <c r="M1930" s="487"/>
      <c r="N1930" s="487"/>
      <c r="O1930" s="875"/>
      <c r="Q1930" s="704"/>
      <c r="R1930" s="1026"/>
      <c r="S1930" s="704"/>
      <c r="T1930" s="1026"/>
      <c r="AB1930" s="520"/>
      <c r="AC1930" s="520"/>
      <c r="AD1930" s="520"/>
      <c r="AE1930" s="520"/>
      <c r="AF1930" s="520"/>
      <c r="AG1930" s="520"/>
      <c r="AH1930" s="520"/>
      <c r="AI1930" s="520"/>
      <c r="AJ1930" s="520"/>
      <c r="AK1930" s="520"/>
      <c r="AL1930" s="520"/>
      <c r="AM1930" s="520"/>
      <c r="AN1930" s="520"/>
      <c r="AO1930" s="520"/>
      <c r="AP1930" s="520"/>
      <c r="AQ1930" s="520"/>
      <c r="AR1930" s="520"/>
      <c r="AS1930" s="520"/>
      <c r="AT1930" s="520"/>
      <c r="AU1930" s="520"/>
      <c r="AV1930" s="520"/>
      <c r="AY1930" s="507"/>
      <c r="BA1930" s="507"/>
      <c r="BJ1930" s="493"/>
      <c r="CU1930" s="488"/>
      <c r="CW1930" s="488"/>
      <c r="EV1930" s="821"/>
      <c r="EW1930" s="821"/>
    </row>
    <row r="1931" spans="1:153" s="757" customFormat="1" hidden="1">
      <c r="A1931" s="487"/>
      <c r="B1931" s="487"/>
      <c r="C1931" s="487"/>
      <c r="D1931" s="487"/>
      <c r="I1931" s="487"/>
      <c r="J1931" s="487"/>
      <c r="K1931" s="487"/>
      <c r="L1931" s="487"/>
      <c r="M1931" s="487"/>
      <c r="N1931" s="487"/>
      <c r="O1931" s="875"/>
      <c r="Q1931" s="704"/>
      <c r="R1931" s="1026"/>
      <c r="S1931" s="704"/>
      <c r="T1931" s="1026"/>
      <c r="AB1931" s="520"/>
      <c r="AC1931" s="520"/>
      <c r="AD1931" s="520"/>
      <c r="AE1931" s="520"/>
      <c r="AF1931" s="520"/>
      <c r="AG1931" s="520"/>
      <c r="AH1931" s="520"/>
      <c r="AI1931" s="520"/>
      <c r="AJ1931" s="520"/>
      <c r="AK1931" s="520"/>
      <c r="AL1931" s="520"/>
      <c r="AM1931" s="520"/>
      <c r="AN1931" s="520"/>
      <c r="AO1931" s="520"/>
      <c r="AP1931" s="520"/>
      <c r="AQ1931" s="520"/>
      <c r="AR1931" s="520"/>
      <c r="AS1931" s="520"/>
      <c r="AT1931" s="520"/>
      <c r="AU1931" s="520"/>
      <c r="AV1931" s="520"/>
      <c r="AY1931" s="507"/>
      <c r="BA1931" s="507"/>
      <c r="BJ1931" s="493"/>
      <c r="CU1931" s="488"/>
      <c r="CW1931" s="488"/>
      <c r="EV1931" s="821"/>
      <c r="EW1931" s="821"/>
    </row>
    <row r="1932" spans="1:153" s="757" customFormat="1" hidden="1">
      <c r="A1932" s="487"/>
      <c r="B1932" s="487"/>
      <c r="C1932" s="487"/>
      <c r="D1932" s="487"/>
      <c r="I1932" s="487"/>
      <c r="J1932" s="487"/>
      <c r="K1932" s="487"/>
      <c r="L1932" s="487"/>
      <c r="M1932" s="487"/>
      <c r="N1932" s="487"/>
      <c r="O1932" s="875"/>
      <c r="Q1932" s="704"/>
      <c r="R1932" s="1026"/>
      <c r="S1932" s="704"/>
      <c r="T1932" s="1026"/>
      <c r="AB1932" s="520"/>
      <c r="AC1932" s="520"/>
      <c r="AD1932" s="520"/>
      <c r="AE1932" s="520"/>
      <c r="AF1932" s="520"/>
      <c r="AG1932" s="520"/>
      <c r="AH1932" s="520"/>
      <c r="AI1932" s="520"/>
      <c r="AJ1932" s="520"/>
      <c r="AK1932" s="520"/>
      <c r="AL1932" s="520"/>
      <c r="AM1932" s="520"/>
      <c r="AN1932" s="520"/>
      <c r="AO1932" s="520"/>
      <c r="AP1932" s="520"/>
      <c r="AQ1932" s="520"/>
      <c r="AR1932" s="520"/>
      <c r="AS1932" s="520"/>
      <c r="AT1932" s="520"/>
      <c r="AU1932" s="520"/>
      <c r="AV1932" s="520"/>
      <c r="AY1932" s="507"/>
      <c r="BA1932" s="507"/>
      <c r="BJ1932" s="493"/>
      <c r="CU1932" s="488"/>
      <c r="CW1932" s="488"/>
      <c r="EV1932" s="821"/>
      <c r="EW1932" s="821"/>
    </row>
    <row r="1933" spans="1:153" s="757" customFormat="1" hidden="1">
      <c r="A1933" s="487"/>
      <c r="B1933" s="487"/>
      <c r="C1933" s="487"/>
      <c r="D1933" s="487"/>
      <c r="I1933" s="487"/>
      <c r="J1933" s="487"/>
      <c r="K1933" s="487"/>
      <c r="L1933" s="487"/>
      <c r="M1933" s="487"/>
      <c r="N1933" s="487"/>
      <c r="O1933" s="875"/>
      <c r="Q1933" s="704"/>
      <c r="R1933" s="1026"/>
      <c r="S1933" s="704"/>
      <c r="T1933" s="1026"/>
      <c r="AB1933" s="520"/>
      <c r="AC1933" s="520"/>
      <c r="AD1933" s="520"/>
      <c r="AE1933" s="520"/>
      <c r="AF1933" s="520"/>
      <c r="AG1933" s="520"/>
      <c r="AH1933" s="520"/>
      <c r="AI1933" s="520"/>
      <c r="AJ1933" s="520"/>
      <c r="AK1933" s="520"/>
      <c r="AL1933" s="520"/>
      <c r="AM1933" s="520"/>
      <c r="AN1933" s="520"/>
      <c r="AO1933" s="520"/>
      <c r="AP1933" s="520"/>
      <c r="AQ1933" s="520"/>
      <c r="AR1933" s="520"/>
      <c r="AS1933" s="520"/>
      <c r="AT1933" s="520"/>
      <c r="AU1933" s="520"/>
      <c r="AV1933" s="520"/>
      <c r="AY1933" s="507"/>
      <c r="BA1933" s="507"/>
      <c r="BJ1933" s="493"/>
      <c r="CU1933" s="488"/>
      <c r="CW1933" s="488"/>
      <c r="EV1933" s="821"/>
      <c r="EW1933" s="821"/>
    </row>
    <row r="1934" spans="1:153" s="757" customFormat="1" hidden="1">
      <c r="A1934" s="487"/>
      <c r="B1934" s="487"/>
      <c r="C1934" s="487"/>
      <c r="D1934" s="487"/>
      <c r="I1934" s="487"/>
      <c r="J1934" s="487"/>
      <c r="K1934" s="487"/>
      <c r="L1934" s="487"/>
      <c r="M1934" s="487"/>
      <c r="N1934" s="487"/>
      <c r="O1934" s="875"/>
      <c r="Q1934" s="704"/>
      <c r="R1934" s="1026"/>
      <c r="S1934" s="704"/>
      <c r="T1934" s="1026"/>
      <c r="AB1934" s="520"/>
      <c r="AC1934" s="520"/>
      <c r="AD1934" s="520"/>
      <c r="AE1934" s="520"/>
      <c r="AF1934" s="520"/>
      <c r="AG1934" s="520"/>
      <c r="AH1934" s="520"/>
      <c r="AI1934" s="520"/>
      <c r="AJ1934" s="520"/>
      <c r="AK1934" s="520"/>
      <c r="AL1934" s="520"/>
      <c r="AM1934" s="520"/>
      <c r="AN1934" s="520"/>
      <c r="AO1934" s="520"/>
      <c r="AP1934" s="520"/>
      <c r="AQ1934" s="520"/>
      <c r="AR1934" s="520"/>
      <c r="AS1934" s="520"/>
      <c r="AT1934" s="520"/>
      <c r="AU1934" s="520"/>
      <c r="AV1934" s="520"/>
      <c r="AY1934" s="507"/>
      <c r="BA1934" s="507"/>
      <c r="BJ1934" s="493"/>
      <c r="CU1934" s="488"/>
      <c r="CW1934" s="488"/>
      <c r="EV1934" s="821"/>
      <c r="EW1934" s="821"/>
    </row>
    <row r="1935" spans="1:153" s="757" customFormat="1" hidden="1">
      <c r="A1935" s="487"/>
      <c r="B1935" s="487"/>
      <c r="C1935" s="487"/>
      <c r="D1935" s="487"/>
      <c r="I1935" s="487"/>
      <c r="J1935" s="487"/>
      <c r="K1935" s="487"/>
      <c r="L1935" s="487"/>
      <c r="M1935" s="487"/>
      <c r="N1935" s="487"/>
      <c r="O1935" s="875"/>
      <c r="Q1935" s="704"/>
      <c r="R1935" s="1026"/>
      <c r="S1935" s="704"/>
      <c r="T1935" s="1026"/>
      <c r="AB1935" s="520"/>
      <c r="AC1935" s="520"/>
      <c r="AD1935" s="520"/>
      <c r="AE1935" s="520"/>
      <c r="AF1935" s="520"/>
      <c r="AG1935" s="520"/>
      <c r="AH1935" s="520"/>
      <c r="AI1935" s="520"/>
      <c r="AJ1935" s="520"/>
      <c r="AK1935" s="520"/>
      <c r="AL1935" s="520"/>
      <c r="AM1935" s="520"/>
      <c r="AN1935" s="520"/>
      <c r="AO1935" s="520"/>
      <c r="AP1935" s="520"/>
      <c r="AQ1935" s="520"/>
      <c r="AR1935" s="520"/>
      <c r="AS1935" s="520"/>
      <c r="AT1935" s="520"/>
      <c r="AU1935" s="520"/>
      <c r="AV1935" s="520"/>
      <c r="AY1935" s="507"/>
      <c r="BA1935" s="507"/>
      <c r="BJ1935" s="493"/>
      <c r="CU1935" s="488"/>
      <c r="CW1935" s="488"/>
      <c r="EV1935" s="821"/>
      <c r="EW1935" s="821"/>
    </row>
    <row r="1936" spans="1:153" s="757" customFormat="1" hidden="1">
      <c r="A1936" s="487"/>
      <c r="B1936" s="487"/>
      <c r="C1936" s="487"/>
      <c r="D1936" s="487"/>
      <c r="I1936" s="487"/>
      <c r="J1936" s="487"/>
      <c r="K1936" s="487"/>
      <c r="L1936" s="487"/>
      <c r="M1936" s="487"/>
      <c r="N1936" s="487"/>
      <c r="O1936" s="875"/>
      <c r="Q1936" s="704"/>
      <c r="R1936" s="1026"/>
      <c r="S1936" s="704"/>
      <c r="T1936" s="1026"/>
      <c r="AB1936" s="520"/>
      <c r="AC1936" s="520"/>
      <c r="AD1936" s="520"/>
      <c r="AE1936" s="520"/>
      <c r="AF1936" s="520"/>
      <c r="AG1936" s="520"/>
      <c r="AH1936" s="520"/>
      <c r="AI1936" s="520"/>
      <c r="AJ1936" s="520"/>
      <c r="AK1936" s="520"/>
      <c r="AL1936" s="520"/>
      <c r="AM1936" s="520"/>
      <c r="AN1936" s="520"/>
      <c r="AO1936" s="520"/>
      <c r="AP1936" s="520"/>
      <c r="AQ1936" s="520"/>
      <c r="AR1936" s="520"/>
      <c r="AS1936" s="520"/>
      <c r="AT1936" s="520"/>
      <c r="AU1936" s="520"/>
      <c r="AV1936" s="520"/>
      <c r="AY1936" s="507"/>
      <c r="BA1936" s="507"/>
      <c r="BJ1936" s="493"/>
      <c r="CU1936" s="488"/>
      <c r="CW1936" s="488"/>
      <c r="EV1936" s="821"/>
      <c r="EW1936" s="821"/>
    </row>
    <row r="1937" spans="1:153" s="757" customFormat="1" hidden="1">
      <c r="A1937" s="487"/>
      <c r="B1937" s="487"/>
      <c r="C1937" s="487"/>
      <c r="D1937" s="487"/>
      <c r="I1937" s="487"/>
      <c r="J1937" s="487"/>
      <c r="K1937" s="487"/>
      <c r="L1937" s="487"/>
      <c r="M1937" s="487"/>
      <c r="N1937" s="487"/>
      <c r="O1937" s="875"/>
      <c r="Q1937" s="704"/>
      <c r="R1937" s="1026"/>
      <c r="S1937" s="704"/>
      <c r="T1937" s="1026"/>
      <c r="AB1937" s="520"/>
      <c r="AC1937" s="520"/>
      <c r="AD1937" s="520"/>
      <c r="AE1937" s="520"/>
      <c r="AF1937" s="520"/>
      <c r="AG1937" s="520"/>
      <c r="AH1937" s="520"/>
      <c r="AI1937" s="520"/>
      <c r="AJ1937" s="520"/>
      <c r="AK1937" s="520"/>
      <c r="AL1937" s="520"/>
      <c r="AM1937" s="520"/>
      <c r="AN1937" s="520"/>
      <c r="AO1937" s="520"/>
      <c r="AP1937" s="520"/>
      <c r="AQ1937" s="520"/>
      <c r="AR1937" s="520"/>
      <c r="AS1937" s="520"/>
      <c r="AT1937" s="520"/>
      <c r="AU1937" s="520"/>
      <c r="AV1937" s="520"/>
      <c r="AY1937" s="507"/>
      <c r="BA1937" s="507"/>
      <c r="BJ1937" s="493"/>
      <c r="CU1937" s="488"/>
      <c r="CW1937" s="488"/>
      <c r="EV1937" s="821"/>
      <c r="EW1937" s="821"/>
    </row>
    <row r="1938" spans="1:153" s="757" customFormat="1" hidden="1">
      <c r="A1938" s="487"/>
      <c r="B1938" s="487"/>
      <c r="C1938" s="487"/>
      <c r="D1938" s="487"/>
      <c r="I1938" s="487"/>
      <c r="J1938" s="487"/>
      <c r="K1938" s="487"/>
      <c r="L1938" s="487"/>
      <c r="M1938" s="487"/>
      <c r="N1938" s="487"/>
      <c r="O1938" s="875"/>
      <c r="Q1938" s="704"/>
      <c r="R1938" s="1026"/>
      <c r="S1938" s="704"/>
      <c r="T1938" s="1026"/>
      <c r="AB1938" s="520"/>
      <c r="AC1938" s="520"/>
      <c r="AD1938" s="520"/>
      <c r="AE1938" s="520"/>
      <c r="AF1938" s="520"/>
      <c r="AG1938" s="520"/>
      <c r="AH1938" s="520"/>
      <c r="AI1938" s="520"/>
      <c r="AJ1938" s="520"/>
      <c r="AK1938" s="520"/>
      <c r="AL1938" s="520"/>
      <c r="AM1938" s="520"/>
      <c r="AN1938" s="520"/>
      <c r="AO1938" s="520"/>
      <c r="AP1938" s="520"/>
      <c r="AQ1938" s="520"/>
      <c r="AR1938" s="520"/>
      <c r="AS1938" s="520"/>
      <c r="AT1938" s="520"/>
      <c r="AU1938" s="520"/>
      <c r="AV1938" s="520"/>
      <c r="AY1938" s="507"/>
      <c r="BA1938" s="507"/>
      <c r="BJ1938" s="493"/>
      <c r="CU1938" s="488"/>
      <c r="CW1938" s="488"/>
      <c r="EV1938" s="821"/>
      <c r="EW1938" s="821"/>
    </row>
    <row r="1939" spans="1:153" s="757" customFormat="1" hidden="1">
      <c r="A1939" s="487"/>
      <c r="B1939" s="487"/>
      <c r="C1939" s="487"/>
      <c r="D1939" s="487"/>
      <c r="I1939" s="487"/>
      <c r="J1939" s="487"/>
      <c r="K1939" s="487"/>
      <c r="L1939" s="487"/>
      <c r="M1939" s="487"/>
      <c r="N1939" s="487"/>
      <c r="O1939" s="875"/>
      <c r="Q1939" s="704"/>
      <c r="R1939" s="1026"/>
      <c r="S1939" s="704"/>
      <c r="T1939" s="1026"/>
      <c r="AB1939" s="520"/>
      <c r="AC1939" s="520"/>
      <c r="AD1939" s="520"/>
      <c r="AE1939" s="520"/>
      <c r="AF1939" s="520"/>
      <c r="AG1939" s="520"/>
      <c r="AH1939" s="520"/>
      <c r="AI1939" s="520"/>
      <c r="AJ1939" s="520"/>
      <c r="AK1939" s="520"/>
      <c r="AL1939" s="520"/>
      <c r="AM1939" s="520"/>
      <c r="AN1939" s="520"/>
      <c r="AO1939" s="520"/>
      <c r="AP1939" s="520"/>
      <c r="AQ1939" s="520"/>
      <c r="AR1939" s="520"/>
      <c r="AS1939" s="520"/>
      <c r="AT1939" s="520"/>
      <c r="AU1939" s="520"/>
      <c r="AV1939" s="520"/>
      <c r="AY1939" s="507"/>
      <c r="BA1939" s="507"/>
      <c r="BJ1939" s="493"/>
      <c r="CU1939" s="488"/>
      <c r="CW1939" s="488"/>
      <c r="EV1939" s="821"/>
      <c r="EW1939" s="821"/>
    </row>
    <row r="1940" spans="1:153" s="757" customFormat="1" hidden="1">
      <c r="A1940" s="487"/>
      <c r="B1940" s="487"/>
      <c r="C1940" s="487"/>
      <c r="D1940" s="487"/>
      <c r="I1940" s="487"/>
      <c r="J1940" s="487"/>
      <c r="K1940" s="487"/>
      <c r="L1940" s="487"/>
      <c r="M1940" s="487"/>
      <c r="N1940" s="487"/>
      <c r="O1940" s="875"/>
      <c r="Q1940" s="704"/>
      <c r="R1940" s="1026"/>
      <c r="S1940" s="704"/>
      <c r="T1940" s="1026"/>
      <c r="AB1940" s="520"/>
      <c r="AC1940" s="520"/>
      <c r="AD1940" s="520"/>
      <c r="AE1940" s="520"/>
      <c r="AF1940" s="520"/>
      <c r="AG1940" s="520"/>
      <c r="AH1940" s="520"/>
      <c r="AI1940" s="520"/>
      <c r="AJ1940" s="520"/>
      <c r="AK1940" s="520"/>
      <c r="AL1940" s="520"/>
      <c r="AM1940" s="520"/>
      <c r="AN1940" s="520"/>
      <c r="AO1940" s="520"/>
      <c r="AP1940" s="520"/>
      <c r="AQ1940" s="520"/>
      <c r="AR1940" s="520"/>
      <c r="AS1940" s="520"/>
      <c r="AT1940" s="520"/>
      <c r="AU1940" s="520"/>
      <c r="AV1940" s="520"/>
      <c r="AY1940" s="507"/>
      <c r="BA1940" s="507"/>
      <c r="BJ1940" s="493"/>
      <c r="CU1940" s="488"/>
      <c r="CW1940" s="488"/>
      <c r="EV1940" s="821"/>
      <c r="EW1940" s="821"/>
    </row>
    <row r="1941" spans="1:153" s="757" customFormat="1" hidden="1">
      <c r="A1941" s="487"/>
      <c r="B1941" s="487"/>
      <c r="C1941" s="487"/>
      <c r="D1941" s="487"/>
      <c r="I1941" s="487"/>
      <c r="J1941" s="487"/>
      <c r="K1941" s="487"/>
      <c r="L1941" s="487"/>
      <c r="M1941" s="487"/>
      <c r="N1941" s="487"/>
      <c r="O1941" s="875"/>
      <c r="Q1941" s="704"/>
      <c r="R1941" s="1026"/>
      <c r="S1941" s="704"/>
      <c r="T1941" s="1026"/>
      <c r="AB1941" s="520"/>
      <c r="AC1941" s="520"/>
      <c r="AD1941" s="520"/>
      <c r="AE1941" s="520"/>
      <c r="AF1941" s="520"/>
      <c r="AG1941" s="520"/>
      <c r="AH1941" s="520"/>
      <c r="AI1941" s="520"/>
      <c r="AJ1941" s="520"/>
      <c r="AK1941" s="520"/>
      <c r="AL1941" s="520"/>
      <c r="AM1941" s="520"/>
      <c r="AN1941" s="520"/>
      <c r="AO1941" s="520"/>
      <c r="AP1941" s="520"/>
      <c r="AQ1941" s="520"/>
      <c r="AR1941" s="520"/>
      <c r="AS1941" s="520"/>
      <c r="AT1941" s="520"/>
      <c r="AU1941" s="520"/>
      <c r="AV1941" s="520"/>
      <c r="AY1941" s="507"/>
      <c r="BA1941" s="507"/>
      <c r="BJ1941" s="493"/>
      <c r="CU1941" s="488"/>
      <c r="CW1941" s="488"/>
      <c r="EV1941" s="821"/>
      <c r="EW1941" s="821"/>
    </row>
    <row r="1942" spans="1:153" s="757" customFormat="1" hidden="1">
      <c r="A1942" s="487"/>
      <c r="B1942" s="487"/>
      <c r="C1942" s="487"/>
      <c r="D1942" s="487"/>
      <c r="I1942" s="487"/>
      <c r="J1942" s="487"/>
      <c r="K1942" s="487"/>
      <c r="L1942" s="487"/>
      <c r="M1942" s="487"/>
      <c r="N1942" s="487"/>
      <c r="O1942" s="875"/>
      <c r="Q1942" s="704"/>
      <c r="R1942" s="1026"/>
      <c r="S1942" s="704"/>
      <c r="T1942" s="1026"/>
      <c r="AB1942" s="520"/>
      <c r="AC1942" s="520"/>
      <c r="AD1942" s="520"/>
      <c r="AE1942" s="520"/>
      <c r="AF1942" s="520"/>
      <c r="AG1942" s="520"/>
      <c r="AH1942" s="520"/>
      <c r="AI1942" s="520"/>
      <c r="AJ1942" s="520"/>
      <c r="AK1942" s="520"/>
      <c r="AL1942" s="520"/>
      <c r="AM1942" s="520"/>
      <c r="AN1942" s="520"/>
      <c r="AO1942" s="520"/>
      <c r="AP1942" s="520"/>
      <c r="AQ1942" s="520"/>
      <c r="AR1942" s="520"/>
      <c r="AS1942" s="520"/>
      <c r="AT1942" s="520"/>
      <c r="AU1942" s="520"/>
      <c r="AV1942" s="520"/>
      <c r="AY1942" s="507"/>
      <c r="BA1942" s="507"/>
      <c r="BJ1942" s="493"/>
      <c r="CU1942" s="488"/>
      <c r="CW1942" s="488"/>
      <c r="EV1942" s="821"/>
      <c r="EW1942" s="821"/>
    </row>
    <row r="1943" spans="1:153" s="757" customFormat="1" hidden="1">
      <c r="A1943" s="487"/>
      <c r="B1943" s="487"/>
      <c r="C1943" s="487"/>
      <c r="D1943" s="487"/>
      <c r="I1943" s="487"/>
      <c r="J1943" s="487"/>
      <c r="K1943" s="487"/>
      <c r="L1943" s="487"/>
      <c r="M1943" s="487"/>
      <c r="N1943" s="487"/>
      <c r="O1943" s="875"/>
      <c r="Q1943" s="704"/>
      <c r="R1943" s="1026"/>
      <c r="S1943" s="704"/>
      <c r="T1943" s="1026"/>
      <c r="AB1943" s="520"/>
      <c r="AC1943" s="520"/>
      <c r="AD1943" s="520"/>
      <c r="AE1943" s="520"/>
      <c r="AF1943" s="520"/>
      <c r="AG1943" s="520"/>
      <c r="AH1943" s="520"/>
      <c r="AI1943" s="520"/>
      <c r="AJ1943" s="520"/>
      <c r="AK1943" s="520"/>
      <c r="AL1943" s="520"/>
      <c r="AM1943" s="520"/>
      <c r="AN1943" s="520"/>
      <c r="AO1943" s="520"/>
      <c r="AP1943" s="520"/>
      <c r="AQ1943" s="520"/>
      <c r="AR1943" s="520"/>
      <c r="AS1943" s="520"/>
      <c r="AT1943" s="520"/>
      <c r="AU1943" s="520"/>
      <c r="AV1943" s="520"/>
      <c r="AY1943" s="507"/>
      <c r="BA1943" s="507"/>
      <c r="BJ1943" s="493"/>
      <c r="CU1943" s="488"/>
      <c r="CW1943" s="488"/>
      <c r="EV1943" s="821"/>
      <c r="EW1943" s="821"/>
    </row>
    <row r="1944" spans="1:153" s="757" customFormat="1" hidden="1">
      <c r="A1944" s="487"/>
      <c r="B1944" s="487"/>
      <c r="C1944" s="487"/>
      <c r="D1944" s="487"/>
      <c r="I1944" s="487"/>
      <c r="J1944" s="487"/>
      <c r="K1944" s="487"/>
      <c r="L1944" s="487"/>
      <c r="M1944" s="487"/>
      <c r="N1944" s="487"/>
      <c r="O1944" s="875"/>
      <c r="Q1944" s="704"/>
      <c r="R1944" s="1026"/>
      <c r="S1944" s="704"/>
      <c r="T1944" s="1026"/>
      <c r="AB1944" s="520"/>
      <c r="AC1944" s="520"/>
      <c r="AD1944" s="520"/>
      <c r="AE1944" s="520"/>
      <c r="AF1944" s="520"/>
      <c r="AG1944" s="520"/>
      <c r="AH1944" s="520"/>
      <c r="AI1944" s="520"/>
      <c r="AJ1944" s="520"/>
      <c r="AK1944" s="520"/>
      <c r="AL1944" s="520"/>
      <c r="AM1944" s="520"/>
      <c r="AN1944" s="520"/>
      <c r="AO1944" s="520"/>
      <c r="AP1944" s="520"/>
      <c r="AQ1944" s="520"/>
      <c r="AR1944" s="520"/>
      <c r="AS1944" s="520"/>
      <c r="AT1944" s="520"/>
      <c r="AU1944" s="520"/>
      <c r="AV1944" s="520"/>
      <c r="AY1944" s="507"/>
      <c r="BA1944" s="507"/>
      <c r="BJ1944" s="493"/>
      <c r="CU1944" s="488"/>
      <c r="CW1944" s="488"/>
      <c r="EV1944" s="821"/>
      <c r="EW1944" s="821"/>
    </row>
    <row r="1945" spans="1:153" s="757" customFormat="1" hidden="1">
      <c r="A1945" s="487"/>
      <c r="B1945" s="487"/>
      <c r="C1945" s="487"/>
      <c r="D1945" s="487"/>
      <c r="I1945" s="487"/>
      <c r="J1945" s="487"/>
      <c r="K1945" s="487"/>
      <c r="L1945" s="487"/>
      <c r="M1945" s="487"/>
      <c r="N1945" s="487"/>
      <c r="O1945" s="875"/>
      <c r="Q1945" s="704"/>
      <c r="R1945" s="1026"/>
      <c r="S1945" s="704"/>
      <c r="T1945" s="1026"/>
      <c r="AB1945" s="520"/>
      <c r="AC1945" s="520"/>
      <c r="AD1945" s="520"/>
      <c r="AE1945" s="520"/>
      <c r="AF1945" s="520"/>
      <c r="AG1945" s="520"/>
      <c r="AH1945" s="520"/>
      <c r="AI1945" s="520"/>
      <c r="AJ1945" s="520"/>
      <c r="AK1945" s="520"/>
      <c r="AL1945" s="520"/>
      <c r="AM1945" s="520"/>
      <c r="AN1945" s="520"/>
      <c r="AO1945" s="520"/>
      <c r="AP1945" s="520"/>
      <c r="AQ1945" s="520"/>
      <c r="AR1945" s="520"/>
      <c r="AS1945" s="520"/>
      <c r="AT1945" s="520"/>
      <c r="AU1945" s="520"/>
      <c r="AV1945" s="520"/>
      <c r="AY1945" s="507"/>
      <c r="BA1945" s="507"/>
      <c r="BJ1945" s="493"/>
      <c r="CU1945" s="488"/>
      <c r="CW1945" s="488"/>
      <c r="EV1945" s="821"/>
      <c r="EW1945" s="821"/>
    </row>
    <row r="1946" spans="1:153" s="757" customFormat="1" hidden="1">
      <c r="A1946" s="487"/>
      <c r="B1946" s="487"/>
      <c r="C1946" s="487"/>
      <c r="D1946" s="487"/>
      <c r="I1946" s="487"/>
      <c r="J1946" s="487"/>
      <c r="K1946" s="487"/>
      <c r="L1946" s="487"/>
      <c r="M1946" s="487"/>
      <c r="N1946" s="487"/>
      <c r="O1946" s="875"/>
      <c r="Q1946" s="704"/>
      <c r="R1946" s="1026"/>
      <c r="S1946" s="704"/>
      <c r="T1946" s="1026"/>
      <c r="AB1946" s="520"/>
      <c r="AC1946" s="520"/>
      <c r="AD1946" s="520"/>
      <c r="AE1946" s="520"/>
      <c r="AF1946" s="520"/>
      <c r="AG1946" s="520"/>
      <c r="AH1946" s="520"/>
      <c r="AI1946" s="520"/>
      <c r="AJ1946" s="520"/>
      <c r="AK1946" s="520"/>
      <c r="AL1946" s="520"/>
      <c r="AM1946" s="520"/>
      <c r="AN1946" s="520"/>
      <c r="AO1946" s="520"/>
      <c r="AP1946" s="520"/>
      <c r="AQ1946" s="520"/>
      <c r="AR1946" s="520"/>
      <c r="AS1946" s="520"/>
      <c r="AT1946" s="520"/>
      <c r="AU1946" s="520"/>
      <c r="AV1946" s="520"/>
      <c r="AY1946" s="507"/>
      <c r="BA1946" s="507"/>
      <c r="BJ1946" s="493"/>
      <c r="CU1946" s="488"/>
      <c r="CW1946" s="488"/>
      <c r="EV1946" s="821"/>
      <c r="EW1946" s="821"/>
    </row>
    <row r="1947" spans="1:153" s="757" customFormat="1" hidden="1">
      <c r="A1947" s="487"/>
      <c r="B1947" s="487"/>
      <c r="C1947" s="487"/>
      <c r="D1947" s="487"/>
      <c r="I1947" s="487"/>
      <c r="J1947" s="487"/>
      <c r="K1947" s="487"/>
      <c r="L1947" s="487"/>
      <c r="M1947" s="487"/>
      <c r="N1947" s="487"/>
      <c r="O1947" s="875"/>
      <c r="Q1947" s="704"/>
      <c r="R1947" s="1026"/>
      <c r="S1947" s="704"/>
      <c r="T1947" s="1026"/>
      <c r="AB1947" s="520"/>
      <c r="AC1947" s="520"/>
      <c r="AD1947" s="520"/>
      <c r="AE1947" s="520"/>
      <c r="AF1947" s="520"/>
      <c r="AG1947" s="520"/>
      <c r="AH1947" s="520"/>
      <c r="AI1947" s="520"/>
      <c r="AJ1947" s="520"/>
      <c r="AK1947" s="520"/>
      <c r="AL1947" s="520"/>
      <c r="AM1947" s="520"/>
      <c r="AN1947" s="520"/>
      <c r="AO1947" s="520"/>
      <c r="AP1947" s="520"/>
      <c r="AQ1947" s="520"/>
      <c r="AR1947" s="520"/>
      <c r="AS1947" s="520"/>
      <c r="AT1947" s="520"/>
      <c r="AU1947" s="520"/>
      <c r="AV1947" s="520"/>
      <c r="AY1947" s="507"/>
      <c r="BA1947" s="507"/>
      <c r="BJ1947" s="493"/>
      <c r="CU1947" s="488"/>
      <c r="CW1947" s="488"/>
      <c r="EV1947" s="821"/>
      <c r="EW1947" s="821"/>
    </row>
    <row r="1948" spans="1:153" s="757" customFormat="1" hidden="1">
      <c r="A1948" s="487"/>
      <c r="B1948" s="487"/>
      <c r="C1948" s="487"/>
      <c r="D1948" s="487"/>
      <c r="I1948" s="487"/>
      <c r="J1948" s="487"/>
      <c r="K1948" s="487"/>
      <c r="L1948" s="487"/>
      <c r="M1948" s="487"/>
      <c r="N1948" s="487"/>
      <c r="O1948" s="875"/>
      <c r="Q1948" s="704"/>
      <c r="R1948" s="1026"/>
      <c r="S1948" s="704"/>
      <c r="T1948" s="1026"/>
      <c r="AB1948" s="520"/>
      <c r="AC1948" s="520"/>
      <c r="AD1948" s="520"/>
      <c r="AE1948" s="520"/>
      <c r="AF1948" s="520"/>
      <c r="AG1948" s="520"/>
      <c r="AH1948" s="520"/>
      <c r="AI1948" s="520"/>
      <c r="AJ1948" s="520"/>
      <c r="AK1948" s="520"/>
      <c r="AL1948" s="520"/>
      <c r="AM1948" s="520"/>
      <c r="AN1948" s="520"/>
      <c r="AO1948" s="520"/>
      <c r="AP1948" s="520"/>
      <c r="AQ1948" s="520"/>
      <c r="AR1948" s="520"/>
      <c r="AS1948" s="520"/>
      <c r="AT1948" s="520"/>
      <c r="AU1948" s="520"/>
      <c r="AV1948" s="520"/>
      <c r="AY1948" s="507"/>
      <c r="BA1948" s="507"/>
      <c r="BJ1948" s="493"/>
      <c r="CU1948" s="488"/>
      <c r="CW1948" s="488"/>
      <c r="EV1948" s="821"/>
      <c r="EW1948" s="821"/>
    </row>
    <row r="1949" spans="1:153" s="757" customFormat="1" hidden="1">
      <c r="A1949" s="487"/>
      <c r="B1949" s="487"/>
      <c r="C1949" s="487"/>
      <c r="D1949" s="487"/>
      <c r="I1949" s="487"/>
      <c r="J1949" s="487"/>
      <c r="K1949" s="487"/>
      <c r="L1949" s="487"/>
      <c r="M1949" s="487"/>
      <c r="N1949" s="487"/>
      <c r="O1949" s="875"/>
      <c r="Q1949" s="704"/>
      <c r="R1949" s="1026"/>
      <c r="S1949" s="704"/>
      <c r="T1949" s="1026"/>
      <c r="AB1949" s="520"/>
      <c r="AC1949" s="520"/>
      <c r="AD1949" s="520"/>
      <c r="AE1949" s="520"/>
      <c r="AF1949" s="520"/>
      <c r="AG1949" s="520"/>
      <c r="AH1949" s="520"/>
      <c r="AI1949" s="520"/>
      <c r="AJ1949" s="520"/>
      <c r="AK1949" s="520"/>
      <c r="AL1949" s="520"/>
      <c r="AM1949" s="520"/>
      <c r="AN1949" s="520"/>
      <c r="AO1949" s="520"/>
      <c r="AP1949" s="520"/>
      <c r="AQ1949" s="520"/>
      <c r="AR1949" s="520"/>
      <c r="AS1949" s="520"/>
      <c r="AT1949" s="520"/>
      <c r="AU1949" s="520"/>
      <c r="AV1949" s="520"/>
      <c r="AY1949" s="507"/>
      <c r="BA1949" s="507"/>
      <c r="BJ1949" s="493"/>
      <c r="CU1949" s="488"/>
      <c r="CW1949" s="488"/>
      <c r="EV1949" s="821"/>
      <c r="EW1949" s="821"/>
    </row>
    <row r="1950" spans="1:153" s="757" customFormat="1" hidden="1">
      <c r="A1950" s="487"/>
      <c r="B1950" s="487"/>
      <c r="C1950" s="487"/>
      <c r="D1950" s="487"/>
      <c r="I1950" s="487"/>
      <c r="J1950" s="487"/>
      <c r="K1950" s="487"/>
      <c r="L1950" s="487"/>
      <c r="M1950" s="487"/>
      <c r="N1950" s="487"/>
      <c r="O1950" s="875"/>
      <c r="Q1950" s="704"/>
      <c r="R1950" s="1026"/>
      <c r="S1950" s="704"/>
      <c r="T1950" s="1026"/>
      <c r="AB1950" s="520"/>
      <c r="AC1950" s="520"/>
      <c r="AD1950" s="520"/>
      <c r="AE1950" s="520"/>
      <c r="AF1950" s="520"/>
      <c r="AG1950" s="520"/>
      <c r="AH1950" s="520"/>
      <c r="AI1950" s="520"/>
      <c r="AJ1950" s="520"/>
      <c r="AK1950" s="520"/>
      <c r="AL1950" s="520"/>
      <c r="AM1950" s="520"/>
      <c r="AN1950" s="520"/>
      <c r="AO1950" s="520"/>
      <c r="AP1950" s="520"/>
      <c r="AQ1950" s="520"/>
      <c r="AR1950" s="520"/>
      <c r="AS1950" s="520"/>
      <c r="AT1950" s="520"/>
      <c r="AU1950" s="520"/>
      <c r="AV1950" s="520"/>
      <c r="AY1950" s="507"/>
      <c r="BA1950" s="507"/>
      <c r="BJ1950" s="493"/>
      <c r="CU1950" s="488"/>
      <c r="CW1950" s="488"/>
      <c r="EV1950" s="821"/>
      <c r="EW1950" s="821"/>
    </row>
    <row r="1951" spans="1:153" s="757" customFormat="1" hidden="1">
      <c r="A1951" s="487"/>
      <c r="B1951" s="487"/>
      <c r="C1951" s="487"/>
      <c r="D1951" s="487"/>
      <c r="I1951" s="487"/>
      <c r="J1951" s="487"/>
      <c r="K1951" s="487"/>
      <c r="L1951" s="487"/>
      <c r="M1951" s="487"/>
      <c r="N1951" s="487"/>
      <c r="O1951" s="875"/>
      <c r="Q1951" s="704"/>
      <c r="R1951" s="1026"/>
      <c r="S1951" s="704"/>
      <c r="T1951" s="1026"/>
      <c r="AB1951" s="520"/>
      <c r="AC1951" s="520"/>
      <c r="AD1951" s="520"/>
      <c r="AE1951" s="520"/>
      <c r="AF1951" s="520"/>
      <c r="AG1951" s="520"/>
      <c r="AH1951" s="520"/>
      <c r="AI1951" s="520"/>
      <c r="AJ1951" s="520"/>
      <c r="AK1951" s="520"/>
      <c r="AL1951" s="520"/>
      <c r="AM1951" s="520"/>
      <c r="AN1951" s="520"/>
      <c r="AO1951" s="520"/>
      <c r="AP1951" s="520"/>
      <c r="AQ1951" s="520"/>
      <c r="AR1951" s="520"/>
      <c r="AS1951" s="520"/>
      <c r="AT1951" s="520"/>
      <c r="AU1951" s="520"/>
      <c r="AV1951" s="520"/>
      <c r="AY1951" s="507"/>
      <c r="BA1951" s="507"/>
      <c r="BJ1951" s="493"/>
      <c r="CU1951" s="488"/>
      <c r="CW1951" s="488"/>
      <c r="EV1951" s="821"/>
      <c r="EW1951" s="821"/>
    </row>
    <row r="1952" spans="1:153" s="757" customFormat="1" hidden="1">
      <c r="A1952" s="487"/>
      <c r="B1952" s="487"/>
      <c r="C1952" s="487"/>
      <c r="D1952" s="487"/>
      <c r="I1952" s="487"/>
      <c r="J1952" s="487"/>
      <c r="K1952" s="487"/>
      <c r="L1952" s="487"/>
      <c r="M1952" s="487"/>
      <c r="N1952" s="487"/>
      <c r="O1952" s="875"/>
      <c r="Q1952" s="704"/>
      <c r="R1952" s="1026"/>
      <c r="S1952" s="704"/>
      <c r="T1952" s="1026"/>
      <c r="AB1952" s="520"/>
      <c r="AC1952" s="520"/>
      <c r="AD1952" s="520"/>
      <c r="AE1952" s="520"/>
      <c r="AF1952" s="520"/>
      <c r="AG1952" s="520"/>
      <c r="AH1952" s="520"/>
      <c r="AI1952" s="520"/>
      <c r="AJ1952" s="520"/>
      <c r="AK1952" s="520"/>
      <c r="AL1952" s="520"/>
      <c r="AM1952" s="520"/>
      <c r="AN1952" s="520"/>
      <c r="AO1952" s="520"/>
      <c r="AP1952" s="520"/>
      <c r="AQ1952" s="520"/>
      <c r="AR1952" s="520"/>
      <c r="AS1952" s="520"/>
      <c r="AT1952" s="520"/>
      <c r="AU1952" s="520"/>
      <c r="AV1952" s="520"/>
      <c r="AY1952" s="507"/>
      <c r="BA1952" s="507"/>
      <c r="BJ1952" s="493"/>
      <c r="CU1952" s="488"/>
      <c r="CW1952" s="488"/>
      <c r="EV1952" s="821"/>
      <c r="EW1952" s="821"/>
    </row>
    <row r="1953" spans="1:153" s="757" customFormat="1" hidden="1">
      <c r="A1953" s="487"/>
      <c r="B1953" s="487"/>
      <c r="C1953" s="487"/>
      <c r="D1953" s="487"/>
      <c r="I1953" s="487"/>
      <c r="J1953" s="487"/>
      <c r="K1953" s="487"/>
      <c r="L1953" s="487"/>
      <c r="M1953" s="487"/>
      <c r="N1953" s="487"/>
      <c r="O1953" s="875"/>
      <c r="Q1953" s="704"/>
      <c r="R1953" s="1026"/>
      <c r="S1953" s="704"/>
      <c r="T1953" s="1026"/>
      <c r="AB1953" s="520"/>
      <c r="AC1953" s="520"/>
      <c r="AD1953" s="520"/>
      <c r="AE1953" s="520"/>
      <c r="AF1953" s="520"/>
      <c r="AG1953" s="520"/>
      <c r="AH1953" s="520"/>
      <c r="AI1953" s="520"/>
      <c r="AJ1953" s="520"/>
      <c r="AK1953" s="520"/>
      <c r="AL1953" s="520"/>
      <c r="AM1953" s="520"/>
      <c r="AN1953" s="520"/>
      <c r="AO1953" s="520"/>
      <c r="AP1953" s="520"/>
      <c r="AQ1953" s="520"/>
      <c r="AR1953" s="520"/>
      <c r="AS1953" s="520"/>
      <c r="AT1953" s="520"/>
      <c r="AU1953" s="520"/>
      <c r="AV1953" s="520"/>
      <c r="AY1953" s="507"/>
      <c r="BA1953" s="507"/>
      <c r="BJ1953" s="493"/>
      <c r="CU1953" s="488"/>
      <c r="CW1953" s="488"/>
      <c r="EV1953" s="821"/>
      <c r="EW1953" s="821"/>
    </row>
    <row r="1954" spans="1:153" s="757" customFormat="1" hidden="1">
      <c r="A1954" s="487"/>
      <c r="B1954" s="487"/>
      <c r="C1954" s="487"/>
      <c r="D1954" s="487"/>
      <c r="I1954" s="487"/>
      <c r="J1954" s="487"/>
      <c r="K1954" s="487"/>
      <c r="L1954" s="487"/>
      <c r="M1954" s="487"/>
      <c r="N1954" s="487"/>
      <c r="O1954" s="875"/>
      <c r="Q1954" s="704"/>
      <c r="R1954" s="1026"/>
      <c r="S1954" s="704"/>
      <c r="T1954" s="1026"/>
      <c r="AB1954" s="520"/>
      <c r="AC1954" s="520"/>
      <c r="AD1954" s="520"/>
      <c r="AE1954" s="520"/>
      <c r="AF1954" s="520"/>
      <c r="AG1954" s="520"/>
      <c r="AH1954" s="520"/>
      <c r="AI1954" s="520"/>
      <c r="AJ1954" s="520"/>
      <c r="AK1954" s="520"/>
      <c r="AL1954" s="520"/>
      <c r="AM1954" s="520"/>
      <c r="AN1954" s="520"/>
      <c r="AO1954" s="520"/>
      <c r="AP1954" s="520"/>
      <c r="AQ1954" s="520"/>
      <c r="AR1954" s="520"/>
      <c r="AS1954" s="520"/>
      <c r="AT1954" s="520"/>
      <c r="AU1954" s="520"/>
      <c r="AV1954" s="520"/>
      <c r="AY1954" s="507"/>
      <c r="BA1954" s="507"/>
      <c r="BJ1954" s="493"/>
      <c r="CU1954" s="488"/>
      <c r="CW1954" s="488"/>
      <c r="EV1954" s="821"/>
      <c r="EW1954" s="821"/>
    </row>
    <row r="1955" spans="1:153" s="757" customFormat="1" hidden="1">
      <c r="A1955" s="487"/>
      <c r="B1955" s="487"/>
      <c r="C1955" s="487"/>
      <c r="D1955" s="487"/>
      <c r="I1955" s="487"/>
      <c r="J1955" s="487"/>
      <c r="K1955" s="487"/>
      <c r="L1955" s="487"/>
      <c r="M1955" s="487"/>
      <c r="N1955" s="487"/>
      <c r="O1955" s="875"/>
      <c r="Q1955" s="704"/>
      <c r="R1955" s="1026"/>
      <c r="S1955" s="704"/>
      <c r="T1955" s="1026"/>
      <c r="AB1955" s="520"/>
      <c r="AC1955" s="520"/>
      <c r="AD1955" s="520"/>
      <c r="AE1955" s="520"/>
      <c r="AF1955" s="520"/>
      <c r="AG1955" s="520"/>
      <c r="AH1955" s="520"/>
      <c r="AI1955" s="520"/>
      <c r="AJ1955" s="520"/>
      <c r="AK1955" s="520"/>
      <c r="AL1955" s="520"/>
      <c r="AM1955" s="520"/>
      <c r="AN1955" s="520"/>
      <c r="AO1955" s="520"/>
      <c r="AP1955" s="520"/>
      <c r="AQ1955" s="520"/>
      <c r="AR1955" s="520"/>
      <c r="AS1955" s="520"/>
      <c r="AT1955" s="520"/>
      <c r="AU1955" s="520"/>
      <c r="AV1955" s="520"/>
      <c r="AY1955" s="507"/>
      <c r="BA1955" s="507"/>
      <c r="BJ1955" s="493"/>
      <c r="CU1955" s="488"/>
      <c r="CW1955" s="488"/>
      <c r="EV1955" s="821"/>
      <c r="EW1955" s="821"/>
    </row>
    <row r="1956" spans="1:153" s="757" customFormat="1" hidden="1">
      <c r="A1956" s="487"/>
      <c r="B1956" s="487"/>
      <c r="C1956" s="487"/>
      <c r="D1956" s="487"/>
      <c r="I1956" s="487"/>
      <c r="J1956" s="487"/>
      <c r="K1956" s="487"/>
      <c r="L1956" s="487"/>
      <c r="M1956" s="487"/>
      <c r="N1956" s="487"/>
      <c r="O1956" s="875"/>
      <c r="Q1956" s="704"/>
      <c r="R1956" s="1026"/>
      <c r="S1956" s="704"/>
      <c r="T1956" s="1026"/>
      <c r="AB1956" s="520"/>
      <c r="AC1956" s="520"/>
      <c r="AD1956" s="520"/>
      <c r="AE1956" s="520"/>
      <c r="AF1956" s="520"/>
      <c r="AG1956" s="520"/>
      <c r="AH1956" s="520"/>
      <c r="AI1956" s="520"/>
      <c r="AJ1956" s="520"/>
      <c r="AK1956" s="520"/>
      <c r="AL1956" s="520"/>
      <c r="AM1956" s="520"/>
      <c r="AN1956" s="520"/>
      <c r="AO1956" s="520"/>
      <c r="AP1956" s="520"/>
      <c r="AQ1956" s="520"/>
      <c r="AR1956" s="520"/>
      <c r="AS1956" s="520"/>
      <c r="AT1956" s="520"/>
      <c r="AU1956" s="520"/>
      <c r="AV1956" s="520"/>
      <c r="AY1956" s="507"/>
      <c r="BA1956" s="507"/>
      <c r="BJ1956" s="493"/>
      <c r="CU1956" s="488"/>
      <c r="CW1956" s="488"/>
      <c r="EV1956" s="821"/>
      <c r="EW1956" s="821"/>
    </row>
    <row r="1957" spans="1:153" s="757" customFormat="1" hidden="1">
      <c r="A1957" s="487"/>
      <c r="B1957" s="487"/>
      <c r="C1957" s="487"/>
      <c r="D1957" s="487"/>
      <c r="I1957" s="487"/>
      <c r="J1957" s="487"/>
      <c r="K1957" s="487"/>
      <c r="L1957" s="487"/>
      <c r="M1957" s="487"/>
      <c r="N1957" s="487"/>
      <c r="O1957" s="875"/>
      <c r="Q1957" s="704"/>
      <c r="R1957" s="1026"/>
      <c r="S1957" s="704"/>
      <c r="T1957" s="1026"/>
      <c r="AB1957" s="520"/>
      <c r="AC1957" s="520"/>
      <c r="AD1957" s="520"/>
      <c r="AE1957" s="520"/>
      <c r="AF1957" s="520"/>
      <c r="AG1957" s="520"/>
      <c r="AH1957" s="520"/>
      <c r="AI1957" s="520"/>
      <c r="AJ1957" s="520"/>
      <c r="AK1957" s="520"/>
      <c r="AL1957" s="520"/>
      <c r="AM1957" s="520"/>
      <c r="AN1957" s="520"/>
      <c r="AO1957" s="520"/>
      <c r="AP1957" s="520"/>
      <c r="AQ1957" s="520"/>
      <c r="AR1957" s="520"/>
      <c r="AS1957" s="520"/>
      <c r="AT1957" s="520"/>
      <c r="AU1957" s="520"/>
      <c r="AV1957" s="520"/>
      <c r="AY1957" s="507"/>
      <c r="BA1957" s="507"/>
      <c r="BJ1957" s="493"/>
      <c r="CU1957" s="488"/>
      <c r="CW1957" s="488"/>
      <c r="EV1957" s="821"/>
      <c r="EW1957" s="821"/>
    </row>
    <row r="1958" spans="1:153" s="757" customFormat="1" hidden="1">
      <c r="A1958" s="487"/>
      <c r="B1958" s="487"/>
      <c r="C1958" s="487"/>
      <c r="D1958" s="487"/>
      <c r="I1958" s="487"/>
      <c r="J1958" s="487"/>
      <c r="K1958" s="487"/>
      <c r="L1958" s="487"/>
      <c r="M1958" s="487"/>
      <c r="N1958" s="487"/>
      <c r="O1958" s="875"/>
      <c r="Q1958" s="704"/>
      <c r="R1958" s="1026"/>
      <c r="S1958" s="704"/>
      <c r="T1958" s="1026"/>
      <c r="AB1958" s="520"/>
      <c r="AC1958" s="520"/>
      <c r="AD1958" s="520"/>
      <c r="AE1958" s="520"/>
      <c r="AF1958" s="520"/>
      <c r="AG1958" s="520"/>
      <c r="AH1958" s="520"/>
      <c r="AI1958" s="520"/>
      <c r="AJ1958" s="520"/>
      <c r="AK1958" s="520"/>
      <c r="AL1958" s="520"/>
      <c r="AM1958" s="520"/>
      <c r="AN1958" s="520"/>
      <c r="AO1958" s="520"/>
      <c r="AP1958" s="520"/>
      <c r="AQ1958" s="520"/>
      <c r="AR1958" s="520"/>
      <c r="AS1958" s="520"/>
      <c r="AT1958" s="520"/>
      <c r="AU1958" s="520"/>
      <c r="AV1958" s="520"/>
      <c r="AY1958" s="507"/>
      <c r="BA1958" s="507"/>
      <c r="BJ1958" s="493"/>
      <c r="CU1958" s="488"/>
      <c r="CW1958" s="488"/>
      <c r="EV1958" s="821"/>
      <c r="EW1958" s="821"/>
    </row>
    <row r="1959" spans="1:153" s="757" customFormat="1" hidden="1">
      <c r="A1959" s="487"/>
      <c r="B1959" s="487"/>
      <c r="C1959" s="487"/>
      <c r="D1959" s="487"/>
      <c r="I1959" s="487"/>
      <c r="J1959" s="487"/>
      <c r="K1959" s="487"/>
      <c r="L1959" s="487"/>
      <c r="M1959" s="487"/>
      <c r="N1959" s="487"/>
      <c r="O1959" s="875"/>
      <c r="Q1959" s="704"/>
      <c r="R1959" s="1026"/>
      <c r="S1959" s="704"/>
      <c r="T1959" s="1026"/>
      <c r="AB1959" s="520"/>
      <c r="AC1959" s="520"/>
      <c r="AD1959" s="520"/>
      <c r="AE1959" s="520"/>
      <c r="AF1959" s="520"/>
      <c r="AG1959" s="520"/>
      <c r="AH1959" s="520"/>
      <c r="AI1959" s="520"/>
      <c r="AJ1959" s="520"/>
      <c r="AK1959" s="520"/>
      <c r="AL1959" s="520"/>
      <c r="AM1959" s="520"/>
      <c r="AN1959" s="520"/>
      <c r="AO1959" s="520"/>
      <c r="AP1959" s="520"/>
      <c r="AQ1959" s="520"/>
      <c r="AR1959" s="520"/>
      <c r="AS1959" s="520"/>
      <c r="AT1959" s="520"/>
      <c r="AU1959" s="520"/>
      <c r="AV1959" s="520"/>
      <c r="AY1959" s="507"/>
      <c r="BA1959" s="507"/>
      <c r="BJ1959" s="493"/>
      <c r="CU1959" s="488"/>
      <c r="CW1959" s="488"/>
      <c r="EV1959" s="821"/>
      <c r="EW1959" s="821"/>
    </row>
    <row r="1960" spans="1:153" s="757" customFormat="1" hidden="1">
      <c r="A1960" s="487"/>
      <c r="B1960" s="487"/>
      <c r="C1960" s="487"/>
      <c r="D1960" s="487"/>
      <c r="I1960" s="487"/>
      <c r="J1960" s="487"/>
      <c r="K1960" s="487"/>
      <c r="L1960" s="487"/>
      <c r="M1960" s="487"/>
      <c r="N1960" s="487"/>
      <c r="O1960" s="875"/>
      <c r="Q1960" s="704"/>
      <c r="R1960" s="1026"/>
      <c r="S1960" s="704"/>
      <c r="T1960" s="1026"/>
      <c r="AB1960" s="520"/>
      <c r="AC1960" s="520"/>
      <c r="AD1960" s="520"/>
      <c r="AE1960" s="520"/>
      <c r="AF1960" s="520"/>
      <c r="AG1960" s="520"/>
      <c r="AH1960" s="520"/>
      <c r="AI1960" s="520"/>
      <c r="AJ1960" s="520"/>
      <c r="AK1960" s="520"/>
      <c r="AL1960" s="520"/>
      <c r="AM1960" s="520"/>
      <c r="AN1960" s="520"/>
      <c r="AO1960" s="520"/>
      <c r="AP1960" s="520"/>
      <c r="AQ1960" s="520"/>
      <c r="AR1960" s="520"/>
      <c r="AS1960" s="520"/>
      <c r="AT1960" s="520"/>
      <c r="AU1960" s="520"/>
      <c r="AV1960" s="520"/>
      <c r="AY1960" s="507"/>
      <c r="BA1960" s="507"/>
      <c r="BJ1960" s="493"/>
      <c r="CU1960" s="488"/>
      <c r="CW1960" s="488"/>
      <c r="EV1960" s="821"/>
      <c r="EW1960" s="821"/>
    </row>
    <row r="1961" spans="1:153" s="757" customFormat="1" hidden="1">
      <c r="A1961" s="487"/>
      <c r="B1961" s="487"/>
      <c r="C1961" s="487"/>
      <c r="D1961" s="487"/>
      <c r="I1961" s="487"/>
      <c r="J1961" s="487"/>
      <c r="K1961" s="487"/>
      <c r="L1961" s="487"/>
      <c r="M1961" s="487"/>
      <c r="N1961" s="487"/>
      <c r="O1961" s="875"/>
      <c r="Q1961" s="704"/>
      <c r="R1961" s="1026"/>
      <c r="S1961" s="704"/>
      <c r="T1961" s="1026"/>
      <c r="AB1961" s="520"/>
      <c r="AC1961" s="520"/>
      <c r="AD1961" s="520"/>
      <c r="AE1961" s="520"/>
      <c r="AF1961" s="520"/>
      <c r="AG1961" s="520"/>
      <c r="AH1961" s="520"/>
      <c r="AI1961" s="520"/>
      <c r="AJ1961" s="520"/>
      <c r="AK1961" s="520"/>
      <c r="AL1961" s="520"/>
      <c r="AM1961" s="520"/>
      <c r="AN1961" s="520"/>
      <c r="AO1961" s="520"/>
      <c r="AP1961" s="520"/>
      <c r="AQ1961" s="520"/>
      <c r="AR1961" s="520"/>
      <c r="AS1961" s="520"/>
      <c r="AT1961" s="520"/>
      <c r="AU1961" s="520"/>
      <c r="AV1961" s="520"/>
      <c r="AY1961" s="507"/>
      <c r="BA1961" s="507"/>
      <c r="BJ1961" s="493"/>
      <c r="CU1961" s="488"/>
      <c r="CW1961" s="488"/>
      <c r="EV1961" s="821"/>
      <c r="EW1961" s="821"/>
    </row>
    <row r="1962" spans="1:153" s="757" customFormat="1" hidden="1">
      <c r="A1962" s="487"/>
      <c r="B1962" s="487"/>
      <c r="C1962" s="487"/>
      <c r="D1962" s="487"/>
      <c r="I1962" s="487"/>
      <c r="J1962" s="487"/>
      <c r="K1962" s="487"/>
      <c r="L1962" s="487"/>
      <c r="M1962" s="487"/>
      <c r="N1962" s="487"/>
      <c r="O1962" s="875"/>
      <c r="Q1962" s="704"/>
      <c r="R1962" s="1026"/>
      <c r="S1962" s="704"/>
      <c r="T1962" s="1026"/>
      <c r="AB1962" s="520"/>
      <c r="AC1962" s="520"/>
      <c r="AD1962" s="520"/>
      <c r="AE1962" s="520"/>
      <c r="AF1962" s="520"/>
      <c r="AG1962" s="520"/>
      <c r="AH1962" s="520"/>
      <c r="AI1962" s="520"/>
      <c r="AJ1962" s="520"/>
      <c r="AK1962" s="520"/>
      <c r="AL1962" s="520"/>
      <c r="AM1962" s="520"/>
      <c r="AN1962" s="520"/>
      <c r="AO1962" s="520"/>
      <c r="AP1962" s="520"/>
      <c r="AQ1962" s="520"/>
      <c r="AR1962" s="520"/>
      <c r="AS1962" s="520"/>
      <c r="AT1962" s="520"/>
      <c r="AU1962" s="520"/>
      <c r="AV1962" s="520"/>
      <c r="AY1962" s="507"/>
      <c r="BA1962" s="507"/>
      <c r="BJ1962" s="493"/>
      <c r="CU1962" s="488"/>
      <c r="CW1962" s="488"/>
      <c r="EV1962" s="821"/>
      <c r="EW1962" s="821"/>
    </row>
    <row r="1963" spans="1:153" s="757" customFormat="1" hidden="1">
      <c r="A1963" s="487"/>
      <c r="B1963" s="487"/>
      <c r="C1963" s="487"/>
      <c r="D1963" s="487"/>
      <c r="I1963" s="487"/>
      <c r="J1963" s="487"/>
      <c r="K1963" s="487"/>
      <c r="L1963" s="487"/>
      <c r="M1963" s="487"/>
      <c r="N1963" s="487"/>
      <c r="O1963" s="875"/>
      <c r="Q1963" s="704"/>
      <c r="R1963" s="1026"/>
      <c r="S1963" s="704"/>
      <c r="T1963" s="1026"/>
      <c r="AB1963" s="520"/>
      <c r="AC1963" s="520"/>
      <c r="AD1963" s="520"/>
      <c r="AE1963" s="520"/>
      <c r="AF1963" s="520"/>
      <c r="AG1963" s="520"/>
      <c r="AH1963" s="520"/>
      <c r="AI1963" s="520"/>
      <c r="AJ1963" s="520"/>
      <c r="AK1963" s="520"/>
      <c r="AL1963" s="520"/>
      <c r="AM1963" s="520"/>
      <c r="AN1963" s="520"/>
      <c r="AO1963" s="520"/>
      <c r="AP1963" s="520"/>
      <c r="AQ1963" s="520"/>
      <c r="AR1963" s="520"/>
      <c r="AS1963" s="520"/>
      <c r="AT1963" s="520"/>
      <c r="AU1963" s="520"/>
      <c r="AV1963" s="520"/>
      <c r="AY1963" s="507"/>
      <c r="BA1963" s="507"/>
      <c r="BJ1963" s="493"/>
      <c r="CU1963" s="488"/>
      <c r="CW1963" s="488"/>
      <c r="EV1963" s="821"/>
      <c r="EW1963" s="821"/>
    </row>
    <row r="1964" spans="1:153" s="757" customFormat="1" hidden="1">
      <c r="A1964" s="487"/>
      <c r="B1964" s="487"/>
      <c r="C1964" s="487"/>
      <c r="D1964" s="487"/>
      <c r="I1964" s="487"/>
      <c r="J1964" s="487"/>
      <c r="K1964" s="487"/>
      <c r="L1964" s="487"/>
      <c r="M1964" s="487"/>
      <c r="N1964" s="487"/>
      <c r="O1964" s="875"/>
      <c r="Q1964" s="704"/>
      <c r="R1964" s="1026"/>
      <c r="S1964" s="704"/>
      <c r="T1964" s="1026"/>
      <c r="AB1964" s="520"/>
      <c r="AC1964" s="520"/>
      <c r="AD1964" s="520"/>
      <c r="AE1964" s="520"/>
      <c r="AF1964" s="520"/>
      <c r="AG1964" s="520"/>
      <c r="AH1964" s="520"/>
      <c r="AI1964" s="520"/>
      <c r="AJ1964" s="520"/>
      <c r="AK1964" s="520"/>
      <c r="AL1964" s="520"/>
      <c r="AM1964" s="520"/>
      <c r="AN1964" s="520"/>
      <c r="AO1964" s="520"/>
      <c r="AP1964" s="520"/>
      <c r="AQ1964" s="520"/>
      <c r="AR1964" s="520"/>
      <c r="AS1964" s="520"/>
      <c r="AT1964" s="520"/>
      <c r="AU1964" s="520"/>
      <c r="AV1964" s="520"/>
      <c r="AY1964" s="507"/>
      <c r="BA1964" s="507"/>
      <c r="BJ1964" s="493"/>
      <c r="CU1964" s="488"/>
      <c r="CW1964" s="488"/>
      <c r="EV1964" s="821"/>
      <c r="EW1964" s="821"/>
    </row>
    <row r="1965" spans="1:153" s="757" customFormat="1" hidden="1">
      <c r="A1965" s="487"/>
      <c r="B1965" s="487"/>
      <c r="C1965" s="487"/>
      <c r="D1965" s="487"/>
      <c r="I1965" s="487"/>
      <c r="J1965" s="487"/>
      <c r="K1965" s="487"/>
      <c r="L1965" s="487"/>
      <c r="M1965" s="487"/>
      <c r="N1965" s="487"/>
      <c r="O1965" s="875"/>
      <c r="Q1965" s="704"/>
      <c r="R1965" s="1026"/>
      <c r="S1965" s="704"/>
      <c r="T1965" s="1026"/>
      <c r="AB1965" s="520"/>
      <c r="AC1965" s="520"/>
      <c r="AD1965" s="520"/>
      <c r="AE1965" s="520"/>
      <c r="AF1965" s="520"/>
      <c r="AG1965" s="520"/>
      <c r="AH1965" s="520"/>
      <c r="AI1965" s="520"/>
      <c r="AJ1965" s="520"/>
      <c r="AK1965" s="520"/>
      <c r="AL1965" s="520"/>
      <c r="AM1965" s="520"/>
      <c r="AN1965" s="520"/>
      <c r="AO1965" s="520"/>
      <c r="AP1965" s="520"/>
      <c r="AQ1965" s="520"/>
      <c r="AR1965" s="520"/>
      <c r="AS1965" s="520"/>
      <c r="AT1965" s="520"/>
      <c r="AU1965" s="520"/>
      <c r="AV1965" s="520"/>
      <c r="AY1965" s="507"/>
      <c r="BA1965" s="507"/>
      <c r="BJ1965" s="493"/>
      <c r="CU1965" s="488"/>
      <c r="CW1965" s="488"/>
      <c r="EV1965" s="821"/>
      <c r="EW1965" s="821"/>
    </row>
    <row r="1966" spans="1:153" s="757" customFormat="1" hidden="1">
      <c r="A1966" s="487"/>
      <c r="B1966" s="487"/>
      <c r="C1966" s="487"/>
      <c r="D1966" s="487"/>
      <c r="I1966" s="487"/>
      <c r="J1966" s="487"/>
      <c r="K1966" s="487"/>
      <c r="L1966" s="487"/>
      <c r="M1966" s="487"/>
      <c r="N1966" s="487"/>
      <c r="O1966" s="875"/>
      <c r="Q1966" s="704"/>
      <c r="R1966" s="1026"/>
      <c r="S1966" s="704"/>
      <c r="T1966" s="1026"/>
      <c r="AB1966" s="520"/>
      <c r="AC1966" s="520"/>
      <c r="AD1966" s="520"/>
      <c r="AE1966" s="520"/>
      <c r="AF1966" s="520"/>
      <c r="AG1966" s="520"/>
      <c r="AH1966" s="520"/>
      <c r="AI1966" s="520"/>
      <c r="AJ1966" s="520"/>
      <c r="AK1966" s="520"/>
      <c r="AL1966" s="520"/>
      <c r="AM1966" s="520"/>
      <c r="AN1966" s="520"/>
      <c r="AO1966" s="520"/>
      <c r="AP1966" s="520"/>
      <c r="AQ1966" s="520"/>
      <c r="AR1966" s="520"/>
      <c r="AS1966" s="520"/>
      <c r="AT1966" s="520"/>
      <c r="AU1966" s="520"/>
      <c r="AV1966" s="520"/>
      <c r="AY1966" s="507"/>
      <c r="BA1966" s="507"/>
      <c r="BJ1966" s="493"/>
      <c r="CU1966" s="488"/>
      <c r="CW1966" s="488"/>
      <c r="EV1966" s="821"/>
      <c r="EW1966" s="821"/>
    </row>
    <row r="1967" spans="1:153" s="757" customFormat="1" hidden="1">
      <c r="A1967" s="487"/>
      <c r="B1967" s="487"/>
      <c r="C1967" s="487"/>
      <c r="D1967" s="487"/>
      <c r="I1967" s="487"/>
      <c r="J1967" s="487"/>
      <c r="K1967" s="487"/>
      <c r="L1967" s="487"/>
      <c r="M1967" s="487"/>
      <c r="N1967" s="487"/>
      <c r="O1967" s="875"/>
      <c r="Q1967" s="704"/>
      <c r="R1967" s="1026"/>
      <c r="S1967" s="704"/>
      <c r="T1967" s="1026"/>
      <c r="AB1967" s="520"/>
      <c r="AC1967" s="520"/>
      <c r="AD1967" s="520"/>
      <c r="AE1967" s="520"/>
      <c r="AF1967" s="520"/>
      <c r="AG1967" s="520"/>
      <c r="AH1967" s="520"/>
      <c r="AI1967" s="520"/>
      <c r="AJ1967" s="520"/>
      <c r="AK1967" s="520"/>
      <c r="AL1967" s="520"/>
      <c r="AM1967" s="520"/>
      <c r="AN1967" s="520"/>
      <c r="AO1967" s="520"/>
      <c r="AP1967" s="520"/>
      <c r="AQ1967" s="520"/>
      <c r="AR1967" s="520"/>
      <c r="AS1967" s="520"/>
      <c r="AT1967" s="520"/>
      <c r="AU1967" s="520"/>
      <c r="AV1967" s="520"/>
      <c r="AY1967" s="507"/>
      <c r="BA1967" s="507"/>
      <c r="BJ1967" s="493"/>
      <c r="CU1967" s="488"/>
      <c r="CW1967" s="488"/>
      <c r="EV1967" s="821"/>
      <c r="EW1967" s="821"/>
    </row>
    <row r="1968" spans="1:153" s="757" customFormat="1" hidden="1">
      <c r="A1968" s="487"/>
      <c r="B1968" s="487"/>
      <c r="C1968" s="487"/>
      <c r="D1968" s="487"/>
      <c r="I1968" s="487"/>
      <c r="J1968" s="487"/>
      <c r="K1968" s="487"/>
      <c r="L1968" s="487"/>
      <c r="M1968" s="487"/>
      <c r="N1968" s="487"/>
      <c r="O1968" s="875"/>
      <c r="Q1968" s="704"/>
      <c r="R1968" s="1026"/>
      <c r="S1968" s="704"/>
      <c r="T1968" s="1026"/>
      <c r="AB1968" s="520"/>
      <c r="AC1968" s="520"/>
      <c r="AD1968" s="520"/>
      <c r="AE1968" s="520"/>
      <c r="AF1968" s="520"/>
      <c r="AG1968" s="520"/>
      <c r="AH1968" s="520"/>
      <c r="AI1968" s="520"/>
      <c r="AJ1968" s="520"/>
      <c r="AK1968" s="520"/>
      <c r="AL1968" s="520"/>
      <c r="AM1968" s="520"/>
      <c r="AN1968" s="520"/>
      <c r="AO1968" s="520"/>
      <c r="AP1968" s="520"/>
      <c r="AQ1968" s="520"/>
      <c r="AR1968" s="520"/>
      <c r="AS1968" s="520"/>
      <c r="AT1968" s="520"/>
      <c r="AU1968" s="520"/>
      <c r="AV1968" s="520"/>
      <c r="AY1968" s="507"/>
      <c r="BA1968" s="507"/>
      <c r="BJ1968" s="493"/>
      <c r="CU1968" s="488"/>
      <c r="CW1968" s="488"/>
      <c r="EV1968" s="821"/>
      <c r="EW1968" s="821"/>
    </row>
    <row r="1969" spans="1:153" s="757" customFormat="1" hidden="1">
      <c r="A1969" s="487"/>
      <c r="B1969" s="487"/>
      <c r="C1969" s="487"/>
      <c r="D1969" s="487"/>
      <c r="I1969" s="487"/>
      <c r="J1969" s="487"/>
      <c r="K1969" s="487"/>
      <c r="L1969" s="487"/>
      <c r="M1969" s="487"/>
      <c r="N1969" s="487"/>
      <c r="O1969" s="875"/>
      <c r="Q1969" s="704"/>
      <c r="R1969" s="1026"/>
      <c r="S1969" s="704"/>
      <c r="T1969" s="1026"/>
      <c r="AB1969" s="520"/>
      <c r="AC1969" s="520"/>
      <c r="AD1969" s="520"/>
      <c r="AE1969" s="520"/>
      <c r="AF1969" s="520"/>
      <c r="AG1969" s="520"/>
      <c r="AH1969" s="520"/>
      <c r="AI1969" s="520"/>
      <c r="AJ1969" s="520"/>
      <c r="AK1969" s="520"/>
      <c r="AL1969" s="520"/>
      <c r="AM1969" s="520"/>
      <c r="AN1969" s="520"/>
      <c r="AO1969" s="520"/>
      <c r="AP1969" s="520"/>
      <c r="AQ1969" s="520"/>
      <c r="AR1969" s="520"/>
      <c r="AS1969" s="520"/>
      <c r="AT1969" s="520"/>
      <c r="AU1969" s="520"/>
      <c r="AV1969" s="520"/>
      <c r="AY1969" s="507"/>
      <c r="BA1969" s="507"/>
      <c r="BJ1969" s="493"/>
      <c r="CU1969" s="488"/>
      <c r="CW1969" s="488"/>
      <c r="EV1969" s="821"/>
      <c r="EW1969" s="821"/>
    </row>
    <row r="1970" spans="1:153" s="757" customFormat="1" hidden="1">
      <c r="A1970" s="487"/>
      <c r="B1970" s="487"/>
      <c r="C1970" s="487"/>
      <c r="D1970" s="487"/>
      <c r="I1970" s="487"/>
      <c r="J1970" s="487"/>
      <c r="K1970" s="487"/>
      <c r="L1970" s="487"/>
      <c r="M1970" s="487"/>
      <c r="N1970" s="487"/>
      <c r="O1970" s="875"/>
      <c r="Q1970" s="704"/>
      <c r="R1970" s="1026"/>
      <c r="S1970" s="704"/>
      <c r="T1970" s="1026"/>
      <c r="AB1970" s="520"/>
      <c r="AC1970" s="520"/>
      <c r="AD1970" s="520"/>
      <c r="AE1970" s="520"/>
      <c r="AF1970" s="520"/>
      <c r="AG1970" s="520"/>
      <c r="AH1970" s="520"/>
      <c r="AI1970" s="520"/>
      <c r="AJ1970" s="520"/>
      <c r="AK1970" s="520"/>
      <c r="AL1970" s="520"/>
      <c r="AM1970" s="520"/>
      <c r="AN1970" s="520"/>
      <c r="AO1970" s="520"/>
      <c r="AP1970" s="520"/>
      <c r="AQ1970" s="520"/>
      <c r="AR1970" s="520"/>
      <c r="AS1970" s="520"/>
      <c r="AT1970" s="520"/>
      <c r="AU1970" s="520"/>
      <c r="AV1970" s="520"/>
      <c r="AY1970" s="507"/>
      <c r="BA1970" s="507"/>
      <c r="BJ1970" s="493"/>
      <c r="CU1970" s="488"/>
      <c r="CW1970" s="488"/>
      <c r="EV1970" s="821"/>
      <c r="EW1970" s="821"/>
    </row>
    <row r="1971" spans="1:153" s="757" customFormat="1" hidden="1">
      <c r="A1971" s="487"/>
      <c r="B1971" s="487"/>
      <c r="C1971" s="487"/>
      <c r="D1971" s="487"/>
      <c r="I1971" s="487"/>
      <c r="J1971" s="487"/>
      <c r="K1971" s="487"/>
      <c r="L1971" s="487"/>
      <c r="M1971" s="487"/>
      <c r="N1971" s="487"/>
      <c r="O1971" s="875"/>
      <c r="Q1971" s="704"/>
      <c r="R1971" s="1026"/>
      <c r="S1971" s="704"/>
      <c r="T1971" s="1026"/>
      <c r="AB1971" s="520"/>
      <c r="AC1971" s="520"/>
      <c r="AD1971" s="520"/>
      <c r="AE1971" s="520"/>
      <c r="AF1971" s="520"/>
      <c r="AG1971" s="520"/>
      <c r="AH1971" s="520"/>
      <c r="AI1971" s="520"/>
      <c r="AJ1971" s="520"/>
      <c r="AK1971" s="520"/>
      <c r="AL1971" s="520"/>
      <c r="AM1971" s="520"/>
      <c r="AN1971" s="520"/>
      <c r="AO1971" s="520"/>
      <c r="AP1971" s="520"/>
      <c r="AQ1971" s="520"/>
      <c r="AR1971" s="520"/>
      <c r="AS1971" s="520"/>
      <c r="AT1971" s="520"/>
      <c r="AU1971" s="520"/>
      <c r="AV1971" s="520"/>
      <c r="AY1971" s="507"/>
      <c r="BA1971" s="507"/>
      <c r="BJ1971" s="493"/>
      <c r="CU1971" s="488"/>
      <c r="CW1971" s="488"/>
      <c r="EV1971" s="821"/>
      <c r="EW1971" s="821"/>
    </row>
    <row r="1972" spans="1:153" s="757" customFormat="1" hidden="1">
      <c r="A1972" s="487"/>
      <c r="B1972" s="487"/>
      <c r="C1972" s="487"/>
      <c r="D1972" s="487"/>
      <c r="I1972" s="487"/>
      <c r="J1972" s="487"/>
      <c r="K1972" s="487"/>
      <c r="L1972" s="487"/>
      <c r="M1972" s="487"/>
      <c r="N1972" s="487"/>
      <c r="O1972" s="875"/>
      <c r="Q1972" s="704"/>
      <c r="R1972" s="1026"/>
      <c r="S1972" s="704"/>
      <c r="T1972" s="1026"/>
      <c r="AB1972" s="520"/>
      <c r="AC1972" s="520"/>
      <c r="AD1972" s="520"/>
      <c r="AE1972" s="520"/>
      <c r="AF1972" s="520"/>
      <c r="AG1972" s="520"/>
      <c r="AH1972" s="520"/>
      <c r="AI1972" s="520"/>
      <c r="AJ1972" s="520"/>
      <c r="AK1972" s="520"/>
      <c r="AL1972" s="520"/>
      <c r="AM1972" s="520"/>
      <c r="AN1972" s="520"/>
      <c r="AO1972" s="520"/>
      <c r="AP1972" s="520"/>
      <c r="AQ1972" s="520"/>
      <c r="AR1972" s="520"/>
      <c r="AS1972" s="520"/>
      <c r="AT1972" s="520"/>
      <c r="AU1972" s="520"/>
      <c r="AV1972" s="520"/>
      <c r="AY1972" s="507"/>
      <c r="BA1972" s="507"/>
      <c r="BJ1972" s="493"/>
      <c r="CU1972" s="488"/>
      <c r="CW1972" s="488"/>
      <c r="EV1972" s="821"/>
      <c r="EW1972" s="821"/>
    </row>
    <row r="1973" spans="1:153" s="757" customFormat="1" hidden="1">
      <c r="A1973" s="487"/>
      <c r="B1973" s="487"/>
      <c r="C1973" s="487"/>
      <c r="D1973" s="487"/>
      <c r="I1973" s="487"/>
      <c r="J1973" s="487"/>
      <c r="K1973" s="487"/>
      <c r="L1973" s="487"/>
      <c r="M1973" s="487"/>
      <c r="N1973" s="487"/>
      <c r="O1973" s="875"/>
      <c r="Q1973" s="704"/>
      <c r="R1973" s="1026"/>
      <c r="S1973" s="704"/>
      <c r="T1973" s="1026"/>
      <c r="AB1973" s="520"/>
      <c r="AC1973" s="520"/>
      <c r="AD1973" s="520"/>
      <c r="AE1973" s="520"/>
      <c r="AF1973" s="520"/>
      <c r="AG1973" s="520"/>
      <c r="AH1973" s="520"/>
      <c r="AI1973" s="520"/>
      <c r="AJ1973" s="520"/>
      <c r="AK1973" s="520"/>
      <c r="AL1973" s="520"/>
      <c r="AM1973" s="520"/>
      <c r="AN1973" s="520"/>
      <c r="AO1973" s="520"/>
      <c r="AP1973" s="520"/>
      <c r="AQ1973" s="520"/>
      <c r="AR1973" s="520"/>
      <c r="AS1973" s="520"/>
      <c r="AT1973" s="520"/>
      <c r="AU1973" s="520"/>
      <c r="AV1973" s="520"/>
      <c r="AY1973" s="507"/>
      <c r="BA1973" s="507"/>
      <c r="BJ1973" s="493"/>
      <c r="CU1973" s="488"/>
      <c r="CW1973" s="488"/>
      <c r="EV1973" s="821"/>
      <c r="EW1973" s="821"/>
    </row>
    <row r="1974" spans="1:153" s="757" customFormat="1" hidden="1">
      <c r="A1974" s="487"/>
      <c r="B1974" s="487"/>
      <c r="C1974" s="487"/>
      <c r="D1974" s="487"/>
      <c r="I1974" s="487"/>
      <c r="J1974" s="487"/>
      <c r="K1974" s="487"/>
      <c r="L1974" s="487"/>
      <c r="M1974" s="487"/>
      <c r="N1974" s="487"/>
      <c r="O1974" s="875"/>
      <c r="Q1974" s="704"/>
      <c r="R1974" s="1026"/>
      <c r="S1974" s="704"/>
      <c r="T1974" s="1026"/>
      <c r="AB1974" s="520"/>
      <c r="AC1974" s="520"/>
      <c r="AD1974" s="520"/>
      <c r="AE1974" s="520"/>
      <c r="AF1974" s="520"/>
      <c r="AG1974" s="520"/>
      <c r="AH1974" s="520"/>
      <c r="AI1974" s="520"/>
      <c r="AJ1974" s="520"/>
      <c r="AK1974" s="520"/>
      <c r="AL1974" s="520"/>
      <c r="AM1974" s="520"/>
      <c r="AN1974" s="520"/>
      <c r="AO1974" s="520"/>
      <c r="AP1974" s="520"/>
      <c r="AQ1974" s="520"/>
      <c r="AR1974" s="520"/>
      <c r="AS1974" s="520"/>
      <c r="AT1974" s="520"/>
      <c r="AU1974" s="520"/>
      <c r="AV1974" s="520"/>
      <c r="AY1974" s="507"/>
      <c r="BA1974" s="507"/>
      <c r="BJ1974" s="493"/>
      <c r="CU1974" s="488"/>
      <c r="CW1974" s="488"/>
      <c r="EV1974" s="821"/>
      <c r="EW1974" s="821"/>
    </row>
    <row r="1975" spans="1:153" s="757" customFormat="1" hidden="1">
      <c r="A1975" s="487"/>
      <c r="B1975" s="487"/>
      <c r="C1975" s="487"/>
      <c r="D1975" s="487"/>
      <c r="I1975" s="487"/>
      <c r="J1975" s="487"/>
      <c r="K1975" s="487"/>
      <c r="L1975" s="487"/>
      <c r="M1975" s="487"/>
      <c r="N1975" s="487"/>
      <c r="O1975" s="875"/>
      <c r="Q1975" s="704"/>
      <c r="R1975" s="1026"/>
      <c r="S1975" s="704"/>
      <c r="T1975" s="1026"/>
      <c r="AB1975" s="520"/>
      <c r="AC1975" s="520"/>
      <c r="AD1975" s="520"/>
      <c r="AE1975" s="520"/>
      <c r="AF1975" s="520"/>
      <c r="AG1975" s="520"/>
      <c r="AH1975" s="520"/>
      <c r="AI1975" s="520"/>
      <c r="AJ1975" s="520"/>
      <c r="AK1975" s="520"/>
      <c r="AL1975" s="520"/>
      <c r="AM1975" s="520"/>
      <c r="AN1975" s="520"/>
      <c r="AO1975" s="520"/>
      <c r="AP1975" s="520"/>
      <c r="AQ1975" s="520"/>
      <c r="AR1975" s="520"/>
      <c r="AS1975" s="520"/>
      <c r="AT1975" s="520"/>
      <c r="AU1975" s="520"/>
      <c r="AV1975" s="520"/>
      <c r="AY1975" s="507"/>
      <c r="BA1975" s="507"/>
      <c r="BJ1975" s="493"/>
      <c r="CU1975" s="488"/>
      <c r="CW1975" s="488"/>
      <c r="EV1975" s="821"/>
      <c r="EW1975" s="821"/>
    </row>
    <row r="1976" spans="1:153" s="757" customFormat="1" hidden="1">
      <c r="A1976" s="487"/>
      <c r="B1976" s="487"/>
      <c r="C1976" s="487"/>
      <c r="D1976" s="487"/>
      <c r="I1976" s="487"/>
      <c r="J1976" s="487"/>
      <c r="K1976" s="487"/>
      <c r="L1976" s="487"/>
      <c r="M1976" s="487"/>
      <c r="N1976" s="487"/>
      <c r="O1976" s="875"/>
      <c r="Q1976" s="704"/>
      <c r="R1976" s="1026"/>
      <c r="S1976" s="704"/>
      <c r="T1976" s="1026"/>
      <c r="AB1976" s="520"/>
      <c r="AC1976" s="520"/>
      <c r="AD1976" s="520"/>
      <c r="AE1976" s="520"/>
      <c r="AF1976" s="520"/>
      <c r="AG1976" s="520"/>
      <c r="AH1976" s="520"/>
      <c r="AI1976" s="520"/>
      <c r="AJ1976" s="520"/>
      <c r="AK1976" s="520"/>
      <c r="AL1976" s="520"/>
      <c r="AM1976" s="520"/>
      <c r="AN1976" s="520"/>
      <c r="AO1976" s="520"/>
      <c r="AP1976" s="520"/>
      <c r="AQ1976" s="520"/>
      <c r="AR1976" s="520"/>
      <c r="AS1976" s="520"/>
      <c r="AT1976" s="520"/>
      <c r="AU1976" s="520"/>
      <c r="AV1976" s="520"/>
      <c r="AY1976" s="507"/>
      <c r="BA1976" s="507"/>
      <c r="BJ1976" s="493"/>
      <c r="CU1976" s="488"/>
      <c r="CW1976" s="488"/>
      <c r="EV1976" s="821"/>
      <c r="EW1976" s="821"/>
    </row>
    <row r="1977" spans="1:153" s="757" customFormat="1" hidden="1">
      <c r="A1977" s="487"/>
      <c r="B1977" s="487"/>
      <c r="C1977" s="487"/>
      <c r="D1977" s="487"/>
      <c r="I1977" s="487"/>
      <c r="J1977" s="487"/>
      <c r="K1977" s="487"/>
      <c r="L1977" s="487"/>
      <c r="M1977" s="487"/>
      <c r="N1977" s="487"/>
      <c r="O1977" s="875"/>
      <c r="Q1977" s="704"/>
      <c r="R1977" s="1026"/>
      <c r="S1977" s="704"/>
      <c r="T1977" s="1026"/>
      <c r="AB1977" s="520"/>
      <c r="AC1977" s="520"/>
      <c r="AD1977" s="520"/>
      <c r="AE1977" s="520"/>
      <c r="AF1977" s="520"/>
      <c r="AG1977" s="520"/>
      <c r="AH1977" s="520"/>
      <c r="AI1977" s="520"/>
      <c r="AJ1977" s="520"/>
      <c r="AK1977" s="520"/>
      <c r="AL1977" s="520"/>
      <c r="AM1977" s="520"/>
      <c r="AN1977" s="520"/>
      <c r="AO1977" s="520"/>
      <c r="AP1977" s="520"/>
      <c r="AQ1977" s="520"/>
      <c r="AR1977" s="520"/>
      <c r="AS1977" s="520"/>
      <c r="AT1977" s="520"/>
      <c r="AU1977" s="520"/>
      <c r="AV1977" s="520"/>
      <c r="AY1977" s="507"/>
      <c r="BA1977" s="507"/>
      <c r="BJ1977" s="493"/>
      <c r="CU1977" s="488"/>
      <c r="CW1977" s="488"/>
      <c r="EV1977" s="821"/>
      <c r="EW1977" s="821"/>
    </row>
    <row r="1978" spans="1:153" s="757" customFormat="1" hidden="1">
      <c r="A1978" s="487"/>
      <c r="B1978" s="487"/>
      <c r="C1978" s="487"/>
      <c r="D1978" s="487"/>
      <c r="I1978" s="487"/>
      <c r="J1978" s="487"/>
      <c r="K1978" s="487"/>
      <c r="L1978" s="487"/>
      <c r="M1978" s="487"/>
      <c r="N1978" s="487"/>
      <c r="O1978" s="875"/>
      <c r="Q1978" s="704"/>
      <c r="R1978" s="1026"/>
      <c r="S1978" s="704"/>
      <c r="T1978" s="1026"/>
      <c r="AB1978" s="520"/>
      <c r="AC1978" s="520"/>
      <c r="AD1978" s="520"/>
      <c r="AE1978" s="520"/>
      <c r="AF1978" s="520"/>
      <c r="AG1978" s="520"/>
      <c r="AH1978" s="520"/>
      <c r="AI1978" s="520"/>
      <c r="AJ1978" s="520"/>
      <c r="AK1978" s="520"/>
      <c r="AL1978" s="520"/>
      <c r="AM1978" s="520"/>
      <c r="AN1978" s="520"/>
      <c r="AO1978" s="520"/>
      <c r="AP1978" s="520"/>
      <c r="AQ1978" s="520"/>
      <c r="AR1978" s="520"/>
      <c r="AS1978" s="520"/>
      <c r="AT1978" s="520"/>
      <c r="AU1978" s="520"/>
      <c r="AV1978" s="520"/>
      <c r="AY1978" s="507"/>
      <c r="BA1978" s="507"/>
      <c r="BJ1978" s="493"/>
      <c r="CU1978" s="488"/>
      <c r="CW1978" s="488"/>
      <c r="EV1978" s="821"/>
      <c r="EW1978" s="821"/>
    </row>
    <row r="1979" spans="1:153" s="757" customFormat="1" hidden="1">
      <c r="A1979" s="487"/>
      <c r="B1979" s="487"/>
      <c r="C1979" s="487"/>
      <c r="D1979" s="487"/>
      <c r="I1979" s="487"/>
      <c r="J1979" s="487"/>
      <c r="K1979" s="487"/>
      <c r="L1979" s="487"/>
      <c r="M1979" s="487"/>
      <c r="N1979" s="487"/>
      <c r="O1979" s="875"/>
      <c r="Q1979" s="704"/>
      <c r="R1979" s="1026"/>
      <c r="S1979" s="704"/>
      <c r="T1979" s="1026"/>
      <c r="AB1979" s="520"/>
      <c r="AC1979" s="520"/>
      <c r="AD1979" s="520"/>
      <c r="AE1979" s="520"/>
      <c r="AF1979" s="520"/>
      <c r="AG1979" s="520"/>
      <c r="AH1979" s="520"/>
      <c r="AI1979" s="520"/>
      <c r="AJ1979" s="520"/>
      <c r="AK1979" s="520"/>
      <c r="AL1979" s="520"/>
      <c r="AM1979" s="520"/>
      <c r="AN1979" s="520"/>
      <c r="AO1979" s="520"/>
      <c r="AP1979" s="520"/>
      <c r="AQ1979" s="520"/>
      <c r="AR1979" s="520"/>
      <c r="AS1979" s="520"/>
      <c r="AT1979" s="520"/>
      <c r="AU1979" s="520"/>
      <c r="AV1979" s="520"/>
      <c r="AY1979" s="507"/>
      <c r="BA1979" s="507"/>
      <c r="BJ1979" s="493"/>
      <c r="CU1979" s="488"/>
      <c r="CW1979" s="488"/>
      <c r="EV1979" s="821"/>
      <c r="EW1979" s="821"/>
    </row>
    <row r="1980" spans="1:153" s="757" customFormat="1" hidden="1">
      <c r="A1980" s="487"/>
      <c r="B1980" s="487"/>
      <c r="C1980" s="487"/>
      <c r="D1980" s="487"/>
      <c r="I1980" s="487"/>
      <c r="J1980" s="487"/>
      <c r="K1980" s="487"/>
      <c r="L1980" s="487"/>
      <c r="M1980" s="487"/>
      <c r="N1980" s="487"/>
      <c r="O1980" s="875"/>
      <c r="Q1980" s="704"/>
      <c r="R1980" s="1026"/>
      <c r="S1980" s="704"/>
      <c r="T1980" s="1026"/>
      <c r="AB1980" s="520"/>
      <c r="AC1980" s="520"/>
      <c r="AD1980" s="520"/>
      <c r="AE1980" s="520"/>
      <c r="AF1980" s="520"/>
      <c r="AG1980" s="520"/>
      <c r="AH1980" s="520"/>
      <c r="AI1980" s="520"/>
      <c r="AJ1980" s="520"/>
      <c r="AK1980" s="520"/>
      <c r="AL1980" s="520"/>
      <c r="AM1980" s="520"/>
      <c r="AN1980" s="520"/>
      <c r="AO1980" s="520"/>
      <c r="AP1980" s="520"/>
      <c r="AQ1980" s="520"/>
      <c r="AR1980" s="520"/>
      <c r="AS1980" s="520"/>
      <c r="AT1980" s="520"/>
      <c r="AU1980" s="520"/>
      <c r="AV1980" s="520"/>
      <c r="AY1980" s="507"/>
      <c r="BA1980" s="507"/>
      <c r="BJ1980" s="493"/>
      <c r="CU1980" s="488"/>
      <c r="CW1980" s="488"/>
      <c r="EV1980" s="821"/>
      <c r="EW1980" s="821"/>
    </row>
    <row r="1981" spans="1:153" s="757" customFormat="1" hidden="1">
      <c r="A1981" s="487"/>
      <c r="B1981" s="487"/>
      <c r="C1981" s="487"/>
      <c r="D1981" s="487"/>
      <c r="I1981" s="487"/>
      <c r="J1981" s="487"/>
      <c r="K1981" s="487"/>
      <c r="L1981" s="487"/>
      <c r="M1981" s="487"/>
      <c r="N1981" s="487"/>
      <c r="O1981" s="875"/>
      <c r="Q1981" s="704"/>
      <c r="R1981" s="1026"/>
      <c r="S1981" s="704"/>
      <c r="T1981" s="1026"/>
      <c r="AB1981" s="520"/>
      <c r="AC1981" s="520"/>
      <c r="AD1981" s="520"/>
      <c r="AE1981" s="520"/>
      <c r="AF1981" s="520"/>
      <c r="AG1981" s="520"/>
      <c r="AH1981" s="520"/>
      <c r="AI1981" s="520"/>
      <c r="AJ1981" s="520"/>
      <c r="AK1981" s="520"/>
      <c r="AL1981" s="520"/>
      <c r="AM1981" s="520"/>
      <c r="AN1981" s="520"/>
      <c r="AO1981" s="520"/>
      <c r="AP1981" s="520"/>
      <c r="AQ1981" s="520"/>
      <c r="AR1981" s="520"/>
      <c r="AS1981" s="520"/>
      <c r="AT1981" s="520"/>
      <c r="AU1981" s="520"/>
      <c r="AV1981" s="520"/>
      <c r="AY1981" s="507"/>
      <c r="BA1981" s="507"/>
      <c r="BJ1981" s="493"/>
      <c r="CU1981" s="488"/>
      <c r="CW1981" s="488"/>
      <c r="EV1981" s="821"/>
      <c r="EW1981" s="821"/>
    </row>
    <row r="1982" spans="1:153" s="757" customFormat="1" hidden="1">
      <c r="A1982" s="487"/>
      <c r="B1982" s="487"/>
      <c r="C1982" s="487"/>
      <c r="D1982" s="487"/>
      <c r="I1982" s="487"/>
      <c r="J1982" s="487"/>
      <c r="K1982" s="487"/>
      <c r="L1982" s="487"/>
      <c r="M1982" s="487"/>
      <c r="N1982" s="487"/>
      <c r="O1982" s="875"/>
      <c r="Q1982" s="704"/>
      <c r="R1982" s="1026"/>
      <c r="S1982" s="704"/>
      <c r="T1982" s="1026"/>
      <c r="AB1982" s="520"/>
      <c r="AC1982" s="520"/>
      <c r="AD1982" s="520"/>
      <c r="AE1982" s="520"/>
      <c r="AF1982" s="520"/>
      <c r="AG1982" s="520"/>
      <c r="AH1982" s="520"/>
      <c r="AI1982" s="520"/>
      <c r="AJ1982" s="520"/>
      <c r="AK1982" s="520"/>
      <c r="AL1982" s="520"/>
      <c r="AM1982" s="520"/>
      <c r="AN1982" s="520"/>
      <c r="AO1982" s="520"/>
      <c r="AP1982" s="520"/>
      <c r="AQ1982" s="520"/>
      <c r="AR1982" s="520"/>
      <c r="AS1982" s="520"/>
      <c r="AT1982" s="520"/>
      <c r="AU1982" s="520"/>
      <c r="AV1982" s="520"/>
      <c r="AY1982" s="507"/>
      <c r="BA1982" s="507"/>
      <c r="BJ1982" s="493"/>
      <c r="CU1982" s="488"/>
      <c r="CW1982" s="488"/>
      <c r="EV1982" s="821"/>
      <c r="EW1982" s="821"/>
    </row>
    <row r="1983" spans="1:153" s="757" customFormat="1" hidden="1">
      <c r="A1983" s="487"/>
      <c r="B1983" s="487"/>
      <c r="C1983" s="487"/>
      <c r="D1983" s="487"/>
      <c r="I1983" s="487"/>
      <c r="J1983" s="487"/>
      <c r="K1983" s="487"/>
      <c r="L1983" s="487"/>
      <c r="M1983" s="487"/>
      <c r="N1983" s="487"/>
      <c r="O1983" s="875"/>
      <c r="Q1983" s="704"/>
      <c r="R1983" s="1026"/>
      <c r="S1983" s="704"/>
      <c r="T1983" s="1026"/>
      <c r="AB1983" s="520"/>
      <c r="AC1983" s="520"/>
      <c r="AD1983" s="520"/>
      <c r="AE1983" s="520"/>
      <c r="AF1983" s="520"/>
      <c r="AG1983" s="520"/>
      <c r="AH1983" s="520"/>
      <c r="AI1983" s="520"/>
      <c r="AJ1983" s="520"/>
      <c r="AK1983" s="520"/>
      <c r="AL1983" s="520"/>
      <c r="AM1983" s="520"/>
      <c r="AN1983" s="520"/>
      <c r="AO1983" s="520"/>
      <c r="AP1983" s="520"/>
      <c r="AQ1983" s="520"/>
      <c r="AR1983" s="520"/>
      <c r="AS1983" s="520"/>
      <c r="AT1983" s="520"/>
      <c r="AU1983" s="520"/>
      <c r="AV1983" s="520"/>
      <c r="AY1983" s="507"/>
      <c r="BA1983" s="507"/>
      <c r="BJ1983" s="493"/>
      <c r="CU1983" s="488"/>
      <c r="CW1983" s="488"/>
      <c r="EV1983" s="821"/>
      <c r="EW1983" s="821"/>
    </row>
    <row r="1984" spans="1:153" s="757" customFormat="1" hidden="1">
      <c r="A1984" s="487"/>
      <c r="B1984" s="487"/>
      <c r="C1984" s="487"/>
      <c r="D1984" s="487"/>
      <c r="I1984" s="487"/>
      <c r="J1984" s="487"/>
      <c r="K1984" s="487"/>
      <c r="L1984" s="487"/>
      <c r="M1984" s="487"/>
      <c r="N1984" s="487"/>
      <c r="O1984" s="875"/>
      <c r="Q1984" s="704"/>
      <c r="R1984" s="1026"/>
      <c r="S1984" s="704"/>
      <c r="T1984" s="1026"/>
      <c r="AB1984" s="520"/>
      <c r="AC1984" s="520"/>
      <c r="AD1984" s="520"/>
      <c r="AE1984" s="520"/>
      <c r="AF1984" s="520"/>
      <c r="AG1984" s="520"/>
      <c r="AH1984" s="520"/>
      <c r="AI1984" s="520"/>
      <c r="AJ1984" s="520"/>
      <c r="AK1984" s="520"/>
      <c r="AL1984" s="520"/>
      <c r="AM1984" s="520"/>
      <c r="AN1984" s="520"/>
      <c r="AO1984" s="520"/>
      <c r="AP1984" s="520"/>
      <c r="AQ1984" s="520"/>
      <c r="AR1984" s="520"/>
      <c r="AS1984" s="520"/>
      <c r="AT1984" s="520"/>
      <c r="AU1984" s="520"/>
      <c r="AV1984" s="520"/>
      <c r="AY1984" s="507"/>
      <c r="BA1984" s="507"/>
      <c r="BJ1984" s="493"/>
      <c r="CU1984" s="488"/>
      <c r="CW1984" s="488"/>
      <c r="EV1984" s="821"/>
      <c r="EW1984" s="821"/>
    </row>
    <row r="1985" spans="1:157" s="757" customFormat="1" hidden="1">
      <c r="A1985" s="487"/>
      <c r="B1985" s="487"/>
      <c r="C1985" s="487"/>
      <c r="D1985" s="487"/>
      <c r="I1985" s="487"/>
      <c r="J1985" s="487"/>
      <c r="K1985" s="487"/>
      <c r="L1985" s="487"/>
      <c r="M1985" s="487"/>
      <c r="N1985" s="487"/>
      <c r="O1985" s="875"/>
      <c r="Q1985" s="704"/>
      <c r="R1985" s="1026"/>
      <c r="S1985" s="704"/>
      <c r="T1985" s="1026"/>
      <c r="AB1985" s="520"/>
      <c r="AC1985" s="520"/>
      <c r="AD1985" s="520"/>
      <c r="AE1985" s="520"/>
      <c r="AF1985" s="520"/>
      <c r="AG1985" s="520"/>
      <c r="AH1985" s="520"/>
      <c r="AI1985" s="520"/>
      <c r="AJ1985" s="520"/>
      <c r="AK1985" s="520"/>
      <c r="AL1985" s="520"/>
      <c r="AM1985" s="520"/>
      <c r="AN1985" s="520"/>
      <c r="AO1985" s="520"/>
      <c r="AP1985" s="520"/>
      <c r="AQ1985" s="520"/>
      <c r="AR1985" s="520"/>
      <c r="AS1985" s="520"/>
      <c r="AT1985" s="520"/>
      <c r="AU1985" s="520"/>
      <c r="AV1985" s="520"/>
      <c r="AY1985" s="507"/>
      <c r="BA1985" s="507"/>
      <c r="BJ1985" s="493"/>
      <c r="CU1985" s="488"/>
      <c r="CW1985" s="488"/>
      <c r="EV1985" s="821"/>
      <c r="EW1985" s="821"/>
    </row>
    <row r="1986" spans="1:157" s="757" customFormat="1" hidden="1">
      <c r="A1986" s="487"/>
      <c r="B1986" s="487"/>
      <c r="C1986" s="487"/>
      <c r="D1986" s="487"/>
      <c r="I1986" s="487"/>
      <c r="J1986" s="487"/>
      <c r="K1986" s="487"/>
      <c r="L1986" s="487"/>
      <c r="M1986" s="487"/>
      <c r="N1986" s="487"/>
      <c r="O1986" s="875"/>
      <c r="Q1986" s="704"/>
      <c r="R1986" s="1026"/>
      <c r="S1986" s="704"/>
      <c r="T1986" s="1026"/>
      <c r="AB1986" s="520"/>
      <c r="AC1986" s="520"/>
      <c r="AD1986" s="520"/>
      <c r="AE1986" s="520"/>
      <c r="AF1986" s="520"/>
      <c r="AG1986" s="520"/>
      <c r="AH1986" s="520"/>
      <c r="AI1986" s="520"/>
      <c r="AJ1986" s="520"/>
      <c r="AK1986" s="520"/>
      <c r="AL1986" s="520"/>
      <c r="AM1986" s="520"/>
      <c r="AN1986" s="520"/>
      <c r="AO1986" s="520"/>
      <c r="AP1986" s="520"/>
      <c r="AQ1986" s="520"/>
      <c r="AR1986" s="520"/>
      <c r="AS1986" s="520"/>
      <c r="AT1986" s="520"/>
      <c r="AU1986" s="520"/>
      <c r="AV1986" s="520"/>
      <c r="AY1986" s="507"/>
      <c r="BA1986" s="507"/>
      <c r="BJ1986" s="493"/>
      <c r="CU1986" s="488"/>
      <c r="CW1986" s="488"/>
      <c r="EV1986" s="821"/>
      <c r="EW1986" s="821"/>
    </row>
    <row r="1987" spans="1:157" s="757" customFormat="1" hidden="1">
      <c r="A1987" s="487"/>
      <c r="B1987" s="487"/>
      <c r="C1987" s="487"/>
      <c r="D1987" s="487"/>
      <c r="I1987" s="487"/>
      <c r="J1987" s="487"/>
      <c r="K1987" s="487"/>
      <c r="L1987" s="487"/>
      <c r="M1987" s="487"/>
      <c r="N1987" s="487"/>
      <c r="O1987" s="875"/>
      <c r="Q1987" s="704"/>
      <c r="R1987" s="1026"/>
      <c r="S1987" s="704"/>
      <c r="T1987" s="1026"/>
      <c r="AB1987" s="520"/>
      <c r="AC1987" s="520"/>
      <c r="AD1987" s="520"/>
      <c r="AE1987" s="520"/>
      <c r="AF1987" s="520"/>
      <c r="AG1987" s="520"/>
      <c r="AH1987" s="520"/>
      <c r="AI1987" s="520"/>
      <c r="AJ1987" s="520"/>
      <c r="AK1987" s="520"/>
      <c r="AL1987" s="520"/>
      <c r="AM1987" s="520"/>
      <c r="AN1987" s="520"/>
      <c r="AO1987" s="520"/>
      <c r="AP1987" s="520"/>
      <c r="AQ1987" s="520"/>
      <c r="AR1987" s="520"/>
      <c r="AS1987" s="520"/>
      <c r="AT1987" s="520"/>
      <c r="AU1987" s="520"/>
      <c r="AV1987" s="520"/>
      <c r="AY1987" s="507"/>
      <c r="BA1987" s="507"/>
      <c r="BJ1987" s="493"/>
      <c r="CU1987" s="488"/>
      <c r="CW1987" s="488"/>
      <c r="EV1987" s="821"/>
      <c r="EW1987" s="821"/>
    </row>
    <row r="1988" spans="1:157" s="757" customFormat="1" hidden="1">
      <c r="A1988" s="487"/>
      <c r="B1988" s="487"/>
      <c r="C1988" s="487"/>
      <c r="D1988" s="487"/>
      <c r="I1988" s="487"/>
      <c r="J1988" s="487"/>
      <c r="K1988" s="487"/>
      <c r="L1988" s="487"/>
      <c r="M1988" s="487"/>
      <c r="N1988" s="487"/>
      <c r="O1988" s="875"/>
      <c r="Q1988" s="704"/>
      <c r="R1988" s="1026"/>
      <c r="S1988" s="704"/>
      <c r="T1988" s="1026"/>
      <c r="AB1988" s="520"/>
      <c r="AC1988" s="520"/>
      <c r="AD1988" s="520"/>
      <c r="AE1988" s="520"/>
      <c r="AF1988" s="520"/>
      <c r="AG1988" s="520"/>
      <c r="AH1988" s="520"/>
      <c r="AI1988" s="520"/>
      <c r="AJ1988" s="520"/>
      <c r="AK1988" s="520"/>
      <c r="AL1988" s="520"/>
      <c r="AM1988" s="520"/>
      <c r="AN1988" s="520"/>
      <c r="AO1988" s="520"/>
      <c r="AP1988" s="520"/>
      <c r="AQ1988" s="520"/>
      <c r="AR1988" s="520"/>
      <c r="AS1988" s="520"/>
      <c r="AT1988" s="520"/>
      <c r="AU1988" s="520"/>
      <c r="AV1988" s="520"/>
      <c r="AY1988" s="507"/>
      <c r="BA1988" s="507"/>
      <c r="BJ1988" s="493"/>
      <c r="CU1988" s="488"/>
      <c r="CW1988" s="488"/>
      <c r="EV1988" s="821"/>
      <c r="EW1988" s="821"/>
    </row>
    <row r="1989" spans="1:157" s="757" customFormat="1" hidden="1">
      <c r="A1989" s="487"/>
      <c r="B1989" s="487"/>
      <c r="C1989" s="487"/>
      <c r="D1989" s="487"/>
      <c r="I1989" s="487"/>
      <c r="J1989" s="487"/>
      <c r="K1989" s="487"/>
      <c r="L1989" s="487"/>
      <c r="M1989" s="487"/>
      <c r="N1989" s="487"/>
      <c r="O1989" s="875"/>
      <c r="Q1989" s="704"/>
      <c r="R1989" s="1026"/>
      <c r="S1989" s="704"/>
      <c r="T1989" s="1026"/>
      <c r="AB1989" s="520"/>
      <c r="AC1989" s="520"/>
      <c r="AD1989" s="520"/>
      <c r="AE1989" s="520"/>
      <c r="AF1989" s="520"/>
      <c r="AG1989" s="520"/>
      <c r="AH1989" s="520"/>
      <c r="AI1989" s="520"/>
      <c r="AJ1989" s="520"/>
      <c r="AK1989" s="520"/>
      <c r="AL1989" s="520"/>
      <c r="AM1989" s="520"/>
      <c r="AN1989" s="520"/>
      <c r="AO1989" s="520"/>
      <c r="AP1989" s="520"/>
      <c r="AQ1989" s="520"/>
      <c r="AR1989" s="520"/>
      <c r="AS1989" s="520"/>
      <c r="AT1989" s="520"/>
      <c r="AU1989" s="520"/>
      <c r="AV1989" s="520"/>
      <c r="AY1989" s="507"/>
      <c r="BA1989" s="507"/>
      <c r="BJ1989" s="493"/>
      <c r="CU1989" s="488"/>
      <c r="CW1989" s="488"/>
      <c r="EV1989" s="821"/>
      <c r="EW1989" s="821"/>
    </row>
    <row r="1990" spans="1:157" s="757" customFormat="1" hidden="1">
      <c r="A1990" s="487"/>
      <c r="B1990" s="487"/>
      <c r="C1990" s="487"/>
      <c r="D1990" s="487"/>
      <c r="I1990" s="487"/>
      <c r="J1990" s="487"/>
      <c r="K1990" s="487"/>
      <c r="L1990" s="487"/>
      <c r="M1990" s="487"/>
      <c r="N1990" s="487"/>
      <c r="O1990" s="875"/>
      <c r="Q1990" s="704"/>
      <c r="R1990" s="1026"/>
      <c r="S1990" s="704"/>
      <c r="T1990" s="1026"/>
      <c r="AB1990" s="520"/>
      <c r="AC1990" s="520"/>
      <c r="AD1990" s="520"/>
      <c r="AE1990" s="520"/>
      <c r="AF1990" s="520"/>
      <c r="AG1990" s="520"/>
      <c r="AH1990" s="520"/>
      <c r="AI1990" s="520"/>
      <c r="AJ1990" s="520"/>
      <c r="AK1990" s="520"/>
      <c r="AL1990" s="520"/>
      <c r="AM1990" s="520"/>
      <c r="AN1990" s="520"/>
      <c r="AO1990" s="520"/>
      <c r="AP1990" s="520"/>
      <c r="AQ1990" s="520"/>
      <c r="AR1990" s="520"/>
      <c r="AS1990" s="520"/>
      <c r="AT1990" s="520"/>
      <c r="AU1990" s="520"/>
      <c r="AV1990" s="520"/>
      <c r="AY1990" s="507"/>
      <c r="BA1990" s="507"/>
      <c r="BJ1990" s="493"/>
      <c r="CU1990" s="488"/>
      <c r="CW1990" s="488"/>
      <c r="EV1990" s="821"/>
      <c r="EW1990" s="821"/>
    </row>
    <row r="1991" spans="1:157" s="757" customFormat="1" hidden="1">
      <c r="A1991" s="487"/>
      <c r="B1991" s="487"/>
      <c r="C1991" s="487"/>
      <c r="D1991" s="487"/>
      <c r="I1991" s="487"/>
      <c r="J1991" s="487"/>
      <c r="K1991" s="487"/>
      <c r="L1991" s="487"/>
      <c r="M1991" s="487"/>
      <c r="N1991" s="487"/>
      <c r="O1991" s="875"/>
      <c r="Q1991" s="704"/>
      <c r="R1991" s="1026"/>
      <c r="S1991" s="704"/>
      <c r="T1991" s="1026"/>
      <c r="AB1991" s="520"/>
      <c r="AC1991" s="520"/>
      <c r="AD1991" s="520"/>
      <c r="AE1991" s="520"/>
      <c r="AF1991" s="520"/>
      <c r="AG1991" s="520"/>
      <c r="AH1991" s="520"/>
      <c r="AI1991" s="520"/>
      <c r="AJ1991" s="520"/>
      <c r="AK1991" s="520"/>
      <c r="AL1991" s="520"/>
      <c r="AM1991" s="520"/>
      <c r="AN1991" s="520"/>
      <c r="AO1991" s="520"/>
      <c r="AP1991" s="520"/>
      <c r="AQ1991" s="520"/>
      <c r="AR1991" s="520"/>
      <c r="AS1991" s="520"/>
      <c r="AT1991" s="520"/>
      <c r="AU1991" s="520"/>
      <c r="AV1991" s="520"/>
      <c r="AY1991" s="507"/>
      <c r="BA1991" s="507"/>
      <c r="BJ1991" s="493"/>
      <c r="CU1991" s="488"/>
      <c r="CW1991" s="488"/>
      <c r="EV1991" s="821"/>
      <c r="EW1991" s="821"/>
    </row>
    <row r="1992" spans="1:157" s="757" customFormat="1" hidden="1">
      <c r="A1992" s="487"/>
      <c r="B1992" s="487"/>
      <c r="C1992" s="487"/>
      <c r="D1992" s="487"/>
      <c r="I1992" s="487"/>
      <c r="J1992" s="487"/>
      <c r="K1992" s="487"/>
      <c r="L1992" s="487"/>
      <c r="M1992" s="487"/>
      <c r="N1992" s="487"/>
      <c r="O1992" s="875"/>
      <c r="Q1992" s="704"/>
      <c r="R1992" s="1026"/>
      <c r="S1992" s="704"/>
      <c r="T1992" s="1026"/>
      <c r="AB1992" s="520"/>
      <c r="AC1992" s="520"/>
      <c r="AD1992" s="520"/>
      <c r="AE1992" s="520"/>
      <c r="AF1992" s="520"/>
      <c r="AG1992" s="520"/>
      <c r="AH1992" s="520"/>
      <c r="AI1992" s="520"/>
      <c r="AJ1992" s="520"/>
      <c r="AK1992" s="520"/>
      <c r="AL1992" s="520"/>
      <c r="AM1992" s="520"/>
      <c r="AN1992" s="520"/>
      <c r="AO1992" s="520"/>
      <c r="AP1992" s="520"/>
      <c r="AQ1992" s="520"/>
      <c r="AR1992" s="520"/>
      <c r="AS1992" s="520"/>
      <c r="AT1992" s="520"/>
      <c r="AU1992" s="520"/>
      <c r="AV1992" s="520"/>
      <c r="AY1992" s="507"/>
      <c r="BA1992" s="507"/>
      <c r="BJ1992" s="493"/>
      <c r="CU1992" s="488"/>
      <c r="CW1992" s="488"/>
      <c r="EV1992" s="821"/>
      <c r="EW1992" s="821"/>
    </row>
    <row r="1993" spans="1:157" s="757" customFormat="1" hidden="1">
      <c r="A1993" s="487"/>
      <c r="B1993" s="487"/>
      <c r="C1993" s="487"/>
      <c r="D1993" s="487"/>
      <c r="I1993" s="487"/>
      <c r="J1993" s="487"/>
      <c r="K1993" s="487"/>
      <c r="L1993" s="487"/>
      <c r="M1993" s="487"/>
      <c r="N1993" s="487"/>
      <c r="O1993" s="875"/>
      <c r="Q1993" s="704"/>
      <c r="R1993" s="1026"/>
      <c r="S1993" s="704"/>
      <c r="T1993" s="1026"/>
      <c r="AB1993" s="520"/>
      <c r="AC1993" s="520"/>
      <c r="AD1993" s="520"/>
      <c r="AE1993" s="520"/>
      <c r="AF1993" s="520"/>
      <c r="AG1993" s="520"/>
      <c r="AH1993" s="520"/>
      <c r="AI1993" s="520"/>
      <c r="AJ1993" s="520"/>
      <c r="AK1993" s="520"/>
      <c r="AL1993" s="520"/>
      <c r="AM1993" s="520"/>
      <c r="AN1993" s="520"/>
      <c r="AO1993" s="520"/>
      <c r="AP1993" s="520"/>
      <c r="AQ1993" s="520"/>
      <c r="AR1993" s="520"/>
      <c r="AS1993" s="520"/>
      <c r="AT1993" s="520"/>
      <c r="AU1993" s="520"/>
      <c r="AV1993" s="520"/>
      <c r="AY1993" s="507"/>
      <c r="BA1993" s="507"/>
      <c r="BJ1993" s="493"/>
      <c r="CU1993" s="488"/>
      <c r="CW1993" s="488"/>
      <c r="EV1993" s="821"/>
      <c r="EW1993" s="821"/>
    </row>
    <row r="1994" spans="1:157" s="757" customFormat="1" hidden="1">
      <c r="A1994" s="487"/>
      <c r="B1994" s="487"/>
      <c r="C1994" s="487"/>
      <c r="D1994" s="487"/>
      <c r="I1994" s="487"/>
      <c r="J1994" s="487"/>
      <c r="K1994" s="487"/>
      <c r="L1994" s="487"/>
      <c r="M1994" s="487"/>
      <c r="N1994" s="487"/>
      <c r="O1994" s="875"/>
      <c r="Q1994" s="704"/>
      <c r="R1994" s="1026"/>
      <c r="S1994" s="704"/>
      <c r="T1994" s="1026"/>
      <c r="AB1994" s="520"/>
      <c r="AC1994" s="520"/>
      <c r="AD1994" s="520"/>
      <c r="AE1994" s="520"/>
      <c r="AF1994" s="520"/>
      <c r="AG1994" s="520"/>
      <c r="AH1994" s="520"/>
      <c r="AI1994" s="520"/>
      <c r="AJ1994" s="520"/>
      <c r="AK1994" s="520"/>
      <c r="AL1994" s="520"/>
      <c r="AM1994" s="520"/>
      <c r="AN1994" s="520"/>
      <c r="AO1994" s="520"/>
      <c r="AP1994" s="520"/>
      <c r="AQ1994" s="520"/>
      <c r="AR1994" s="520"/>
      <c r="AS1994" s="520"/>
      <c r="AT1994" s="520"/>
      <c r="AU1994" s="520"/>
      <c r="AV1994" s="520"/>
      <c r="AY1994" s="507"/>
      <c r="BA1994" s="507"/>
      <c r="BJ1994" s="493"/>
      <c r="CU1994" s="488"/>
      <c r="CW1994" s="488"/>
      <c r="EV1994" s="821"/>
      <c r="EW1994" s="821"/>
    </row>
    <row r="1995" spans="1:157" s="757" customFormat="1" hidden="1">
      <c r="A1995" s="487"/>
      <c r="B1995" s="487"/>
      <c r="C1995" s="487"/>
      <c r="D1995" s="487"/>
      <c r="I1995" s="487"/>
      <c r="J1995" s="487"/>
      <c r="K1995" s="487"/>
      <c r="L1995" s="487"/>
      <c r="M1995" s="487"/>
      <c r="N1995" s="487"/>
      <c r="O1995" s="875"/>
      <c r="Q1995" s="704"/>
      <c r="R1995" s="1026"/>
      <c r="S1995" s="704"/>
      <c r="T1995" s="1026"/>
      <c r="AB1995" s="520"/>
      <c r="AC1995" s="520"/>
      <c r="AD1995" s="520"/>
      <c r="AE1995" s="520"/>
      <c r="AF1995" s="520"/>
      <c r="AG1995" s="520"/>
      <c r="AH1995" s="520"/>
      <c r="AI1995" s="520"/>
      <c r="AJ1995" s="520"/>
      <c r="AK1995" s="520"/>
      <c r="AL1995" s="520"/>
      <c r="AM1995" s="520"/>
      <c r="AN1995" s="520"/>
      <c r="AO1995" s="520"/>
      <c r="AP1995" s="520"/>
      <c r="AQ1995" s="520"/>
      <c r="AR1995" s="520"/>
      <c r="AS1995" s="520"/>
      <c r="AT1995" s="520"/>
      <c r="AU1995" s="520"/>
      <c r="AV1995" s="520"/>
      <c r="AY1995" s="507"/>
      <c r="BA1995" s="507"/>
      <c r="BJ1995" s="493"/>
      <c r="CU1995" s="488"/>
      <c r="CW1995" s="488"/>
      <c r="EV1995" s="821"/>
      <c r="EW1995" s="821"/>
    </row>
    <row r="1996" spans="1:157" s="757" customFormat="1" hidden="1">
      <c r="A1996" s="487"/>
      <c r="B1996" s="487"/>
      <c r="C1996" s="487"/>
      <c r="D1996" s="487"/>
      <c r="I1996" s="487"/>
      <c r="J1996" s="487"/>
      <c r="K1996" s="487"/>
      <c r="L1996" s="487"/>
      <c r="M1996" s="487"/>
      <c r="N1996" s="487"/>
      <c r="O1996" s="875"/>
      <c r="Q1996" s="704"/>
      <c r="R1996" s="1026"/>
      <c r="S1996" s="704"/>
      <c r="T1996" s="1026"/>
      <c r="AB1996" s="520"/>
      <c r="AC1996" s="520"/>
      <c r="AD1996" s="520"/>
      <c r="AE1996" s="520"/>
      <c r="AF1996" s="520"/>
      <c r="AG1996" s="520"/>
      <c r="AH1996" s="520"/>
      <c r="AI1996" s="520"/>
      <c r="AJ1996" s="520"/>
      <c r="AK1996" s="520"/>
      <c r="AL1996" s="520"/>
      <c r="AM1996" s="520"/>
      <c r="AN1996" s="520"/>
      <c r="AO1996" s="520"/>
      <c r="AP1996" s="520"/>
      <c r="AQ1996" s="520"/>
      <c r="AR1996" s="520"/>
      <c r="AS1996" s="520"/>
      <c r="AT1996" s="520"/>
      <c r="AU1996" s="520"/>
      <c r="AV1996" s="520"/>
      <c r="AY1996" s="507"/>
      <c r="BA1996" s="507"/>
      <c r="BJ1996" s="493"/>
      <c r="CU1996" s="488"/>
      <c r="CW1996" s="488"/>
      <c r="EV1996" s="821"/>
      <c r="EW1996" s="821"/>
    </row>
    <row r="1997" spans="1:157" s="757" customFormat="1" hidden="1">
      <c r="A1997" s="487"/>
      <c r="B1997" s="487"/>
      <c r="C1997" s="487"/>
      <c r="D1997" s="487"/>
      <c r="I1997" s="487"/>
      <c r="J1997" s="487"/>
      <c r="K1997" s="487"/>
      <c r="L1997" s="487"/>
      <c r="M1997" s="487"/>
      <c r="N1997" s="487"/>
      <c r="O1997" s="875"/>
      <c r="Q1997" s="704"/>
      <c r="R1997" s="1026"/>
      <c r="S1997" s="704"/>
      <c r="T1997" s="1026"/>
      <c r="AB1997" s="520"/>
      <c r="AC1997" s="520"/>
      <c r="AD1997" s="520"/>
      <c r="AE1997" s="520"/>
      <c r="AF1997" s="520"/>
      <c r="AG1997" s="520"/>
      <c r="AH1997" s="520"/>
      <c r="AI1997" s="520"/>
      <c r="AJ1997" s="520"/>
      <c r="AK1997" s="520"/>
      <c r="AL1997" s="520"/>
      <c r="AM1997" s="520"/>
      <c r="AN1997" s="520"/>
      <c r="AO1997" s="520"/>
      <c r="AP1997" s="520"/>
      <c r="AQ1997" s="520"/>
      <c r="AR1997" s="520"/>
      <c r="AS1997" s="520"/>
      <c r="AT1997" s="520"/>
      <c r="AU1997" s="520"/>
      <c r="AV1997" s="520"/>
      <c r="AY1997" s="507"/>
      <c r="BA1997" s="507"/>
      <c r="BJ1997" s="493"/>
      <c r="CU1997" s="488"/>
      <c r="CW1997" s="488"/>
      <c r="EV1997" s="821"/>
      <c r="EW1997" s="821"/>
    </row>
    <row r="1998" spans="1:157" s="757" customFormat="1" hidden="1">
      <c r="A1998" s="487"/>
      <c r="B1998" s="487"/>
      <c r="C1998" s="487"/>
      <c r="D1998" s="487"/>
      <c r="I1998" s="487"/>
      <c r="J1998" s="487"/>
      <c r="K1998" s="487"/>
      <c r="L1998" s="487"/>
      <c r="M1998" s="487"/>
      <c r="N1998" s="487"/>
      <c r="O1998" s="875"/>
      <c r="Q1998" s="704"/>
      <c r="R1998" s="1026"/>
      <c r="S1998" s="704"/>
      <c r="T1998" s="1026"/>
      <c r="AB1998" s="520"/>
      <c r="AC1998" s="520"/>
      <c r="AD1998" s="520"/>
      <c r="AE1998" s="520"/>
      <c r="AF1998" s="520"/>
      <c r="AG1998" s="520"/>
      <c r="AH1998" s="520"/>
      <c r="AI1998" s="520"/>
      <c r="AJ1998" s="520"/>
      <c r="AK1998" s="520"/>
      <c r="AL1998" s="520"/>
      <c r="AM1998" s="520"/>
      <c r="AN1998" s="520"/>
      <c r="AO1998" s="520"/>
      <c r="AP1998" s="520"/>
      <c r="AQ1998" s="520"/>
      <c r="AR1998" s="520"/>
      <c r="AS1998" s="520"/>
      <c r="AT1998" s="520"/>
      <c r="AU1998" s="520"/>
      <c r="AV1998" s="520"/>
      <c r="AY1998" s="507"/>
      <c r="BA1998" s="507"/>
      <c r="BJ1998" s="493"/>
      <c r="CU1998" s="488"/>
      <c r="CW1998" s="488"/>
      <c r="EV1998" s="821"/>
      <c r="EW1998" s="821"/>
    </row>
    <row r="1999" spans="1:157" s="757" customFormat="1" hidden="1">
      <c r="A1999" s="487"/>
      <c r="B1999" s="487"/>
      <c r="C1999" s="487"/>
      <c r="D1999" s="487"/>
      <c r="I1999" s="487"/>
      <c r="J1999" s="487"/>
      <c r="K1999" s="487"/>
      <c r="L1999" s="487"/>
      <c r="M1999" s="487"/>
      <c r="N1999" s="487"/>
      <c r="O1999" s="875"/>
      <c r="Q1999" s="704"/>
      <c r="R1999" s="1026"/>
      <c r="S1999" s="704"/>
      <c r="T1999" s="1026"/>
      <c r="AB1999" s="520"/>
      <c r="AC1999" s="520"/>
      <c r="AD1999" s="520"/>
      <c r="AE1999" s="520"/>
      <c r="AF1999" s="520"/>
      <c r="AG1999" s="520"/>
      <c r="AH1999" s="520"/>
      <c r="AI1999" s="520"/>
      <c r="AJ1999" s="520"/>
      <c r="AK1999" s="520"/>
      <c r="AL1999" s="520"/>
      <c r="AM1999" s="520"/>
      <c r="AN1999" s="520"/>
      <c r="AO1999" s="520"/>
      <c r="AP1999" s="520"/>
      <c r="AQ1999" s="520"/>
      <c r="AR1999" s="520"/>
      <c r="AS1999" s="520"/>
      <c r="AT1999" s="520"/>
      <c r="AU1999" s="520"/>
      <c r="AV1999" s="520"/>
      <c r="AY1999" s="507"/>
      <c r="BA1999" s="507"/>
      <c r="BJ1999" s="493"/>
      <c r="CU1999" s="488"/>
      <c r="CW1999" s="488"/>
      <c r="EV1999" s="821"/>
      <c r="EW1999" s="821"/>
    </row>
    <row r="2000" spans="1:157" s="905" customFormat="1" ht="16">
      <c r="A2000" s="654" t="str">
        <f ca="1">BT$1&amp;D2000</f>
        <v>D.1.2000</v>
      </c>
      <c r="B2000" s="654" t="str">
        <f ca="1">BW$1&amp;D2000</f>
        <v>1.2000</v>
      </c>
      <c r="C2000" s="654" t="str">
        <f>CE$1&amp;D2000&amp;CF$1</f>
        <v>[2000]</v>
      </c>
      <c r="D2000" s="654">
        <f>ROW()</f>
        <v>2000</v>
      </c>
      <c r="E2000" s="1027" t="str">
        <f>BP2000</f>
        <v>Potenziale</v>
      </c>
      <c r="F2000" s="482"/>
      <c r="G2000" s="1028" t="s">
        <v>1226</v>
      </c>
      <c r="H2000" s="481"/>
      <c r="I2000" s="1028" t="s">
        <v>1227</v>
      </c>
      <c r="J2000" s="1029"/>
      <c r="K2000" s="1028" t="s">
        <v>1228</v>
      </c>
      <c r="L2000" s="484"/>
      <c r="M2000" s="1030" t="s">
        <v>1229</v>
      </c>
      <c r="N2000" s="483"/>
      <c r="O2000" s="869"/>
      <c r="P2000" s="568"/>
      <c r="Q2000" s="569"/>
      <c r="R2000" s="801"/>
      <c r="S2000" s="804"/>
      <c r="AB2000" s="801"/>
      <c r="AC2000" s="1031"/>
      <c r="AD2000" s="801"/>
      <c r="AE2000" s="801"/>
      <c r="AF2000" s="801"/>
      <c r="AG2000" s="801"/>
      <c r="AH2000" s="801"/>
      <c r="AI2000" s="801"/>
      <c r="AJ2000" s="801"/>
      <c r="AK2000" s="801"/>
      <c r="AL2000" s="801"/>
      <c r="AM2000" s="801"/>
      <c r="AN2000" s="801"/>
      <c r="AO2000" s="801"/>
      <c r="AP2000" s="801"/>
      <c r="AQ2000" s="801"/>
      <c r="AR2000" s="801"/>
      <c r="AS2000" s="801"/>
      <c r="AT2000" s="801"/>
      <c r="AU2000" s="801"/>
      <c r="AV2000" s="801"/>
      <c r="AZ2000" s="504"/>
      <c r="BB2000" s="506"/>
      <c r="BI2000" s="905" t="s">
        <v>126</v>
      </c>
      <c r="BJ2000" s="666"/>
      <c r="BO2000" s="905" t="s">
        <v>250</v>
      </c>
      <c r="BP2000" s="671" t="s">
        <v>1230</v>
      </c>
      <c r="CU2000" s="663"/>
      <c r="CW2000" s="663"/>
      <c r="EV2000" s="819">
        <f>IF(U2000&amp;BP2000="","",D2000)</f>
        <v>2000</v>
      </c>
      <c r="EW2000" s="819"/>
      <c r="EY2000" s="655"/>
      <c r="EZ2000" s="655"/>
      <c r="FA2000" s="655"/>
    </row>
    <row r="2001" spans="1:157" s="757" customFormat="1" ht="5.5" customHeight="1">
      <c r="A2001" s="487"/>
      <c r="B2001" s="487"/>
      <c r="C2001" s="487"/>
      <c r="D2001" s="487"/>
      <c r="I2001" s="487"/>
      <c r="J2001" s="487"/>
      <c r="K2001" s="487"/>
      <c r="L2001" s="487"/>
      <c r="M2001" s="487"/>
      <c r="N2001" s="487"/>
      <c r="O2001" s="875"/>
      <c r="Q2001" s="704"/>
      <c r="R2001" s="520"/>
      <c r="S2001" s="704"/>
      <c r="AB2001" s="520"/>
      <c r="AC2001" s="1032"/>
      <c r="AD2001" s="520"/>
      <c r="AE2001" s="520"/>
      <c r="AF2001" s="520"/>
      <c r="AG2001" s="520"/>
      <c r="AH2001" s="520"/>
      <c r="AI2001" s="520"/>
      <c r="AJ2001" s="520"/>
      <c r="AK2001" s="520"/>
      <c r="AL2001" s="520"/>
      <c r="AM2001" s="520"/>
      <c r="AN2001" s="520"/>
      <c r="AO2001" s="520"/>
      <c r="AP2001" s="520"/>
      <c r="AQ2001" s="520"/>
      <c r="AR2001" s="520"/>
      <c r="AS2001" s="520"/>
      <c r="AT2001" s="520"/>
      <c r="AU2001" s="520"/>
      <c r="AV2001" s="520"/>
      <c r="AY2001" s="507"/>
      <c r="BA2001" s="507"/>
      <c r="BJ2001" s="493"/>
      <c r="CU2001" s="488"/>
      <c r="CW2001" s="488"/>
      <c r="EV2001" s="821"/>
      <c r="EW2001" s="821"/>
      <c r="EY2001" s="487"/>
      <c r="EZ2001" s="487"/>
      <c r="FA2001" s="487"/>
    </row>
    <row r="2002" spans="1:157" s="905" customFormat="1" ht="26">
      <c r="A2002" s="654" t="str">
        <f t="shared" ref="A2002:A2025" ca="1" si="534">BT$1&amp;D2002</f>
        <v>D.1.2002</v>
      </c>
      <c r="B2002" s="654" t="str">
        <f t="shared" ref="B2002:B2025" ca="1" si="535">BW$1&amp;D2002</f>
        <v>1.2002</v>
      </c>
      <c r="C2002" s="654" t="str">
        <f t="shared" ref="C2002:C2025" si="536">CE$1&amp;D2002&amp;CF$1</f>
        <v>[2002]</v>
      </c>
      <c r="D2002" s="654">
        <f>ROW()</f>
        <v>2002</v>
      </c>
      <c r="E2002" s="1125" t="str">
        <f>CU2002</f>
        <v>Erläuterung zu der hier vorgenommenen Klassifizierung der Potenzialbereiche: 
        (Wert bezieht sich jeweils auf die obere Klassengrenze)</v>
      </c>
      <c r="F2002" s="1125"/>
      <c r="G2002" s="1125"/>
      <c r="H2002" s="1125"/>
      <c r="I2002" s="1125"/>
      <c r="J2002" s="1125"/>
      <c r="K2002" s="1125"/>
      <c r="L2002" s="1125"/>
      <c r="M2002" s="1125"/>
      <c r="N2002" s="1125"/>
      <c r="O2002" s="869"/>
      <c r="P2002" s="691" t="str">
        <f ca="1">HYPERLINK(EK2002,EJ2002)</f>
        <v/>
      </c>
      <c r="Q2002" s="692" t="str">
        <f>Y2002</f>
        <v xml:space="preserve"> </v>
      </c>
      <c r="R2002" s="801"/>
      <c r="S2002" s="805"/>
      <c r="U2002" s="1033" t="str">
        <f>"Erläuterung zu der hier vorgenommenen Klassifizierung der Potenzialbereiche: 
        (Wert bezieht sich jeweils auf die obere Klassengrenze)"</f>
        <v>Erläuterung zu der hier vorgenommenen Klassifizierung der Potenzialbereiche: 
        (Wert bezieht sich jeweils auf die obere Klassengrenze)</v>
      </c>
      <c r="V2002" s="905" t="s">
        <v>126</v>
      </c>
      <c r="W2002" s="1034"/>
      <c r="X2002" s="672"/>
      <c r="Y2002" s="672" t="s">
        <v>126</v>
      </c>
      <c r="Z2002" s="1025"/>
      <c r="AB2002" s="801"/>
      <c r="AC2002" s="1020">
        <v>43925</v>
      </c>
      <c r="AD2002" s="801"/>
      <c r="AE2002" s="801"/>
      <c r="AF2002" s="801"/>
      <c r="AG2002" s="801"/>
      <c r="AH2002" s="801"/>
      <c r="AI2002" s="801"/>
      <c r="AJ2002" s="801"/>
      <c r="AK2002" s="801"/>
      <c r="AL2002" s="801"/>
      <c r="AM2002" s="801"/>
      <c r="AN2002" s="801"/>
      <c r="AO2002" s="562"/>
      <c r="AP2002" s="801"/>
      <c r="AQ2002" s="687"/>
      <c r="AR2002" s="801"/>
      <c r="AS2002" s="801"/>
      <c r="AT2002" s="801"/>
      <c r="AU2002" s="801"/>
      <c r="AV2002" s="801"/>
      <c r="BF2002" s="657"/>
      <c r="BI2002" s="905" t="s">
        <v>126</v>
      </c>
      <c r="BJ2002" s="666"/>
      <c r="BO2002" s="905" t="s">
        <v>252</v>
      </c>
      <c r="CU2002" s="663" t="str">
        <f>IF(U2002="",BF2002,U2002)</f>
        <v>Erläuterung zu der hier vorgenommenen Klassifizierung der Potenzialbereiche: 
        (Wert bezieht sich jeweils auf die obere Klassengrenze)</v>
      </c>
      <c r="CW2002" s="663"/>
      <c r="DT2002" s="671"/>
      <c r="EJ2002" s="905" t="str">
        <f>IF(X2002=0,"",EJ$1&amp;X2002)</f>
        <v/>
      </c>
      <c r="EK2002" s="905" t="str">
        <f ca="1">EK$1&amp;X2002</f>
        <v>[D_Python.xlsx]9.Quellen!C</v>
      </c>
      <c r="EV2002" s="819">
        <f t="shared" ref="EV2002:EV2025" si="537">IF(U2002&amp;BP2002="","",D2002)</f>
        <v>2002</v>
      </c>
      <c r="EW2002" s="819"/>
      <c r="EY2002" s="655"/>
      <c r="EZ2002" s="655"/>
      <c r="FA2002" s="655"/>
    </row>
    <row r="2003" spans="1:157" s="905" customFormat="1">
      <c r="A2003" s="654" t="str">
        <f t="shared" ca="1" si="534"/>
        <v>D.1.2003</v>
      </c>
      <c r="B2003" s="654" t="str">
        <f t="shared" ca="1" si="535"/>
        <v>1.2003</v>
      </c>
      <c r="C2003" s="654" t="str">
        <f t="shared" si="536"/>
        <v>[2003]</v>
      </c>
      <c r="D2003" s="654">
        <f>ROW()</f>
        <v>2003</v>
      </c>
      <c r="E2003" s="1125" t="str">
        <f>CU2003</f>
        <v>[grün]  Geringe Potenzialbeanspruchung, mit großer Wahrscheinlichkeit langfristig aufrecht zu erhalten.</v>
      </c>
      <c r="F2003" s="1125"/>
      <c r="G2003" s="1125"/>
      <c r="H2003" s="1125"/>
      <c r="I2003" s="1125"/>
      <c r="J2003" s="1125"/>
      <c r="K2003" s="1125"/>
      <c r="L2003" s="1125"/>
      <c r="M2003" s="1125"/>
      <c r="N2003" s="1125"/>
      <c r="O2003" s="869"/>
      <c r="P2003" s="691" t="str">
        <f>HYPERLINK(EK2003,EJ2003)</f>
        <v/>
      </c>
      <c r="Q2003" s="692" t="str">
        <f>Y2003</f>
        <v xml:space="preserve"> </v>
      </c>
      <c r="R2003" s="801"/>
      <c r="S2003" s="784"/>
      <c r="U2003" s="1023" t="str">
        <f>"[grün]  Geringe Potenzialbeanspruchung, mit großer Wahrscheinlichkeit langfristig aufrecht zu erhalten."</f>
        <v>[grün]  Geringe Potenzialbeanspruchung, mit großer Wahrscheinlichkeit langfristig aufrecht zu erhalten.</v>
      </c>
      <c r="V2003" s="905" t="s">
        <v>126</v>
      </c>
      <c r="W2003" s="1035"/>
      <c r="X2003" s="672"/>
      <c r="Y2003" s="672" t="s">
        <v>126</v>
      </c>
      <c r="Z2003" s="1025"/>
      <c r="AA2003" s="658"/>
      <c r="AB2003" s="801"/>
      <c r="AC2003" s="1020">
        <v>43925</v>
      </c>
      <c r="AD2003" s="687"/>
      <c r="AE2003" s="801"/>
      <c r="AF2003" s="687"/>
      <c r="AG2003" s="801"/>
      <c r="AH2003" s="801"/>
      <c r="AI2003" s="801"/>
      <c r="AJ2003" s="801"/>
      <c r="AK2003" s="801"/>
      <c r="AL2003" s="801"/>
      <c r="AM2003" s="801"/>
      <c r="AN2003" s="801"/>
      <c r="AO2003" s="801"/>
      <c r="AP2003" s="801"/>
      <c r="AQ2003" s="801"/>
      <c r="AR2003" s="801"/>
      <c r="AS2003" s="801"/>
      <c r="AT2003" s="801"/>
      <c r="AU2003" s="801"/>
      <c r="AV2003" s="801"/>
      <c r="BF2003" s="657"/>
      <c r="BI2003" s="905" t="s">
        <v>126</v>
      </c>
      <c r="BJ2003" s="666"/>
      <c r="BO2003" s="905" t="s">
        <v>259</v>
      </c>
      <c r="CU2003" s="663" t="str">
        <f>CG$2&amp;IF(U2003="",BF2003,U2003)</f>
        <v>[grün]  Geringe Potenzialbeanspruchung, mit großer Wahrscheinlichkeit langfristig aufrecht zu erhalten.</v>
      </c>
      <c r="CW2003" s="663"/>
      <c r="DT2003" s="671" t="e">
        <f>#REF!</f>
        <v>#REF!</v>
      </c>
      <c r="EJ2003" s="905" t="str">
        <f>IF(X2003=0,"",EJ$2&amp;X2003)</f>
        <v/>
      </c>
      <c r="EK2003" s="905" t="str">
        <f>EK$2&amp;X2003</f>
        <v/>
      </c>
      <c r="EV2003" s="819">
        <f t="shared" si="537"/>
        <v>2003</v>
      </c>
      <c r="EW2003" s="819"/>
      <c r="EY2003" s="655"/>
      <c r="EZ2003" s="655"/>
      <c r="FA2003" s="655"/>
    </row>
    <row r="2004" spans="1:157" s="905" customFormat="1">
      <c r="A2004" s="654" t="str">
        <f t="shared" ca="1" si="534"/>
        <v>D.1.2004</v>
      </c>
      <c r="B2004" s="654" t="str">
        <f t="shared" ca="1" si="535"/>
        <v>1.2004</v>
      </c>
      <c r="C2004" s="654" t="str">
        <f t="shared" si="536"/>
        <v>[2004]</v>
      </c>
      <c r="D2004" s="654">
        <f>ROW()</f>
        <v>2004</v>
      </c>
      <c r="E2004" s="1125" t="str">
        <f>CU2004</f>
        <v xml:space="preserve">[grün - gelb] Mittlere Potenzialbeanspruchung auf Dauer möglich, aber zunehmend anspruchsvoll. </v>
      </c>
      <c r="F2004" s="1125"/>
      <c r="G2004" s="1125"/>
      <c r="H2004" s="1125"/>
      <c r="I2004" s="1125"/>
      <c r="J2004" s="1125"/>
      <c r="K2004" s="1125"/>
      <c r="L2004" s="1125"/>
      <c r="M2004" s="1125"/>
      <c r="N2004" s="1125"/>
      <c r="O2004" s="869"/>
      <c r="P2004" s="691" t="str">
        <f ca="1">HYPERLINK(EK2004,EJ2004)</f>
        <v/>
      </c>
      <c r="Q2004" s="692" t="str">
        <f>Y2004</f>
        <v xml:space="preserve"> </v>
      </c>
      <c r="R2004" s="801"/>
      <c r="S2004" s="784"/>
      <c r="U2004" s="1033" t="str">
        <f>"[grün - gelb] Mittlere Potenzialbeanspruchung auf Dauer möglich, aber zunehmend anspruchsvoll. "</f>
        <v xml:space="preserve">[grün - gelb] Mittlere Potenzialbeanspruchung auf Dauer möglich, aber zunehmend anspruchsvoll. </v>
      </c>
      <c r="V2004" s="905" t="s">
        <v>126</v>
      </c>
      <c r="W2004" s="1034"/>
      <c r="X2004" s="672"/>
      <c r="Y2004" s="672" t="s">
        <v>126</v>
      </c>
      <c r="Z2004" s="1025"/>
      <c r="AB2004" s="801"/>
      <c r="AC2004" s="1020">
        <v>43925</v>
      </c>
      <c r="AD2004" s="801"/>
      <c r="AE2004" s="801"/>
      <c r="AF2004" s="801"/>
      <c r="AG2004" s="801"/>
      <c r="AH2004" s="801"/>
      <c r="AI2004" s="801"/>
      <c r="AJ2004" s="801"/>
      <c r="AK2004" s="687"/>
      <c r="AL2004" s="801"/>
      <c r="AM2004" s="801"/>
      <c r="AN2004" s="801"/>
      <c r="AO2004" s="801"/>
      <c r="AP2004" s="801"/>
      <c r="AQ2004" s="801"/>
      <c r="AR2004" s="801"/>
      <c r="AS2004" s="801"/>
      <c r="AT2004" s="801"/>
      <c r="AU2004" s="801"/>
      <c r="AV2004" s="801"/>
      <c r="BF2004" s="657"/>
      <c r="BI2004" s="905" t="s">
        <v>126</v>
      </c>
      <c r="BJ2004" s="666"/>
      <c r="BO2004" s="905" t="s">
        <v>252</v>
      </c>
      <c r="CU2004" s="663" t="str">
        <f>CH$2&amp;IF(U2004="",BF2004,U2004)</f>
        <v xml:space="preserve">[grün - gelb] Mittlere Potenzialbeanspruchung auf Dauer möglich, aber zunehmend anspruchsvoll. </v>
      </c>
      <c r="CW2004" s="663"/>
      <c r="DT2004" s="671"/>
      <c r="EJ2004" s="905" t="str">
        <f>IF(X2004=0,"",EJ$1&amp;X2004)</f>
        <v/>
      </c>
      <c r="EK2004" s="905" t="str">
        <f ca="1">EK$1&amp;X2004</f>
        <v>[D_Python.xlsx]9.Quellen!C</v>
      </c>
      <c r="EV2004" s="819">
        <f t="shared" si="537"/>
        <v>2004</v>
      </c>
      <c r="EW2004" s="819"/>
      <c r="EY2004" s="655"/>
      <c r="EZ2004" s="655"/>
      <c r="FA2004" s="655"/>
    </row>
    <row r="2005" spans="1:157" s="905" customFormat="1">
      <c r="A2005" s="654" t="str">
        <f t="shared" ca="1" si="534"/>
        <v>D.1.2005</v>
      </c>
      <c r="B2005" s="654" t="str">
        <f t="shared" ca="1" si="535"/>
        <v>1.2005</v>
      </c>
      <c r="C2005" s="654" t="str">
        <f t="shared" si="536"/>
        <v>[2005]</v>
      </c>
      <c r="D2005" s="654">
        <f>ROW()</f>
        <v>2005</v>
      </c>
      <c r="E2005" s="1125" t="str">
        <f>CU2005</f>
        <v>[gelb - rot]  Hohe Potenzialbeanspruchung, anspruchsvoll bis hin zur physikalisch-technischen Grenze.</v>
      </c>
      <c r="F2005" s="1125"/>
      <c r="G2005" s="1125"/>
      <c r="H2005" s="1125"/>
      <c r="I2005" s="1125"/>
      <c r="J2005" s="1125"/>
      <c r="K2005" s="1125"/>
      <c r="L2005" s="1125"/>
      <c r="M2005" s="1125"/>
      <c r="N2005" s="1125"/>
      <c r="O2005" s="869"/>
      <c r="P2005" s="691" t="str">
        <f ca="1">HYPERLINK(EK2005,EJ2005)</f>
        <v/>
      </c>
      <c r="Q2005" s="692" t="str">
        <f>Y2005</f>
        <v xml:space="preserve"> </v>
      </c>
      <c r="R2005" s="801"/>
      <c r="S2005" s="784"/>
      <c r="U2005" s="1033" t="str">
        <f>"[gelb - rot]  Hohe Potenzialbeanspruchung, anspruchsvoll bis hin zur physikalisch-technischen Grenze."</f>
        <v>[gelb - rot]  Hohe Potenzialbeanspruchung, anspruchsvoll bis hin zur physikalisch-technischen Grenze.</v>
      </c>
      <c r="V2005" s="905" t="s">
        <v>126</v>
      </c>
      <c r="W2005" s="1034"/>
      <c r="X2005" s="672"/>
      <c r="Y2005" s="672" t="s">
        <v>126</v>
      </c>
      <c r="Z2005" s="1025"/>
      <c r="AB2005" s="801"/>
      <c r="AC2005" s="1020">
        <v>43925</v>
      </c>
      <c r="AD2005" s="801"/>
      <c r="AE2005" s="801"/>
      <c r="AF2005" s="801"/>
      <c r="AG2005" s="801"/>
      <c r="AH2005" s="801"/>
      <c r="AI2005" s="801"/>
      <c r="AJ2005" s="801"/>
      <c r="AK2005" s="687"/>
      <c r="AL2005" s="801"/>
      <c r="AM2005" s="801"/>
      <c r="AN2005" s="801"/>
      <c r="AO2005" s="801"/>
      <c r="AP2005" s="801"/>
      <c r="AQ2005" s="801"/>
      <c r="AR2005" s="801"/>
      <c r="AS2005" s="801"/>
      <c r="AT2005" s="801"/>
      <c r="AU2005" s="801"/>
      <c r="AV2005" s="801"/>
      <c r="BF2005" s="657"/>
      <c r="BI2005" s="905" t="s">
        <v>126</v>
      </c>
      <c r="BJ2005" s="666"/>
      <c r="BO2005" s="905" t="s">
        <v>252</v>
      </c>
      <c r="CU2005" s="663" t="str">
        <f>CI$2&amp;IF(U2005="",BF2005,U2005)</f>
        <v>[gelb - rot]  Hohe Potenzialbeanspruchung, anspruchsvoll bis hin zur physikalisch-technischen Grenze.</v>
      </c>
      <c r="CW2005" s="663"/>
      <c r="DT2005" s="671"/>
      <c r="EJ2005" s="905" t="str">
        <f>IF(X2005=0,"",EJ$1&amp;X2005)</f>
        <v/>
      </c>
      <c r="EK2005" s="905" t="str">
        <f ca="1">EK$1&amp;X2005</f>
        <v>[D_Python.xlsx]9.Quellen!C</v>
      </c>
      <c r="EV2005" s="819">
        <f t="shared" si="537"/>
        <v>2005</v>
      </c>
      <c r="EW2005" s="819"/>
      <c r="EY2005" s="655"/>
      <c r="EZ2005" s="655"/>
      <c r="FA2005" s="655"/>
    </row>
    <row r="2006" spans="1:157" s="905" customFormat="1">
      <c r="A2006" s="654" t="str">
        <f t="shared" ca="1" si="534"/>
        <v>D.1.2006</v>
      </c>
      <c r="B2006" s="654" t="str">
        <f t="shared" ca="1" si="535"/>
        <v>1.2006</v>
      </c>
      <c r="C2006" s="654" t="str">
        <f t="shared" si="536"/>
        <v>[2006]</v>
      </c>
      <c r="D2006" s="654">
        <f>ROW()</f>
        <v>2006</v>
      </c>
      <c r="E2006" s="1125" t="str">
        <f>CU2006</f>
        <v>[rot auslaufend]   Begrenzung des im Diagramm dargestellten Bereichs oberhalb der Potenzialgrenze.</v>
      </c>
      <c r="F2006" s="1125"/>
      <c r="G2006" s="1125"/>
      <c r="H2006" s="1125"/>
      <c r="I2006" s="1125"/>
      <c r="J2006" s="1125"/>
      <c r="K2006" s="1125"/>
      <c r="L2006" s="1125"/>
      <c r="M2006" s="1125"/>
      <c r="N2006" s="1125"/>
      <c r="O2006" s="869"/>
      <c r="P2006" s="691" t="str">
        <f ca="1">HYPERLINK(EK2006,EJ2006)</f>
        <v/>
      </c>
      <c r="Q2006" s="692" t="str">
        <f>Y2006</f>
        <v xml:space="preserve"> </v>
      </c>
      <c r="R2006" s="801"/>
      <c r="S2006" s="784"/>
      <c r="U2006" s="1033" t="str">
        <f>"[rot auslaufend]   Begrenzung des im Diagramm dargestellten Bereichs oberhalb der Potenzialgrenze."</f>
        <v>[rot auslaufend]   Begrenzung des im Diagramm dargestellten Bereichs oberhalb der Potenzialgrenze.</v>
      </c>
      <c r="V2006" s="905" t="s">
        <v>126</v>
      </c>
      <c r="W2006" s="1034"/>
      <c r="X2006" s="672"/>
      <c r="Y2006" s="672" t="s">
        <v>126</v>
      </c>
      <c r="Z2006" s="1025"/>
      <c r="AB2006" s="801"/>
      <c r="AC2006" s="1036"/>
      <c r="AD2006" s="801"/>
      <c r="AE2006" s="801"/>
      <c r="AF2006" s="801"/>
      <c r="AG2006" s="801"/>
      <c r="AH2006" s="801"/>
      <c r="AI2006" s="801"/>
      <c r="AJ2006" s="801"/>
      <c r="AK2006" s="687"/>
      <c r="AL2006" s="801"/>
      <c r="AM2006" s="801"/>
      <c r="AN2006" s="801"/>
      <c r="AO2006" s="801"/>
      <c r="AP2006" s="801"/>
      <c r="AQ2006" s="801"/>
      <c r="AR2006" s="801"/>
      <c r="AS2006" s="801"/>
      <c r="AT2006" s="801"/>
      <c r="AU2006" s="801"/>
      <c r="AV2006" s="801"/>
      <c r="BF2006" s="657"/>
      <c r="BI2006" s="905" t="s">
        <v>126</v>
      </c>
      <c r="BJ2006" s="666"/>
      <c r="BO2006" s="905" t="s">
        <v>252</v>
      </c>
      <c r="CU2006" s="663" t="str">
        <f>CJ$2&amp;IF(U2006="",BF2006,U2006)</f>
        <v>[rot auslaufend]   Begrenzung des im Diagramm dargestellten Bereichs oberhalb der Potenzialgrenze.</v>
      </c>
      <c r="CW2006" s="663"/>
      <c r="DT2006" s="671"/>
      <c r="EJ2006" s="905" t="str">
        <f>IF(X2006=0,"",EJ$1&amp;X2006)</f>
        <v/>
      </c>
      <c r="EK2006" s="905" t="str">
        <f ca="1">EK$1&amp;X2006</f>
        <v>[D_Python.xlsx]9.Quellen!C</v>
      </c>
      <c r="EV2006" s="819">
        <f t="shared" si="537"/>
        <v>2006</v>
      </c>
      <c r="EW2006" s="819"/>
      <c r="EY2006" s="655"/>
      <c r="EZ2006" s="655"/>
      <c r="FA2006" s="655"/>
    </row>
    <row r="2007" spans="1:157" s="661" customFormat="1" ht="4" customHeight="1">
      <c r="A2007" s="677" t="str">
        <f t="shared" ca="1" si="534"/>
        <v>D.1.2007</v>
      </c>
      <c r="B2007" s="677" t="str">
        <f t="shared" ca="1" si="535"/>
        <v>1.2007</v>
      </c>
      <c r="C2007" s="677" t="str">
        <f t="shared" si="536"/>
        <v>[2007]</v>
      </c>
      <c r="D2007" s="677">
        <f>ROW()</f>
        <v>2007</v>
      </c>
      <c r="I2007" s="1021"/>
      <c r="J2007" s="1021"/>
      <c r="K2007" s="1021"/>
      <c r="L2007" s="1021"/>
      <c r="M2007" s="1021"/>
      <c r="O2007" s="871"/>
      <c r="P2007" s="688"/>
      <c r="Q2007" s="689"/>
      <c r="R2007" s="675"/>
      <c r="S2007" s="802"/>
      <c r="AB2007" s="675"/>
      <c r="AC2007" s="1031"/>
      <c r="AD2007" s="675"/>
      <c r="AE2007" s="675"/>
      <c r="AF2007" s="675"/>
      <c r="AG2007" s="675"/>
      <c r="AH2007" s="675"/>
      <c r="AI2007" s="675"/>
      <c r="AJ2007" s="675"/>
      <c r="AK2007" s="675"/>
      <c r="AL2007" s="675"/>
      <c r="AM2007" s="675"/>
      <c r="AN2007" s="675"/>
      <c r="AO2007" s="675"/>
      <c r="AP2007" s="675"/>
      <c r="AQ2007" s="675"/>
      <c r="AR2007" s="675"/>
      <c r="AS2007" s="675"/>
      <c r="AT2007" s="675"/>
      <c r="AU2007" s="675"/>
      <c r="AV2007" s="675"/>
      <c r="BI2007" s="661" t="s">
        <v>126</v>
      </c>
      <c r="BJ2007" s="665"/>
      <c r="CU2007" s="662"/>
      <c r="CW2007" s="662"/>
      <c r="EV2007" s="818" t="str">
        <f t="shared" si="537"/>
        <v/>
      </c>
      <c r="EW2007" s="818"/>
      <c r="EY2007" s="1021"/>
      <c r="EZ2007" s="1021"/>
      <c r="FA2007" s="1021"/>
    </row>
    <row r="2008" spans="1:157" s="905" customFormat="1" ht="13">
      <c r="A2008" s="654" t="str">
        <f t="shared" ca="1" si="534"/>
        <v>D.1.2008</v>
      </c>
      <c r="B2008" s="654" t="str">
        <f t="shared" ca="1" si="535"/>
        <v>1.2008</v>
      </c>
      <c r="C2008" s="654" t="str">
        <f t="shared" si="536"/>
        <v>[2008]</v>
      </c>
      <c r="D2008" s="654">
        <f>ROW()</f>
        <v>2008</v>
      </c>
      <c r="E2008" s="481" t="str">
        <f>BP2008</f>
        <v>Windpark-Flächenpotenzial onshore</v>
      </c>
      <c r="F2008" s="482"/>
      <c r="G2008" s="482"/>
      <c r="H2008" s="482"/>
      <c r="I2008" s="482"/>
      <c r="J2008" s="484"/>
      <c r="K2008" s="484"/>
      <c r="L2008" s="484"/>
      <c r="M2008" s="484"/>
      <c r="N2008" s="483"/>
      <c r="O2008" s="869"/>
      <c r="P2008" s="568"/>
      <c r="Q2008" s="569"/>
      <c r="R2008" s="801"/>
      <c r="S2008" s="804"/>
      <c r="AB2008" s="801"/>
      <c r="AC2008" s="1036"/>
      <c r="AD2008" s="801"/>
      <c r="AE2008" s="801"/>
      <c r="AF2008" s="801"/>
      <c r="AG2008" s="801"/>
      <c r="AH2008" s="801"/>
      <c r="AI2008" s="801"/>
      <c r="AJ2008" s="801"/>
      <c r="AK2008" s="801"/>
      <c r="AL2008" s="801"/>
      <c r="AM2008" s="801"/>
      <c r="AN2008" s="801"/>
      <c r="AO2008" s="801"/>
      <c r="AP2008" s="801"/>
      <c r="AQ2008" s="801"/>
      <c r="AR2008" s="801"/>
      <c r="AS2008" s="801"/>
      <c r="AT2008" s="801"/>
      <c r="AU2008" s="801"/>
      <c r="AV2008" s="801"/>
      <c r="AZ2008" s="504"/>
      <c r="BB2008" s="506"/>
      <c r="BI2008" s="905" t="s">
        <v>126</v>
      </c>
      <c r="BJ2008" s="666"/>
      <c r="BO2008" s="905" t="s">
        <v>250</v>
      </c>
      <c r="BP2008" s="671" t="s">
        <v>1231</v>
      </c>
      <c r="CU2008" s="663"/>
      <c r="CW2008" s="663"/>
      <c r="EV2008" s="819">
        <f t="shared" si="537"/>
        <v>2008</v>
      </c>
      <c r="EW2008" s="819"/>
      <c r="EY2008" s="655"/>
      <c r="EZ2008" s="655"/>
      <c r="FA2008" s="655"/>
    </row>
    <row r="2009" spans="1:157" s="661" customFormat="1" ht="4" customHeight="1">
      <c r="A2009" s="677" t="str">
        <f t="shared" ca="1" si="534"/>
        <v>D.1.2009</v>
      </c>
      <c r="B2009" s="677" t="str">
        <f t="shared" ca="1" si="535"/>
        <v>1.2009</v>
      </c>
      <c r="C2009" s="677" t="str">
        <f t="shared" si="536"/>
        <v>[2009]</v>
      </c>
      <c r="D2009" s="677">
        <f>ROW()</f>
        <v>2009</v>
      </c>
      <c r="I2009" s="1021"/>
      <c r="J2009" s="1021"/>
      <c r="K2009" s="1021"/>
      <c r="L2009" s="1021"/>
      <c r="M2009" s="1021"/>
      <c r="O2009" s="871"/>
      <c r="P2009" s="688"/>
      <c r="Q2009" s="689"/>
      <c r="R2009" s="675"/>
      <c r="S2009" s="802"/>
      <c r="AB2009" s="675"/>
      <c r="AC2009" s="1031"/>
      <c r="AD2009" s="675"/>
      <c r="AE2009" s="675"/>
      <c r="AF2009" s="675"/>
      <c r="AG2009" s="675"/>
      <c r="AH2009" s="675"/>
      <c r="AI2009" s="675"/>
      <c r="AJ2009" s="675"/>
      <c r="AK2009" s="675"/>
      <c r="AL2009" s="675"/>
      <c r="AM2009" s="675"/>
      <c r="AN2009" s="675"/>
      <c r="AO2009" s="675"/>
      <c r="AP2009" s="675"/>
      <c r="AQ2009" s="675"/>
      <c r="AR2009" s="675"/>
      <c r="AS2009" s="675"/>
      <c r="AT2009" s="675"/>
      <c r="AU2009" s="675"/>
      <c r="AV2009" s="675"/>
      <c r="AZ2009" s="669"/>
      <c r="BB2009" s="669"/>
      <c r="BI2009" s="661" t="s">
        <v>126</v>
      </c>
      <c r="BJ2009" s="665"/>
      <c r="CU2009" s="662"/>
      <c r="CW2009" s="662"/>
      <c r="EV2009" s="818" t="str">
        <f t="shared" si="537"/>
        <v/>
      </c>
      <c r="EW2009" s="818"/>
      <c r="EY2009" s="1021"/>
      <c r="EZ2009" s="1021"/>
      <c r="FA2009" s="1021"/>
    </row>
    <row r="2010" spans="1:157" s="658" customFormat="1" ht="13.5" customHeight="1">
      <c r="A2010" s="654" t="str">
        <f t="shared" ca="1" si="534"/>
        <v>D.1.2010</v>
      </c>
      <c r="B2010" s="654" t="str">
        <f t="shared" ca="1" si="535"/>
        <v>1.2010</v>
      </c>
      <c r="C2010" s="654" t="str">
        <f t="shared" si="536"/>
        <v>[2010]</v>
      </c>
      <c r="D2010" s="654">
        <f>ROW()</f>
        <v>2010</v>
      </c>
      <c r="F2010" s="1037" t="s">
        <v>1232</v>
      </c>
      <c r="G2010" s="1038">
        <f ca="1">INDIRECT($W$1&amp;U2010)</f>
        <v>0.54731322047570463</v>
      </c>
      <c r="H2010" s="1039" t="str">
        <f ca="1">HYPERLINK($CK$1&amp;U2010,$CE$1&amp;U2010&amp;$CF$1)</f>
        <v>[2012]</v>
      </c>
      <c r="I2010" s="1040">
        <f ca="1">INDIRECT($W$1&amp;W2010)</f>
        <v>2</v>
      </c>
      <c r="J2010" s="1039" t="str">
        <f ca="1">HYPERLINK($CK$1&amp;W2010,$CE$1&amp;W2010&amp;$CF$1)</f>
        <v>[2014]</v>
      </c>
      <c r="K2010" s="1041">
        <f ca="1">INDIRECT($W$1&amp;X2010)</f>
        <v>7.9</v>
      </c>
      <c r="L2010" s="1039" t="str">
        <f ca="1">HYPERLINK($CK$1&amp;X2010,$CE$1&amp;X2010&amp;$CF$1)</f>
        <v>[2016]</v>
      </c>
      <c r="M2010" s="1042">
        <f ca="1">INDIRECT($W$1&amp;Y2010)</f>
        <v>9.48</v>
      </c>
      <c r="N2010" s="1039" t="str">
        <f ca="1">HYPERLINK($CK$1&amp;Y2010,$CE$1&amp;Y2010&amp;$CF$1)</f>
        <v>[2018]</v>
      </c>
      <c r="O2010" s="869"/>
      <c r="P2010" s="690"/>
      <c r="Q2010" s="695"/>
      <c r="R2010" s="801"/>
      <c r="S2010" s="784"/>
      <c r="T2010" s="905"/>
      <c r="U2010" s="1043">
        <f>D2012</f>
        <v>2012</v>
      </c>
      <c r="V2010" s="905" t="s">
        <v>126</v>
      </c>
      <c r="W2010" s="1043">
        <f>D2014</f>
        <v>2014</v>
      </c>
      <c r="X2010" s="1043">
        <f>D2016</f>
        <v>2016</v>
      </c>
      <c r="Y2010" s="1043">
        <f>D2018</f>
        <v>2018</v>
      </c>
      <c r="AB2010" s="801"/>
      <c r="AC2010" s="1031"/>
      <c r="AD2010" s="674"/>
      <c r="AE2010" s="674"/>
      <c r="AF2010" s="674"/>
      <c r="AG2010" s="674"/>
      <c r="AH2010" s="674"/>
      <c r="AI2010" s="674"/>
      <c r="AJ2010" s="674"/>
      <c r="AK2010" s="674"/>
      <c r="AL2010" s="674"/>
      <c r="AM2010" s="674"/>
      <c r="AN2010" s="674"/>
      <c r="AO2010" s="674"/>
      <c r="AP2010" s="674"/>
      <c r="AQ2010" s="674"/>
      <c r="AR2010" s="674"/>
      <c r="AS2010" s="674"/>
      <c r="AT2010" s="674"/>
      <c r="AU2010" s="674"/>
      <c r="AV2010" s="674"/>
      <c r="AX2010" s="658" t="s">
        <v>244</v>
      </c>
      <c r="AY2010" s="1022">
        <f ca="1">DA2010</f>
        <v>36590.400000000001</v>
      </c>
      <c r="AZ2010" s="670" t="str">
        <f ca="1">HYPERLINK(DN2010,DC2010)</f>
        <v xml:space="preserve"> 191</v>
      </c>
      <c r="BA2010" s="1022">
        <f ca="1">DB2010</f>
        <v>119034.45</v>
      </c>
      <c r="BB2010" s="670" t="str">
        <f ca="1">HYPERLINK(DO2010,DD2010)</f>
        <v xml:space="preserve"> 59</v>
      </c>
      <c r="BC2010" s="658" t="str">
        <f ca="1">CY2010&amp;" | "&amp;CZ2010</f>
        <v>Windpark-Fl.
Onshore | 2.1.5 Für Windparks genutzte Abstands-Flächen (Onshore)</v>
      </c>
      <c r="BI2010" s="658" t="s">
        <v>126</v>
      </c>
      <c r="BJ2010" s="667" t="str">
        <f>F2010</f>
        <v>% v. Bodenfläche:</v>
      </c>
      <c r="BK2010" s="664">
        <f ca="1">G2010</f>
        <v>0.54731322047570463</v>
      </c>
      <c r="BL2010" s="664">
        <f ca="1">M2010</f>
        <v>9.48</v>
      </c>
      <c r="BM2010" s="905">
        <f>D2010</f>
        <v>2010</v>
      </c>
      <c r="BO2010" s="658" t="s">
        <v>251</v>
      </c>
      <c r="CU2010" s="659"/>
      <c r="CW2010" s="671">
        <v>30</v>
      </c>
      <c r="CY2010" s="905" t="str">
        <f t="shared" ref="CY2010:DO2010" ca="1" si="538">INDIRECT($CX$1&amp;CY$1&amp;$CW2010)</f>
        <v>Windpark-Fl.
Onshore</v>
      </c>
      <c r="CZ2010" s="905" t="str">
        <f t="shared" ca="1" si="538"/>
        <v>2.1.5 Für Windparks genutzte Abstands-Flächen (Onshore)</v>
      </c>
      <c r="DA2010" s="905">
        <f t="shared" ca="1" si="538"/>
        <v>36590.400000000001</v>
      </c>
      <c r="DB2010" s="905">
        <f t="shared" ca="1" si="538"/>
        <v>119034.45</v>
      </c>
      <c r="DC2010" s="905" t="str">
        <f t="shared" ca="1" si="538"/>
        <v xml:space="preserve"> 191</v>
      </c>
      <c r="DD2010" s="905" t="str">
        <f t="shared" ca="1" si="538"/>
        <v xml:space="preserve"> 59</v>
      </c>
      <c r="DE2010" s="905" t="str">
        <f t="shared" ca="1" si="538"/>
        <v>Wi20</v>
      </c>
      <c r="DF2010" s="905" t="str">
        <f t="shared" ca="1" si="538"/>
        <v>Wi40</v>
      </c>
      <c r="DG2010" s="905" t="str">
        <f t="shared" ca="1" si="538"/>
        <v>Wi</v>
      </c>
      <c r="DH2010" s="905" t="str">
        <f t="shared" ca="1" si="538"/>
        <v>20</v>
      </c>
      <c r="DI2010" s="905" t="str">
        <f t="shared" ca="1" si="538"/>
        <v>[Wi.xls]TEXT!Z20S5</v>
      </c>
      <c r="DJ2010" s="905" t="str">
        <f t="shared" ca="1" si="538"/>
        <v>Wi</v>
      </c>
      <c r="DK2010" s="905" t="str">
        <f t="shared" ca="1" si="538"/>
        <v>40</v>
      </c>
      <c r="DL2010" s="905" t="str">
        <f t="shared" ca="1" si="538"/>
        <v>[Wi.xls]TEXT!Z40S5</v>
      </c>
      <c r="DM2010" s="905">
        <f t="shared" ca="1" si="538"/>
        <v>30</v>
      </c>
      <c r="DN2010" s="905" t="str">
        <f t="shared" ca="1" si="538"/>
        <v>[Region.xls]PARAMETER!Z191S6</v>
      </c>
      <c r="DO2010" s="905" t="str">
        <f t="shared" ca="1" si="538"/>
        <v>[Region.xls]PARAMETER!Z59S6</v>
      </c>
      <c r="DP2010" s="905"/>
      <c r="DS2010" s="905"/>
      <c r="DV2010" s="905"/>
      <c r="DW2010" s="905"/>
      <c r="DX2010" s="905"/>
      <c r="DY2010" s="905"/>
      <c r="DZ2010" s="905"/>
      <c r="EA2010" s="905"/>
      <c r="EB2010" s="905"/>
      <c r="EC2010" s="905"/>
      <c r="ED2010" s="905"/>
      <c r="EE2010" s="905"/>
      <c r="EF2010" s="905"/>
      <c r="EG2010" s="905"/>
      <c r="EH2010" s="905"/>
      <c r="EI2010" s="905"/>
      <c r="EJ2010" s="905"/>
      <c r="EK2010" s="905"/>
      <c r="EV2010" s="819">
        <f t="shared" si="537"/>
        <v>2010</v>
      </c>
      <c r="EW2010" s="819"/>
      <c r="EY2010" s="1044"/>
      <c r="EZ2010" s="1044"/>
      <c r="FA2010" s="1044"/>
    </row>
    <row r="2011" spans="1:157" s="661" customFormat="1" ht="4.5" customHeight="1">
      <c r="A2011" s="677" t="str">
        <f ca="1">BT$1&amp;D2011</f>
        <v>D.1.2011</v>
      </c>
      <c r="B2011" s="677" t="str">
        <f ca="1">BW$1&amp;D2011</f>
        <v>1.2011</v>
      </c>
      <c r="C2011" s="677" t="str">
        <f>CE$1&amp;D2011&amp;CF$1</f>
        <v>[2011]</v>
      </c>
      <c r="D2011" s="677">
        <f>ROW()</f>
        <v>2011</v>
      </c>
      <c r="I2011" s="1021"/>
      <c r="J2011" s="1021"/>
      <c r="K2011" s="1021"/>
      <c r="L2011" s="1021"/>
      <c r="M2011" s="1021"/>
      <c r="O2011" s="871"/>
      <c r="P2011" s="688"/>
      <c r="Q2011" s="689"/>
      <c r="R2011" s="675"/>
      <c r="S2011" s="802"/>
      <c r="AB2011" s="675"/>
      <c r="AC2011" s="1036"/>
      <c r="AD2011" s="675"/>
      <c r="AE2011" s="675"/>
      <c r="AF2011" s="675"/>
      <c r="AG2011" s="675"/>
      <c r="AH2011" s="675"/>
      <c r="AI2011" s="675"/>
      <c r="AJ2011" s="675"/>
      <c r="AK2011" s="675"/>
      <c r="AL2011" s="675"/>
      <c r="AM2011" s="675"/>
      <c r="AN2011" s="675"/>
      <c r="AO2011" s="675"/>
      <c r="AP2011" s="675"/>
      <c r="AQ2011" s="675"/>
      <c r="AR2011" s="675"/>
      <c r="AS2011" s="675"/>
      <c r="AT2011" s="675"/>
      <c r="AU2011" s="675"/>
      <c r="AV2011" s="675"/>
      <c r="AZ2011" s="669"/>
      <c r="BB2011" s="669"/>
      <c r="BI2011" s="661" t="s">
        <v>126</v>
      </c>
      <c r="BJ2011" s="665"/>
      <c r="CU2011" s="662"/>
      <c r="CW2011" s="662"/>
      <c r="EV2011" s="818" t="str">
        <f>IF(U2011&amp;BP2011="","",D2011)</f>
        <v/>
      </c>
      <c r="EW2011" s="818"/>
      <c r="EY2011" s="1021"/>
      <c r="EZ2011" s="1021"/>
      <c r="FA2011" s="1021"/>
    </row>
    <row r="2012" spans="1:157" s="905" customFormat="1" ht="26">
      <c r="A2012" s="654" t="str">
        <f t="shared" ca="1" si="534"/>
        <v>D.1.2012</v>
      </c>
      <c r="B2012" s="654" t="str">
        <f t="shared" ca="1" si="535"/>
        <v>1.2012</v>
      </c>
      <c r="C2012" s="654" t="str">
        <f t="shared" si="536"/>
        <v>[2012]</v>
      </c>
      <c r="D2012" s="654">
        <f>ROW()</f>
        <v>2012</v>
      </c>
      <c r="E2012" s="1125" t="str">
        <f ca="1">CU2012</f>
        <v>Langfristig gesichert erscheint eine Windparkfläche im heutigen Umfang von 195.708 ha [189] entsprechend 0,5 % der Bodenfläche [67].</v>
      </c>
      <c r="F2012" s="1125"/>
      <c r="G2012" s="1125"/>
      <c r="H2012" s="1125"/>
      <c r="I2012" s="1125"/>
      <c r="J2012" s="1125"/>
      <c r="K2012" s="1125"/>
      <c r="L2012" s="1125"/>
      <c r="M2012" s="1125"/>
      <c r="N2012" s="1125"/>
      <c r="O2012" s="869"/>
      <c r="P2012" s="691" t="str">
        <f>HYPERLINK(EK2012,EJ2012)</f>
        <v/>
      </c>
      <c r="Q2012" s="692" t="str">
        <f>Y2012</f>
        <v xml:space="preserve"> </v>
      </c>
      <c r="R2012" s="801"/>
      <c r="S2012" s="784"/>
      <c r="U2012" s="1023" t="str">
        <f ca="1">"Langfristig gesichert erscheint eine Windparkfläche im heutigen Umfang von "&amp;TEXT(AD2012,"0.000")&amp;" ha "&amp;C189&amp;" entsprechend "&amp;TEXT(AH2012,"0,0")&amp;" % der Bodenfläche "&amp;C67&amp;"."</f>
        <v>Langfristig gesichert erscheint eine Windparkfläche im heutigen Umfang von 195.708 ha [189] entsprechend 0,5 % der Bodenfläche [67].</v>
      </c>
      <c r="V2012" s="905" t="s">
        <v>126</v>
      </c>
      <c r="W2012" s="1035">
        <f ca="1">AH2012</f>
        <v>0.54731322047570463</v>
      </c>
      <c r="X2012" s="672"/>
      <c r="Y2012" s="672" t="s">
        <v>126</v>
      </c>
      <c r="Z2012" s="1025"/>
      <c r="AA2012" s="658"/>
      <c r="AB2012" s="801"/>
      <c r="AC2012" s="1020">
        <v>43925</v>
      </c>
      <c r="AD2012" s="687">
        <f ca="1">K188</f>
        <v>195708.05887181088</v>
      </c>
      <c r="AE2012" s="801" t="s">
        <v>382</v>
      </c>
      <c r="AF2012" s="687">
        <f ca="1">M64</f>
        <v>35757963</v>
      </c>
      <c r="AG2012" s="801" t="s">
        <v>289</v>
      </c>
      <c r="AH2012" s="801">
        <f ca="1">AD2012/AF2012%</f>
        <v>0.54731322047570463</v>
      </c>
      <c r="AI2012" s="801" t="s">
        <v>1233</v>
      </c>
      <c r="AJ2012" s="801"/>
      <c r="AK2012" s="801"/>
      <c r="AL2012" s="801"/>
      <c r="AM2012" s="801"/>
      <c r="AN2012" s="801"/>
      <c r="AO2012" s="801"/>
      <c r="AP2012" s="801"/>
      <c r="AQ2012" s="801"/>
      <c r="AR2012" s="801"/>
      <c r="AS2012" s="801"/>
      <c r="AT2012" s="801"/>
      <c r="AU2012" s="801"/>
      <c r="AV2012" s="801"/>
      <c r="BF2012" s="657"/>
      <c r="BI2012" s="905" t="s">
        <v>126</v>
      </c>
      <c r="BJ2012" s="666"/>
      <c r="BO2012" s="905" t="s">
        <v>259</v>
      </c>
      <c r="CU2012" s="663" t="str">
        <f ca="1">CG$2&amp;IF(U2012="",BF2012,U2012)</f>
        <v>Langfristig gesichert erscheint eine Windparkfläche im heutigen Umfang von 195.708 ha [189] entsprechend 0,5 % der Bodenfläche [67].</v>
      </c>
      <c r="CW2012" s="663"/>
      <c r="DT2012" s="671" t="e">
        <f>#REF!</f>
        <v>#REF!</v>
      </c>
      <c r="EJ2012" s="905" t="str">
        <f>IF(X2012=0,"",EJ$2&amp;X2012)</f>
        <v/>
      </c>
      <c r="EK2012" s="905" t="str">
        <f>EK$2&amp;X2012</f>
        <v/>
      </c>
      <c r="EV2012" s="819">
        <f t="shared" ca="1" si="537"/>
        <v>2012</v>
      </c>
      <c r="EW2012" s="819"/>
      <c r="EY2012" s="655"/>
      <c r="EZ2012" s="655"/>
      <c r="FA2012" s="655"/>
    </row>
    <row r="2013" spans="1:157" s="661" customFormat="1" ht="4.5" customHeight="1">
      <c r="A2013" s="677" t="str">
        <f ca="1">BT$1&amp;D2013</f>
        <v>D.1.2013</v>
      </c>
      <c r="B2013" s="677" t="str">
        <f ca="1">BW$1&amp;D2013</f>
        <v>1.2013</v>
      </c>
      <c r="C2013" s="677" t="str">
        <f>CE$1&amp;D2013&amp;CF$1</f>
        <v>[2013]</v>
      </c>
      <c r="D2013" s="677">
        <f>ROW()</f>
        <v>2013</v>
      </c>
      <c r="I2013" s="1021"/>
      <c r="J2013" s="1021"/>
      <c r="K2013" s="1021"/>
      <c r="L2013" s="1021"/>
      <c r="M2013" s="1021"/>
      <c r="O2013" s="871"/>
      <c r="P2013" s="688"/>
      <c r="Q2013" s="689"/>
      <c r="R2013" s="675"/>
      <c r="S2013" s="802"/>
      <c r="AB2013" s="675"/>
      <c r="AC2013" s="1036"/>
      <c r="AD2013" s="675"/>
      <c r="AE2013" s="675"/>
      <c r="AF2013" s="675"/>
      <c r="AG2013" s="675"/>
      <c r="AH2013" s="675"/>
      <c r="AI2013" s="675"/>
      <c r="AJ2013" s="675"/>
      <c r="AK2013" s="675"/>
      <c r="AL2013" s="675"/>
      <c r="AM2013" s="675"/>
      <c r="AN2013" s="675"/>
      <c r="AO2013" s="675"/>
      <c r="AP2013" s="675"/>
      <c r="AQ2013" s="675"/>
      <c r="AR2013" s="675"/>
      <c r="AS2013" s="675"/>
      <c r="AT2013" s="675"/>
      <c r="AU2013" s="675"/>
      <c r="AV2013" s="675"/>
      <c r="AZ2013" s="669"/>
      <c r="BB2013" s="669"/>
      <c r="BI2013" s="661" t="s">
        <v>126</v>
      </c>
      <c r="BJ2013" s="665"/>
      <c r="CU2013" s="662"/>
      <c r="CW2013" s="662"/>
      <c r="EV2013" s="818" t="str">
        <f>IF(U2013&amp;BP2013="","",D2013)</f>
        <v/>
      </c>
      <c r="EW2013" s="818"/>
      <c r="EY2013" s="1021"/>
      <c r="EZ2013" s="1021"/>
      <c r="FA2013" s="1021"/>
    </row>
    <row r="2014" spans="1:157" s="905" customFormat="1" ht="52">
      <c r="A2014" s="654" t="str">
        <f t="shared" ca="1" si="534"/>
        <v>D.1.2014</v>
      </c>
      <c r="B2014" s="654" t="str">
        <f t="shared" ca="1" si="535"/>
        <v>1.2014</v>
      </c>
      <c r="C2014" s="654" t="str">
        <f t="shared" si="536"/>
        <v>[2014]</v>
      </c>
      <c r="D2014" s="654">
        <f>ROW()</f>
        <v>2014</v>
      </c>
      <c r="E2014" s="1125" t="str">
        <f ca="1">CU2014</f>
        <v xml:space="preserve">Eine Studie zur Windenergienutzung an Land [9.84] S. 6 kommt in einer Potenzialuntersuchung auf Basis von GIS (Geografisches Informationssystem) zu dem Ergebnis, dass in jedem der Bundesländer (mit Ausnahme der Stadtstaaten) die Nutzung von 2 %  der Bodenfläche für Windparks deutlich unterhalb des technischen Potenziales (Zeile [2016]) liegt und daher für realistisch gehalten werden kann. </v>
      </c>
      <c r="F2014" s="1125"/>
      <c r="G2014" s="1125"/>
      <c r="H2014" s="1125"/>
      <c r="I2014" s="1125"/>
      <c r="J2014" s="1125"/>
      <c r="K2014" s="1125"/>
      <c r="L2014" s="1125"/>
      <c r="M2014" s="1125"/>
      <c r="N2014" s="1125"/>
      <c r="O2014" s="869"/>
      <c r="P2014" s="691" t="str">
        <f ca="1">HYPERLINK(EK2014,EJ2014)</f>
        <v>9.84</v>
      </c>
      <c r="Q2014" s="692" t="str">
        <f>Y2014</f>
        <v>S. 6</v>
      </c>
      <c r="R2014" s="801"/>
      <c r="S2014" s="784"/>
      <c r="U2014" s="1033" t="str">
        <f ca="1">"Eine Studie zur Windenergienutzung an Land ["&amp;P2014&amp;"] "&amp;Q2014&amp;" kommt in einer Potenzialuntersuchung auf Basis von GIS (Geografisches Informationssystem) zu dem Ergebnis, dass in jedem der Bundesländer (mit Ausnahme der Stadtstaaten) die Nutzung von "&amp;W2014&amp;" %  der Bodenfläche für Windparks deutlich unterhalb des technischen Potenziales (Zeile "&amp;C2016&amp;") liegt und daher für realistisch gehalten werden kann. "</f>
        <v xml:space="preserve">Eine Studie zur Windenergienutzung an Land [9.84] S. 6 kommt in einer Potenzialuntersuchung auf Basis von GIS (Geografisches Informationssystem) zu dem Ergebnis, dass in jedem der Bundesländer (mit Ausnahme der Stadtstaaten) die Nutzung von 2 %  der Bodenfläche für Windparks deutlich unterhalb des technischen Potenziales (Zeile [2016]) liegt und daher für realistisch gehalten werden kann. </v>
      </c>
      <c r="V2014" s="905" t="s">
        <v>126</v>
      </c>
      <c r="W2014" s="1034">
        <v>2</v>
      </c>
      <c r="X2014" s="672">
        <f>'9.Quellen'!C84</f>
        <v>84</v>
      </c>
      <c r="Y2014" s="672" t="s">
        <v>741</v>
      </c>
      <c r="Z2014" s="1025"/>
      <c r="AB2014" s="801"/>
      <c r="AC2014" s="1020">
        <v>44039</v>
      </c>
      <c r="AD2014" s="801"/>
      <c r="AE2014" s="801"/>
      <c r="AF2014" s="801"/>
      <c r="AG2014" s="801"/>
      <c r="AH2014" s="801"/>
      <c r="AI2014" s="801"/>
      <c r="AJ2014" s="801"/>
      <c r="AK2014" s="687"/>
      <c r="AL2014" s="801"/>
      <c r="AM2014" s="801"/>
      <c r="AN2014" s="801"/>
      <c r="AO2014" s="801"/>
      <c r="AP2014" s="801"/>
      <c r="AQ2014" s="801"/>
      <c r="AR2014" s="801"/>
      <c r="AS2014" s="801"/>
      <c r="AT2014" s="801"/>
      <c r="AU2014" s="801"/>
      <c r="AV2014" s="801"/>
      <c r="BF2014" s="657"/>
      <c r="BI2014" s="905" t="s">
        <v>126</v>
      </c>
      <c r="BJ2014" s="666"/>
      <c r="BO2014" s="905" t="s">
        <v>252</v>
      </c>
      <c r="CU2014" s="663" t="str">
        <f ca="1">CH$2&amp;IF(U2014="",BF2014,U2014)</f>
        <v xml:space="preserve">Eine Studie zur Windenergienutzung an Land [9.84] S. 6 kommt in einer Potenzialuntersuchung auf Basis von GIS (Geografisches Informationssystem) zu dem Ergebnis, dass in jedem der Bundesländer (mit Ausnahme der Stadtstaaten) die Nutzung von 2 %  der Bodenfläche für Windparks deutlich unterhalb des technischen Potenziales (Zeile [2016]) liegt und daher für realistisch gehalten werden kann. </v>
      </c>
      <c r="CW2014" s="663"/>
      <c r="DT2014" s="671"/>
      <c r="EJ2014" s="905" t="str">
        <f ca="1">IF(X2014=0,"",EJ$1&amp;X2014)</f>
        <v>9.84</v>
      </c>
      <c r="EK2014" s="905" t="str">
        <f ca="1">EK$1&amp;X2014</f>
        <v>[D_Python.xlsx]9.Quellen!C84</v>
      </c>
      <c r="EV2014" s="819">
        <f t="shared" ca="1" si="537"/>
        <v>2014</v>
      </c>
      <c r="EW2014" s="819"/>
      <c r="EY2014" s="655"/>
      <c r="EZ2014" s="655"/>
      <c r="FA2014" s="655"/>
    </row>
    <row r="2015" spans="1:157" s="661" customFormat="1" ht="4.5" customHeight="1">
      <c r="A2015" s="677" t="str">
        <f ca="1">BT$1&amp;D2015</f>
        <v>D.1.2015</v>
      </c>
      <c r="B2015" s="677" t="str">
        <f ca="1">BW$1&amp;D2015</f>
        <v>1.2015</v>
      </c>
      <c r="C2015" s="677" t="str">
        <f>CE$1&amp;D2015&amp;CF$1</f>
        <v>[2015]</v>
      </c>
      <c r="D2015" s="677">
        <f>ROW()</f>
        <v>2015</v>
      </c>
      <c r="I2015" s="1021"/>
      <c r="J2015" s="1021"/>
      <c r="K2015" s="1021"/>
      <c r="L2015" s="1021"/>
      <c r="M2015" s="1021"/>
      <c r="O2015" s="871"/>
      <c r="P2015" s="688"/>
      <c r="Q2015" s="689"/>
      <c r="R2015" s="675"/>
      <c r="S2015" s="802"/>
      <c r="AB2015" s="675"/>
      <c r="AC2015" s="1036"/>
      <c r="AD2015" s="675"/>
      <c r="AE2015" s="675"/>
      <c r="AF2015" s="675"/>
      <c r="AG2015" s="675"/>
      <c r="AH2015" s="675"/>
      <c r="AI2015" s="675"/>
      <c r="AJ2015" s="675"/>
      <c r="AK2015" s="675"/>
      <c r="AL2015" s="675"/>
      <c r="AM2015" s="675"/>
      <c r="AN2015" s="675"/>
      <c r="AO2015" s="675"/>
      <c r="AP2015" s="675"/>
      <c r="AQ2015" s="675"/>
      <c r="AR2015" s="675"/>
      <c r="AS2015" s="675"/>
      <c r="AT2015" s="675"/>
      <c r="AU2015" s="675"/>
      <c r="AV2015" s="675"/>
      <c r="AZ2015" s="669"/>
      <c r="BB2015" s="669"/>
      <c r="BI2015" s="661" t="s">
        <v>126</v>
      </c>
      <c r="BJ2015" s="665"/>
      <c r="CU2015" s="662"/>
      <c r="CW2015" s="662"/>
      <c r="EV2015" s="818" t="str">
        <f>IF(U2015&amp;BP2015="","",D2015)</f>
        <v/>
      </c>
      <c r="EW2015" s="818"/>
      <c r="EY2015" s="1021"/>
      <c r="EZ2015" s="1021"/>
      <c r="FA2015" s="1021"/>
    </row>
    <row r="2016" spans="1:157" s="905" customFormat="1" ht="52">
      <c r="A2016" s="654" t="str">
        <f t="shared" ca="1" si="534"/>
        <v>D.1.2016</v>
      </c>
      <c r="B2016" s="654" t="str">
        <f t="shared" ca="1" si="535"/>
        <v>1.2016</v>
      </c>
      <c r="C2016" s="654" t="str">
        <f t="shared" si="536"/>
        <v>[2016]</v>
      </c>
      <c r="D2016" s="654">
        <f>ROW()</f>
        <v>2016</v>
      </c>
      <c r="E2016" s="1125" t="str">
        <f ca="1">CU2016</f>
        <v>Gemäß der Studie zur Windenergienutzung an Land [9.84] S. 23 umfasst das technische Potenzial der ohne Restriktionen für Windparks nutzbaren Fläche in Deutschland  7,9 % der Bodenfläche. Der nutzbare Wald (ohne Schutzgebiete) würde ein zusätzliches Potenzial von 4,4 % % der Bodenfläche umfassen. Hier bleibt der Wald in der Potenzialbetrachtung aber sicherheitshalber unberücksichtigt.</v>
      </c>
      <c r="F2016" s="1125"/>
      <c r="G2016" s="1125"/>
      <c r="H2016" s="1125"/>
      <c r="I2016" s="1125"/>
      <c r="J2016" s="1125"/>
      <c r="K2016" s="1125"/>
      <c r="L2016" s="1125"/>
      <c r="M2016" s="1125"/>
      <c r="N2016" s="1125"/>
      <c r="O2016" s="869"/>
      <c r="P2016" s="691" t="str">
        <f ca="1">HYPERLINK(EK2016,EJ2016)</f>
        <v>9.84</v>
      </c>
      <c r="Q2016" s="692" t="str">
        <f>Y2016</f>
        <v>S. 23</v>
      </c>
      <c r="R2016" s="801"/>
      <c r="S2016" s="784"/>
      <c r="U2016" s="1033" t="str">
        <f ca="1">"Gemäß der Studie zur Windenergienutzung an Land ["&amp;P2016&amp;"] "&amp;Q2016&amp;" umfasst das technische Potenzial der ohne Restriktionen für Windparks nutzbaren Fläche in "&amp;AF2016&amp;" "&amp;W2016&amp;" % der Bodenfläche. Der nutzbare Wald (ohne Schutzgebiete) würde ein zusätzliches Potenzial von "&amp;AG2016&amp;AH2016&amp;" % der Bodenfläche umfassen. Hier bleibt der Wald in der Potenzialbetrachtung aber sicherheitshalber unberücksichtigt."</f>
        <v>Gemäß der Studie zur Windenergienutzung an Land [9.84] S. 23 umfasst das technische Potenzial der ohne Restriktionen für Windparks nutzbaren Fläche in Deutschland  7,9 % der Bodenfläche. Der nutzbare Wald (ohne Schutzgebiete) würde ein zusätzliches Potenzial von 4,4 % % der Bodenfläche umfassen. Hier bleibt der Wald in der Potenzialbetrachtung aber sicherheitshalber unberücksichtigt.</v>
      </c>
      <c r="V2016" s="905" t="s">
        <v>126</v>
      </c>
      <c r="W2016" s="1034">
        <f>AD2016</f>
        <v>7.9</v>
      </c>
      <c r="X2016" s="672">
        <f>'9.Quellen'!C84</f>
        <v>84</v>
      </c>
      <c r="Y2016" s="672" t="s">
        <v>1234</v>
      </c>
      <c r="Z2016" s="1025"/>
      <c r="AB2016" s="801"/>
      <c r="AC2016" s="1020">
        <v>44039</v>
      </c>
      <c r="AD2016" s="801">
        <v>7.9</v>
      </c>
      <c r="AE2016" s="801" t="s">
        <v>531</v>
      </c>
      <c r="AF2016" s="801" t="s">
        <v>1235</v>
      </c>
      <c r="AG2016" s="801">
        <v>4.4000000000000004</v>
      </c>
      <c r="AH2016" s="801" t="s">
        <v>972</v>
      </c>
      <c r="AI2016" s="801"/>
      <c r="AJ2016" s="801"/>
      <c r="AK2016" s="687"/>
      <c r="AL2016" s="801"/>
      <c r="AM2016" s="801"/>
      <c r="AN2016" s="801"/>
      <c r="AO2016" s="801"/>
      <c r="AP2016" s="801"/>
      <c r="AQ2016" s="801"/>
      <c r="AR2016" s="801"/>
      <c r="AS2016" s="801"/>
      <c r="AT2016" s="801"/>
      <c r="AU2016" s="801"/>
      <c r="AV2016" s="801"/>
      <c r="BF2016" s="657"/>
      <c r="BI2016" s="905" t="s">
        <v>126</v>
      </c>
      <c r="BJ2016" s="666"/>
      <c r="BO2016" s="905" t="s">
        <v>252</v>
      </c>
      <c r="CU2016" s="663" t="str">
        <f ca="1">CI$2&amp;IF(U2016="",BF2016,U2016)</f>
        <v>Gemäß der Studie zur Windenergienutzung an Land [9.84] S. 23 umfasst das technische Potenzial der ohne Restriktionen für Windparks nutzbaren Fläche in Deutschland  7,9 % der Bodenfläche. Der nutzbare Wald (ohne Schutzgebiete) würde ein zusätzliches Potenzial von 4,4 % % der Bodenfläche umfassen. Hier bleibt der Wald in der Potenzialbetrachtung aber sicherheitshalber unberücksichtigt.</v>
      </c>
      <c r="CW2016" s="663"/>
      <c r="DT2016" s="671"/>
      <c r="EJ2016" s="905" t="str">
        <f ca="1">IF(X2016=0,"",EJ$1&amp;X2016)</f>
        <v>9.84</v>
      </c>
      <c r="EK2016" s="905" t="str">
        <f ca="1">EK$1&amp;X2016</f>
        <v>[D_Python.xlsx]9.Quellen!C84</v>
      </c>
      <c r="EV2016" s="819">
        <f t="shared" ca="1" si="537"/>
        <v>2016</v>
      </c>
      <c r="EW2016" s="819"/>
      <c r="EY2016" s="655"/>
      <c r="EZ2016" s="655"/>
      <c r="FA2016" s="655"/>
    </row>
    <row r="2017" spans="1:157" s="661" customFormat="1" ht="4.5" customHeight="1">
      <c r="A2017" s="677" t="str">
        <f ca="1">BT$1&amp;D2017</f>
        <v>D.1.2017</v>
      </c>
      <c r="B2017" s="677" t="str">
        <f ca="1">BW$1&amp;D2017</f>
        <v>1.2017</v>
      </c>
      <c r="C2017" s="677" t="str">
        <f>CE$1&amp;D2017&amp;CF$1</f>
        <v>[2017]</v>
      </c>
      <c r="D2017" s="677">
        <f>ROW()</f>
        <v>2017</v>
      </c>
      <c r="I2017" s="1021"/>
      <c r="J2017" s="1021"/>
      <c r="K2017" s="1021"/>
      <c r="L2017" s="1021"/>
      <c r="M2017" s="1021"/>
      <c r="O2017" s="871"/>
      <c r="P2017" s="688"/>
      <c r="Q2017" s="689"/>
      <c r="R2017" s="675"/>
      <c r="S2017" s="802"/>
      <c r="AB2017" s="675"/>
      <c r="AC2017" s="1036"/>
      <c r="AD2017" s="675"/>
      <c r="AE2017" s="675"/>
      <c r="AF2017" s="675"/>
      <c r="AG2017" s="675" t="s">
        <v>126</v>
      </c>
      <c r="AH2017" s="675"/>
      <c r="AI2017" s="675"/>
      <c r="AJ2017" s="675"/>
      <c r="AK2017" s="675"/>
      <c r="AL2017" s="675"/>
      <c r="AM2017" s="675"/>
      <c r="AN2017" s="675"/>
      <c r="AO2017" s="675"/>
      <c r="AP2017" s="675"/>
      <c r="AQ2017" s="675"/>
      <c r="AR2017" s="675"/>
      <c r="AS2017" s="675"/>
      <c r="AT2017" s="675"/>
      <c r="AU2017" s="675"/>
      <c r="AV2017" s="675"/>
      <c r="AZ2017" s="669"/>
      <c r="BB2017" s="669"/>
      <c r="BI2017" s="661" t="s">
        <v>126</v>
      </c>
      <c r="BJ2017" s="665"/>
      <c r="CU2017" s="662"/>
      <c r="CW2017" s="662"/>
      <c r="EV2017" s="818" t="str">
        <f>IF(U2017&amp;BP2017="","",D2017)</f>
        <v/>
      </c>
      <c r="EW2017" s="818"/>
      <c r="EY2017" s="1021"/>
      <c r="EZ2017" s="1021"/>
      <c r="FA2017" s="1021"/>
    </row>
    <row r="2018" spans="1:157" s="905" customFormat="1" ht="26">
      <c r="A2018" s="654" t="str">
        <f t="shared" ca="1" si="534"/>
        <v>D.1.2018</v>
      </c>
      <c r="B2018" s="654" t="str">
        <f t="shared" ca="1" si="535"/>
        <v>1.2018</v>
      </c>
      <c r="C2018" s="654" t="str">
        <f t="shared" si="536"/>
        <v>[2018]</v>
      </c>
      <c r="D2018" s="654">
        <f>ROW()</f>
        <v>2018</v>
      </c>
      <c r="E2018" s="1125" t="str">
        <f>CU2018</f>
        <v>9,5 % der Bodenfläche (im Interesse einer übersichtlichen Potenzialdarstellung werden als Anzeigegrenze 120 %  des technischen Potenzials [2016] gewählt).</v>
      </c>
      <c r="F2018" s="1125"/>
      <c r="G2018" s="1125"/>
      <c r="H2018" s="1125"/>
      <c r="I2018" s="1125"/>
      <c r="J2018" s="1125"/>
      <c r="K2018" s="1125"/>
      <c r="L2018" s="1125"/>
      <c r="M2018" s="1125"/>
      <c r="N2018" s="1125"/>
      <c r="O2018" s="869"/>
      <c r="P2018" s="691" t="str">
        <f ca="1">HYPERLINK(EK2018,EJ2018)</f>
        <v/>
      </c>
      <c r="Q2018" s="692" t="str">
        <f>Y2018</f>
        <v xml:space="preserve"> </v>
      </c>
      <c r="R2018" s="801"/>
      <c r="S2018" s="784"/>
      <c r="U2018" s="1033" t="str">
        <f>TEXT(W2018,"0,0")&amp;" % der Bodenfläche (im Interesse einer übersichtlichen Potenzialdarstellung werden als Anzeigegrenze "&amp;AD2018&amp;AE2018&amp;" des technischen Potenzials "&amp;C2016&amp;" gewählt)."</f>
        <v>9,5 % der Bodenfläche (im Interesse einer übersichtlichen Potenzialdarstellung werden als Anzeigegrenze 120 %  des technischen Potenzials [2016] gewählt).</v>
      </c>
      <c r="V2018" s="905" t="s">
        <v>126</v>
      </c>
      <c r="W2018" s="1034">
        <f>W2016*AD2018%</f>
        <v>9.48</v>
      </c>
      <c r="X2018" s="672"/>
      <c r="Y2018" s="672" t="s">
        <v>126</v>
      </c>
      <c r="Z2018" s="1025"/>
      <c r="AB2018" s="801"/>
      <c r="AC2018" s="1020">
        <v>43925</v>
      </c>
      <c r="AD2018" s="801">
        <v>120</v>
      </c>
      <c r="AE2018" s="801" t="s">
        <v>531</v>
      </c>
      <c r="AF2018" s="801"/>
      <c r="AG2018" s="801"/>
      <c r="AH2018" s="801"/>
      <c r="AI2018" s="801"/>
      <c r="AJ2018" s="801"/>
      <c r="AK2018" s="687"/>
      <c r="AL2018" s="801"/>
      <c r="AM2018" s="801"/>
      <c r="AN2018" s="801"/>
      <c r="AO2018" s="801"/>
      <c r="AP2018" s="801"/>
      <c r="AQ2018" s="801"/>
      <c r="AR2018" s="801"/>
      <c r="AS2018" s="801"/>
      <c r="AT2018" s="801"/>
      <c r="AU2018" s="801"/>
      <c r="AV2018" s="801"/>
      <c r="BF2018" s="657"/>
      <c r="BI2018" s="905" t="s">
        <v>126</v>
      </c>
      <c r="BJ2018" s="666"/>
      <c r="BO2018" s="905" t="s">
        <v>252</v>
      </c>
      <c r="CU2018" s="663" t="str">
        <f>CJ$2&amp;IF(U2018="",BF2018,U2018)</f>
        <v>9,5 % der Bodenfläche (im Interesse einer übersichtlichen Potenzialdarstellung werden als Anzeigegrenze 120 %  des technischen Potenzials [2016] gewählt).</v>
      </c>
      <c r="CW2018" s="663"/>
      <c r="DT2018" s="671"/>
      <c r="EJ2018" s="905" t="str">
        <f>IF(X2018=0,"",EJ$1&amp;X2018)</f>
        <v/>
      </c>
      <c r="EK2018" s="905" t="str">
        <f ca="1">EK$1&amp;X2018</f>
        <v>[D_Python.xlsx]9.Quellen!C</v>
      </c>
      <c r="EV2018" s="819">
        <f t="shared" si="537"/>
        <v>2018</v>
      </c>
      <c r="EW2018" s="819"/>
      <c r="EY2018" s="655"/>
      <c r="EZ2018" s="655"/>
      <c r="FA2018" s="655"/>
    </row>
    <row r="2019" spans="1:157" s="661" customFormat="1" ht="4.5" customHeight="1">
      <c r="A2019" s="677" t="str">
        <f t="shared" ca="1" si="534"/>
        <v>D.1.2019</v>
      </c>
      <c r="B2019" s="677" t="str">
        <f t="shared" ca="1" si="535"/>
        <v>1.2019</v>
      </c>
      <c r="C2019" s="677" t="str">
        <f t="shared" si="536"/>
        <v>[2019]</v>
      </c>
      <c r="D2019" s="677">
        <f>ROW()</f>
        <v>2019</v>
      </c>
      <c r="I2019" s="1021"/>
      <c r="J2019" s="1021"/>
      <c r="K2019" s="1021"/>
      <c r="L2019" s="1021"/>
      <c r="M2019" s="1021"/>
      <c r="O2019" s="871"/>
      <c r="P2019" s="688"/>
      <c r="Q2019" s="689"/>
      <c r="R2019" s="675"/>
      <c r="S2019" s="802"/>
      <c r="AB2019" s="675"/>
      <c r="AC2019" s="1036"/>
      <c r="AD2019" s="675"/>
      <c r="AE2019" s="675"/>
      <c r="AF2019" s="675"/>
      <c r="AG2019" s="675"/>
      <c r="AH2019" s="675"/>
      <c r="AI2019" s="675"/>
      <c r="AJ2019" s="675"/>
      <c r="AK2019" s="675"/>
      <c r="AL2019" s="675"/>
      <c r="AM2019" s="675"/>
      <c r="AN2019" s="675"/>
      <c r="AO2019" s="675"/>
      <c r="AP2019" s="675"/>
      <c r="AQ2019" s="675"/>
      <c r="AR2019" s="675"/>
      <c r="AS2019" s="675"/>
      <c r="AT2019" s="675"/>
      <c r="AU2019" s="675"/>
      <c r="AV2019" s="675"/>
      <c r="AZ2019" s="669"/>
      <c r="BB2019" s="669"/>
      <c r="BI2019" s="661" t="s">
        <v>126</v>
      </c>
      <c r="BJ2019" s="665"/>
      <c r="CU2019" s="662"/>
      <c r="CW2019" s="662"/>
      <c r="EV2019" s="818" t="str">
        <f t="shared" si="537"/>
        <v/>
      </c>
      <c r="EW2019" s="818"/>
      <c r="EY2019" s="1021"/>
      <c r="EZ2019" s="1021"/>
      <c r="FA2019" s="1021"/>
    </row>
    <row r="2020" spans="1:157" s="658" customFormat="1" ht="13.5" hidden="1" customHeight="1">
      <c r="A2020" s="654" t="str">
        <f t="shared" ca="1" si="534"/>
        <v>D.1.2020</v>
      </c>
      <c r="B2020" s="654" t="str">
        <f t="shared" ca="1" si="535"/>
        <v>1.2020</v>
      </c>
      <c r="C2020" s="654" t="str">
        <f t="shared" si="536"/>
        <v>[2020]</v>
      </c>
      <c r="D2020" s="654">
        <f>ROW()</f>
        <v>2020</v>
      </c>
      <c r="E2020" s="1126" t="str">
        <f>BP2020</f>
        <v xml:space="preserve">Belegung (Potenzialflächen) </v>
      </c>
      <c r="F2020" s="1126"/>
      <c r="G2020" s="1126"/>
      <c r="H2020" s="1126"/>
      <c r="I2020" s="1126"/>
      <c r="J2020" s="791" t="s">
        <v>272</v>
      </c>
      <c r="K2020" s="792" t="str">
        <f ca="1">INDIRECT($W$1&amp;U2020)</f>
        <v>n.r.</v>
      </c>
      <c r="L2020" s="793" t="str">
        <f ca="1">HYPERLINK($CK$1&amp;U2020,$CE$1&amp;U2020&amp;$CF$1)</f>
        <v>[2023]</v>
      </c>
      <c r="M2020" s="794">
        <f ca="1">INDIRECT($W$1&amp;W2020)</f>
        <v>0</v>
      </c>
      <c r="N2020" s="793" t="str">
        <f ca="1">HYPERLINK($CK$1&amp;W2020,$CE$1&amp;W2020&amp;$CF$1)</f>
        <v>[2025]</v>
      </c>
      <c r="O2020" s="869"/>
      <c r="P2020" s="690"/>
      <c r="Q2020" s="695"/>
      <c r="R2020" s="830"/>
      <c r="S2020" s="784"/>
      <c r="T2020" s="895" t="s">
        <v>852</v>
      </c>
      <c r="U2020" s="672">
        <f>D2023</f>
        <v>2023</v>
      </c>
      <c r="V2020" s="905" t="s">
        <v>126</v>
      </c>
      <c r="W2020" s="672">
        <f>D2025</f>
        <v>2025</v>
      </c>
      <c r="AB2020" s="801"/>
      <c r="AC2020" s="1020"/>
      <c r="AD2020" s="674"/>
      <c r="AE2020" s="674"/>
      <c r="AF2020" s="674"/>
      <c r="AG2020" s="674"/>
      <c r="AH2020" s="674"/>
      <c r="AI2020" s="674"/>
      <c r="AJ2020" s="674"/>
      <c r="AK2020" s="674"/>
      <c r="AL2020" s="674"/>
      <c r="AM2020" s="674"/>
      <c r="AN2020" s="674"/>
      <c r="AO2020" s="674"/>
      <c r="AP2020" s="674"/>
      <c r="AQ2020" s="674"/>
      <c r="AR2020" s="674"/>
      <c r="AS2020" s="674"/>
      <c r="AT2020" s="674"/>
      <c r="AU2020" s="674"/>
      <c r="AV2020" s="674"/>
      <c r="AX2020" s="658" t="s">
        <v>244</v>
      </c>
      <c r="AY2020" s="1022">
        <f ca="1">DA2020</f>
        <v>36590.400000000001</v>
      </c>
      <c r="AZ2020" s="670" t="str">
        <f ca="1">HYPERLINK(DN2020,DC2020)</f>
        <v xml:space="preserve"> 191</v>
      </c>
      <c r="BA2020" s="1022">
        <f ca="1">DB2020</f>
        <v>119034.45</v>
      </c>
      <c r="BB2020" s="670" t="str">
        <f ca="1">HYPERLINK(DO2020,DD2020)</f>
        <v xml:space="preserve"> 59</v>
      </c>
      <c r="BC2020" s="658" t="str">
        <f ca="1">CY2020&amp;" | "&amp;CZ2020</f>
        <v>Windpark-Fl.
Onshore | 2.1.5 Für Windparks genutzte Abstands-Flächen (Onshore)</v>
      </c>
      <c r="BI2020" s="658" t="s">
        <v>126</v>
      </c>
      <c r="BJ2020" s="667" t="str">
        <f>E2020</f>
        <v xml:space="preserve">Belegung (Potenzialflächen) </v>
      </c>
      <c r="BK2020" s="664" t="str">
        <f ca="1">K2020</f>
        <v>n.r.</v>
      </c>
      <c r="BL2020" s="664">
        <f ca="1">M2020</f>
        <v>0</v>
      </c>
      <c r="BM2020" s="905">
        <f>D2020</f>
        <v>2020</v>
      </c>
      <c r="BO2020" s="658" t="s">
        <v>251</v>
      </c>
      <c r="BP2020" s="676" t="s">
        <v>347</v>
      </c>
      <c r="CU2020" s="659"/>
      <c r="CW2020" s="671">
        <v>30</v>
      </c>
      <c r="CY2020" s="905" t="str">
        <f t="shared" ref="CY2020:DO2020" ca="1" si="539">INDIRECT($CX$1&amp;CY$1&amp;$CW2020)</f>
        <v>Windpark-Fl.
Onshore</v>
      </c>
      <c r="CZ2020" s="905" t="str">
        <f t="shared" ca="1" si="539"/>
        <v>2.1.5 Für Windparks genutzte Abstands-Flächen (Onshore)</v>
      </c>
      <c r="DA2020" s="905">
        <f t="shared" ca="1" si="539"/>
        <v>36590.400000000001</v>
      </c>
      <c r="DB2020" s="905">
        <f t="shared" ca="1" si="539"/>
        <v>119034.45</v>
      </c>
      <c r="DC2020" s="905" t="str">
        <f t="shared" ca="1" si="539"/>
        <v xml:space="preserve"> 191</v>
      </c>
      <c r="DD2020" s="905" t="str">
        <f t="shared" ca="1" si="539"/>
        <v xml:space="preserve"> 59</v>
      </c>
      <c r="DE2020" s="905" t="str">
        <f t="shared" ca="1" si="539"/>
        <v>Wi20</v>
      </c>
      <c r="DF2020" s="905" t="str">
        <f t="shared" ca="1" si="539"/>
        <v>Wi40</v>
      </c>
      <c r="DG2020" s="905" t="str">
        <f t="shared" ca="1" si="539"/>
        <v>Wi</v>
      </c>
      <c r="DH2020" s="905" t="str">
        <f t="shared" ca="1" si="539"/>
        <v>20</v>
      </c>
      <c r="DI2020" s="905" t="str">
        <f t="shared" ca="1" si="539"/>
        <v>[Wi.xls]TEXT!Z20S5</v>
      </c>
      <c r="DJ2020" s="905" t="str">
        <f t="shared" ca="1" si="539"/>
        <v>Wi</v>
      </c>
      <c r="DK2020" s="905" t="str">
        <f t="shared" ca="1" si="539"/>
        <v>40</v>
      </c>
      <c r="DL2020" s="905" t="str">
        <f t="shared" ca="1" si="539"/>
        <v>[Wi.xls]TEXT!Z40S5</v>
      </c>
      <c r="DM2020" s="905">
        <f t="shared" ca="1" si="539"/>
        <v>30</v>
      </c>
      <c r="DN2020" s="905" t="str">
        <f t="shared" ca="1" si="539"/>
        <v>[Region.xls]PARAMETER!Z191S6</v>
      </c>
      <c r="DO2020" s="905" t="str">
        <f t="shared" ca="1" si="539"/>
        <v>[Region.xls]PARAMETER!Z59S6</v>
      </c>
      <c r="DP2020" s="905"/>
      <c r="DS2020" s="905"/>
      <c r="DV2020" s="905"/>
      <c r="DW2020" s="905"/>
      <c r="DX2020" s="905"/>
      <c r="DY2020" s="905"/>
      <c r="DZ2020" s="905"/>
      <c r="EA2020" s="905"/>
      <c r="EB2020" s="905"/>
      <c r="EC2020" s="905"/>
      <c r="ED2020" s="905"/>
      <c r="EE2020" s="905"/>
      <c r="EF2020" s="905"/>
      <c r="EG2020" s="905"/>
      <c r="EH2020" s="905"/>
      <c r="EI2020" s="905"/>
      <c r="EJ2020" s="905"/>
      <c r="EK2020" s="905"/>
      <c r="EV2020" s="819">
        <f t="shared" si="537"/>
        <v>2020</v>
      </c>
      <c r="EW2020" s="819"/>
      <c r="EY2020" s="1044"/>
      <c r="EZ2020" s="1044"/>
      <c r="FA2020" s="1044"/>
    </row>
    <row r="2021" spans="1:157" s="905" customFormat="1" ht="96" hidden="1" customHeight="1">
      <c r="A2021" s="654" t="str">
        <f t="shared" ca="1" si="534"/>
        <v>D.1.2021</v>
      </c>
      <c r="B2021" s="654" t="str">
        <f t="shared" ca="1" si="535"/>
        <v>1.2021</v>
      </c>
      <c r="C2021" s="654" t="str">
        <f t="shared" si="536"/>
        <v>[2021]</v>
      </c>
      <c r="D2021" s="654">
        <f>ROW()</f>
        <v>2021</v>
      </c>
      <c r="E2021" s="1127" t="e">
        <f>CU2021</f>
        <v>#REF!</v>
      </c>
      <c r="F2021" s="1127"/>
      <c r="G2021" s="1127"/>
      <c r="H2021" s="1127"/>
      <c r="I2021" s="1127"/>
      <c r="J2021" s="1127"/>
      <c r="K2021" s="1127"/>
      <c r="L2021" s="1127"/>
      <c r="M2021" s="1127"/>
      <c r="N2021" s="1127"/>
      <c r="O2021" s="869"/>
      <c r="P2021" s="691" t="e">
        <f ca="1">HYPERLINK(EK2021,EJ2021)</f>
        <v>#REF!</v>
      </c>
      <c r="Q2021" s="692" t="str">
        <f>Y2021</f>
        <v xml:space="preserve"> </v>
      </c>
      <c r="R2021" s="830"/>
      <c r="S2021" s="784"/>
      <c r="T2021" s="895" t="s">
        <v>852</v>
      </c>
      <c r="U2021" s="1033" t="e">
        <f>"Stellt die künftig zu belegende Gesamt-Windparkfläche auf Grundlage einer Studie  von "&amp;#REF!&amp;" ["&amp;#REF!&amp;"] dar: Summe der tatsächlich mit Windenergieanlagen belegten Flächenanteile der 'ohne Restriktionen nutzbaren Potenzialflächen' im Szenario gemäß "&amp;C2012&amp;". Damit werden die Windpark-Umgrenzungsflächen um die äußeren Anlagenstandorte herum und somit die räumliche Ausdehung der Windparks unter Berücksichtigung der räumlichen Gegebenheiten bei flächenorientierter Platzierung der Anlagen erfasst. "&amp;"Da zum einen wegen Bindung an räumliche Gegebenheiten nicht skalierbar und andererseits keine vergleichbaren Aussagen zum Status vorliegen, wird diese Flächenangabe ergänzt durch die parallel geführte 'Belegung (Ernteflächen) "&amp;C2088&amp;"."</f>
        <v>#REF!</v>
      </c>
      <c r="V2021" s="905" t="s">
        <v>126</v>
      </c>
      <c r="W2021" s="1024"/>
      <c r="X2021" s="672" t="e">
        <f>#REF!</f>
        <v>#REF!</v>
      </c>
      <c r="Y2021" s="672" t="s">
        <v>126</v>
      </c>
      <c r="Z2021" s="1025"/>
      <c r="AB2021" s="801"/>
      <c r="AC2021" s="1031"/>
      <c r="AD2021" s="801"/>
      <c r="AE2021" s="801"/>
      <c r="AF2021" s="801"/>
      <c r="AG2021" s="801"/>
      <c r="AH2021" s="801"/>
      <c r="AI2021" s="801"/>
      <c r="AJ2021" s="801"/>
      <c r="AK2021" s="801"/>
      <c r="AL2021" s="801"/>
      <c r="AM2021" s="801"/>
      <c r="AN2021" s="801"/>
      <c r="AO2021" s="801"/>
      <c r="AP2021" s="801"/>
      <c r="AQ2021" s="801"/>
      <c r="AR2021" s="801"/>
      <c r="AS2021" s="801"/>
      <c r="AT2021" s="801"/>
      <c r="AU2021" s="801"/>
      <c r="AV2021" s="801"/>
      <c r="BF2021" s="657"/>
      <c r="BI2021" s="905" t="s">
        <v>126</v>
      </c>
      <c r="BJ2021" s="666"/>
      <c r="BO2021" s="905" t="s">
        <v>252</v>
      </c>
      <c r="CU2021" s="663" t="e">
        <f>IF(U2021="",BF2021,U2021)</f>
        <v>#REF!</v>
      </c>
      <c r="CW2021" s="663"/>
      <c r="DT2021" s="671"/>
      <c r="EJ2021" s="905" t="e">
        <f>IF(X2021=0,"",EJ$1&amp;X2021)</f>
        <v>#REF!</v>
      </c>
      <c r="EK2021" s="905" t="e">
        <f ca="1">EK$1&amp;X2021</f>
        <v>#REF!</v>
      </c>
      <c r="EV2021" s="819" t="e">
        <f t="shared" si="537"/>
        <v>#REF!</v>
      </c>
      <c r="EW2021" s="819"/>
      <c r="EY2021" s="655"/>
      <c r="EZ2021" s="655"/>
      <c r="FA2021" s="655"/>
    </row>
    <row r="2022" spans="1:157" s="661" customFormat="1" ht="5.25" hidden="1" customHeight="1">
      <c r="A2022" s="677" t="str">
        <f t="shared" ca="1" si="534"/>
        <v>D.1.2022</v>
      </c>
      <c r="B2022" s="677" t="str">
        <f t="shared" ca="1" si="535"/>
        <v>1.2022</v>
      </c>
      <c r="C2022" s="677" t="str">
        <f t="shared" si="536"/>
        <v>[2022]</v>
      </c>
      <c r="D2022" s="677">
        <f>ROW()</f>
        <v>2022</v>
      </c>
      <c r="E2022" s="1045"/>
      <c r="F2022" s="1045"/>
      <c r="G2022" s="1045"/>
      <c r="H2022" s="1045"/>
      <c r="I2022" s="1046"/>
      <c r="J2022" s="1046"/>
      <c r="K2022" s="1046"/>
      <c r="L2022" s="1046"/>
      <c r="M2022" s="1046"/>
      <c r="N2022" s="1045"/>
      <c r="O2022" s="871"/>
      <c r="P2022" s="688"/>
      <c r="Q2022" s="689"/>
      <c r="R2022" s="1047"/>
      <c r="S2022" s="802"/>
      <c r="T2022" s="1048" t="s">
        <v>852</v>
      </c>
      <c r="AB2022" s="675"/>
      <c r="AC2022" s="1036"/>
      <c r="AD2022" s="675"/>
      <c r="AE2022" s="675"/>
      <c r="AF2022" s="675"/>
      <c r="AG2022" s="675"/>
      <c r="AH2022" s="675"/>
      <c r="AI2022" s="675"/>
      <c r="AJ2022" s="675"/>
      <c r="AK2022" s="675"/>
      <c r="AL2022" s="675"/>
      <c r="AM2022" s="675"/>
      <c r="AN2022" s="675"/>
      <c r="AO2022" s="675"/>
      <c r="AP2022" s="675"/>
      <c r="AQ2022" s="675"/>
      <c r="AR2022" s="675"/>
      <c r="AS2022" s="675"/>
      <c r="AT2022" s="675"/>
      <c r="AU2022" s="675"/>
      <c r="AV2022" s="675"/>
      <c r="BI2022" s="661" t="s">
        <v>126</v>
      </c>
      <c r="BJ2022" s="665"/>
      <c r="CU2022" s="662"/>
      <c r="CW2022" s="662"/>
      <c r="EV2022" s="818" t="str">
        <f t="shared" si="537"/>
        <v/>
      </c>
      <c r="EW2022" s="818"/>
      <c r="EY2022" s="1021"/>
      <c r="EZ2022" s="1021"/>
      <c r="FA2022" s="1021"/>
    </row>
    <row r="2023" spans="1:157" s="905" customFormat="1" ht="72" hidden="1" customHeight="1">
      <c r="A2023" s="654" t="str">
        <f t="shared" ca="1" si="534"/>
        <v>D.1.2023</v>
      </c>
      <c r="B2023" s="654" t="str">
        <f t="shared" ca="1" si="535"/>
        <v>1.2023</v>
      </c>
      <c r="C2023" s="654" t="str">
        <f t="shared" si="536"/>
        <v>[2023]</v>
      </c>
      <c r="D2023" s="654">
        <f>ROW()</f>
        <v>2023</v>
      </c>
      <c r="E2023" s="1128" t="e">
        <f ca="1">CU2023</f>
        <v>#REF!</v>
      </c>
      <c r="F2023" s="1128"/>
      <c r="G2023" s="1128"/>
      <c r="H2023" s="1128"/>
      <c r="I2023" s="1128"/>
      <c r="J2023" s="1128"/>
      <c r="K2023" s="1128"/>
      <c r="L2023" s="1128"/>
      <c r="M2023" s="1128"/>
      <c r="N2023" s="1128"/>
      <c r="O2023" s="869"/>
      <c r="P2023" s="691" t="e">
        <f ca="1">HYPERLINK(EK2023,EJ2023)</f>
        <v>#REF!</v>
      </c>
      <c r="Q2023" s="692" t="s">
        <v>359</v>
      </c>
      <c r="R2023" s="830"/>
      <c r="S2023" s="784"/>
      <c r="T2023" s="895" t="s">
        <v>852</v>
      </c>
      <c r="U2023" s="1023" t="e">
        <f ca="1">"Nicht relevant. Aussagen zum Status sind in der Studie ["&amp;P2023&amp;"] nicht enthalten und wären methodisch auch nicht sinnvoll, da mit "&amp;AE2023&amp;" % der überwiegende Teil des Anlagenbestandes außerhalb der identifizierten Potenzialflächen liegt ("&amp;Q2023&amp;"), die als Bezugsgröße dient. Ein weiterer Grund: Der heutige Anlagenbestand nimmt wegen suboptimaler Verdichtung tatsächlich eine größere Fläche ein, als mit der Methodik zu ermitteln wäre. "&amp;"Aus diesem Grund wird parallel eine weitere Flächenkennzahl geführt: '"&amp;E2088&amp;"' "&amp;C2088&amp;"."</f>
        <v>#REF!</v>
      </c>
      <c r="V2023" s="905" t="s">
        <v>126</v>
      </c>
      <c r="W2023" s="1024" t="s">
        <v>358</v>
      </c>
      <c r="X2023" s="672" t="e">
        <f>#REF!</f>
        <v>#REF!</v>
      </c>
      <c r="Y2023" s="672" t="s">
        <v>126</v>
      </c>
      <c r="Z2023" s="1025"/>
      <c r="AA2023" s="658"/>
      <c r="AB2023" s="801"/>
      <c r="AC2023" s="1031"/>
      <c r="AD2023" s="801">
        <v>37.5</v>
      </c>
      <c r="AE2023" s="801">
        <f>100-AD2023</f>
        <v>62.5</v>
      </c>
      <c r="AF2023" s="801"/>
      <c r="AG2023" s="801"/>
      <c r="AH2023" s="801"/>
      <c r="AI2023" s="801"/>
      <c r="AJ2023" s="801"/>
      <c r="AK2023" s="801"/>
      <c r="AL2023" s="801"/>
      <c r="AM2023" s="801"/>
      <c r="AN2023" s="801"/>
      <c r="AO2023" s="801"/>
      <c r="AP2023" s="801"/>
      <c r="AQ2023" s="801"/>
      <c r="AR2023" s="801"/>
      <c r="AS2023" s="801"/>
      <c r="AT2023" s="801"/>
      <c r="AU2023" s="801"/>
      <c r="AV2023" s="801"/>
      <c r="BF2023" s="657"/>
      <c r="BI2023" s="905" t="s">
        <v>126</v>
      </c>
      <c r="BJ2023" s="666"/>
      <c r="BO2023" s="905" t="s">
        <v>259</v>
      </c>
      <c r="CU2023" s="663" t="e">
        <f ca="1">CG$1&amp;IF(U2023="",BF2023,U2023)</f>
        <v>#REF!</v>
      </c>
      <c r="CW2023" s="663"/>
      <c r="DT2023" s="671" t="e">
        <f>#REF!</f>
        <v>#REF!</v>
      </c>
      <c r="EJ2023" s="905" t="e">
        <f>IF(X2023=0,"",EJ$1&amp;X2023)</f>
        <v>#REF!</v>
      </c>
      <c r="EK2023" s="905" t="e">
        <f ca="1">EK$1&amp;X2023</f>
        <v>#REF!</v>
      </c>
      <c r="EV2023" s="819" t="e">
        <f t="shared" ca="1" si="537"/>
        <v>#REF!</v>
      </c>
      <c r="EW2023" s="819"/>
      <c r="EY2023" s="655"/>
      <c r="EZ2023" s="655"/>
      <c r="FA2023" s="655"/>
    </row>
    <row r="2024" spans="1:157" s="661" customFormat="1" ht="5.25" hidden="1" customHeight="1">
      <c r="A2024" s="677" t="str">
        <f t="shared" ca="1" si="534"/>
        <v>D.1.2024</v>
      </c>
      <c r="B2024" s="677" t="str">
        <f t="shared" ca="1" si="535"/>
        <v>1.2024</v>
      </c>
      <c r="C2024" s="677" t="str">
        <f t="shared" si="536"/>
        <v>[2024]</v>
      </c>
      <c r="D2024" s="677">
        <f>ROW()</f>
        <v>2024</v>
      </c>
      <c r="E2024" s="1045"/>
      <c r="F2024" s="1045"/>
      <c r="G2024" s="1045"/>
      <c r="H2024" s="1045"/>
      <c r="I2024" s="1046"/>
      <c r="J2024" s="1046"/>
      <c r="K2024" s="1046"/>
      <c r="L2024" s="1046"/>
      <c r="M2024" s="1046"/>
      <c r="N2024" s="1045"/>
      <c r="O2024" s="871"/>
      <c r="P2024" s="688"/>
      <c r="Q2024" s="689"/>
      <c r="R2024" s="1047"/>
      <c r="S2024" s="802"/>
      <c r="T2024" s="1048" t="s">
        <v>852</v>
      </c>
      <c r="AB2024" s="675"/>
      <c r="AC2024" s="1036"/>
      <c r="AD2024" s="675"/>
      <c r="AE2024" s="675"/>
      <c r="AF2024" s="675"/>
      <c r="AG2024" s="675"/>
      <c r="AH2024" s="675"/>
      <c r="AI2024" s="675"/>
      <c r="AJ2024" s="675"/>
      <c r="AK2024" s="675"/>
      <c r="AL2024" s="675"/>
      <c r="AM2024" s="675"/>
      <c r="AN2024" s="675"/>
      <c r="AO2024" s="675"/>
      <c r="AP2024" s="675"/>
      <c r="AQ2024" s="675"/>
      <c r="AR2024" s="675"/>
      <c r="AS2024" s="675"/>
      <c r="AT2024" s="675"/>
      <c r="AU2024" s="675"/>
      <c r="AV2024" s="675"/>
      <c r="BI2024" s="661" t="s">
        <v>126</v>
      </c>
      <c r="BJ2024" s="665"/>
      <c r="CU2024" s="662"/>
      <c r="CW2024" s="662"/>
      <c r="EV2024" s="818" t="str">
        <f t="shared" si="537"/>
        <v/>
      </c>
      <c r="EW2024" s="818"/>
      <c r="EY2024" s="1021"/>
      <c r="EZ2024" s="1021"/>
      <c r="FA2024" s="1021"/>
    </row>
    <row r="2025" spans="1:157" s="905" customFormat="1" ht="36" hidden="1" customHeight="1">
      <c r="A2025" s="654" t="str">
        <f t="shared" ca="1" si="534"/>
        <v>D.1.2025</v>
      </c>
      <c r="B2025" s="654" t="str">
        <f t="shared" ca="1" si="535"/>
        <v>1.2025</v>
      </c>
      <c r="C2025" s="654" t="str">
        <f t="shared" si="536"/>
        <v>[2025]</v>
      </c>
      <c r="D2025" s="654">
        <f>ROW()</f>
        <v>2025</v>
      </c>
      <c r="E2025" s="1127" t="e">
        <f>CU2025</f>
        <v>#REF!</v>
      </c>
      <c r="F2025" s="1127"/>
      <c r="G2025" s="1127"/>
      <c r="H2025" s="1127"/>
      <c r="I2025" s="1127"/>
      <c r="J2025" s="1127"/>
      <c r="K2025" s="1127"/>
      <c r="L2025" s="1127"/>
      <c r="M2025" s="1127"/>
      <c r="N2025" s="1127"/>
      <c r="O2025" s="869"/>
      <c r="P2025" s="691" t="str">
        <f ca="1">HYPERLINK(EK2025,EJ2025)</f>
        <v/>
      </c>
      <c r="Q2025" s="692" t="str">
        <f>Y2025</f>
        <v xml:space="preserve"> </v>
      </c>
      <c r="R2025" s="830"/>
      <c r="S2025" s="784"/>
      <c r="T2025" s="895" t="s">
        <v>852</v>
      </c>
      <c r="U2025" s="1023" t="e">
        <f>TEXT(AJ2025,"0.000")&amp;AK2025&amp;" der Potenzialflächen gemäß "&amp;#REF!&amp;" sind mit Windenergieanlagen tatsächlich belegt ("&amp;TEXT(AL2025,"0,0")&amp;AM2025&amp;" der Bodenfläche Niedersachsens "&amp;C1902&amp;"), resultierend aus einer gegenüber der Studie "&amp;C2103&amp;" ("&amp;TEXT(AF2025,"0.000")&amp;" ha) erhöhtem Flächenansatz von "&amp;TEXT(AH2025,"0,0")&amp;AI2025&amp;C2092&amp;"."</f>
        <v>#REF!</v>
      </c>
      <c r="V2025" s="905" t="s">
        <v>126</v>
      </c>
      <c r="W2025" s="786">
        <f>AJ2025</f>
        <v>0</v>
      </c>
      <c r="X2025" s="672"/>
      <c r="Y2025" s="672" t="s">
        <v>126</v>
      </c>
      <c r="Z2025" s="1025"/>
      <c r="AB2025" s="801"/>
      <c r="AC2025" s="1031"/>
      <c r="AD2025" s="687">
        <f>K1902</f>
        <v>0</v>
      </c>
      <c r="AE2025" s="801" t="s">
        <v>289</v>
      </c>
      <c r="AF2025" s="801">
        <f>AH2103*AD2025%</f>
        <v>0</v>
      </c>
      <c r="AG2025" s="801" t="s">
        <v>289</v>
      </c>
      <c r="AH2025" s="801">
        <f>AL2092</f>
        <v>0</v>
      </c>
      <c r="AI2025" s="801">
        <f>AM2092</f>
        <v>0</v>
      </c>
      <c r="AJ2025" s="801">
        <f>AF2025*AH2025%</f>
        <v>0</v>
      </c>
      <c r="AK2025" s="801" t="s">
        <v>382</v>
      </c>
      <c r="AL2025" s="801" t="e">
        <f>AJ2025/AD2025%</f>
        <v>#DIV/0!</v>
      </c>
      <c r="AM2025" s="801" t="s">
        <v>835</v>
      </c>
      <c r="AN2025" s="801"/>
      <c r="AO2025" s="801"/>
      <c r="AP2025" s="801"/>
      <c r="AQ2025" s="801"/>
      <c r="AR2025" s="801"/>
      <c r="AS2025" s="801"/>
      <c r="AT2025" s="801"/>
      <c r="AU2025" s="801"/>
      <c r="AV2025" s="801"/>
      <c r="BF2025" s="657"/>
      <c r="BI2025" s="905" t="s">
        <v>126</v>
      </c>
      <c r="BJ2025" s="666"/>
      <c r="BO2025" s="905" t="s">
        <v>259</v>
      </c>
      <c r="CU2025" s="663" t="e">
        <f>CH$1&amp;IF(U2025="",BF2025,U2025)</f>
        <v>#REF!</v>
      </c>
      <c r="CW2025" s="663"/>
      <c r="DT2025" s="671">
        <v>53</v>
      </c>
      <c r="EJ2025" s="905" t="str">
        <f>IF(X2025=0,"",EJ$1&amp;X2025)</f>
        <v/>
      </c>
      <c r="EK2025" s="905" t="str">
        <f ca="1">EK$1&amp;X2025</f>
        <v>[D_Python.xlsx]9.Quellen!C</v>
      </c>
      <c r="EV2025" s="819" t="e">
        <f t="shared" si="537"/>
        <v>#REF!</v>
      </c>
      <c r="EW2025" s="819"/>
      <c r="EY2025" s="655"/>
      <c r="EZ2025" s="655"/>
      <c r="FA2025" s="655"/>
    </row>
    <row r="2026" spans="1:157" s="757" customFormat="1" ht="5.5" customHeight="1">
      <c r="A2026" s="487"/>
      <c r="B2026" s="487"/>
      <c r="C2026" s="487"/>
      <c r="D2026" s="487"/>
      <c r="I2026" s="487"/>
      <c r="J2026" s="487"/>
      <c r="K2026" s="487"/>
      <c r="L2026" s="487"/>
      <c r="M2026" s="487"/>
      <c r="N2026" s="487"/>
      <c r="O2026" s="875"/>
      <c r="Q2026" s="704"/>
      <c r="R2026" s="520"/>
      <c r="S2026" s="704"/>
      <c r="AB2026" s="520"/>
      <c r="AC2026" s="1032"/>
      <c r="AD2026" s="520"/>
      <c r="AE2026" s="520"/>
      <c r="AF2026" s="520"/>
      <c r="AG2026" s="520"/>
      <c r="AH2026" s="520"/>
      <c r="AI2026" s="520"/>
      <c r="AJ2026" s="520"/>
      <c r="AK2026" s="520"/>
      <c r="AL2026" s="520"/>
      <c r="AM2026" s="520"/>
      <c r="AN2026" s="520"/>
      <c r="AO2026" s="520"/>
      <c r="AP2026" s="520"/>
      <c r="AQ2026" s="520"/>
      <c r="AR2026" s="520"/>
      <c r="AS2026" s="520"/>
      <c r="AT2026" s="520"/>
      <c r="AU2026" s="520"/>
      <c r="AV2026" s="520"/>
      <c r="AY2026" s="507"/>
      <c r="BA2026" s="507"/>
      <c r="BJ2026" s="493"/>
      <c r="CU2026" s="488"/>
      <c r="CW2026" s="488"/>
      <c r="EV2026" s="821"/>
      <c r="EW2026" s="821"/>
      <c r="EY2026" s="487"/>
      <c r="EZ2026" s="487"/>
      <c r="FA2026" s="487"/>
    </row>
    <row r="2027" spans="1:157" s="905" customFormat="1" ht="13">
      <c r="A2027" s="654" t="str">
        <f t="shared" ref="A2027:A2044" ca="1" si="540">BT$1&amp;D2027</f>
        <v>D.1.2027</v>
      </c>
      <c r="B2027" s="654" t="str">
        <f t="shared" ref="B2027:B2044" ca="1" si="541">BW$1&amp;D2027</f>
        <v>1.2027</v>
      </c>
      <c r="C2027" s="654" t="str">
        <f t="shared" ref="C2027:C2044" si="542">CE$1&amp;D2027&amp;CF$1</f>
        <v>[2027]</v>
      </c>
      <c r="D2027" s="654">
        <f>ROW()</f>
        <v>2027</v>
      </c>
      <c r="E2027" s="481" t="str">
        <f>BP2027</f>
        <v>Windleistungspotenzial offshore (Deutschland gesamt)</v>
      </c>
      <c r="F2027" s="482"/>
      <c r="G2027" s="482"/>
      <c r="H2027" s="482"/>
      <c r="I2027" s="482"/>
      <c r="J2027" s="484"/>
      <c r="K2027" s="484"/>
      <c r="L2027" s="484"/>
      <c r="M2027" s="484"/>
      <c r="N2027" s="483"/>
      <c r="O2027" s="869"/>
      <c r="P2027" s="568"/>
      <c r="Q2027" s="569"/>
      <c r="R2027" s="801"/>
      <c r="S2027" s="804"/>
      <c r="AB2027" s="801"/>
      <c r="AC2027" s="1031"/>
      <c r="AD2027" s="801"/>
      <c r="AE2027" s="801"/>
      <c r="AF2027" s="801"/>
      <c r="AG2027" s="801"/>
      <c r="AH2027" s="801"/>
      <c r="AI2027" s="801"/>
      <c r="AJ2027" s="801"/>
      <c r="AK2027" s="801"/>
      <c r="AL2027" s="801"/>
      <c r="AM2027" s="801"/>
      <c r="AN2027" s="801"/>
      <c r="AO2027" s="801"/>
      <c r="AP2027" s="801"/>
      <c r="AQ2027" s="801"/>
      <c r="AR2027" s="801"/>
      <c r="AS2027" s="801"/>
      <c r="AT2027" s="801"/>
      <c r="AU2027" s="801"/>
      <c r="AV2027" s="801"/>
      <c r="AZ2027" s="504"/>
      <c r="BB2027" s="506"/>
      <c r="BI2027" s="905" t="s">
        <v>126</v>
      </c>
      <c r="BJ2027" s="666"/>
      <c r="BO2027" s="905" t="s">
        <v>250</v>
      </c>
      <c r="BP2027" s="671" t="s">
        <v>1236</v>
      </c>
      <c r="CU2027" s="663"/>
      <c r="CW2027" s="663"/>
      <c r="EV2027" s="819">
        <f t="shared" ref="EV2027:EV2044" si="543">IF(U2027&amp;BP2027="","",D2027)</f>
        <v>2027</v>
      </c>
      <c r="EW2027" s="819"/>
      <c r="EY2027" s="655"/>
      <c r="EZ2027" s="655"/>
      <c r="FA2027" s="655"/>
    </row>
    <row r="2028" spans="1:157" s="661" customFormat="1" ht="4.5" customHeight="1">
      <c r="A2028" s="677" t="str">
        <f t="shared" ca="1" si="540"/>
        <v>D.1.2028</v>
      </c>
      <c r="B2028" s="677" t="str">
        <f t="shared" ca="1" si="541"/>
        <v>1.2028</v>
      </c>
      <c r="C2028" s="677" t="str">
        <f t="shared" si="542"/>
        <v>[2028]</v>
      </c>
      <c r="D2028" s="677">
        <f>ROW()</f>
        <v>2028</v>
      </c>
      <c r="I2028" s="1021"/>
      <c r="J2028" s="1021"/>
      <c r="K2028" s="1021"/>
      <c r="L2028" s="1021"/>
      <c r="M2028" s="1021"/>
      <c r="O2028" s="871"/>
      <c r="P2028" s="688"/>
      <c r="Q2028" s="689"/>
      <c r="R2028" s="675"/>
      <c r="S2028" s="802"/>
      <c r="AB2028" s="675"/>
      <c r="AC2028" s="1036"/>
      <c r="AD2028" s="675"/>
      <c r="AE2028" s="675"/>
      <c r="AF2028" s="675"/>
      <c r="AG2028" s="675"/>
      <c r="AH2028" s="675"/>
      <c r="AI2028" s="675"/>
      <c r="AJ2028" s="675"/>
      <c r="AK2028" s="675"/>
      <c r="AL2028" s="675"/>
      <c r="AM2028" s="675"/>
      <c r="AN2028" s="675"/>
      <c r="AO2028" s="675"/>
      <c r="AP2028" s="675"/>
      <c r="AQ2028" s="675"/>
      <c r="AR2028" s="675"/>
      <c r="AS2028" s="675"/>
      <c r="AT2028" s="675"/>
      <c r="AU2028" s="675"/>
      <c r="AV2028" s="675"/>
      <c r="AZ2028" s="669"/>
      <c r="BB2028" s="669"/>
      <c r="BI2028" s="661" t="s">
        <v>126</v>
      </c>
      <c r="BJ2028" s="665"/>
      <c r="CU2028" s="662"/>
      <c r="CW2028" s="662"/>
      <c r="EV2028" s="818" t="str">
        <f t="shared" si="543"/>
        <v/>
      </c>
      <c r="EW2028" s="818"/>
      <c r="EY2028" s="1021"/>
      <c r="EZ2028" s="1021"/>
      <c r="FA2028" s="1021"/>
    </row>
    <row r="2029" spans="1:157" s="658" customFormat="1" ht="13.5" customHeight="1">
      <c r="A2029" s="654" t="str">
        <f t="shared" ca="1" si="540"/>
        <v>D.1.2029</v>
      </c>
      <c r="B2029" s="654" t="str">
        <f t="shared" ca="1" si="541"/>
        <v>1.2029</v>
      </c>
      <c r="C2029" s="654" t="str">
        <f t="shared" si="542"/>
        <v>[2029]</v>
      </c>
      <c r="D2029" s="654">
        <f>ROW()</f>
        <v>2029</v>
      </c>
      <c r="F2029" s="1037" t="s">
        <v>1237</v>
      </c>
      <c r="G2029" s="1038">
        <f ca="1">INDIRECT($W$1&amp;U2029)</f>
        <v>9.6</v>
      </c>
      <c r="H2029" s="1039" t="str">
        <f ca="1">HYPERLINK($CK$1&amp;U2029,$CE$1&amp;U2029&amp;$CF$1)</f>
        <v>[2031]</v>
      </c>
      <c r="I2029" s="1040">
        <f ca="1">INDIRECT($W$1&amp;W2029)</f>
        <v>15</v>
      </c>
      <c r="J2029" s="1039" t="str">
        <f ca="1">HYPERLINK($CK$1&amp;W2029,$CE$1&amp;W2029&amp;$CF$1)</f>
        <v>[2033]</v>
      </c>
      <c r="K2029" s="1041">
        <f ca="1">INDIRECT($W$1&amp;X2029)</f>
        <v>54</v>
      </c>
      <c r="L2029" s="1039" t="str">
        <f ca="1">HYPERLINK($CK$1&amp;X2029,$CE$1&amp;X2029&amp;$CF$1)</f>
        <v>[2035]</v>
      </c>
      <c r="M2029" s="1042">
        <f ca="1">INDIRECT($W$1&amp;Y2029)</f>
        <v>64.8</v>
      </c>
      <c r="N2029" s="1039" t="str">
        <f ca="1">HYPERLINK($CK$1&amp;Y2029,$CE$1&amp;Y2029&amp;$CF$1)</f>
        <v>[2037]</v>
      </c>
      <c r="O2029" s="869"/>
      <c r="P2029" s="690"/>
      <c r="Q2029" s="695"/>
      <c r="R2029" s="801"/>
      <c r="S2029" s="784"/>
      <c r="T2029" s="905"/>
      <c r="U2029" s="1043">
        <f>D2031</f>
        <v>2031</v>
      </c>
      <c r="V2029" s="905" t="s">
        <v>126</v>
      </c>
      <c r="W2029" s="1043">
        <f>D2033</f>
        <v>2033</v>
      </c>
      <c r="X2029" s="1043">
        <f>D2035</f>
        <v>2035</v>
      </c>
      <c r="Y2029" s="1043">
        <f>D2037</f>
        <v>2037</v>
      </c>
      <c r="AB2029" s="801"/>
      <c r="AC2029" s="1020"/>
      <c r="AD2029" s="674"/>
      <c r="AE2029" s="674"/>
      <c r="AF2029" s="674"/>
      <c r="AG2029" s="674"/>
      <c r="AH2029" s="674"/>
      <c r="AI2029" s="674"/>
      <c r="AJ2029" s="674"/>
      <c r="AK2029" s="674"/>
      <c r="AL2029" s="674"/>
      <c r="AM2029" s="674"/>
      <c r="AN2029" s="674"/>
      <c r="AO2029" s="674"/>
      <c r="AP2029" s="674"/>
      <c r="AQ2029" s="674"/>
      <c r="AR2029" s="674"/>
      <c r="AS2029" s="674"/>
      <c r="AT2029" s="674"/>
      <c r="AU2029" s="674"/>
      <c r="AV2029" s="674"/>
      <c r="AX2029" s="658" t="s">
        <v>244</v>
      </c>
      <c r="AY2029" s="1022">
        <f ca="1">DA2029</f>
        <v>36590.400000000001</v>
      </c>
      <c r="AZ2029" s="670" t="str">
        <f ca="1">HYPERLINK(DN2029,DC2029)</f>
        <v xml:space="preserve"> 191</v>
      </c>
      <c r="BA2029" s="1022">
        <f ca="1">DB2029</f>
        <v>119034.45</v>
      </c>
      <c r="BB2029" s="670" t="str">
        <f ca="1">HYPERLINK(DO2029,DD2029)</f>
        <v xml:space="preserve"> 59</v>
      </c>
      <c r="BC2029" s="658" t="str">
        <f ca="1">CY2029&amp;" | "&amp;CZ2029</f>
        <v>Windpark-Fl.
Onshore | 2.1.5 Für Windparks genutzte Abstands-Flächen (Onshore)</v>
      </c>
      <c r="BI2029" s="658" t="s">
        <v>126</v>
      </c>
      <c r="BJ2029" s="667" t="str">
        <f>F2029</f>
        <v>GW install. Leistung:</v>
      </c>
      <c r="BK2029" s="664">
        <f ca="1">G2029</f>
        <v>9.6</v>
      </c>
      <c r="BL2029" s="664">
        <f ca="1">M2029</f>
        <v>64.8</v>
      </c>
      <c r="BM2029" s="905">
        <f>D2029</f>
        <v>2029</v>
      </c>
      <c r="BO2029" s="658" t="s">
        <v>251</v>
      </c>
      <c r="CU2029" s="659"/>
      <c r="CW2029" s="671">
        <v>30</v>
      </c>
      <c r="CY2029" s="905" t="str">
        <f t="shared" ref="CY2029:DO2029" ca="1" si="544">INDIRECT($CX$1&amp;CY$1&amp;$CW2029)</f>
        <v>Windpark-Fl.
Onshore</v>
      </c>
      <c r="CZ2029" s="905" t="str">
        <f t="shared" ca="1" si="544"/>
        <v>2.1.5 Für Windparks genutzte Abstands-Flächen (Onshore)</v>
      </c>
      <c r="DA2029" s="905">
        <f t="shared" ca="1" si="544"/>
        <v>36590.400000000001</v>
      </c>
      <c r="DB2029" s="905">
        <f t="shared" ca="1" si="544"/>
        <v>119034.45</v>
      </c>
      <c r="DC2029" s="905" t="str">
        <f t="shared" ca="1" si="544"/>
        <v xml:space="preserve"> 191</v>
      </c>
      <c r="DD2029" s="905" t="str">
        <f t="shared" ca="1" si="544"/>
        <v xml:space="preserve"> 59</v>
      </c>
      <c r="DE2029" s="905" t="str">
        <f t="shared" ca="1" si="544"/>
        <v>Wi20</v>
      </c>
      <c r="DF2029" s="905" t="str">
        <f t="shared" ca="1" si="544"/>
        <v>Wi40</v>
      </c>
      <c r="DG2029" s="905" t="str">
        <f t="shared" ca="1" si="544"/>
        <v>Wi</v>
      </c>
      <c r="DH2029" s="905" t="str">
        <f t="shared" ca="1" si="544"/>
        <v>20</v>
      </c>
      <c r="DI2029" s="905" t="str">
        <f t="shared" ca="1" si="544"/>
        <v>[Wi.xls]TEXT!Z20S5</v>
      </c>
      <c r="DJ2029" s="905" t="str">
        <f t="shared" ca="1" si="544"/>
        <v>Wi</v>
      </c>
      <c r="DK2029" s="905" t="str">
        <f t="shared" ca="1" si="544"/>
        <v>40</v>
      </c>
      <c r="DL2029" s="905" t="str">
        <f t="shared" ca="1" si="544"/>
        <v>[Wi.xls]TEXT!Z40S5</v>
      </c>
      <c r="DM2029" s="905">
        <f t="shared" ca="1" si="544"/>
        <v>30</v>
      </c>
      <c r="DN2029" s="905" t="str">
        <f t="shared" ca="1" si="544"/>
        <v>[Region.xls]PARAMETER!Z191S6</v>
      </c>
      <c r="DO2029" s="905" t="str">
        <f t="shared" ca="1" si="544"/>
        <v>[Region.xls]PARAMETER!Z59S6</v>
      </c>
      <c r="DP2029" s="905"/>
      <c r="DS2029" s="905"/>
      <c r="DV2029" s="905"/>
      <c r="DW2029" s="905"/>
      <c r="DX2029" s="905"/>
      <c r="DY2029" s="905"/>
      <c r="DZ2029" s="905"/>
      <c r="EA2029" s="905"/>
      <c r="EB2029" s="905"/>
      <c r="EC2029" s="905"/>
      <c r="ED2029" s="905"/>
      <c r="EE2029" s="905"/>
      <c r="EF2029" s="905"/>
      <c r="EG2029" s="905"/>
      <c r="EH2029" s="905"/>
      <c r="EI2029" s="905"/>
      <c r="EJ2029" s="905"/>
      <c r="EK2029" s="905"/>
      <c r="EV2029" s="819">
        <f t="shared" si="543"/>
        <v>2029</v>
      </c>
      <c r="EW2029" s="819"/>
      <c r="EY2029" s="1044"/>
      <c r="EZ2029" s="1044"/>
      <c r="FA2029" s="1044"/>
    </row>
    <row r="2030" spans="1:157" s="661" customFormat="1" ht="4.5" customHeight="1">
      <c r="A2030" s="677" t="str">
        <f ca="1">BT$1&amp;D2030</f>
        <v>D.1.2030</v>
      </c>
      <c r="B2030" s="677" t="str">
        <f ca="1">BW$1&amp;D2030</f>
        <v>1.2030</v>
      </c>
      <c r="C2030" s="677" t="str">
        <f>CE$1&amp;D2030&amp;CF$1</f>
        <v>[2030]</v>
      </c>
      <c r="D2030" s="677">
        <f>ROW()</f>
        <v>2030</v>
      </c>
      <c r="I2030" s="1021"/>
      <c r="J2030" s="1021"/>
      <c r="K2030" s="1021"/>
      <c r="L2030" s="1021"/>
      <c r="M2030" s="1021"/>
      <c r="O2030" s="871"/>
      <c r="P2030" s="688"/>
      <c r="Q2030" s="689"/>
      <c r="R2030" s="675"/>
      <c r="S2030" s="802"/>
      <c r="AB2030" s="675"/>
      <c r="AC2030" s="1036"/>
      <c r="AD2030" s="675"/>
      <c r="AE2030" s="675"/>
      <c r="AF2030" s="675"/>
      <c r="AG2030" s="675"/>
      <c r="AH2030" s="675"/>
      <c r="AI2030" s="675"/>
      <c r="AJ2030" s="675"/>
      <c r="AK2030" s="675"/>
      <c r="AL2030" s="675"/>
      <c r="AM2030" s="675"/>
      <c r="AN2030" s="675"/>
      <c r="AO2030" s="675"/>
      <c r="AP2030" s="675"/>
      <c r="AQ2030" s="675"/>
      <c r="AR2030" s="675"/>
      <c r="AS2030" s="675"/>
      <c r="AT2030" s="675"/>
      <c r="AU2030" s="675"/>
      <c r="AV2030" s="675"/>
      <c r="AZ2030" s="669"/>
      <c r="BB2030" s="669"/>
      <c r="BI2030" s="661" t="s">
        <v>126</v>
      </c>
      <c r="BJ2030" s="665"/>
      <c r="CU2030" s="662"/>
      <c r="CW2030" s="662"/>
      <c r="EV2030" s="818" t="str">
        <f>IF(U2030&amp;BP2030="","",D2030)</f>
        <v/>
      </c>
      <c r="EW2030" s="818"/>
      <c r="EY2030" s="1021"/>
      <c r="EZ2030" s="1021"/>
      <c r="FA2030" s="1021"/>
    </row>
    <row r="2031" spans="1:157" s="905" customFormat="1" ht="26">
      <c r="A2031" s="654" t="str">
        <f t="shared" ca="1" si="540"/>
        <v>D.1.2031</v>
      </c>
      <c r="B2031" s="654" t="str">
        <f t="shared" ca="1" si="541"/>
        <v>1.2031</v>
      </c>
      <c r="C2031" s="654" t="str">
        <f t="shared" si="542"/>
        <v>[2031]</v>
      </c>
      <c r="D2031" s="654">
        <f>ROW()</f>
        <v>2031</v>
      </c>
      <c r="E2031" s="1125" t="str">
        <f>CU2031</f>
        <v>An Offshore-Windleistung waren Im Mai 2018 breits 5 GW am Netz, 2 GW im Bau, 1,5 GW genehmigt und 1,1 GW beantragt, zusammen 9,6 GW .</v>
      </c>
      <c r="F2031" s="1125"/>
      <c r="G2031" s="1125"/>
      <c r="H2031" s="1125"/>
      <c r="I2031" s="1125"/>
      <c r="J2031" s="1125"/>
      <c r="K2031" s="1125"/>
      <c r="L2031" s="1125"/>
      <c r="M2031" s="1125"/>
      <c r="N2031" s="1125"/>
      <c r="O2031" s="869"/>
      <c r="P2031" s="691" t="str">
        <f ca="1">HYPERLINK(EK2031,EJ2031)</f>
        <v>9.51</v>
      </c>
      <c r="Q2031" s="692" t="str">
        <f>Y2031</f>
        <v xml:space="preserve"> </v>
      </c>
      <c r="R2031" s="801"/>
      <c r="S2031" s="784"/>
      <c r="U2031" s="1023" t="str">
        <f>"An Offshore-Windleistung waren Im "&amp;AD2031&amp;" breits "&amp;AE2031&amp;AF2031&amp;", "&amp;AG2031&amp;AH2031&amp;", "&amp;AI2031&amp;AJ2031&amp;" und "&amp;AK2031&amp;AL2031&amp;", zusammen "&amp;AM2031&amp;AN2031&amp;"."</f>
        <v>An Offshore-Windleistung waren Im Mai 2018 breits 5 GW am Netz, 2 GW im Bau, 1,5 GW genehmigt und 1,1 GW beantragt, zusammen 9,6 GW .</v>
      </c>
      <c r="V2031" s="905" t="s">
        <v>126</v>
      </c>
      <c r="W2031" s="1035">
        <f>AM2031</f>
        <v>9.6</v>
      </c>
      <c r="X2031" s="672">
        <f>'9.Quellen'!C51</f>
        <v>51</v>
      </c>
      <c r="Y2031" s="672" t="s">
        <v>126</v>
      </c>
      <c r="Z2031" s="1025"/>
      <c r="AA2031" s="658"/>
      <c r="AB2031" s="801"/>
      <c r="AC2031" s="1020">
        <v>44039</v>
      </c>
      <c r="AD2031" s="854" t="s">
        <v>1238</v>
      </c>
      <c r="AE2031" s="801">
        <v>5</v>
      </c>
      <c r="AF2031" s="687" t="s">
        <v>1239</v>
      </c>
      <c r="AG2031" s="801">
        <v>2</v>
      </c>
      <c r="AH2031" s="801" t="s">
        <v>1240</v>
      </c>
      <c r="AI2031" s="801">
        <v>1.5</v>
      </c>
      <c r="AJ2031" s="801" t="s">
        <v>1241</v>
      </c>
      <c r="AK2031" s="801">
        <v>1.1000000000000001</v>
      </c>
      <c r="AL2031" s="801" t="s">
        <v>1242</v>
      </c>
      <c r="AM2031" s="801">
        <f>AE2031+AG2031+AI2031+AK2031</f>
        <v>9.6</v>
      </c>
      <c r="AN2031" s="801" t="s">
        <v>840</v>
      </c>
      <c r="AO2031" s="801"/>
      <c r="AP2031" s="801"/>
      <c r="AQ2031" s="801"/>
      <c r="AR2031" s="801"/>
      <c r="AS2031" s="801"/>
      <c r="AT2031" s="801"/>
      <c r="AU2031" s="801"/>
      <c r="AV2031" s="801"/>
      <c r="BF2031" s="657"/>
      <c r="BI2031" s="905" t="s">
        <v>126</v>
      </c>
      <c r="BJ2031" s="666"/>
      <c r="BO2031" s="905" t="s">
        <v>259</v>
      </c>
      <c r="CU2031" s="663" t="str">
        <f>CG$2&amp;IF(U2031="",BF2031,U2031)</f>
        <v>An Offshore-Windleistung waren Im Mai 2018 breits 5 GW am Netz, 2 GW im Bau, 1,5 GW genehmigt und 1,1 GW beantragt, zusammen 9,6 GW .</v>
      </c>
      <c r="CW2031" s="663"/>
      <c r="DT2031" s="671" t="e">
        <f>#REF!</f>
        <v>#REF!</v>
      </c>
      <c r="EJ2031" s="905" t="str">
        <f ca="1">IF(X2031=0,"",EJ$1&amp;X2031)</f>
        <v>9.51</v>
      </c>
      <c r="EK2031" s="905" t="str">
        <f ca="1">EK$1&amp;X2031</f>
        <v>[D_Python.xlsx]9.Quellen!C51</v>
      </c>
      <c r="EV2031" s="819">
        <f t="shared" si="543"/>
        <v>2031</v>
      </c>
      <c r="EW2031" s="819"/>
      <c r="EY2031" s="655"/>
      <c r="EZ2031" s="655"/>
      <c r="FA2031" s="655"/>
    </row>
    <row r="2032" spans="1:157" s="661" customFormat="1" ht="4.5" customHeight="1">
      <c r="A2032" s="677" t="str">
        <f ca="1">BT$1&amp;D2032</f>
        <v>D.1.2032</v>
      </c>
      <c r="B2032" s="677" t="str">
        <f ca="1">BW$1&amp;D2032</f>
        <v>1.2032</v>
      </c>
      <c r="C2032" s="677" t="str">
        <f>CE$1&amp;D2032&amp;CF$1</f>
        <v>[2032]</v>
      </c>
      <c r="D2032" s="677">
        <f>ROW()</f>
        <v>2032</v>
      </c>
      <c r="I2032" s="1021"/>
      <c r="J2032" s="1021"/>
      <c r="K2032" s="1021"/>
      <c r="L2032" s="1021"/>
      <c r="M2032" s="1021"/>
      <c r="O2032" s="871"/>
      <c r="P2032" s="688"/>
      <c r="Q2032" s="689"/>
      <c r="R2032" s="675"/>
      <c r="S2032" s="802"/>
      <c r="AB2032" s="675"/>
      <c r="AC2032" s="1036"/>
      <c r="AD2032" s="675"/>
      <c r="AE2032" s="675"/>
      <c r="AF2032" s="675"/>
      <c r="AG2032" s="675"/>
      <c r="AH2032" s="675"/>
      <c r="AI2032" s="675"/>
      <c r="AJ2032" s="675"/>
      <c r="AK2032" s="675"/>
      <c r="AL2032" s="675"/>
      <c r="AM2032" s="675"/>
      <c r="AN2032" s="675"/>
      <c r="AO2032" s="675"/>
      <c r="AP2032" s="675"/>
      <c r="AQ2032" s="675"/>
      <c r="AR2032" s="675"/>
      <c r="AS2032" s="675"/>
      <c r="AT2032" s="675"/>
      <c r="AU2032" s="675"/>
      <c r="AV2032" s="675"/>
      <c r="AZ2032" s="669"/>
      <c r="BB2032" s="669"/>
      <c r="BI2032" s="661" t="s">
        <v>126</v>
      </c>
      <c r="BJ2032" s="665"/>
      <c r="CU2032" s="662"/>
      <c r="CW2032" s="662"/>
      <c r="EV2032" s="818" t="str">
        <f>IF(U2032&amp;BP2032="","",D2032)</f>
        <v/>
      </c>
      <c r="EW2032" s="818"/>
      <c r="EY2032" s="1021"/>
      <c r="EZ2032" s="1021"/>
      <c r="FA2032" s="1021"/>
    </row>
    <row r="2033" spans="1:157" s="905" customFormat="1" ht="23" customHeight="1">
      <c r="A2033" s="654" t="str">
        <f t="shared" ca="1" si="540"/>
        <v>D.1.2033</v>
      </c>
      <c r="B2033" s="654" t="str">
        <f t="shared" ca="1" si="541"/>
        <v>1.2033</v>
      </c>
      <c r="C2033" s="654" t="str">
        <f t="shared" si="542"/>
        <v>[2033]</v>
      </c>
      <c r="D2033" s="654">
        <f>ROW()</f>
        <v>2033</v>
      </c>
      <c r="E2033" s="1125" t="str">
        <f ca="1">CU2033</f>
        <v xml:space="preserve">Gesichert erscheint darüber hinaus eine Offshoreleistung von 15 GW entsprechend dem Ausbauziel der Bundesregierung für 2030 GW gemäß [9.51]. </v>
      </c>
      <c r="F2033" s="1125"/>
      <c r="G2033" s="1125"/>
      <c r="H2033" s="1125"/>
      <c r="I2033" s="1125"/>
      <c r="J2033" s="1125"/>
      <c r="K2033" s="1125"/>
      <c r="L2033" s="1125"/>
      <c r="M2033" s="1125"/>
      <c r="N2033" s="1125"/>
      <c r="O2033" s="869"/>
      <c r="P2033" s="691" t="str">
        <f ca="1">HYPERLINK(EK2033,EJ2033)</f>
        <v>9.51</v>
      </c>
      <c r="Q2033" s="692" t="str">
        <f>Y2033</f>
        <v xml:space="preserve"> </v>
      </c>
      <c r="R2033" s="801"/>
      <c r="S2033" s="784"/>
      <c r="U2033" s="1033" t="str">
        <f ca="1">"Gesichert erscheint darüber hinaus eine Offshoreleistung von "&amp;AD2033&amp;" GW entsprechend dem Ausbauziel der Bundesregierung für 2030 GW gemäß ["&amp;P2033&amp;"]. "</f>
        <v xml:space="preserve">Gesichert erscheint darüber hinaus eine Offshoreleistung von 15 GW entsprechend dem Ausbauziel der Bundesregierung für 2030 GW gemäß [9.51]. </v>
      </c>
      <c r="V2033" s="905" t="s">
        <v>126</v>
      </c>
      <c r="W2033" s="1034">
        <f>AD2033</f>
        <v>15</v>
      </c>
      <c r="X2033" s="672">
        <f>'9.Quellen'!C51</f>
        <v>51</v>
      </c>
      <c r="Y2033" s="672" t="s">
        <v>126</v>
      </c>
      <c r="Z2033" s="1025"/>
      <c r="AB2033" s="801"/>
      <c r="AC2033" s="1020">
        <v>44039</v>
      </c>
      <c r="AD2033" s="801">
        <v>15</v>
      </c>
      <c r="AE2033" s="801" t="s">
        <v>1243</v>
      </c>
      <c r="AF2033" s="801"/>
      <c r="AG2033" s="801"/>
      <c r="AH2033" s="801"/>
      <c r="AI2033" s="801"/>
      <c r="AJ2033" s="801"/>
      <c r="AK2033" s="687"/>
      <c r="AL2033" s="801"/>
      <c r="AM2033" s="801"/>
      <c r="AN2033" s="801"/>
      <c r="AO2033" s="801"/>
      <c r="AP2033" s="801"/>
      <c r="AQ2033" s="801"/>
      <c r="AR2033" s="801"/>
      <c r="AS2033" s="801"/>
      <c r="AT2033" s="801"/>
      <c r="AU2033" s="801"/>
      <c r="AV2033" s="801"/>
      <c r="BF2033" s="657"/>
      <c r="BI2033" s="905" t="s">
        <v>126</v>
      </c>
      <c r="BJ2033" s="666"/>
      <c r="BO2033" s="905" t="s">
        <v>252</v>
      </c>
      <c r="CU2033" s="663" t="str">
        <f ca="1">CH$2&amp;IF(U2033="",BF2033,U2033)</f>
        <v xml:space="preserve">Gesichert erscheint darüber hinaus eine Offshoreleistung von 15 GW entsprechend dem Ausbauziel der Bundesregierung für 2030 GW gemäß [9.51]. </v>
      </c>
      <c r="CW2033" s="663"/>
      <c r="DT2033" s="671"/>
      <c r="EJ2033" s="905" t="str">
        <f ca="1">IF(X2033=0,"",EJ$1&amp;X2033)</f>
        <v>9.51</v>
      </c>
      <c r="EK2033" s="905" t="str">
        <f ca="1">EK$1&amp;X2033</f>
        <v>[D_Python.xlsx]9.Quellen!C51</v>
      </c>
      <c r="EV2033" s="819">
        <f t="shared" ca="1" si="543"/>
        <v>2033</v>
      </c>
      <c r="EW2033" s="819"/>
      <c r="EY2033" s="655"/>
      <c r="EZ2033" s="655"/>
      <c r="FA2033" s="655"/>
    </row>
    <row r="2034" spans="1:157" s="661" customFormat="1" ht="4.5" customHeight="1">
      <c r="A2034" s="677" t="str">
        <f ca="1">BT$1&amp;D2034</f>
        <v>D.1.2034</v>
      </c>
      <c r="B2034" s="677" t="str">
        <f ca="1">BW$1&amp;D2034</f>
        <v>1.2034</v>
      </c>
      <c r="C2034" s="677" t="str">
        <f>CE$1&amp;D2034&amp;CF$1</f>
        <v>[2034]</v>
      </c>
      <c r="D2034" s="677">
        <f>ROW()</f>
        <v>2034</v>
      </c>
      <c r="I2034" s="1021"/>
      <c r="J2034" s="1021"/>
      <c r="K2034" s="1021"/>
      <c r="L2034" s="1021"/>
      <c r="M2034" s="1021"/>
      <c r="O2034" s="871"/>
      <c r="P2034" s="688"/>
      <c r="Q2034" s="689"/>
      <c r="R2034" s="675"/>
      <c r="S2034" s="802"/>
      <c r="AB2034" s="675"/>
      <c r="AC2034" s="1036"/>
      <c r="AD2034" s="675"/>
      <c r="AE2034" s="675"/>
      <c r="AF2034" s="675"/>
      <c r="AG2034" s="675"/>
      <c r="AH2034" s="675"/>
      <c r="AI2034" s="675"/>
      <c r="AJ2034" s="675"/>
      <c r="AK2034" s="675"/>
      <c r="AL2034" s="675"/>
      <c r="AM2034" s="675"/>
      <c r="AN2034" s="675"/>
      <c r="AO2034" s="675"/>
      <c r="AP2034" s="675"/>
      <c r="AQ2034" s="675"/>
      <c r="AR2034" s="675"/>
      <c r="AS2034" s="675"/>
      <c r="AT2034" s="675"/>
      <c r="AU2034" s="675"/>
      <c r="AV2034" s="675"/>
      <c r="AZ2034" s="669"/>
      <c r="BB2034" s="669"/>
      <c r="BI2034" s="661" t="s">
        <v>126</v>
      </c>
      <c r="BJ2034" s="665"/>
      <c r="CU2034" s="662"/>
      <c r="CW2034" s="662"/>
      <c r="EV2034" s="818" t="str">
        <f>IF(U2034&amp;BP2034="","",D2034)</f>
        <v/>
      </c>
      <c r="EW2034" s="818"/>
      <c r="EY2034" s="1021"/>
      <c r="EZ2034" s="1021"/>
      <c r="FA2034" s="1021"/>
    </row>
    <row r="2035" spans="1:157" s="905" customFormat="1" ht="39">
      <c r="A2035" s="654" t="str">
        <f t="shared" ca="1" si="540"/>
        <v>D.1.2035</v>
      </c>
      <c r="B2035" s="654" t="str">
        <f t="shared" ca="1" si="541"/>
        <v>1.2035</v>
      </c>
      <c r="C2035" s="654" t="str">
        <f t="shared" si="542"/>
        <v>[2035]</v>
      </c>
      <c r="D2035" s="654">
        <f>ROW()</f>
        <v>2035</v>
      </c>
      <c r="E2035" s="1125" t="str">
        <f ca="1">CU2035</f>
        <v>"Die Potenzialgrenze der Offshore-Windenergie beträgt (...) 54.000 MW installierte Leistung. Dieser Wert ergibt sich aus der maximal installierbaren Leistung in Nord- und Ostsee unter Berücksichtigung des Raumbedarfs gemäß dem Raumordnungsplan des Bundesamts für Schifffahrt und Hydrographie (BSH)." (IWES [9.117], S. 13)</v>
      </c>
      <c r="F2035" s="1125"/>
      <c r="G2035" s="1125"/>
      <c r="H2035" s="1125"/>
      <c r="I2035" s="1125"/>
      <c r="J2035" s="1125"/>
      <c r="K2035" s="1125"/>
      <c r="L2035" s="1125"/>
      <c r="M2035" s="1125"/>
      <c r="N2035" s="1125"/>
      <c r="O2035" s="869"/>
      <c r="P2035" s="691" t="str">
        <f ca="1">HYPERLINK(EK2035,EJ2035)</f>
        <v>9.117</v>
      </c>
      <c r="Q2035" s="692" t="str">
        <f>Y2035</f>
        <v>S. 13</v>
      </c>
      <c r="R2035" s="801"/>
      <c r="S2035" s="784"/>
      <c r="U2035" s="1033" t="str">
        <f ca="1">U220</f>
        <v>"Die Potenzialgrenze der Offshore-Windenergie beträgt (...) 54.000 MW installierte Leistung. Dieser Wert ergibt sich aus der maximal installierbaren Leistung in Nord- und Ostsee unter Berücksichtigung des Raumbedarfs gemäß dem Raumordnungsplan des Bundesamts für Schifffahrt und Hydrographie (BSH)." (IWES [9.117], S. 13)</v>
      </c>
      <c r="V2035" s="905" t="s">
        <v>126</v>
      </c>
      <c r="W2035" s="1034">
        <v>54</v>
      </c>
      <c r="X2035" s="672">
        <f>X220</f>
        <v>117</v>
      </c>
      <c r="Y2035" s="672" t="str">
        <f>Y220</f>
        <v>S. 13</v>
      </c>
      <c r="Z2035" s="1025"/>
      <c r="AB2035" s="801"/>
      <c r="AC2035" s="1020">
        <v>43925</v>
      </c>
      <c r="AD2035" s="801"/>
      <c r="AE2035" s="801"/>
      <c r="AF2035" s="801"/>
      <c r="AG2035" s="801"/>
      <c r="AH2035" s="801"/>
      <c r="AI2035" s="801"/>
      <c r="AJ2035" s="801"/>
      <c r="AK2035" s="687"/>
      <c r="AL2035" s="801"/>
      <c r="AM2035" s="801"/>
      <c r="AN2035" s="801"/>
      <c r="AO2035" s="801"/>
      <c r="AP2035" s="801"/>
      <c r="AQ2035" s="801"/>
      <c r="AR2035" s="801"/>
      <c r="AS2035" s="801"/>
      <c r="AT2035" s="801"/>
      <c r="AU2035" s="801"/>
      <c r="AV2035" s="801"/>
      <c r="BF2035" s="657"/>
      <c r="BI2035" s="905" t="s">
        <v>126</v>
      </c>
      <c r="BJ2035" s="666"/>
      <c r="BO2035" s="905" t="s">
        <v>252</v>
      </c>
      <c r="CU2035" s="663" t="str">
        <f ca="1">CI$2&amp;IF(U2035="",BF2035,U2035)</f>
        <v>"Die Potenzialgrenze der Offshore-Windenergie beträgt (...) 54.000 MW installierte Leistung. Dieser Wert ergibt sich aus der maximal installierbaren Leistung in Nord- und Ostsee unter Berücksichtigung des Raumbedarfs gemäß dem Raumordnungsplan des Bundesamts für Schifffahrt und Hydrographie (BSH)." (IWES [9.117], S. 13)</v>
      </c>
      <c r="CW2035" s="663"/>
      <c r="DT2035" s="671"/>
      <c r="EJ2035" s="905" t="str">
        <f ca="1">IF(X2035=0,"",EJ$1&amp;X2035)</f>
        <v>9.117</v>
      </c>
      <c r="EK2035" s="905" t="str">
        <f ca="1">EK$1&amp;X2035</f>
        <v>[D_Python.xlsx]9.Quellen!C117</v>
      </c>
      <c r="EV2035" s="819">
        <f t="shared" ca="1" si="543"/>
        <v>2035</v>
      </c>
      <c r="EW2035" s="819"/>
      <c r="EY2035" s="655"/>
      <c r="EZ2035" s="655"/>
      <c r="FA2035" s="655"/>
    </row>
    <row r="2036" spans="1:157" s="661" customFormat="1" ht="4.5" customHeight="1">
      <c r="A2036" s="677" t="str">
        <f ca="1">BT$1&amp;D2036</f>
        <v>D.1.2036</v>
      </c>
      <c r="B2036" s="677" t="str">
        <f ca="1">BW$1&amp;D2036</f>
        <v>1.2036</v>
      </c>
      <c r="C2036" s="677" t="str">
        <f>CE$1&amp;D2036&amp;CF$1</f>
        <v>[2036]</v>
      </c>
      <c r="D2036" s="677">
        <f>ROW()</f>
        <v>2036</v>
      </c>
      <c r="I2036" s="1021"/>
      <c r="J2036" s="1021"/>
      <c r="K2036" s="1021"/>
      <c r="L2036" s="1021"/>
      <c r="M2036" s="1021"/>
      <c r="O2036" s="871"/>
      <c r="P2036" s="688"/>
      <c r="Q2036" s="689"/>
      <c r="R2036" s="675"/>
      <c r="S2036" s="802"/>
      <c r="AB2036" s="675"/>
      <c r="AC2036" s="1036"/>
      <c r="AD2036" s="675"/>
      <c r="AE2036" s="675"/>
      <c r="AF2036" s="675"/>
      <c r="AG2036" s="675"/>
      <c r="AH2036" s="675"/>
      <c r="AI2036" s="675"/>
      <c r="AJ2036" s="675"/>
      <c r="AK2036" s="675"/>
      <c r="AL2036" s="675"/>
      <c r="AM2036" s="675"/>
      <c r="AN2036" s="675"/>
      <c r="AO2036" s="675"/>
      <c r="AP2036" s="675"/>
      <c r="AQ2036" s="675"/>
      <c r="AR2036" s="675"/>
      <c r="AS2036" s="675"/>
      <c r="AT2036" s="675"/>
      <c r="AU2036" s="675"/>
      <c r="AV2036" s="675"/>
      <c r="AZ2036" s="669"/>
      <c r="BB2036" s="669"/>
      <c r="BI2036" s="661" t="s">
        <v>126</v>
      </c>
      <c r="BJ2036" s="665"/>
      <c r="CU2036" s="662"/>
      <c r="CW2036" s="662"/>
      <c r="EV2036" s="818" t="str">
        <f>IF(U2036&amp;BP2036="","",D2036)</f>
        <v/>
      </c>
      <c r="EW2036" s="818"/>
      <c r="EY2036" s="1021"/>
      <c r="EZ2036" s="1021"/>
      <c r="FA2036" s="1021"/>
    </row>
    <row r="2037" spans="1:157" s="905" customFormat="1" ht="26">
      <c r="A2037" s="654" t="str">
        <f t="shared" ca="1" si="540"/>
        <v>D.1.2037</v>
      </c>
      <c r="B2037" s="654" t="str">
        <f t="shared" ca="1" si="541"/>
        <v>1.2037</v>
      </c>
      <c r="C2037" s="654" t="str">
        <f t="shared" si="542"/>
        <v>[2037]</v>
      </c>
      <c r="D2037" s="654">
        <f>ROW()</f>
        <v>2037</v>
      </c>
      <c r="E2037" s="1125" t="str">
        <f>CU2037</f>
        <v>64,8 GW  (im Interesse einer übersichtlichen Potenzialdarstellung werden als Anzeigegrenze 120 %  des technischen Potenzials [2035] gewählt).</v>
      </c>
      <c r="F2037" s="1125"/>
      <c r="G2037" s="1125"/>
      <c r="H2037" s="1125"/>
      <c r="I2037" s="1125"/>
      <c r="J2037" s="1125"/>
      <c r="K2037" s="1125"/>
      <c r="L2037" s="1125"/>
      <c r="M2037" s="1125"/>
      <c r="N2037" s="1125"/>
      <c r="O2037" s="869"/>
      <c r="P2037" s="691" t="str">
        <f ca="1">HYPERLINK(EK2037,EJ2037)</f>
        <v/>
      </c>
      <c r="Q2037" s="692" t="str">
        <f>Y2037</f>
        <v xml:space="preserve"> </v>
      </c>
      <c r="R2037" s="801"/>
      <c r="S2037" s="784"/>
      <c r="U2037" s="1033" t="str">
        <f>TEXT(W2037,"0,0")&amp;" GW  (im Interesse einer übersichtlichen Potenzialdarstellung werden als Anzeigegrenze "&amp;AD2037&amp;AE2037&amp;" des technischen Potenzials "&amp;C2035&amp;" gewählt)."</f>
        <v>64,8 GW  (im Interesse einer übersichtlichen Potenzialdarstellung werden als Anzeigegrenze 120 %  des technischen Potenzials [2035] gewählt).</v>
      </c>
      <c r="V2037" s="905" t="s">
        <v>126</v>
      </c>
      <c r="W2037" s="1034">
        <f>W2035*AD2037%</f>
        <v>64.8</v>
      </c>
      <c r="X2037" s="672"/>
      <c r="Y2037" s="672" t="s">
        <v>126</v>
      </c>
      <c r="Z2037" s="1025"/>
      <c r="AB2037" s="801"/>
      <c r="AC2037" s="1020">
        <v>43925</v>
      </c>
      <c r="AD2037" s="801">
        <v>120</v>
      </c>
      <c r="AE2037" s="801" t="s">
        <v>531</v>
      </c>
      <c r="AF2037" s="801"/>
      <c r="AG2037" s="801"/>
      <c r="AH2037" s="801"/>
      <c r="AI2037" s="801"/>
      <c r="AJ2037" s="801"/>
      <c r="AK2037" s="687"/>
      <c r="AL2037" s="801"/>
      <c r="AM2037" s="801"/>
      <c r="AN2037" s="801"/>
      <c r="AO2037" s="801"/>
      <c r="AP2037" s="801"/>
      <c r="AQ2037" s="801"/>
      <c r="AR2037" s="801"/>
      <c r="AS2037" s="801"/>
      <c r="AT2037" s="801"/>
      <c r="AU2037" s="801"/>
      <c r="AV2037" s="801"/>
      <c r="BF2037" s="657"/>
      <c r="BI2037" s="905" t="s">
        <v>126</v>
      </c>
      <c r="BJ2037" s="666"/>
      <c r="BO2037" s="905" t="s">
        <v>252</v>
      </c>
      <c r="CU2037" s="663" t="str">
        <f>CJ$2&amp;IF(U2037="",BF2037,U2037)</f>
        <v>64,8 GW  (im Interesse einer übersichtlichen Potenzialdarstellung werden als Anzeigegrenze 120 %  des technischen Potenzials [2035] gewählt).</v>
      </c>
      <c r="CW2037" s="663"/>
      <c r="DT2037" s="671"/>
      <c r="EJ2037" s="905" t="str">
        <f>IF(X2037=0,"",EJ$1&amp;X2037)</f>
        <v/>
      </c>
      <c r="EK2037" s="905" t="str">
        <f ca="1">EK$1&amp;X2037</f>
        <v>[D_Python.xlsx]9.Quellen!C</v>
      </c>
      <c r="EV2037" s="819">
        <f t="shared" si="543"/>
        <v>2037</v>
      </c>
      <c r="EW2037" s="819"/>
      <c r="EY2037" s="655"/>
      <c r="EZ2037" s="655"/>
      <c r="FA2037" s="655"/>
    </row>
    <row r="2038" spans="1:157" s="661" customFormat="1" ht="4.5" customHeight="1">
      <c r="A2038" s="677" t="str">
        <f t="shared" ca="1" si="540"/>
        <v>D.1.2038</v>
      </c>
      <c r="B2038" s="677" t="str">
        <f t="shared" ca="1" si="541"/>
        <v>1.2038</v>
      </c>
      <c r="C2038" s="677" t="str">
        <f t="shared" si="542"/>
        <v>[2038]</v>
      </c>
      <c r="D2038" s="677">
        <f>ROW()</f>
        <v>2038</v>
      </c>
      <c r="I2038" s="1021"/>
      <c r="J2038" s="1021"/>
      <c r="K2038" s="1021"/>
      <c r="L2038" s="1021"/>
      <c r="M2038" s="1021"/>
      <c r="O2038" s="871"/>
      <c r="P2038" s="688"/>
      <c r="Q2038" s="689"/>
      <c r="R2038" s="675"/>
      <c r="S2038" s="802"/>
      <c r="AB2038" s="675"/>
      <c r="AC2038" s="1036"/>
      <c r="AD2038" s="675"/>
      <c r="AE2038" s="675"/>
      <c r="AF2038" s="675"/>
      <c r="AG2038" s="675"/>
      <c r="AH2038" s="675"/>
      <c r="AI2038" s="675"/>
      <c r="AJ2038" s="675"/>
      <c r="AK2038" s="675"/>
      <c r="AL2038" s="675"/>
      <c r="AM2038" s="675"/>
      <c r="AN2038" s="675"/>
      <c r="AO2038" s="675"/>
      <c r="AP2038" s="675"/>
      <c r="AQ2038" s="675"/>
      <c r="AR2038" s="675"/>
      <c r="AS2038" s="675"/>
      <c r="AT2038" s="675"/>
      <c r="AU2038" s="675"/>
      <c r="AV2038" s="675"/>
      <c r="AZ2038" s="669"/>
      <c r="BB2038" s="669"/>
      <c r="BI2038" s="661" t="s">
        <v>126</v>
      </c>
      <c r="BJ2038" s="665"/>
      <c r="CU2038" s="662"/>
      <c r="CW2038" s="662"/>
      <c r="EV2038" s="818" t="str">
        <f t="shared" si="543"/>
        <v/>
      </c>
      <c r="EW2038" s="818"/>
      <c r="EY2038" s="1021"/>
      <c r="EZ2038" s="1021"/>
      <c r="FA2038" s="1021"/>
    </row>
    <row r="2039" spans="1:157" s="658" customFormat="1" ht="13.5" hidden="1" customHeight="1">
      <c r="A2039" s="654" t="str">
        <f t="shared" ca="1" si="540"/>
        <v>D.1.2039</v>
      </c>
      <c r="B2039" s="654" t="str">
        <f t="shared" ca="1" si="541"/>
        <v>1.2039</v>
      </c>
      <c r="C2039" s="654" t="str">
        <f t="shared" si="542"/>
        <v>[2039]</v>
      </c>
      <c r="D2039" s="654">
        <f>ROW()</f>
        <v>2039</v>
      </c>
      <c r="E2039" s="1126" t="str">
        <f>BP2039</f>
        <v xml:space="preserve">Belegung (Potenzialflächen) </v>
      </c>
      <c r="F2039" s="1126"/>
      <c r="G2039" s="1126"/>
      <c r="H2039" s="1126"/>
      <c r="I2039" s="1126"/>
      <c r="J2039" s="791" t="s">
        <v>272</v>
      </c>
      <c r="K2039" s="792" t="str">
        <f ca="1">INDIRECT($W$1&amp;U2039)</f>
        <v>n.r.</v>
      </c>
      <c r="L2039" s="793" t="str">
        <f ca="1">HYPERLINK($CK$1&amp;U2039,$CE$1&amp;U2039&amp;$CF$1)</f>
        <v>[2042]</v>
      </c>
      <c r="M2039" s="794">
        <f ca="1">INDIRECT($W$1&amp;W2039)</f>
        <v>0</v>
      </c>
      <c r="N2039" s="793" t="str">
        <f ca="1">HYPERLINK($CK$1&amp;W2039,$CE$1&amp;W2039&amp;$CF$1)</f>
        <v>[2044]</v>
      </c>
      <c r="O2039" s="869"/>
      <c r="P2039" s="690"/>
      <c r="Q2039" s="695"/>
      <c r="R2039" s="830"/>
      <c r="S2039" s="784"/>
      <c r="T2039" s="895" t="s">
        <v>852</v>
      </c>
      <c r="U2039" s="672">
        <f>D2042</f>
        <v>2042</v>
      </c>
      <c r="V2039" s="905" t="s">
        <v>126</v>
      </c>
      <c r="W2039" s="672">
        <f>D2044</f>
        <v>2044</v>
      </c>
      <c r="AB2039" s="801"/>
      <c r="AC2039" s="1020"/>
      <c r="AD2039" s="674"/>
      <c r="AE2039" s="674"/>
      <c r="AF2039" s="674"/>
      <c r="AG2039" s="674"/>
      <c r="AH2039" s="674"/>
      <c r="AI2039" s="674"/>
      <c r="AJ2039" s="674"/>
      <c r="AK2039" s="674"/>
      <c r="AL2039" s="674"/>
      <c r="AM2039" s="674"/>
      <c r="AN2039" s="674"/>
      <c r="AO2039" s="674"/>
      <c r="AP2039" s="674"/>
      <c r="AQ2039" s="674"/>
      <c r="AR2039" s="674"/>
      <c r="AS2039" s="674"/>
      <c r="AT2039" s="674"/>
      <c r="AU2039" s="674"/>
      <c r="AV2039" s="674"/>
      <c r="AX2039" s="658" t="s">
        <v>244</v>
      </c>
      <c r="AY2039" s="1022">
        <f ca="1">DA2039</f>
        <v>36590.400000000001</v>
      </c>
      <c r="AZ2039" s="670" t="str">
        <f ca="1">HYPERLINK(DN2039,DC2039)</f>
        <v xml:space="preserve"> 191</v>
      </c>
      <c r="BA2039" s="1022">
        <f ca="1">DB2039</f>
        <v>119034.45</v>
      </c>
      <c r="BB2039" s="670" t="str">
        <f ca="1">HYPERLINK(DO2039,DD2039)</f>
        <v xml:space="preserve"> 59</v>
      </c>
      <c r="BC2039" s="658" t="str">
        <f ca="1">CY2039&amp;" | "&amp;CZ2039</f>
        <v>Windpark-Fl.
Onshore | 2.1.5 Für Windparks genutzte Abstands-Flächen (Onshore)</v>
      </c>
      <c r="BI2039" s="658" t="s">
        <v>126</v>
      </c>
      <c r="BJ2039" s="667" t="str">
        <f>E2039</f>
        <v xml:space="preserve">Belegung (Potenzialflächen) </v>
      </c>
      <c r="BK2039" s="664" t="str">
        <f ca="1">K2039</f>
        <v>n.r.</v>
      </c>
      <c r="BL2039" s="664">
        <f ca="1">M2039</f>
        <v>0</v>
      </c>
      <c r="BM2039" s="905">
        <f>D2039</f>
        <v>2039</v>
      </c>
      <c r="BO2039" s="658" t="s">
        <v>251</v>
      </c>
      <c r="BP2039" s="676" t="s">
        <v>347</v>
      </c>
      <c r="CU2039" s="659"/>
      <c r="CW2039" s="671">
        <v>30</v>
      </c>
      <c r="CY2039" s="905" t="str">
        <f t="shared" ref="CY2039:DO2039" ca="1" si="545">INDIRECT($CX$1&amp;CY$1&amp;$CW2039)</f>
        <v>Windpark-Fl.
Onshore</v>
      </c>
      <c r="CZ2039" s="905" t="str">
        <f t="shared" ca="1" si="545"/>
        <v>2.1.5 Für Windparks genutzte Abstands-Flächen (Onshore)</v>
      </c>
      <c r="DA2039" s="905">
        <f t="shared" ca="1" si="545"/>
        <v>36590.400000000001</v>
      </c>
      <c r="DB2039" s="905">
        <f t="shared" ca="1" si="545"/>
        <v>119034.45</v>
      </c>
      <c r="DC2039" s="905" t="str">
        <f t="shared" ca="1" si="545"/>
        <v xml:space="preserve"> 191</v>
      </c>
      <c r="DD2039" s="905" t="str">
        <f t="shared" ca="1" si="545"/>
        <v xml:space="preserve"> 59</v>
      </c>
      <c r="DE2039" s="905" t="str">
        <f t="shared" ca="1" si="545"/>
        <v>Wi20</v>
      </c>
      <c r="DF2039" s="905" t="str">
        <f t="shared" ca="1" si="545"/>
        <v>Wi40</v>
      </c>
      <c r="DG2039" s="905" t="str">
        <f t="shared" ca="1" si="545"/>
        <v>Wi</v>
      </c>
      <c r="DH2039" s="905" t="str">
        <f t="shared" ca="1" si="545"/>
        <v>20</v>
      </c>
      <c r="DI2039" s="905" t="str">
        <f t="shared" ca="1" si="545"/>
        <v>[Wi.xls]TEXT!Z20S5</v>
      </c>
      <c r="DJ2039" s="905" t="str">
        <f t="shared" ca="1" si="545"/>
        <v>Wi</v>
      </c>
      <c r="DK2039" s="905" t="str">
        <f t="shared" ca="1" si="545"/>
        <v>40</v>
      </c>
      <c r="DL2039" s="905" t="str">
        <f t="shared" ca="1" si="545"/>
        <v>[Wi.xls]TEXT!Z40S5</v>
      </c>
      <c r="DM2039" s="905">
        <f t="shared" ca="1" si="545"/>
        <v>30</v>
      </c>
      <c r="DN2039" s="905" t="str">
        <f t="shared" ca="1" si="545"/>
        <v>[Region.xls]PARAMETER!Z191S6</v>
      </c>
      <c r="DO2039" s="905" t="str">
        <f t="shared" ca="1" si="545"/>
        <v>[Region.xls]PARAMETER!Z59S6</v>
      </c>
      <c r="DP2039" s="905"/>
      <c r="DS2039" s="905"/>
      <c r="DV2039" s="905"/>
      <c r="DW2039" s="905"/>
      <c r="DX2039" s="905"/>
      <c r="DY2039" s="905"/>
      <c r="DZ2039" s="905"/>
      <c r="EA2039" s="905"/>
      <c r="EB2039" s="905"/>
      <c r="EC2039" s="905"/>
      <c r="ED2039" s="905"/>
      <c r="EE2039" s="905"/>
      <c r="EF2039" s="905"/>
      <c r="EG2039" s="905"/>
      <c r="EH2039" s="905"/>
      <c r="EI2039" s="905"/>
      <c r="EJ2039" s="905"/>
      <c r="EK2039" s="905"/>
      <c r="EV2039" s="819">
        <f t="shared" si="543"/>
        <v>2039</v>
      </c>
      <c r="EW2039" s="819"/>
      <c r="EY2039" s="1044"/>
      <c r="EZ2039" s="1044"/>
      <c r="FA2039" s="1044"/>
    </row>
    <row r="2040" spans="1:157" s="905" customFormat="1" ht="96" hidden="1" customHeight="1">
      <c r="A2040" s="654" t="str">
        <f t="shared" ca="1" si="540"/>
        <v>D.1.2040</v>
      </c>
      <c r="B2040" s="654" t="str">
        <f t="shared" ca="1" si="541"/>
        <v>1.2040</v>
      </c>
      <c r="C2040" s="654" t="str">
        <f t="shared" si="542"/>
        <v>[2040]</v>
      </c>
      <c r="D2040" s="654">
        <f>ROW()</f>
        <v>2040</v>
      </c>
      <c r="E2040" s="1127" t="e">
        <f>CU2040</f>
        <v>#REF!</v>
      </c>
      <c r="F2040" s="1127"/>
      <c r="G2040" s="1127"/>
      <c r="H2040" s="1127"/>
      <c r="I2040" s="1127"/>
      <c r="J2040" s="1127"/>
      <c r="K2040" s="1127"/>
      <c r="L2040" s="1127"/>
      <c r="M2040" s="1127"/>
      <c r="N2040" s="1127"/>
      <c r="O2040" s="869"/>
      <c r="P2040" s="691" t="e">
        <f ca="1">HYPERLINK(EK2040,EJ2040)</f>
        <v>#REF!</v>
      </c>
      <c r="Q2040" s="692" t="str">
        <f>Y2040</f>
        <v xml:space="preserve"> </v>
      </c>
      <c r="R2040" s="830"/>
      <c r="S2040" s="784"/>
      <c r="T2040" s="895" t="s">
        <v>852</v>
      </c>
      <c r="U2040" s="1033" t="e">
        <f>"Stellt die künftig zu belegende Gesamt-Windparkfläche auf Grundlage einer Studie  von "&amp;#REF!&amp;" ["&amp;#REF!&amp;"] dar: Summe der tatsächlich mit Windenergieanlagen belegten Flächenanteile der 'ohne Restriktionen nutzbaren Potenzialflächen' im Szenario gemäß "&amp;C2031&amp;". Damit werden die Windpark-Umgrenzungsflächen um die äußeren Anlagenstandorte herum und somit die räumliche Ausdehung der Windparks unter Berücksichtigung der räumlichen Gegebenheiten bei flächenorientierter Platzierung der Anlagen erfasst. "&amp;"Da zum einen wegen Bindung an räumliche Gegebenheiten nicht skalierbar und andererseits keine vergleichbaren Aussagen zum Status vorliegen, wird diese Flächenangabe ergänzt durch die parallel geführte 'Belegung (Ernteflächen) "&amp;C2103&amp;"."</f>
        <v>#REF!</v>
      </c>
      <c r="V2040" s="905" t="s">
        <v>126</v>
      </c>
      <c r="W2040" s="1024"/>
      <c r="X2040" s="672" t="e">
        <f>#REF!</f>
        <v>#REF!</v>
      </c>
      <c r="Y2040" s="672" t="s">
        <v>126</v>
      </c>
      <c r="Z2040" s="1025"/>
      <c r="AB2040" s="801"/>
      <c r="AC2040" s="1031"/>
      <c r="AD2040" s="801"/>
      <c r="AE2040" s="801"/>
      <c r="AF2040" s="801"/>
      <c r="AG2040" s="801"/>
      <c r="AH2040" s="801"/>
      <c r="AI2040" s="801"/>
      <c r="AJ2040" s="801"/>
      <c r="AK2040" s="801"/>
      <c r="AL2040" s="801"/>
      <c r="AM2040" s="801"/>
      <c r="AN2040" s="801"/>
      <c r="AO2040" s="801"/>
      <c r="AP2040" s="801"/>
      <c r="AQ2040" s="801"/>
      <c r="AR2040" s="801"/>
      <c r="AS2040" s="801"/>
      <c r="AT2040" s="801"/>
      <c r="AU2040" s="801"/>
      <c r="AV2040" s="801"/>
      <c r="BF2040" s="657"/>
      <c r="BI2040" s="905" t="s">
        <v>126</v>
      </c>
      <c r="BJ2040" s="666"/>
      <c r="BO2040" s="905" t="s">
        <v>252</v>
      </c>
      <c r="CU2040" s="663" t="e">
        <f>IF(U2040="",BF2040,U2040)</f>
        <v>#REF!</v>
      </c>
      <c r="CW2040" s="663"/>
      <c r="DT2040" s="671"/>
      <c r="EJ2040" s="905" t="e">
        <f>IF(X2040=0,"",EJ$1&amp;X2040)</f>
        <v>#REF!</v>
      </c>
      <c r="EK2040" s="905" t="e">
        <f ca="1">EK$1&amp;X2040</f>
        <v>#REF!</v>
      </c>
      <c r="EV2040" s="819" t="e">
        <f t="shared" si="543"/>
        <v>#REF!</v>
      </c>
      <c r="EW2040" s="819"/>
      <c r="EY2040" s="655"/>
      <c r="EZ2040" s="655"/>
      <c r="FA2040" s="655"/>
    </row>
    <row r="2041" spans="1:157" s="661" customFormat="1" ht="5.25" hidden="1" customHeight="1">
      <c r="A2041" s="677" t="str">
        <f t="shared" ca="1" si="540"/>
        <v>D.1.2041</v>
      </c>
      <c r="B2041" s="677" t="str">
        <f t="shared" ca="1" si="541"/>
        <v>1.2041</v>
      </c>
      <c r="C2041" s="677" t="str">
        <f t="shared" si="542"/>
        <v>[2041]</v>
      </c>
      <c r="D2041" s="677">
        <f>ROW()</f>
        <v>2041</v>
      </c>
      <c r="E2041" s="1045"/>
      <c r="F2041" s="1045"/>
      <c r="G2041" s="1045"/>
      <c r="H2041" s="1045"/>
      <c r="I2041" s="1046"/>
      <c r="J2041" s="1046"/>
      <c r="K2041" s="1046"/>
      <c r="L2041" s="1046"/>
      <c r="M2041" s="1046"/>
      <c r="N2041" s="1045"/>
      <c r="O2041" s="871"/>
      <c r="P2041" s="688"/>
      <c r="Q2041" s="689"/>
      <c r="R2041" s="1047"/>
      <c r="S2041" s="802"/>
      <c r="T2041" s="1048" t="s">
        <v>852</v>
      </c>
      <c r="AB2041" s="675"/>
      <c r="AC2041" s="1036"/>
      <c r="AD2041" s="675"/>
      <c r="AE2041" s="675"/>
      <c r="AF2041" s="675"/>
      <c r="AG2041" s="675"/>
      <c r="AH2041" s="675"/>
      <c r="AI2041" s="675"/>
      <c r="AJ2041" s="675"/>
      <c r="AK2041" s="675"/>
      <c r="AL2041" s="675"/>
      <c r="AM2041" s="675"/>
      <c r="AN2041" s="675"/>
      <c r="AO2041" s="675"/>
      <c r="AP2041" s="675"/>
      <c r="AQ2041" s="675"/>
      <c r="AR2041" s="675"/>
      <c r="AS2041" s="675"/>
      <c r="AT2041" s="675"/>
      <c r="AU2041" s="675"/>
      <c r="AV2041" s="675"/>
      <c r="BI2041" s="661" t="s">
        <v>126</v>
      </c>
      <c r="BJ2041" s="665"/>
      <c r="CU2041" s="662"/>
      <c r="CW2041" s="662"/>
      <c r="EV2041" s="818" t="str">
        <f t="shared" si="543"/>
        <v/>
      </c>
      <c r="EW2041" s="818"/>
      <c r="EY2041" s="1021"/>
      <c r="EZ2041" s="1021"/>
      <c r="FA2041" s="1021"/>
    </row>
    <row r="2042" spans="1:157" s="905" customFormat="1" ht="72" hidden="1" customHeight="1">
      <c r="A2042" s="654" t="str">
        <f t="shared" ca="1" si="540"/>
        <v>D.1.2042</v>
      </c>
      <c r="B2042" s="654" t="str">
        <f t="shared" ca="1" si="541"/>
        <v>1.2042</v>
      </c>
      <c r="C2042" s="654" t="str">
        <f t="shared" si="542"/>
        <v>[2042]</v>
      </c>
      <c r="D2042" s="654">
        <f>ROW()</f>
        <v>2042</v>
      </c>
      <c r="E2042" s="1128" t="e">
        <f ca="1">CU2042</f>
        <v>#REF!</v>
      </c>
      <c r="F2042" s="1128"/>
      <c r="G2042" s="1128"/>
      <c r="H2042" s="1128"/>
      <c r="I2042" s="1128"/>
      <c r="J2042" s="1128"/>
      <c r="K2042" s="1128"/>
      <c r="L2042" s="1128"/>
      <c r="M2042" s="1128"/>
      <c r="N2042" s="1128"/>
      <c r="O2042" s="869"/>
      <c r="P2042" s="691" t="e">
        <f ca="1">HYPERLINK(EK2042,EJ2042)</f>
        <v>#REF!</v>
      </c>
      <c r="Q2042" s="692" t="s">
        <v>359</v>
      </c>
      <c r="R2042" s="830"/>
      <c r="S2042" s="784"/>
      <c r="T2042" s="895" t="s">
        <v>852</v>
      </c>
      <c r="U2042" s="1023" t="e">
        <f ca="1">"Nicht relevant. Aussagen zum Status sind in der Studie ["&amp;P2042&amp;"] nicht enthalten und wären methodisch auch nicht sinnvoll, da mit "&amp;AE2042&amp;" % der überwiegende Teil des Anlagenbestandes außerhalb der identifizierten Potenzialflächen liegt ("&amp;Q2042&amp;"), die als Bezugsgröße dient. Ein weiterer Grund: Der heutige Anlagenbestand nimmt wegen suboptimaler Verdichtung tatsächlich eine größere Fläche ein, als mit der Methodik zu ermitteln wäre. "&amp;"Aus diesem Grund wird parallel eine weitere Flächenkennzahl geführt: '"&amp;E2103&amp;"' "&amp;C2103&amp;"."</f>
        <v>#REF!</v>
      </c>
      <c r="V2042" s="905" t="s">
        <v>126</v>
      </c>
      <c r="W2042" s="1024" t="s">
        <v>358</v>
      </c>
      <c r="X2042" s="672" t="e">
        <f>#REF!</f>
        <v>#REF!</v>
      </c>
      <c r="Y2042" s="672" t="s">
        <v>126</v>
      </c>
      <c r="Z2042" s="1025"/>
      <c r="AA2042" s="658"/>
      <c r="AB2042" s="801"/>
      <c r="AC2042" s="1031"/>
      <c r="AD2042" s="801">
        <v>37.5</v>
      </c>
      <c r="AE2042" s="801">
        <f>100-AD2042</f>
        <v>62.5</v>
      </c>
      <c r="AF2042" s="801"/>
      <c r="AG2042" s="801"/>
      <c r="AH2042" s="801"/>
      <c r="AI2042" s="801"/>
      <c r="AJ2042" s="801"/>
      <c r="AK2042" s="801"/>
      <c r="AL2042" s="801"/>
      <c r="AM2042" s="801"/>
      <c r="AN2042" s="801"/>
      <c r="AO2042" s="801"/>
      <c r="AP2042" s="801"/>
      <c r="AQ2042" s="801"/>
      <c r="AR2042" s="801"/>
      <c r="AS2042" s="801"/>
      <c r="AT2042" s="801"/>
      <c r="AU2042" s="801"/>
      <c r="AV2042" s="801"/>
      <c r="BF2042" s="657"/>
      <c r="BI2042" s="905" t="s">
        <v>126</v>
      </c>
      <c r="BJ2042" s="666"/>
      <c r="BO2042" s="905" t="s">
        <v>259</v>
      </c>
      <c r="CU2042" s="663" t="e">
        <f ca="1">CG$1&amp;IF(U2042="",BF2042,U2042)</f>
        <v>#REF!</v>
      </c>
      <c r="CW2042" s="663"/>
      <c r="DT2042" s="671" t="e">
        <f>#REF!</f>
        <v>#REF!</v>
      </c>
      <c r="EJ2042" s="905" t="e">
        <f>IF(X2042=0,"",EJ$1&amp;X2042)</f>
        <v>#REF!</v>
      </c>
      <c r="EK2042" s="905" t="e">
        <f ca="1">EK$1&amp;X2042</f>
        <v>#REF!</v>
      </c>
      <c r="EV2042" s="819" t="e">
        <f t="shared" ca="1" si="543"/>
        <v>#REF!</v>
      </c>
      <c r="EW2042" s="819"/>
      <c r="EY2042" s="655"/>
      <c r="EZ2042" s="655"/>
      <c r="FA2042" s="655"/>
    </row>
    <row r="2043" spans="1:157" s="661" customFormat="1" ht="5.25" hidden="1" customHeight="1">
      <c r="A2043" s="677" t="str">
        <f t="shared" ca="1" si="540"/>
        <v>D.1.2043</v>
      </c>
      <c r="B2043" s="677" t="str">
        <f t="shared" ca="1" si="541"/>
        <v>1.2043</v>
      </c>
      <c r="C2043" s="677" t="str">
        <f t="shared" si="542"/>
        <v>[2043]</v>
      </c>
      <c r="D2043" s="677">
        <f>ROW()</f>
        <v>2043</v>
      </c>
      <c r="E2043" s="1045"/>
      <c r="F2043" s="1045"/>
      <c r="G2043" s="1045"/>
      <c r="H2043" s="1045"/>
      <c r="I2043" s="1046"/>
      <c r="J2043" s="1046"/>
      <c r="K2043" s="1046"/>
      <c r="L2043" s="1046"/>
      <c r="M2043" s="1046"/>
      <c r="N2043" s="1045"/>
      <c r="O2043" s="871"/>
      <c r="P2043" s="688"/>
      <c r="Q2043" s="689"/>
      <c r="R2043" s="1047"/>
      <c r="S2043" s="802"/>
      <c r="T2043" s="1048" t="s">
        <v>852</v>
      </c>
      <c r="AB2043" s="675"/>
      <c r="AC2043" s="1036"/>
      <c r="AD2043" s="675"/>
      <c r="AE2043" s="675"/>
      <c r="AF2043" s="675"/>
      <c r="AG2043" s="675"/>
      <c r="AH2043" s="675"/>
      <c r="AI2043" s="675"/>
      <c r="AJ2043" s="675"/>
      <c r="AK2043" s="675"/>
      <c r="AL2043" s="675"/>
      <c r="AM2043" s="675"/>
      <c r="AN2043" s="675"/>
      <c r="AO2043" s="675"/>
      <c r="AP2043" s="675"/>
      <c r="AQ2043" s="675"/>
      <c r="AR2043" s="675"/>
      <c r="AS2043" s="675"/>
      <c r="AT2043" s="675"/>
      <c r="AU2043" s="675"/>
      <c r="AV2043" s="675"/>
      <c r="BI2043" s="661" t="s">
        <v>126</v>
      </c>
      <c r="BJ2043" s="665"/>
      <c r="CU2043" s="662"/>
      <c r="CW2043" s="662"/>
      <c r="EV2043" s="818" t="str">
        <f t="shared" si="543"/>
        <v/>
      </c>
      <c r="EW2043" s="818"/>
      <c r="EY2043" s="1021"/>
      <c r="EZ2043" s="1021"/>
      <c r="FA2043" s="1021"/>
    </row>
    <row r="2044" spans="1:157" s="905" customFormat="1" ht="36" hidden="1" customHeight="1">
      <c r="A2044" s="654" t="str">
        <f t="shared" ca="1" si="540"/>
        <v>D.1.2044</v>
      </c>
      <c r="B2044" s="654" t="str">
        <f t="shared" ca="1" si="541"/>
        <v>1.2044</v>
      </c>
      <c r="C2044" s="654" t="str">
        <f t="shared" si="542"/>
        <v>[2044]</v>
      </c>
      <c r="D2044" s="654">
        <f>ROW()</f>
        <v>2044</v>
      </c>
      <c r="E2044" s="1127" t="e">
        <f>CU2044</f>
        <v>#REF!</v>
      </c>
      <c r="F2044" s="1127"/>
      <c r="G2044" s="1127"/>
      <c r="H2044" s="1127"/>
      <c r="I2044" s="1127"/>
      <c r="J2044" s="1127"/>
      <c r="K2044" s="1127"/>
      <c r="L2044" s="1127"/>
      <c r="M2044" s="1127"/>
      <c r="N2044" s="1127"/>
      <c r="O2044" s="869"/>
      <c r="P2044" s="691" t="str">
        <f ca="1">HYPERLINK(EK2044,EJ2044)</f>
        <v/>
      </c>
      <c r="Q2044" s="692" t="str">
        <f>Y2044</f>
        <v xml:space="preserve"> </v>
      </c>
      <c r="R2044" s="830"/>
      <c r="S2044" s="784"/>
      <c r="T2044" s="895" t="s">
        <v>852</v>
      </c>
      <c r="U2044" s="1023" t="e">
        <f>TEXT(AJ2044,"0.000")&amp;AK2044&amp;" der Potenzialflächen gemäß "&amp;#REF!&amp;" sind mit Windenergieanlagen tatsächlich belegt ("&amp;TEXT(AL2044,"0,0")&amp;AM2044&amp;" der Bodenfläche Niedersachsens "&amp;C1917&amp;"), resultierend aus einer gegenüber der Studie "&amp;C2118&amp;" ("&amp;TEXT(AF2044,"0.000")&amp;" ha) erhöhtem Flächenansatz von "&amp;TEXT(AH2044,"0,0")&amp;AI2044&amp;C2107&amp;"."</f>
        <v>#REF!</v>
      </c>
      <c r="V2044" s="905" t="s">
        <v>126</v>
      </c>
      <c r="W2044" s="786">
        <f>AJ2044</f>
        <v>0</v>
      </c>
      <c r="X2044" s="672"/>
      <c r="Y2044" s="672" t="s">
        <v>126</v>
      </c>
      <c r="Z2044" s="1025"/>
      <c r="AB2044" s="801"/>
      <c r="AC2044" s="1031"/>
      <c r="AD2044" s="687">
        <f>K1917</f>
        <v>0</v>
      </c>
      <c r="AE2044" s="801" t="s">
        <v>289</v>
      </c>
      <c r="AF2044" s="801">
        <f>AH2118*AD2044%</f>
        <v>0</v>
      </c>
      <c r="AG2044" s="801" t="s">
        <v>289</v>
      </c>
      <c r="AH2044" s="801">
        <f>AL2107</f>
        <v>0</v>
      </c>
      <c r="AI2044" s="801">
        <f>AM2107</f>
        <v>0</v>
      </c>
      <c r="AJ2044" s="801">
        <f>AF2044*AH2044%</f>
        <v>0</v>
      </c>
      <c r="AK2044" s="801" t="s">
        <v>382</v>
      </c>
      <c r="AL2044" s="801" t="e">
        <f>AJ2044/AD2044%</f>
        <v>#DIV/0!</v>
      </c>
      <c r="AM2044" s="801" t="s">
        <v>835</v>
      </c>
      <c r="AN2044" s="801"/>
      <c r="AO2044" s="801"/>
      <c r="AP2044" s="801"/>
      <c r="AQ2044" s="801"/>
      <c r="AR2044" s="801"/>
      <c r="AS2044" s="801"/>
      <c r="AT2044" s="801"/>
      <c r="AU2044" s="801"/>
      <c r="AV2044" s="801"/>
      <c r="BF2044" s="657"/>
      <c r="BI2044" s="905" t="s">
        <v>126</v>
      </c>
      <c r="BJ2044" s="666"/>
      <c r="BO2044" s="905" t="s">
        <v>259</v>
      </c>
      <c r="CU2044" s="663" t="e">
        <f>CH$1&amp;IF(U2044="",BF2044,U2044)</f>
        <v>#REF!</v>
      </c>
      <c r="CW2044" s="663"/>
      <c r="DT2044" s="671">
        <v>53</v>
      </c>
      <c r="EJ2044" s="905" t="str">
        <f>IF(X2044=0,"",EJ$1&amp;X2044)</f>
        <v/>
      </c>
      <c r="EK2044" s="905" t="str">
        <f ca="1">EK$1&amp;X2044</f>
        <v>[D_Python.xlsx]9.Quellen!C</v>
      </c>
      <c r="EV2044" s="819" t="e">
        <f t="shared" si="543"/>
        <v>#REF!</v>
      </c>
      <c r="EW2044" s="819"/>
      <c r="EY2044" s="655"/>
      <c r="EZ2044" s="655"/>
      <c r="FA2044" s="655"/>
    </row>
    <row r="2045" spans="1:157" s="757" customFormat="1" ht="5.5" customHeight="1">
      <c r="A2045" s="487"/>
      <c r="B2045" s="487"/>
      <c r="C2045" s="487"/>
      <c r="D2045" s="487"/>
      <c r="I2045" s="487"/>
      <c r="J2045" s="487"/>
      <c r="K2045" s="487"/>
      <c r="L2045" s="487"/>
      <c r="M2045" s="487"/>
      <c r="N2045" s="487"/>
      <c r="O2045" s="875"/>
      <c r="Q2045" s="704"/>
      <c r="R2045" s="520"/>
      <c r="S2045" s="704"/>
      <c r="AB2045" s="520"/>
      <c r="AC2045" s="1032"/>
      <c r="AD2045" s="520"/>
      <c r="AE2045" s="520"/>
      <c r="AF2045" s="520"/>
      <c r="AG2045" s="520"/>
      <c r="AH2045" s="520"/>
      <c r="AI2045" s="520"/>
      <c r="AJ2045" s="520"/>
      <c r="AK2045" s="520"/>
      <c r="AL2045" s="520"/>
      <c r="AM2045" s="520"/>
      <c r="AN2045" s="520"/>
      <c r="AO2045" s="520"/>
      <c r="AP2045" s="520"/>
      <c r="AQ2045" s="520"/>
      <c r="AR2045" s="520"/>
      <c r="AS2045" s="520"/>
      <c r="AT2045" s="520"/>
      <c r="AU2045" s="520"/>
      <c r="AV2045" s="520"/>
      <c r="AY2045" s="507"/>
      <c r="BA2045" s="507"/>
      <c r="BJ2045" s="493"/>
      <c r="CU2045" s="488"/>
      <c r="CW2045" s="488"/>
      <c r="EV2045" s="821"/>
      <c r="EW2045" s="821"/>
      <c r="EY2045" s="487"/>
      <c r="EZ2045" s="487"/>
      <c r="FA2045" s="487"/>
    </row>
    <row r="2046" spans="1:157" s="905" customFormat="1" ht="13">
      <c r="A2046" s="654" t="str">
        <f t="shared" ref="A2046:A2057" ca="1" si="546">BT$1&amp;D2046</f>
        <v>D.1.2046</v>
      </c>
      <c r="B2046" s="654" t="str">
        <f t="shared" ref="B2046:B2057" ca="1" si="547">BW$1&amp;D2046</f>
        <v>1.2046</v>
      </c>
      <c r="C2046" s="654" t="str">
        <f t="shared" ref="C2046:C2057" si="548">CE$1&amp;D2046&amp;CF$1</f>
        <v>[2046]</v>
      </c>
      <c r="D2046" s="654">
        <f>ROW()</f>
        <v>2046</v>
      </c>
      <c r="E2046" s="481" t="str">
        <f>BP2046</f>
        <v>Solar geeignetes Dachflächenpotenzial</v>
      </c>
      <c r="F2046" s="482"/>
      <c r="G2046" s="482"/>
      <c r="H2046" s="482"/>
      <c r="I2046" s="482"/>
      <c r="J2046" s="484"/>
      <c r="K2046" s="484"/>
      <c r="L2046" s="484"/>
      <c r="M2046" s="484"/>
      <c r="N2046" s="483"/>
      <c r="O2046" s="869"/>
      <c r="P2046" s="568"/>
      <c r="Q2046" s="569"/>
      <c r="R2046" s="801"/>
      <c r="S2046" s="804"/>
      <c r="AB2046" s="801"/>
      <c r="AC2046" s="1031"/>
      <c r="AD2046" s="801"/>
      <c r="AE2046" s="801"/>
      <c r="AF2046" s="801"/>
      <c r="AG2046" s="801"/>
      <c r="AH2046" s="801"/>
      <c r="AI2046" s="801"/>
      <c r="AJ2046" s="801"/>
      <c r="AK2046" s="801"/>
      <c r="AL2046" s="801"/>
      <c r="AM2046" s="801"/>
      <c r="AN2046" s="801"/>
      <c r="AO2046" s="801"/>
      <c r="AP2046" s="801"/>
      <c r="AQ2046" s="801"/>
      <c r="AR2046" s="801"/>
      <c r="AS2046" s="801"/>
      <c r="AT2046" s="801"/>
      <c r="AU2046" s="801"/>
      <c r="AV2046" s="801"/>
      <c r="AZ2046" s="504"/>
      <c r="BB2046" s="506"/>
      <c r="BI2046" s="905" t="s">
        <v>126</v>
      </c>
      <c r="BJ2046" s="666"/>
      <c r="BO2046" s="905" t="s">
        <v>250</v>
      </c>
      <c r="BP2046" s="671" t="s">
        <v>1244</v>
      </c>
      <c r="CU2046" s="663"/>
      <c r="CW2046" s="663"/>
      <c r="EV2046" s="819">
        <f t="shared" ref="EV2046:EV2057" si="549">IF(U2046&amp;BP2046="","",D2046)</f>
        <v>2046</v>
      </c>
      <c r="EW2046" s="819"/>
      <c r="EY2046" s="655"/>
      <c r="EZ2046" s="655"/>
      <c r="FA2046" s="655"/>
    </row>
    <row r="2047" spans="1:157" s="661" customFormat="1" ht="4.5" customHeight="1">
      <c r="A2047" s="677" t="str">
        <f t="shared" ca="1" si="546"/>
        <v>D.1.2047</v>
      </c>
      <c r="B2047" s="677" t="str">
        <f t="shared" ca="1" si="547"/>
        <v>1.2047</v>
      </c>
      <c r="C2047" s="677" t="str">
        <f t="shared" si="548"/>
        <v>[2047]</v>
      </c>
      <c r="D2047" s="677">
        <f>ROW()</f>
        <v>2047</v>
      </c>
      <c r="I2047" s="1021"/>
      <c r="J2047" s="1021"/>
      <c r="K2047" s="1021"/>
      <c r="L2047" s="1021"/>
      <c r="M2047" s="1021"/>
      <c r="O2047" s="871"/>
      <c r="P2047" s="688"/>
      <c r="Q2047" s="689"/>
      <c r="R2047" s="675"/>
      <c r="S2047" s="802"/>
      <c r="AB2047" s="675"/>
      <c r="AC2047" s="1036"/>
      <c r="AD2047" s="675"/>
      <c r="AE2047" s="675"/>
      <c r="AF2047" s="675"/>
      <c r="AG2047" s="675"/>
      <c r="AH2047" s="675"/>
      <c r="AI2047" s="675"/>
      <c r="AJ2047" s="675"/>
      <c r="AK2047" s="675"/>
      <c r="AL2047" s="675"/>
      <c r="AM2047" s="675"/>
      <c r="AN2047" s="675"/>
      <c r="AO2047" s="675"/>
      <c r="AP2047" s="675"/>
      <c r="AQ2047" s="675"/>
      <c r="AR2047" s="675"/>
      <c r="AS2047" s="675"/>
      <c r="AT2047" s="675"/>
      <c r="AU2047" s="675"/>
      <c r="AV2047" s="675"/>
      <c r="AZ2047" s="669"/>
      <c r="BB2047" s="669"/>
      <c r="BI2047" s="661" t="s">
        <v>126</v>
      </c>
      <c r="BJ2047" s="665"/>
      <c r="CU2047" s="662"/>
      <c r="CW2047" s="662"/>
      <c r="EV2047" s="818" t="str">
        <f t="shared" si="549"/>
        <v/>
      </c>
      <c r="EW2047" s="818"/>
      <c r="EY2047" s="1021"/>
      <c r="EZ2047" s="1021"/>
      <c r="FA2047" s="1021"/>
    </row>
    <row r="2048" spans="1:157" s="658" customFormat="1" ht="13.5" customHeight="1">
      <c r="A2048" s="654" t="str">
        <f t="shared" ca="1" si="546"/>
        <v>D.1.2048</v>
      </c>
      <c r="B2048" s="654" t="str">
        <f t="shared" ca="1" si="547"/>
        <v>1.2048</v>
      </c>
      <c r="C2048" s="654" t="str">
        <f t="shared" si="548"/>
        <v>[2048]</v>
      </c>
      <c r="D2048" s="654">
        <f>ROW()</f>
        <v>2048</v>
      </c>
      <c r="F2048" s="1037" t="s">
        <v>1245</v>
      </c>
      <c r="G2048" s="1038">
        <f ca="1">INDIRECT($W$1&amp;U2048)</f>
        <v>0.65327385629630941</v>
      </c>
      <c r="H2048" s="1039" t="str">
        <f ca="1">HYPERLINK($CK$1&amp;U2048,$CE$1&amp;U2048&amp;$CF$1)</f>
        <v>[2050]</v>
      </c>
      <c r="I2048" s="1040">
        <f ca="1">INDIRECT($W$1&amp;W2048)</f>
        <v>2.2026640143577949</v>
      </c>
      <c r="J2048" s="1039" t="str">
        <f ca="1">HYPERLINK($CK$1&amp;W2048,$CE$1&amp;W2048&amp;$CF$1)</f>
        <v>[2052]</v>
      </c>
      <c r="K2048" s="1041">
        <f ca="1">INDIRECT($W$1&amp;X2048)</f>
        <v>9.345255603270779</v>
      </c>
      <c r="L2048" s="1039" t="str">
        <f ca="1">HYPERLINK($CK$1&amp;X2048,$CE$1&amp;X2048&amp;$CF$1)</f>
        <v>[2054]</v>
      </c>
      <c r="M2048" s="1042">
        <f ca="1">INDIRECT($W$1&amp;Y2048)</f>
        <v>11.214306723924935</v>
      </c>
      <c r="N2048" s="1039" t="str">
        <f ca="1">HYPERLINK($CK$1&amp;Y2048,$CE$1&amp;Y2048&amp;$CF$1)</f>
        <v>[2057]</v>
      </c>
      <c r="O2048" s="869"/>
      <c r="P2048" s="690"/>
      <c r="Q2048" s="695"/>
      <c r="R2048" s="801"/>
      <c r="S2048" s="784"/>
      <c r="T2048" s="905"/>
      <c r="U2048" s="1043">
        <f>D2050</f>
        <v>2050</v>
      </c>
      <c r="V2048" s="905" t="s">
        <v>126</v>
      </c>
      <c r="W2048" s="1043">
        <f>D2052</f>
        <v>2052</v>
      </c>
      <c r="X2048" s="1043">
        <f>D2054</f>
        <v>2054</v>
      </c>
      <c r="Y2048" s="1043">
        <f>D2057</f>
        <v>2057</v>
      </c>
      <c r="AB2048" s="801"/>
      <c r="AC2048" s="1020"/>
      <c r="AD2048" s="674"/>
      <c r="AE2048" s="674"/>
      <c r="AF2048" s="674"/>
      <c r="AG2048" s="674"/>
      <c r="AH2048" s="674"/>
      <c r="AI2048" s="674"/>
      <c r="AJ2048" s="674"/>
      <c r="AK2048" s="674"/>
      <c r="AL2048" s="674"/>
      <c r="AM2048" s="674"/>
      <c r="AN2048" s="674"/>
      <c r="AO2048" s="674"/>
      <c r="AP2048" s="674"/>
      <c r="AQ2048" s="674"/>
      <c r="AR2048" s="674"/>
      <c r="AS2048" s="674"/>
      <c r="AT2048" s="674"/>
      <c r="AU2048" s="674"/>
      <c r="AV2048" s="674"/>
      <c r="AX2048" s="658" t="s">
        <v>244</v>
      </c>
      <c r="AY2048" s="1022">
        <f ca="1">DA2048</f>
        <v>36590.400000000001</v>
      </c>
      <c r="AZ2048" s="670" t="str">
        <f ca="1">HYPERLINK(DN2048,DC2048)</f>
        <v xml:space="preserve"> 191</v>
      </c>
      <c r="BA2048" s="1022">
        <f ca="1">DB2048</f>
        <v>119034.45</v>
      </c>
      <c r="BB2048" s="670" t="str">
        <f ca="1">HYPERLINK(DO2048,DD2048)</f>
        <v xml:space="preserve"> 59</v>
      </c>
      <c r="BC2048" s="658" t="str">
        <f ca="1">CY2048&amp;" | "&amp;CZ2048</f>
        <v>Windpark-Fl.
Onshore | 2.1.5 Für Windparks genutzte Abstands-Flächen (Onshore)</v>
      </c>
      <c r="BI2048" s="658" t="s">
        <v>126</v>
      </c>
      <c r="BJ2048" s="667" t="str">
        <f>F2048</f>
        <v>% v. Siedlungsfläche:</v>
      </c>
      <c r="BK2048" s="664">
        <f ca="1">G2048</f>
        <v>0.65327385629630941</v>
      </c>
      <c r="BL2048" s="664">
        <f ca="1">M2048</f>
        <v>11.214306723924935</v>
      </c>
      <c r="BM2048" s="905">
        <f>D2048</f>
        <v>2048</v>
      </c>
      <c r="BO2048" s="658" t="s">
        <v>251</v>
      </c>
      <c r="CU2048" s="659"/>
      <c r="CW2048" s="671">
        <v>30</v>
      </c>
      <c r="CY2048" s="905" t="str">
        <f t="shared" ref="CY2048:DO2048" ca="1" si="550">INDIRECT($CX$1&amp;CY$1&amp;$CW2048)</f>
        <v>Windpark-Fl.
Onshore</v>
      </c>
      <c r="CZ2048" s="905" t="str">
        <f t="shared" ca="1" si="550"/>
        <v>2.1.5 Für Windparks genutzte Abstands-Flächen (Onshore)</v>
      </c>
      <c r="DA2048" s="905">
        <f t="shared" ca="1" si="550"/>
        <v>36590.400000000001</v>
      </c>
      <c r="DB2048" s="905">
        <f t="shared" ca="1" si="550"/>
        <v>119034.45</v>
      </c>
      <c r="DC2048" s="905" t="str">
        <f t="shared" ca="1" si="550"/>
        <v xml:space="preserve"> 191</v>
      </c>
      <c r="DD2048" s="905" t="str">
        <f t="shared" ca="1" si="550"/>
        <v xml:space="preserve"> 59</v>
      </c>
      <c r="DE2048" s="905" t="str">
        <f t="shared" ca="1" si="550"/>
        <v>Wi20</v>
      </c>
      <c r="DF2048" s="905" t="str">
        <f t="shared" ca="1" si="550"/>
        <v>Wi40</v>
      </c>
      <c r="DG2048" s="905" t="str">
        <f t="shared" ca="1" si="550"/>
        <v>Wi</v>
      </c>
      <c r="DH2048" s="905" t="str">
        <f t="shared" ca="1" si="550"/>
        <v>20</v>
      </c>
      <c r="DI2048" s="905" t="str">
        <f t="shared" ca="1" si="550"/>
        <v>[Wi.xls]TEXT!Z20S5</v>
      </c>
      <c r="DJ2048" s="905" t="str">
        <f t="shared" ca="1" si="550"/>
        <v>Wi</v>
      </c>
      <c r="DK2048" s="905" t="str">
        <f t="shared" ca="1" si="550"/>
        <v>40</v>
      </c>
      <c r="DL2048" s="905" t="str">
        <f t="shared" ca="1" si="550"/>
        <v>[Wi.xls]TEXT!Z40S5</v>
      </c>
      <c r="DM2048" s="905">
        <f t="shared" ca="1" si="550"/>
        <v>30</v>
      </c>
      <c r="DN2048" s="905" t="str">
        <f t="shared" ca="1" si="550"/>
        <v>[Region.xls]PARAMETER!Z191S6</v>
      </c>
      <c r="DO2048" s="905" t="str">
        <f t="shared" ca="1" si="550"/>
        <v>[Region.xls]PARAMETER!Z59S6</v>
      </c>
      <c r="DP2048" s="905"/>
      <c r="DS2048" s="905"/>
      <c r="DV2048" s="905"/>
      <c r="DW2048" s="905"/>
      <c r="DX2048" s="905"/>
      <c r="DY2048" s="905"/>
      <c r="DZ2048" s="905"/>
      <c r="EA2048" s="905"/>
      <c r="EB2048" s="905"/>
      <c r="EC2048" s="905"/>
      <c r="ED2048" s="905"/>
      <c r="EE2048" s="905"/>
      <c r="EF2048" s="905"/>
      <c r="EG2048" s="905"/>
      <c r="EH2048" s="905"/>
      <c r="EI2048" s="905"/>
      <c r="EJ2048" s="905"/>
      <c r="EK2048" s="905"/>
      <c r="EV2048" s="819">
        <f t="shared" si="549"/>
        <v>2048</v>
      </c>
      <c r="EW2048" s="819"/>
      <c r="EY2048" s="1044"/>
      <c r="EZ2048" s="1044"/>
      <c r="FA2048" s="1044"/>
    </row>
    <row r="2049" spans="1:157" s="661" customFormat="1" ht="4.5" customHeight="1">
      <c r="A2049" s="677" t="str">
        <f ca="1">BT$1&amp;D2049</f>
        <v>D.1.2049</v>
      </c>
      <c r="B2049" s="677" t="str">
        <f ca="1">BW$1&amp;D2049</f>
        <v>1.2049</v>
      </c>
      <c r="C2049" s="677" t="str">
        <f>CE$1&amp;D2049&amp;CF$1</f>
        <v>[2049]</v>
      </c>
      <c r="D2049" s="677">
        <f>ROW()</f>
        <v>2049</v>
      </c>
      <c r="I2049" s="1021"/>
      <c r="J2049" s="1021"/>
      <c r="K2049" s="1021"/>
      <c r="L2049" s="1021"/>
      <c r="M2049" s="1021"/>
      <c r="O2049" s="871"/>
      <c r="P2049" s="688"/>
      <c r="Q2049" s="689"/>
      <c r="R2049" s="675"/>
      <c r="S2049" s="802"/>
      <c r="AB2049" s="675"/>
      <c r="AC2049" s="1036"/>
      <c r="AD2049" s="675"/>
      <c r="AE2049" s="675"/>
      <c r="AF2049" s="675"/>
      <c r="AG2049" s="675"/>
      <c r="AH2049" s="675"/>
      <c r="AI2049" s="675"/>
      <c r="AJ2049" s="675"/>
      <c r="AK2049" s="675"/>
      <c r="AL2049" s="675"/>
      <c r="AM2049" s="675"/>
      <c r="AN2049" s="675"/>
      <c r="AO2049" s="675"/>
      <c r="AP2049" s="675"/>
      <c r="AQ2049" s="675"/>
      <c r="AR2049" s="675"/>
      <c r="AS2049" s="675"/>
      <c r="AT2049" s="675"/>
      <c r="AU2049" s="675"/>
      <c r="AV2049" s="675"/>
      <c r="AZ2049" s="669"/>
      <c r="BB2049" s="669"/>
      <c r="BI2049" s="661" t="s">
        <v>126</v>
      </c>
      <c r="BJ2049" s="665"/>
      <c r="CU2049" s="662"/>
      <c r="CW2049" s="662"/>
      <c r="EV2049" s="818" t="str">
        <f>IF(U2049&amp;BP2049="","",D2049)</f>
        <v/>
      </c>
      <c r="EW2049" s="818"/>
      <c r="EY2049" s="1021"/>
      <c r="EZ2049" s="1021"/>
      <c r="FA2049" s="1021"/>
    </row>
    <row r="2050" spans="1:157" s="905" customFormat="1" ht="39">
      <c r="A2050" s="654" t="str">
        <f t="shared" ca="1" si="546"/>
        <v>D.1.2050</v>
      </c>
      <c r="B2050" s="654" t="str">
        <f t="shared" ca="1" si="547"/>
        <v>1.2050</v>
      </c>
      <c r="C2050" s="654" t="str">
        <f t="shared" si="548"/>
        <v>[2050]</v>
      </c>
      <c r="D2050" s="654">
        <f>ROW()</f>
        <v>2050</v>
      </c>
      <c r="E2050" s="1125" t="str">
        <f ca="1">CU2050</f>
        <v>Im Jahr 2017 waren in der Zielregion 21.408 ha   der Dachflächen solar genutzt [120],  das waren 0,65% der Siedlungsfläche von 3.277.007 ha [69]. Eine langfristige Aufrechterhaltung dieser Flächenbelegung erscheint gesichert.</v>
      </c>
      <c r="F2050" s="1125"/>
      <c r="G2050" s="1125"/>
      <c r="H2050" s="1125"/>
      <c r="I2050" s="1125"/>
      <c r="J2050" s="1125"/>
      <c r="K2050" s="1125"/>
      <c r="L2050" s="1125"/>
      <c r="M2050" s="1125"/>
      <c r="N2050" s="1125"/>
      <c r="O2050" s="869"/>
      <c r="P2050" s="691" t="str">
        <f ca="1">HYPERLINK(EK2050,EJ2050)</f>
        <v/>
      </c>
      <c r="Q2050" s="692" t="str">
        <f>Y2050</f>
        <v xml:space="preserve"> </v>
      </c>
      <c r="R2050" s="801"/>
      <c r="S2050" s="784"/>
      <c r="U2050" s="1023" t="str">
        <f ca="1">"Im "&amp;AD2050&amp;" waren in der Zielregion "&amp;TEXT(AE2050,"0.000")&amp;AF2050&amp;"  der Dachflächen solar genutzt "&amp;AG2050&amp;",  das waren "&amp;TEXT(AK2050,"0,00")&amp;AL2050&amp;" von "&amp;TEXT(AH2050,"0.000")&amp;AI2050&amp;AJ2050&amp;". Eine langfristige Aufrechterhaltung dieser Flächenbelegung erscheint gesichert."</f>
        <v>Im Jahr 2017 waren in der Zielregion 21.408 ha   der Dachflächen solar genutzt [120],  das waren 0,65% der Siedlungsfläche von 3.277.007 ha [69]. Eine langfristige Aufrechterhaltung dieser Flächenbelegung erscheint gesichert.</v>
      </c>
      <c r="V2050" s="905" t="s">
        <v>126</v>
      </c>
      <c r="W2050" s="1035">
        <f ca="1">AK2050</f>
        <v>0.65327385629630941</v>
      </c>
      <c r="X2050" s="672"/>
      <c r="Y2050" s="672" t="s">
        <v>126</v>
      </c>
      <c r="Z2050" s="1025"/>
      <c r="AA2050" s="658"/>
      <c r="AB2050" s="801"/>
      <c r="AC2050" s="1020">
        <v>43925</v>
      </c>
      <c r="AD2050" s="854" t="s">
        <v>1246</v>
      </c>
      <c r="AE2050" s="687">
        <f ca="1">K120</f>
        <v>21407.829999999998</v>
      </c>
      <c r="AF2050" s="687" t="s">
        <v>382</v>
      </c>
      <c r="AG2050" s="801" t="str">
        <f>C120</f>
        <v>[120]</v>
      </c>
      <c r="AH2050" s="687">
        <f ca="1">K69</f>
        <v>3277007</v>
      </c>
      <c r="AI2050" s="801" t="s">
        <v>382</v>
      </c>
      <c r="AJ2050" s="801" t="str">
        <f>C69</f>
        <v>[69]</v>
      </c>
      <c r="AK2050" s="801">
        <f ca="1">AE2050/AH2050%</f>
        <v>0.65327385629630941</v>
      </c>
      <c r="AL2050" s="801" t="s">
        <v>1247</v>
      </c>
      <c r="AM2050" s="801"/>
      <c r="AN2050" s="801"/>
      <c r="AO2050" s="801"/>
      <c r="AP2050" s="801"/>
      <c r="AQ2050" s="801"/>
      <c r="AR2050" s="801"/>
      <c r="AS2050" s="801"/>
      <c r="AT2050" s="801"/>
      <c r="AU2050" s="801"/>
      <c r="AV2050" s="801"/>
      <c r="BF2050" s="657"/>
      <c r="BI2050" s="905" t="s">
        <v>126</v>
      </c>
      <c r="BJ2050" s="666"/>
      <c r="BO2050" s="905" t="s">
        <v>259</v>
      </c>
      <c r="CU2050" s="663" t="str">
        <f ca="1">CG$2&amp;IF(U2050="",BF2050,U2050)</f>
        <v>Im Jahr 2017 waren in der Zielregion 21.408 ha   der Dachflächen solar genutzt [120],  das waren 0,65% der Siedlungsfläche von 3.277.007 ha [69]. Eine langfristige Aufrechterhaltung dieser Flächenbelegung erscheint gesichert.</v>
      </c>
      <c r="CW2050" s="663"/>
      <c r="DT2050" s="671" t="e">
        <f>#REF!</f>
        <v>#REF!</v>
      </c>
      <c r="EJ2050" s="905" t="str">
        <f>IF(X2050=0,"",EJ$1&amp;X2050)</f>
        <v/>
      </c>
      <c r="EK2050" s="905" t="str">
        <f ca="1">EK$1&amp;X2050</f>
        <v>[D_Python.xlsx]9.Quellen!C</v>
      </c>
      <c r="EV2050" s="819">
        <f t="shared" ca="1" si="549"/>
        <v>2050</v>
      </c>
      <c r="EW2050" s="819"/>
      <c r="EY2050" s="655"/>
      <c r="EZ2050" s="655"/>
      <c r="FA2050" s="655"/>
    </row>
    <row r="2051" spans="1:157" s="661" customFormat="1" ht="4.5" customHeight="1">
      <c r="A2051" s="677" t="str">
        <f t="shared" ca="1" si="546"/>
        <v>D.1.2051</v>
      </c>
      <c r="B2051" s="677" t="str">
        <f t="shared" ca="1" si="547"/>
        <v>1.2051</v>
      </c>
      <c r="C2051" s="677" t="str">
        <f t="shared" si="548"/>
        <v>[2051]</v>
      </c>
      <c r="D2051" s="677">
        <f>ROW()</f>
        <v>2051</v>
      </c>
      <c r="I2051" s="1021"/>
      <c r="J2051" s="1021"/>
      <c r="K2051" s="1021"/>
      <c r="L2051" s="1021"/>
      <c r="M2051" s="1021"/>
      <c r="O2051" s="871"/>
      <c r="P2051" s="688"/>
      <c r="Q2051" s="689"/>
      <c r="R2051" s="675"/>
      <c r="S2051" s="802"/>
      <c r="AB2051" s="675"/>
      <c r="AC2051" s="1036"/>
      <c r="AD2051" s="675"/>
      <c r="AE2051" s="675"/>
      <c r="AF2051" s="675"/>
      <c r="AG2051" s="675"/>
      <c r="AH2051" s="675"/>
      <c r="AI2051" s="675"/>
      <c r="AJ2051" s="675"/>
      <c r="AK2051" s="675"/>
      <c r="AL2051" s="675"/>
      <c r="AM2051" s="675"/>
      <c r="AN2051" s="675"/>
      <c r="AO2051" s="675"/>
      <c r="AP2051" s="675"/>
      <c r="AQ2051" s="675"/>
      <c r="AR2051" s="675"/>
      <c r="AS2051" s="675"/>
      <c r="AT2051" s="675"/>
      <c r="AU2051" s="675"/>
      <c r="AV2051" s="675"/>
      <c r="AZ2051" s="669"/>
      <c r="BB2051" s="669"/>
      <c r="BI2051" s="661" t="s">
        <v>126</v>
      </c>
      <c r="BJ2051" s="665"/>
      <c r="CU2051" s="662"/>
      <c r="CW2051" s="662"/>
      <c r="EV2051" s="818" t="str">
        <f t="shared" si="549"/>
        <v/>
      </c>
      <c r="EW2051" s="818"/>
      <c r="EY2051" s="1021"/>
      <c r="EZ2051" s="1021"/>
      <c r="FA2051" s="1021"/>
    </row>
    <row r="2052" spans="1:157" s="905" customFormat="1" ht="39">
      <c r="A2052" s="654" t="str">
        <f t="shared" ca="1" si="546"/>
        <v>D.1.2052</v>
      </c>
      <c r="B2052" s="654" t="str">
        <f t="shared" ca="1" si="547"/>
        <v>1.2052</v>
      </c>
      <c r="C2052" s="654" t="str">
        <f t="shared" si="548"/>
        <v>[2052]</v>
      </c>
      <c r="D2052" s="654">
        <f>ROW()</f>
        <v>2052</v>
      </c>
      <c r="E2052" s="1125" t="str">
        <f ca="1">CU2052</f>
        <v>Das deutsche technische Flächenpotenzial für photovoltaische Stromerzeugung auf Dachflächen wird in einer älteren Pubikation aus dem Jahr 2006 mit 838 Mio. m2  angegeben [9.153]S. 273, Tab 5.6. Bezogen auf die Siedlungsfläche von 3.804.484 ha  sind das 2,2 %, die noch weitgehend unkritisch erscheinen.</v>
      </c>
      <c r="F2052" s="1125"/>
      <c r="G2052" s="1125"/>
      <c r="H2052" s="1125"/>
      <c r="I2052" s="1125"/>
      <c r="J2052" s="1125"/>
      <c r="K2052" s="1125"/>
      <c r="L2052" s="1125"/>
      <c r="M2052" s="1125"/>
      <c r="N2052" s="1125"/>
      <c r="O2052" s="869"/>
      <c r="P2052" s="691" t="str">
        <f ca="1">HYPERLINK(EK2052,EJ2052)</f>
        <v>9.153</v>
      </c>
      <c r="Q2052" s="692" t="str">
        <f>Y2052</f>
        <v>S. 273, Tab 5.6</v>
      </c>
      <c r="R2052" s="801"/>
      <c r="S2052" s="784"/>
      <c r="U2052" s="1033" t="str">
        <f ca="1">"Das deutsche technische Flächenpotenzial für photovoltaische Stromerzeugung auf Dachflächen wird in einer älteren Pubikation aus dem Jahr 2006 mit "&amp;AD2052&amp;AE2052&amp;" angegeben ["&amp;P2052&amp;"]"&amp;Q2052&amp;". Bezogen auf die Siedlungsfläche von "&amp;TEXT(AH2052,"0.000")&amp;AI2052&amp;" sind das "&amp;TEXT(AJ2052,"0,0")&amp;AK2052&amp;", die noch weitgehend unkritisch erscheinen."</f>
        <v>Das deutsche technische Flächenpotenzial für photovoltaische Stromerzeugung auf Dachflächen wird in einer älteren Pubikation aus dem Jahr 2006 mit 838 Mio. m2  angegeben [9.153]S. 273, Tab 5.6. Bezogen auf die Siedlungsfläche von 3.804.484 ha  sind das 2,2 %, die noch weitgehend unkritisch erscheinen.</v>
      </c>
      <c r="V2052" s="905" t="s">
        <v>126</v>
      </c>
      <c r="W2052" s="1034">
        <f>AJ2052</f>
        <v>2.2026640143577949</v>
      </c>
      <c r="X2052" s="672">
        <f>'9.Quellen'!C153</f>
        <v>153</v>
      </c>
      <c r="Y2052" s="672" t="s">
        <v>1248</v>
      </c>
      <c r="Z2052" s="1025"/>
      <c r="AB2052" s="801"/>
      <c r="AC2052" s="1020">
        <v>44039</v>
      </c>
      <c r="AD2052" s="801">
        <v>838</v>
      </c>
      <c r="AE2052" s="801" t="s">
        <v>1249</v>
      </c>
      <c r="AF2052" s="801">
        <f>AD2052*1000000/10000</f>
        <v>83800</v>
      </c>
      <c r="AG2052" s="801" t="s">
        <v>382</v>
      </c>
      <c r="AH2052" s="687">
        <v>3804484</v>
      </c>
      <c r="AI2052" s="801" t="s">
        <v>382</v>
      </c>
      <c r="AJ2052" s="801">
        <f>AF2052/AH2052%</f>
        <v>2.2026640143577949</v>
      </c>
      <c r="AK2052" s="687" t="s">
        <v>972</v>
      </c>
      <c r="AL2052" s="801"/>
      <c r="AM2052" s="801"/>
      <c r="AN2052" s="801"/>
      <c r="AO2052" s="801"/>
      <c r="AP2052" s="801"/>
      <c r="AQ2052" s="801"/>
      <c r="AR2052" s="801"/>
      <c r="AS2052" s="801"/>
      <c r="AT2052" s="801"/>
      <c r="AU2052" s="801"/>
      <c r="AV2052" s="801"/>
      <c r="BF2052" s="657"/>
      <c r="BI2052" s="905" t="s">
        <v>126</v>
      </c>
      <c r="BJ2052" s="666"/>
      <c r="BO2052" s="905" t="s">
        <v>252</v>
      </c>
      <c r="CU2052" s="663" t="str">
        <f ca="1">CH$2&amp;IF(U2052="",BF2052,U2052)</f>
        <v>Das deutsche technische Flächenpotenzial für photovoltaische Stromerzeugung auf Dachflächen wird in einer älteren Pubikation aus dem Jahr 2006 mit 838 Mio. m2  angegeben [9.153]S. 273, Tab 5.6. Bezogen auf die Siedlungsfläche von 3.804.484 ha  sind das 2,2 %, die noch weitgehend unkritisch erscheinen.</v>
      </c>
      <c r="CW2052" s="663"/>
      <c r="DT2052" s="671"/>
      <c r="EJ2052" s="905" t="str">
        <f ca="1">IF(X2052=0,"",EJ$1&amp;X2052)</f>
        <v>9.153</v>
      </c>
      <c r="EK2052" s="905" t="str">
        <f ca="1">EK$1&amp;X2052</f>
        <v>[D_Python.xlsx]9.Quellen!C153</v>
      </c>
      <c r="EV2052" s="819">
        <f t="shared" ca="1" si="549"/>
        <v>2052</v>
      </c>
      <c r="EW2052" s="819"/>
      <c r="EY2052" s="655"/>
      <c r="EZ2052" s="655"/>
      <c r="FA2052" s="655"/>
    </row>
    <row r="2053" spans="1:157" s="661" customFormat="1" ht="4.5" customHeight="1">
      <c r="A2053" s="677" t="str">
        <f ca="1">BT$1&amp;D2053</f>
        <v>D.1.2053</v>
      </c>
      <c r="B2053" s="677" t="str">
        <f ca="1">BW$1&amp;D2053</f>
        <v>1.2053</v>
      </c>
      <c r="C2053" s="677" t="str">
        <f>CE$1&amp;D2053&amp;CF$1</f>
        <v>[2053]</v>
      </c>
      <c r="D2053" s="677">
        <f>ROW()</f>
        <v>2053</v>
      </c>
      <c r="I2053" s="1021"/>
      <c r="J2053" s="1021"/>
      <c r="K2053" s="1021"/>
      <c r="L2053" s="1021"/>
      <c r="M2053" s="1021"/>
      <c r="O2053" s="871"/>
      <c r="P2053" s="688"/>
      <c r="Q2053" s="689"/>
      <c r="R2053" s="675"/>
      <c r="S2053" s="802"/>
      <c r="AB2053" s="675"/>
      <c r="AC2053" s="1036"/>
      <c r="AD2053" s="675"/>
      <c r="AE2053" s="675"/>
      <c r="AF2053" s="675"/>
      <c r="AG2053" s="675"/>
      <c r="AH2053" s="675"/>
      <c r="AI2053" s="675"/>
      <c r="AJ2053" s="675"/>
      <c r="AK2053" s="675"/>
      <c r="AL2053" s="675"/>
      <c r="AM2053" s="675"/>
      <c r="AN2053" s="675"/>
      <c r="AO2053" s="675"/>
      <c r="AP2053" s="675"/>
      <c r="AQ2053" s="675"/>
      <c r="AR2053" s="675"/>
      <c r="AS2053" s="675"/>
      <c r="AT2053" s="675"/>
      <c r="AU2053" s="675"/>
      <c r="AV2053" s="675"/>
      <c r="AZ2053" s="669"/>
      <c r="BB2053" s="669"/>
      <c r="BI2053" s="661" t="s">
        <v>126</v>
      </c>
      <c r="BJ2053" s="665"/>
      <c r="CU2053" s="662"/>
      <c r="CW2053" s="662"/>
      <c r="EV2053" s="818" t="str">
        <f>IF(U2053&amp;BP2053="","",D2053)</f>
        <v/>
      </c>
      <c r="EW2053" s="818"/>
      <c r="EY2053" s="1021"/>
      <c r="EZ2053" s="1021"/>
      <c r="FA2053" s="1021"/>
    </row>
    <row r="2054" spans="1:157" s="905" customFormat="1" ht="26">
      <c r="A2054" s="654" t="str">
        <f t="shared" ca="1" si="546"/>
        <v>D.1.2054</v>
      </c>
      <c r="B2054" s="654" t="str">
        <f t="shared" ca="1" si="547"/>
        <v>1.2054</v>
      </c>
      <c r="C2054" s="654" t="str">
        <f t="shared" si="548"/>
        <v>[2054]</v>
      </c>
      <c r="D2054" s="654">
        <f>ROW()</f>
        <v>2054</v>
      </c>
      <c r="E2054" s="1125" t="str">
        <f>CU2054</f>
        <v>Das Flächenpotenzial aus dem Solarkataster für den Landkreis Osnabrück  [2055] wird in Ermangelung eines Solarkatasters für die Zielregion als übertragbar angenommen.</v>
      </c>
      <c r="F2054" s="1125"/>
      <c r="G2054" s="1125"/>
      <c r="H2054" s="1125"/>
      <c r="I2054" s="1125"/>
      <c r="J2054" s="1125"/>
      <c r="K2054" s="1125"/>
      <c r="L2054" s="1125"/>
      <c r="M2054" s="1125"/>
      <c r="N2054" s="1125"/>
      <c r="O2054" s="869"/>
      <c r="P2054" s="691" t="str">
        <f ca="1">HYPERLINK(EK2054,EJ2054)</f>
        <v/>
      </c>
      <c r="Q2054" s="692" t="str">
        <f>Y2054</f>
        <v xml:space="preserve"> </v>
      </c>
      <c r="R2054" s="801"/>
      <c r="S2054" s="784"/>
      <c r="U2054" s="1033" t="str">
        <f>"Das Flächenpotenzial aus dem Solarkataster für den Landkreis Osnabrück  "&amp;C2055&amp;" wird in Ermangelung eines Solarkatasters für die Zielregion als übertragbar angenommen."</f>
        <v>Das Flächenpotenzial aus dem Solarkataster für den Landkreis Osnabrück  [2055] wird in Ermangelung eines Solarkatasters für die Zielregion als übertragbar angenommen.</v>
      </c>
      <c r="V2054" s="905" t="s">
        <v>126</v>
      </c>
      <c r="W2054" s="1034">
        <f>AO2055</f>
        <v>9.345255603270779</v>
      </c>
      <c r="X2054" s="672">
        <f>X235</f>
        <v>0</v>
      </c>
      <c r="Y2054" s="672" t="s">
        <v>126</v>
      </c>
      <c r="Z2054" s="1025"/>
      <c r="AB2054" s="801"/>
      <c r="AC2054" s="1020">
        <v>43925</v>
      </c>
      <c r="AD2054" s="801"/>
      <c r="AE2054" s="801"/>
      <c r="AF2054" s="801"/>
      <c r="AG2054" s="801"/>
      <c r="AH2054" s="801"/>
      <c r="AI2054" s="801"/>
      <c r="AJ2054" s="801"/>
      <c r="AK2054" s="687"/>
      <c r="AL2054" s="801"/>
      <c r="AM2054" s="801"/>
      <c r="AN2054" s="801"/>
      <c r="AO2054" s="801"/>
      <c r="AP2054" s="801"/>
      <c r="AQ2054" s="801"/>
      <c r="AR2054" s="801"/>
      <c r="AS2054" s="801"/>
      <c r="AT2054" s="801"/>
      <c r="AU2054" s="801"/>
      <c r="AV2054" s="801"/>
      <c r="BF2054" s="657"/>
      <c r="BI2054" s="905" t="s">
        <v>126</v>
      </c>
      <c r="BJ2054" s="666"/>
      <c r="BO2054" s="905" t="s">
        <v>252</v>
      </c>
      <c r="CU2054" s="663" t="str">
        <f>CI$2&amp;IF(U2054="",BF2054,U2054)</f>
        <v>Das Flächenpotenzial aus dem Solarkataster für den Landkreis Osnabrück  [2055] wird in Ermangelung eines Solarkatasters für die Zielregion als übertragbar angenommen.</v>
      </c>
      <c r="CW2054" s="663"/>
      <c r="DT2054" s="671"/>
      <c r="EJ2054" s="905" t="str">
        <f>IF(X2054=0,"",EJ$1&amp;X2054)</f>
        <v/>
      </c>
      <c r="EK2054" s="905" t="str">
        <f ca="1">EK$1&amp;X2054</f>
        <v>[D_Python.xlsx]9.Quellen!C0</v>
      </c>
      <c r="EV2054" s="819">
        <f t="shared" si="549"/>
        <v>2054</v>
      </c>
      <c r="EW2054" s="819"/>
      <c r="EY2054" s="655"/>
      <c r="EZ2054" s="655"/>
      <c r="FA2054" s="655"/>
    </row>
    <row r="2055" spans="1:157" s="905" customFormat="1" ht="52">
      <c r="A2055" s="654" t="str">
        <f t="shared" ca="1" si="546"/>
        <v>D.1.2055</v>
      </c>
      <c r="B2055" s="654" t="str">
        <f t="shared" ca="1" si="547"/>
        <v>1.2055</v>
      </c>
      <c r="C2055" s="654" t="str">
        <f t="shared" si="548"/>
        <v>[2055]</v>
      </c>
      <c r="D2055" s="654">
        <f>ROW()</f>
        <v>2055</v>
      </c>
      <c r="E2055" s="1125" t="str">
        <f ca="1">CU2055</f>
        <v xml:space="preserve">Im Landkreis Osnabrück sind gemäß Solardachkataster [9.161] von sämtlchen Dachflächen (3.380 ha) 47 % solar geeignet (12 % sehr gut, 12 % gut, 23 % bedingt nach heutigen wirtschaftlichen Maßstäben), das sind 1.589 ha .  Bezogen auf die 16.999 ha  Gebäude- und Freiflächen (=Siedlungsfläche) im Landkreis sind das 9,3 %  solar geeignete Dachflächen. </v>
      </c>
      <c r="F2055" s="1125"/>
      <c r="G2055" s="1125"/>
      <c r="H2055" s="1125"/>
      <c r="I2055" s="1125"/>
      <c r="J2055" s="1125"/>
      <c r="K2055" s="1125"/>
      <c r="L2055" s="1125"/>
      <c r="M2055" s="1125"/>
      <c r="N2055" s="1125"/>
      <c r="O2055" s="869"/>
      <c r="P2055" s="691" t="str">
        <f ca="1">HYPERLINK(EK2055,EJ2055)</f>
        <v>9.161</v>
      </c>
      <c r="Q2055" s="692" t="str">
        <f>Y2055</f>
        <v xml:space="preserve"> </v>
      </c>
      <c r="R2055" s="801"/>
      <c r="S2055" s="805"/>
      <c r="U2055" s="1033" t="str">
        <f ca="1">"Im Landkreis Osnabrück sind gemäß Solardachkataster ["&amp;P2055&amp;"] von sämtlchen Dachflächen ("&amp;TEXT(AD2055,"0.000")&amp;AE2055&amp;") "&amp;AI2055&amp;" % solar geeignet ("&amp;AF2055&amp;" % sehr gut, "&amp;AG2055&amp;" % gut, "&amp;AH2055&amp;" % bedingt nach heutigen wirtschaftlichen Maßstäben), das sind "&amp;TEXT(AK2055,"0.000")&amp;AL2055&amp;".  Bezogen auf die "&amp;TEXT(AM2055,"0.000")&amp;AN2055&amp;" Gebäude- und Freiflächen (=Siedlungsfläche) im Landkreis sind das "&amp;TEXT(AO2055,"0,0")&amp;AP2055&amp;" solar geeignete Dachflächen. "</f>
        <v xml:space="preserve">Im Landkreis Osnabrück sind gemäß Solardachkataster [9.161] von sämtlchen Dachflächen (3.380 ha) 47 % solar geeignet (12 % sehr gut, 12 % gut, 23 % bedingt nach heutigen wirtschaftlichen Maßstäben), das sind 1.589 ha .  Bezogen auf die 16.999 ha  Gebäude- und Freiflächen (=Siedlungsfläche) im Landkreis sind das 9,3 %  solar geeignete Dachflächen. </v>
      </c>
      <c r="V2055" s="905" t="s">
        <v>126</v>
      </c>
      <c r="W2055" s="1034"/>
      <c r="X2055" s="672">
        <f>'9.Quellen'!C161</f>
        <v>161</v>
      </c>
      <c r="Y2055" s="672" t="s">
        <v>126</v>
      </c>
      <c r="Z2055" s="1025"/>
      <c r="AB2055" s="801"/>
      <c r="AC2055" s="1020">
        <v>44039</v>
      </c>
      <c r="AD2055" s="801">
        <v>3380</v>
      </c>
      <c r="AE2055" s="801" t="s">
        <v>289</v>
      </c>
      <c r="AF2055" s="801">
        <v>12</v>
      </c>
      <c r="AG2055" s="801">
        <v>12</v>
      </c>
      <c r="AH2055" s="801">
        <v>23</v>
      </c>
      <c r="AI2055" s="801">
        <f>AF2055+AG2055+AH2055</f>
        <v>47</v>
      </c>
      <c r="AJ2055" s="801" t="s">
        <v>972</v>
      </c>
      <c r="AK2055" s="801">
        <f>AD2055*AI2055%</f>
        <v>1588.6</v>
      </c>
      <c r="AL2055" s="801" t="s">
        <v>382</v>
      </c>
      <c r="AM2055" s="801">
        <v>16999</v>
      </c>
      <c r="AN2055" s="801" t="s">
        <v>382</v>
      </c>
      <c r="AO2055" s="562">
        <f>AK2055/AM2055%</f>
        <v>9.345255603270779</v>
      </c>
      <c r="AP2055" s="801" t="s">
        <v>531</v>
      </c>
      <c r="AQ2055" s="687"/>
      <c r="AR2055" s="801"/>
      <c r="AS2055" s="801"/>
      <c r="AT2055" s="801"/>
      <c r="AU2055" s="801"/>
      <c r="AV2055" s="801"/>
      <c r="BF2055" s="657"/>
      <c r="BI2055" s="905" t="s">
        <v>126</v>
      </c>
      <c r="BJ2055" s="666"/>
      <c r="BO2055" s="905" t="s">
        <v>252</v>
      </c>
      <c r="CU2055" s="663" t="str">
        <f ca="1">IF(U2055="",BF2055,U2055)</f>
        <v xml:space="preserve">Im Landkreis Osnabrück sind gemäß Solardachkataster [9.161] von sämtlchen Dachflächen (3.380 ha) 47 % solar geeignet (12 % sehr gut, 12 % gut, 23 % bedingt nach heutigen wirtschaftlichen Maßstäben), das sind 1.589 ha .  Bezogen auf die 16.999 ha  Gebäude- und Freiflächen (=Siedlungsfläche) im Landkreis sind das 9,3 %  solar geeignete Dachflächen. </v>
      </c>
      <c r="CW2055" s="663"/>
      <c r="DT2055" s="671"/>
      <c r="EJ2055" s="905" t="str">
        <f ca="1">IF(X2055=0,"",EJ$1&amp;X2055)</f>
        <v>9.161</v>
      </c>
      <c r="EK2055" s="905" t="str">
        <f ca="1">EK$1&amp;X2055</f>
        <v>[D_Python.xlsx]9.Quellen!C161</v>
      </c>
      <c r="EV2055" s="819">
        <f t="shared" ca="1" si="549"/>
        <v>2055</v>
      </c>
      <c r="EW2055" s="819"/>
      <c r="EY2055" s="655"/>
      <c r="EZ2055" s="655"/>
      <c r="FA2055" s="655"/>
    </row>
    <row r="2056" spans="1:157" s="661" customFormat="1" ht="4.5" customHeight="1">
      <c r="A2056" s="677" t="str">
        <f ca="1">BT$1&amp;D2056</f>
        <v>D.1.2056</v>
      </c>
      <c r="B2056" s="677" t="str">
        <f ca="1">BW$1&amp;D2056</f>
        <v>1.2056</v>
      </c>
      <c r="C2056" s="677" t="str">
        <f>CE$1&amp;D2056&amp;CF$1</f>
        <v>[2056]</v>
      </c>
      <c r="D2056" s="677">
        <f>ROW()</f>
        <v>2056</v>
      </c>
      <c r="I2056" s="1021"/>
      <c r="J2056" s="1021"/>
      <c r="K2056" s="1021"/>
      <c r="L2056" s="1021"/>
      <c r="M2056" s="1021"/>
      <c r="O2056" s="871"/>
      <c r="P2056" s="688"/>
      <c r="Q2056" s="689"/>
      <c r="R2056" s="675"/>
      <c r="S2056" s="802"/>
      <c r="AB2056" s="675"/>
      <c r="AC2056" s="1036"/>
      <c r="AD2056" s="675"/>
      <c r="AE2056" s="675"/>
      <c r="AF2056" s="675"/>
      <c r="AG2056" s="675"/>
      <c r="AH2056" s="675"/>
      <c r="AI2056" s="675"/>
      <c r="AJ2056" s="675"/>
      <c r="AK2056" s="675"/>
      <c r="AL2056" s="675"/>
      <c r="AM2056" s="675"/>
      <c r="AN2056" s="675"/>
      <c r="AO2056" s="675"/>
      <c r="AP2056" s="675"/>
      <c r="AQ2056" s="675"/>
      <c r="AR2056" s="675"/>
      <c r="AS2056" s="675"/>
      <c r="AT2056" s="675"/>
      <c r="AU2056" s="675"/>
      <c r="AV2056" s="675"/>
      <c r="AZ2056" s="669"/>
      <c r="BB2056" s="669"/>
      <c r="BI2056" s="661" t="s">
        <v>126</v>
      </c>
      <c r="BJ2056" s="665"/>
      <c r="CU2056" s="662"/>
      <c r="CW2056" s="662"/>
      <c r="EV2056" s="818" t="str">
        <f>IF(U2056&amp;BP2056="","",D2056)</f>
        <v/>
      </c>
      <c r="EW2056" s="818"/>
      <c r="EY2056" s="1021"/>
      <c r="EZ2056" s="1021"/>
      <c r="FA2056" s="1021"/>
    </row>
    <row r="2057" spans="1:157" s="905" customFormat="1" ht="26">
      <c r="A2057" s="654" t="str">
        <f t="shared" ca="1" si="546"/>
        <v>D.1.2057</v>
      </c>
      <c r="B2057" s="654" t="str">
        <f t="shared" ca="1" si="547"/>
        <v>1.2057</v>
      </c>
      <c r="C2057" s="654" t="str">
        <f t="shared" si="548"/>
        <v>[2057]</v>
      </c>
      <c r="D2057" s="654">
        <f>ROW()</f>
        <v>2057</v>
      </c>
      <c r="E2057" s="1125" t="str">
        <f>CU2057</f>
        <v>11,2 GW  (im Interesse einer übersichtlichen Potenzialdarstellung werden als Anzeigegrenze 120 %  des technischen Potenzials [2054] gewählt).</v>
      </c>
      <c r="F2057" s="1125"/>
      <c r="G2057" s="1125"/>
      <c r="H2057" s="1125"/>
      <c r="I2057" s="1125"/>
      <c r="J2057" s="1125"/>
      <c r="K2057" s="1125"/>
      <c r="L2057" s="1125"/>
      <c r="M2057" s="1125"/>
      <c r="N2057" s="1125"/>
      <c r="O2057" s="869"/>
      <c r="P2057" s="691" t="str">
        <f ca="1">HYPERLINK(EK2057,EJ2057)</f>
        <v/>
      </c>
      <c r="Q2057" s="692" t="str">
        <f>Y2057</f>
        <v xml:space="preserve"> </v>
      </c>
      <c r="R2057" s="801"/>
      <c r="S2057" s="784"/>
      <c r="U2057" s="1033" t="str">
        <f>TEXT(W2057,"0,0")&amp;" GW  (im Interesse einer übersichtlichen Potenzialdarstellung werden als Anzeigegrenze "&amp;AD2057&amp;AE2057&amp;" des technischen Potenzials "&amp;C2054&amp;" gewählt)."</f>
        <v>11,2 GW  (im Interesse einer übersichtlichen Potenzialdarstellung werden als Anzeigegrenze 120 %  des technischen Potenzials [2054] gewählt).</v>
      </c>
      <c r="V2057" s="905" t="s">
        <v>126</v>
      </c>
      <c r="W2057" s="1034">
        <f>W2054*AD2057%</f>
        <v>11.214306723924935</v>
      </c>
      <c r="X2057" s="672"/>
      <c r="Y2057" s="672" t="s">
        <v>126</v>
      </c>
      <c r="Z2057" s="1025"/>
      <c r="AB2057" s="801"/>
      <c r="AC2057" s="1020">
        <v>43925</v>
      </c>
      <c r="AD2057" s="801">
        <v>120</v>
      </c>
      <c r="AE2057" s="801" t="s">
        <v>531</v>
      </c>
      <c r="AF2057" s="801"/>
      <c r="AG2057" s="801"/>
      <c r="AH2057" s="801"/>
      <c r="AI2057" s="801"/>
      <c r="AJ2057" s="801"/>
      <c r="AK2057" s="687"/>
      <c r="AL2057" s="801"/>
      <c r="AM2057" s="801"/>
      <c r="AN2057" s="801"/>
      <c r="AO2057" s="801"/>
      <c r="AP2057" s="801"/>
      <c r="AQ2057" s="801"/>
      <c r="AR2057" s="801"/>
      <c r="AS2057" s="801"/>
      <c r="AT2057" s="801"/>
      <c r="AU2057" s="801"/>
      <c r="AV2057" s="801"/>
      <c r="BF2057" s="657"/>
      <c r="BI2057" s="905" t="s">
        <v>126</v>
      </c>
      <c r="BJ2057" s="666"/>
      <c r="BO2057" s="905" t="s">
        <v>252</v>
      </c>
      <c r="CU2057" s="663" t="str">
        <f>CJ$2&amp;IF(U2057="",BF2057,U2057)</f>
        <v>11,2 GW  (im Interesse einer übersichtlichen Potenzialdarstellung werden als Anzeigegrenze 120 %  des technischen Potenzials [2054] gewählt).</v>
      </c>
      <c r="CW2057" s="663"/>
      <c r="DT2057" s="671"/>
      <c r="EJ2057" s="905" t="str">
        <f>IF(X2057=0,"",EJ$1&amp;X2057)</f>
        <v/>
      </c>
      <c r="EK2057" s="905" t="str">
        <f ca="1">EK$1&amp;X2057</f>
        <v>[D_Python.xlsx]9.Quellen!C</v>
      </c>
      <c r="EV2057" s="819">
        <f t="shared" si="549"/>
        <v>2057</v>
      </c>
      <c r="EW2057" s="819"/>
      <c r="EY2057" s="655"/>
      <c r="EZ2057" s="655"/>
      <c r="FA2057" s="655"/>
    </row>
    <row r="2058" spans="1:157" s="757" customFormat="1" ht="5.5" customHeight="1">
      <c r="A2058" s="487"/>
      <c r="B2058" s="487"/>
      <c r="C2058" s="487"/>
      <c r="D2058" s="487"/>
      <c r="I2058" s="487"/>
      <c r="J2058" s="487"/>
      <c r="K2058" s="487"/>
      <c r="L2058" s="487"/>
      <c r="M2058" s="487"/>
      <c r="N2058" s="487"/>
      <c r="O2058" s="875"/>
      <c r="Q2058" s="704"/>
      <c r="R2058" s="520"/>
      <c r="S2058" s="704"/>
      <c r="AB2058" s="520"/>
      <c r="AC2058" s="1032"/>
      <c r="AD2058" s="520"/>
      <c r="AE2058" s="520"/>
      <c r="AF2058" s="520"/>
      <c r="AG2058" s="520"/>
      <c r="AH2058" s="520"/>
      <c r="AI2058" s="520"/>
      <c r="AJ2058" s="520"/>
      <c r="AK2058" s="520"/>
      <c r="AL2058" s="520"/>
      <c r="AM2058" s="520"/>
      <c r="AN2058" s="520"/>
      <c r="AO2058" s="520"/>
      <c r="AP2058" s="520"/>
      <c r="AQ2058" s="520"/>
      <c r="AR2058" s="520"/>
      <c r="AS2058" s="520"/>
      <c r="AT2058" s="520"/>
      <c r="AU2058" s="520"/>
      <c r="AV2058" s="520"/>
      <c r="AY2058" s="507"/>
      <c r="BA2058" s="507"/>
      <c r="BJ2058" s="493"/>
      <c r="CU2058" s="488"/>
      <c r="CW2058" s="488"/>
      <c r="EV2058" s="821"/>
      <c r="EW2058" s="821"/>
      <c r="EY2058" s="487"/>
      <c r="EZ2058" s="487"/>
      <c r="FA2058" s="487"/>
    </row>
    <row r="2059" spans="1:157" s="905" customFormat="1" ht="13">
      <c r="A2059" s="654" t="str">
        <f t="shared" ref="A2059:A2061" ca="1" si="551">BT$1&amp;D2059</f>
        <v>D.1.2059</v>
      </c>
      <c r="B2059" s="654" t="str">
        <f t="shared" ref="B2059:B2061" ca="1" si="552">BW$1&amp;D2059</f>
        <v>1.2059</v>
      </c>
      <c r="C2059" s="654" t="str">
        <f t="shared" ref="C2059:C2061" si="553">CE$1&amp;D2059&amp;CF$1</f>
        <v>[2059]</v>
      </c>
      <c r="D2059" s="654">
        <f>ROW()</f>
        <v>2059</v>
      </c>
      <c r="E2059" s="481" t="str">
        <f>BP2059</f>
        <v>Energetisch genutzte Landwirtschaftsfläche (Solar, Energiepflanzenanbau)</v>
      </c>
      <c r="F2059" s="482"/>
      <c r="G2059" s="482"/>
      <c r="H2059" s="482"/>
      <c r="I2059" s="482"/>
      <c r="J2059" s="484"/>
      <c r="K2059" s="484"/>
      <c r="L2059" s="484"/>
      <c r="M2059" s="484"/>
      <c r="N2059" s="483"/>
      <c r="O2059" s="869"/>
      <c r="P2059" s="568"/>
      <c r="Q2059" s="569"/>
      <c r="R2059" s="801"/>
      <c r="S2059" s="804"/>
      <c r="AB2059" s="801"/>
      <c r="AC2059" s="1031"/>
      <c r="AD2059" s="801"/>
      <c r="AE2059" s="801"/>
      <c r="AF2059" s="801"/>
      <c r="AG2059" s="801"/>
      <c r="AH2059" s="801"/>
      <c r="AI2059" s="801"/>
      <c r="AJ2059" s="801"/>
      <c r="AK2059" s="801"/>
      <c r="AL2059" s="801"/>
      <c r="AM2059" s="801"/>
      <c r="AN2059" s="801"/>
      <c r="AO2059" s="801"/>
      <c r="AP2059" s="801"/>
      <c r="AQ2059" s="801"/>
      <c r="AR2059" s="801"/>
      <c r="AS2059" s="801"/>
      <c r="AT2059" s="801"/>
      <c r="AU2059" s="801"/>
      <c r="AV2059" s="801"/>
      <c r="AZ2059" s="504"/>
      <c r="BB2059" s="506"/>
      <c r="BI2059" s="905" t="s">
        <v>126</v>
      </c>
      <c r="BJ2059" s="666"/>
      <c r="BO2059" s="905" t="s">
        <v>250</v>
      </c>
      <c r="BP2059" s="671" t="s">
        <v>1250</v>
      </c>
      <c r="CU2059" s="663"/>
      <c r="CW2059" s="663"/>
      <c r="EV2059" s="819">
        <f t="shared" ref="EV2059:EV2061" si="554">IF(U2059&amp;BP2059="","",D2059)</f>
        <v>2059</v>
      </c>
      <c r="EW2059" s="819"/>
      <c r="EY2059" s="655"/>
      <c r="EZ2059" s="655"/>
      <c r="FA2059" s="655"/>
    </row>
    <row r="2060" spans="1:157" s="757" customFormat="1" ht="5.5" customHeight="1">
      <c r="A2060" s="487" t="str">
        <f t="shared" ca="1" si="551"/>
        <v>D.1.2060</v>
      </c>
      <c r="B2060" s="487" t="str">
        <f t="shared" ca="1" si="552"/>
        <v>1.2060</v>
      </c>
      <c r="C2060" s="487" t="str">
        <f t="shared" si="553"/>
        <v>[2060]</v>
      </c>
      <c r="D2060" s="487">
        <f>ROW()</f>
        <v>2060</v>
      </c>
      <c r="I2060" s="487"/>
      <c r="J2060" s="487"/>
      <c r="K2060" s="487"/>
      <c r="L2060" s="487"/>
      <c r="M2060" s="487"/>
      <c r="N2060" s="487"/>
      <c r="O2060" s="875"/>
      <c r="Q2060" s="704"/>
      <c r="R2060" s="520"/>
      <c r="S2060" s="704"/>
      <c r="AB2060" s="520"/>
      <c r="AC2060" s="1036"/>
      <c r="AD2060" s="520"/>
      <c r="AE2060" s="520"/>
      <c r="AF2060" s="520"/>
      <c r="AG2060" s="520"/>
      <c r="AH2060" s="520"/>
      <c r="AI2060" s="520"/>
      <c r="AJ2060" s="520"/>
      <c r="AK2060" s="520"/>
      <c r="AL2060" s="520"/>
      <c r="AM2060" s="520"/>
      <c r="AN2060" s="520"/>
      <c r="AO2060" s="520"/>
      <c r="AP2060" s="520"/>
      <c r="AQ2060" s="520"/>
      <c r="AR2060" s="520"/>
      <c r="AS2060" s="520"/>
      <c r="AT2060" s="520"/>
      <c r="AU2060" s="520"/>
      <c r="AV2060" s="520"/>
      <c r="AY2060" s="507"/>
      <c r="BA2060" s="507"/>
      <c r="BI2060" s="757" t="s">
        <v>126</v>
      </c>
      <c r="BJ2060" s="493"/>
      <c r="CU2060" s="488"/>
      <c r="CW2060" s="488"/>
      <c r="EV2060" s="821" t="str">
        <f t="shared" si="554"/>
        <v/>
      </c>
      <c r="EW2060" s="821"/>
      <c r="EY2060" s="487"/>
      <c r="EZ2060" s="487"/>
      <c r="FA2060" s="487"/>
    </row>
    <row r="2061" spans="1:157" s="658" customFormat="1" ht="13.5" customHeight="1">
      <c r="A2061" s="654" t="str">
        <f t="shared" ca="1" si="551"/>
        <v>D.1.2061</v>
      </c>
      <c r="B2061" s="654" t="str">
        <f t="shared" ca="1" si="552"/>
        <v>1.2061</v>
      </c>
      <c r="C2061" s="654" t="str">
        <f t="shared" si="553"/>
        <v>[2061]</v>
      </c>
      <c r="D2061" s="654">
        <f>ROW()</f>
        <v>2061</v>
      </c>
      <c r="F2061" s="1037" t="s">
        <v>1251</v>
      </c>
      <c r="G2061" s="1038">
        <f ca="1">INDIRECT($W$1&amp;U2061)</f>
        <v>0</v>
      </c>
      <c r="H2061" s="1039" t="str">
        <f ca="1">HYPERLINK($CK$1&amp;U2061,$CE$1&amp;U2061&amp;$CF$1)</f>
        <v>[2065]</v>
      </c>
      <c r="I2061" s="1040">
        <f ca="1">INDIRECT($W$1&amp;W2061)</f>
        <v>13.345507047408043</v>
      </c>
      <c r="J2061" s="1039" t="str">
        <f ca="1">HYPERLINK($CK$1&amp;W2061,$CE$1&amp;W2061&amp;$CF$1)</f>
        <v>[2068]</v>
      </c>
      <c r="K2061" s="1041">
        <f ca="1">INDIRECT($W$1&amp;X2061)</f>
        <v>22.459893048128343</v>
      </c>
      <c r="L2061" s="1039" t="str">
        <f ca="1">HYPERLINK($CK$1&amp;X2061,$CE$1&amp;X2061&amp;$CF$1)</f>
        <v>[2070]</v>
      </c>
      <c r="M2061" s="1042">
        <f ca="1">INDIRECT($W$1&amp;Y2061)</f>
        <v>26.951871657754012</v>
      </c>
      <c r="N2061" s="1039" t="str">
        <f ca="1">HYPERLINK($CK$1&amp;Y2061,$CE$1&amp;Y2061&amp;$CF$1)</f>
        <v>[2073]</v>
      </c>
      <c r="O2061" s="869"/>
      <c r="P2061" s="690"/>
      <c r="Q2061" s="695"/>
      <c r="R2061" s="801"/>
      <c r="S2061" s="784"/>
      <c r="T2061" s="905"/>
      <c r="U2061" s="1043">
        <f>D2065</f>
        <v>2065</v>
      </c>
      <c r="V2061" s="905" t="s">
        <v>126</v>
      </c>
      <c r="W2061" s="1043">
        <f>D2068</f>
        <v>2068</v>
      </c>
      <c r="X2061" s="1043">
        <f>D2070</f>
        <v>2070</v>
      </c>
      <c r="Y2061" s="1043">
        <f>D2073</f>
        <v>2073</v>
      </c>
      <c r="AB2061" s="801"/>
      <c r="AC2061" s="1031"/>
      <c r="AD2061" s="674"/>
      <c r="AE2061" s="674"/>
      <c r="AF2061" s="674"/>
      <c r="AG2061" s="674"/>
      <c r="AH2061" s="674"/>
      <c r="AI2061" s="674"/>
      <c r="AJ2061" s="674"/>
      <c r="AK2061" s="674"/>
      <c r="AL2061" s="674"/>
      <c r="AM2061" s="674"/>
      <c r="AN2061" s="674"/>
      <c r="AO2061" s="674"/>
      <c r="AP2061" s="674"/>
      <c r="AQ2061" s="674"/>
      <c r="AR2061" s="674"/>
      <c r="AS2061" s="674"/>
      <c r="AT2061" s="674"/>
      <c r="AU2061" s="674"/>
      <c r="AV2061" s="674"/>
      <c r="AX2061" s="658" t="s">
        <v>244</v>
      </c>
      <c r="AY2061" s="1022">
        <f ca="1">DA2061</f>
        <v>36590.400000000001</v>
      </c>
      <c r="AZ2061" s="670" t="str">
        <f ca="1">HYPERLINK(DN2061,DC2061)</f>
        <v xml:space="preserve"> 191</v>
      </c>
      <c r="BA2061" s="1022">
        <f ca="1">DB2061</f>
        <v>119034.45</v>
      </c>
      <c r="BB2061" s="670" t="str">
        <f ca="1">HYPERLINK(DO2061,DD2061)</f>
        <v xml:space="preserve"> 59</v>
      </c>
      <c r="BC2061" s="658" t="str">
        <f ca="1">CY2061&amp;" | "&amp;CZ2061</f>
        <v>Windpark-Fl.
Onshore | 2.1.5 Für Windparks genutzte Abstands-Flächen (Onshore)</v>
      </c>
      <c r="BI2061" s="658" t="s">
        <v>126</v>
      </c>
      <c r="BJ2061" s="667" t="str">
        <f>F2061</f>
        <v>% v. Landwirtsch.fläche:</v>
      </c>
      <c r="BK2061" s="664">
        <f ca="1">G2061</f>
        <v>0</v>
      </c>
      <c r="BL2061" s="664">
        <f ca="1">M2061</f>
        <v>26.951871657754012</v>
      </c>
      <c r="BM2061" s="905">
        <f>D2061</f>
        <v>2061</v>
      </c>
      <c r="BO2061" s="658" t="s">
        <v>251</v>
      </c>
      <c r="CU2061" s="659"/>
      <c r="CW2061" s="671">
        <v>30</v>
      </c>
      <c r="CY2061" s="905" t="str">
        <f t="shared" ref="CY2061:DO2061" ca="1" si="555">INDIRECT($CX$1&amp;CY$1&amp;$CW2061)</f>
        <v>Windpark-Fl.
Onshore</v>
      </c>
      <c r="CZ2061" s="905" t="str">
        <f t="shared" ca="1" si="555"/>
        <v>2.1.5 Für Windparks genutzte Abstands-Flächen (Onshore)</v>
      </c>
      <c r="DA2061" s="905">
        <f t="shared" ca="1" si="555"/>
        <v>36590.400000000001</v>
      </c>
      <c r="DB2061" s="905">
        <f t="shared" ca="1" si="555"/>
        <v>119034.45</v>
      </c>
      <c r="DC2061" s="905" t="str">
        <f t="shared" ca="1" si="555"/>
        <v xml:space="preserve"> 191</v>
      </c>
      <c r="DD2061" s="905" t="str">
        <f t="shared" ca="1" si="555"/>
        <v xml:space="preserve"> 59</v>
      </c>
      <c r="DE2061" s="905" t="str">
        <f t="shared" ca="1" si="555"/>
        <v>Wi20</v>
      </c>
      <c r="DF2061" s="905" t="str">
        <f t="shared" ca="1" si="555"/>
        <v>Wi40</v>
      </c>
      <c r="DG2061" s="905" t="str">
        <f t="shared" ca="1" si="555"/>
        <v>Wi</v>
      </c>
      <c r="DH2061" s="905" t="str">
        <f t="shared" ca="1" si="555"/>
        <v>20</v>
      </c>
      <c r="DI2061" s="905" t="str">
        <f t="shared" ca="1" si="555"/>
        <v>[Wi.xls]TEXT!Z20S5</v>
      </c>
      <c r="DJ2061" s="905" t="str">
        <f t="shared" ca="1" si="555"/>
        <v>Wi</v>
      </c>
      <c r="DK2061" s="905" t="str">
        <f t="shared" ca="1" si="555"/>
        <v>40</v>
      </c>
      <c r="DL2061" s="905" t="str">
        <f t="shared" ca="1" si="555"/>
        <v>[Wi.xls]TEXT!Z40S5</v>
      </c>
      <c r="DM2061" s="905">
        <f t="shared" ca="1" si="555"/>
        <v>30</v>
      </c>
      <c r="DN2061" s="905" t="str">
        <f t="shared" ca="1" si="555"/>
        <v>[Region.xls]PARAMETER!Z191S6</v>
      </c>
      <c r="DO2061" s="905" t="str">
        <f t="shared" ca="1" si="555"/>
        <v>[Region.xls]PARAMETER!Z59S6</v>
      </c>
      <c r="DP2061" s="905"/>
      <c r="DS2061" s="905"/>
      <c r="DV2061" s="905"/>
      <c r="DW2061" s="905"/>
      <c r="DX2061" s="905"/>
      <c r="DY2061" s="905"/>
      <c r="DZ2061" s="905"/>
      <c r="EA2061" s="905"/>
      <c r="EB2061" s="905"/>
      <c r="EC2061" s="905"/>
      <c r="ED2061" s="905"/>
      <c r="EE2061" s="905"/>
      <c r="EF2061" s="905"/>
      <c r="EG2061" s="905"/>
      <c r="EH2061" s="905"/>
      <c r="EI2061" s="905"/>
      <c r="EJ2061" s="905"/>
      <c r="EK2061" s="905"/>
      <c r="EV2061" s="819">
        <f t="shared" si="554"/>
        <v>2061</v>
      </c>
      <c r="EW2061" s="819"/>
      <c r="EY2061" s="1044"/>
      <c r="EZ2061" s="1044"/>
      <c r="FA2061" s="1044"/>
    </row>
    <row r="2062" spans="1:157" s="757" customFormat="1" ht="5.5" customHeight="1">
      <c r="A2062" s="487" t="str">
        <f ca="1">BT$1&amp;D2062</f>
        <v>D.1.2062</v>
      </c>
      <c r="B2062" s="487" t="str">
        <f ca="1">BW$1&amp;D2062</f>
        <v>1.2062</v>
      </c>
      <c r="C2062" s="487" t="str">
        <f>CE$1&amp;D2062&amp;CF$1</f>
        <v>[2062]</v>
      </c>
      <c r="D2062" s="487">
        <f>ROW()</f>
        <v>2062</v>
      </c>
      <c r="I2062" s="487"/>
      <c r="J2062" s="487"/>
      <c r="K2062" s="487"/>
      <c r="L2062" s="487"/>
      <c r="M2062" s="487"/>
      <c r="N2062" s="487"/>
      <c r="O2062" s="875"/>
      <c r="Q2062" s="704"/>
      <c r="R2062" s="520"/>
      <c r="S2062" s="704"/>
      <c r="AB2062" s="520"/>
      <c r="AC2062" s="1036"/>
      <c r="AD2062" s="520"/>
      <c r="AE2062" s="520"/>
      <c r="AF2062" s="520"/>
      <c r="AG2062" s="520"/>
      <c r="AH2062" s="520"/>
      <c r="AI2062" s="520"/>
      <c r="AJ2062" s="520"/>
      <c r="AK2062" s="520"/>
      <c r="AL2062" s="520"/>
      <c r="AM2062" s="520"/>
      <c r="AN2062" s="520"/>
      <c r="AO2062" s="520"/>
      <c r="AP2062" s="520"/>
      <c r="AQ2062" s="520"/>
      <c r="AR2062" s="520"/>
      <c r="AS2062" s="520"/>
      <c r="AT2062" s="520"/>
      <c r="AU2062" s="520"/>
      <c r="AV2062" s="520"/>
      <c r="AY2062" s="507"/>
      <c r="BA2062" s="507"/>
      <c r="BI2062" s="757" t="s">
        <v>126</v>
      </c>
      <c r="BJ2062" s="493"/>
      <c r="CU2062" s="488"/>
      <c r="CW2062" s="488"/>
      <c r="EV2062" s="821" t="str">
        <f>IF(U2062&amp;BP2062="","",D2062)</f>
        <v/>
      </c>
      <c r="EW2062" s="821"/>
      <c r="EY2062" s="487"/>
      <c r="EZ2062" s="487"/>
      <c r="FA2062" s="487"/>
    </row>
    <row r="2063" spans="1:157" s="905" customFormat="1" ht="65">
      <c r="A2063" s="654" t="str">
        <f t="shared" ref="A2063" ca="1" si="556">BT$1&amp;D2063</f>
        <v>D.1.2063</v>
      </c>
      <c r="B2063" s="654" t="str">
        <f t="shared" ref="B2063" ca="1" si="557">BW$1&amp;D2063</f>
        <v>1.2063</v>
      </c>
      <c r="C2063" s="654" t="str">
        <f t="shared" ref="C2063" si="558">CE$1&amp;D2063&amp;CF$1</f>
        <v>[2063]</v>
      </c>
      <c r="D2063" s="654">
        <f>ROW()</f>
        <v>2063</v>
      </c>
      <c r="E2063" s="1125" t="str">
        <f>CU2063</f>
        <v>Die  Energiegewinnung auf Landwirtschaftsflächen steht in Nutzungskonkurrenz  zu Nahrungsmittelproduktion und stofflicher Nutzung. Die Flächenbelegung ergibt sich aus der Summe von Solar- und Energiepflanzen-Anbauflächen. Die Solar-Freiflächenanlagen werden hier komplett der Landwirtschaftsfläche zugerechnet, da andere nutzbare Freiflächen (wie z. B. auf Ödland, Halden, Deponien, Randstreifen an Autobahnen) im Vergleich zum künftigen Bedarf vernachlässigbare Potenziale aufweisen.</v>
      </c>
      <c r="F2063" s="1125"/>
      <c r="G2063" s="1125"/>
      <c r="H2063" s="1125"/>
      <c r="I2063" s="1125"/>
      <c r="J2063" s="1125"/>
      <c r="K2063" s="1125"/>
      <c r="L2063" s="1125"/>
      <c r="M2063" s="1125"/>
      <c r="N2063" s="1125"/>
      <c r="O2063" s="869"/>
      <c r="P2063" s="691" t="str">
        <f ca="1">HYPERLINK(EK2063,EJ2063)</f>
        <v/>
      </c>
      <c r="Q2063" s="692" t="str">
        <f>Y2063</f>
        <v xml:space="preserve"> </v>
      </c>
      <c r="R2063" s="801"/>
      <c r="S2063" s="805"/>
      <c r="U2063" s="1033" t="str">
        <f>"Die  Energiegewinnung auf Landwirtschaftsflächen steht in Nutzungskonkurrenz  zu Nahrungsmittelproduktion und stofflicher Nutzung. "&amp;"Die Flächenbelegung ergibt sich aus der Summe von Solar- und Energiepflanzen-Anbauflächen. "&amp;"Die Solar-Freiflächenanlagen werden hier komplett der Landwirtschaftsfläche zugerechnet, da andere nutzbare Freiflächen (wie z. B. auf Ödland, Halden, Deponien, Randstreifen an Autobahnen) "&amp;"im Vergleich zum künftigen Bedarf vernachlässigbare Potenziale aufweisen."</f>
        <v>Die  Energiegewinnung auf Landwirtschaftsflächen steht in Nutzungskonkurrenz  zu Nahrungsmittelproduktion und stofflicher Nutzung. Die Flächenbelegung ergibt sich aus der Summe von Solar- und Energiepflanzen-Anbauflächen. Die Solar-Freiflächenanlagen werden hier komplett der Landwirtschaftsfläche zugerechnet, da andere nutzbare Freiflächen (wie z. B. auf Ödland, Halden, Deponien, Randstreifen an Autobahnen) im Vergleich zum künftigen Bedarf vernachlässigbare Potenziale aufweisen.</v>
      </c>
      <c r="V2063" s="905" t="s">
        <v>126</v>
      </c>
      <c r="W2063" s="1034"/>
      <c r="X2063" s="672"/>
      <c r="Y2063" s="672" t="s">
        <v>126</v>
      </c>
      <c r="Z2063" s="1025"/>
      <c r="AB2063" s="801"/>
      <c r="AC2063" s="1020">
        <v>43925</v>
      </c>
      <c r="AD2063" s="801"/>
      <c r="AE2063" s="801"/>
      <c r="AF2063" s="801"/>
      <c r="AG2063" s="801"/>
      <c r="AH2063" s="801"/>
      <c r="AI2063" s="801"/>
      <c r="AJ2063" s="801"/>
      <c r="AK2063" s="801"/>
      <c r="AL2063" s="801"/>
      <c r="AM2063" s="801"/>
      <c r="AN2063" s="801"/>
      <c r="AO2063" s="562"/>
      <c r="AP2063" s="801"/>
      <c r="AQ2063" s="687"/>
      <c r="AR2063" s="801"/>
      <c r="AS2063" s="801"/>
      <c r="AT2063" s="801"/>
      <c r="AU2063" s="801"/>
      <c r="AV2063" s="801"/>
      <c r="BF2063" s="657"/>
      <c r="BI2063" s="905" t="s">
        <v>126</v>
      </c>
      <c r="BJ2063" s="666"/>
      <c r="BO2063" s="905" t="s">
        <v>252</v>
      </c>
      <c r="CU2063" s="663" t="str">
        <f>IF(U2063="",BF2063,U2063)</f>
        <v>Die  Energiegewinnung auf Landwirtschaftsflächen steht in Nutzungskonkurrenz  zu Nahrungsmittelproduktion und stofflicher Nutzung. Die Flächenbelegung ergibt sich aus der Summe von Solar- und Energiepflanzen-Anbauflächen. Die Solar-Freiflächenanlagen werden hier komplett der Landwirtschaftsfläche zugerechnet, da andere nutzbare Freiflächen (wie z. B. auf Ödland, Halden, Deponien, Randstreifen an Autobahnen) im Vergleich zum künftigen Bedarf vernachlässigbare Potenziale aufweisen.</v>
      </c>
      <c r="CW2063" s="663"/>
      <c r="DT2063" s="671"/>
      <c r="EJ2063" s="905" t="str">
        <f>IF(X2063=0,"",EJ$1&amp;X2063)</f>
        <v/>
      </c>
      <c r="EK2063" s="905" t="str">
        <f ca="1">EK$1&amp;X2063</f>
        <v>[D_Python.xlsx]9.Quellen!C</v>
      </c>
      <c r="EV2063" s="819">
        <f t="shared" ref="EV2063" si="559">IF(U2063&amp;BP2063="","",D2063)</f>
        <v>2063</v>
      </c>
      <c r="EW2063" s="819"/>
      <c r="EY2063" s="655"/>
      <c r="EZ2063" s="655"/>
      <c r="FA2063" s="655"/>
    </row>
    <row r="2064" spans="1:157" s="757" customFormat="1" ht="5.5" customHeight="1">
      <c r="A2064" s="487" t="str">
        <f ca="1">BT$1&amp;D2064</f>
        <v>D.1.2064</v>
      </c>
      <c r="B2064" s="487" t="str">
        <f ca="1">BW$1&amp;D2064</f>
        <v>1.2064</v>
      </c>
      <c r="C2064" s="487" t="str">
        <f>CE$1&amp;D2064&amp;CF$1</f>
        <v>[2064]</v>
      </c>
      <c r="D2064" s="487">
        <f>ROW()</f>
        <v>2064</v>
      </c>
      <c r="I2064" s="487"/>
      <c r="J2064" s="487"/>
      <c r="K2064" s="487"/>
      <c r="L2064" s="487"/>
      <c r="M2064" s="487"/>
      <c r="N2064" s="487"/>
      <c r="O2064" s="875"/>
      <c r="Q2064" s="704"/>
      <c r="R2064" s="520"/>
      <c r="S2064" s="704"/>
      <c r="AB2064" s="520"/>
      <c r="AC2064" s="1036"/>
      <c r="AD2064" s="520"/>
      <c r="AE2064" s="520"/>
      <c r="AF2064" s="520"/>
      <c r="AG2064" s="520"/>
      <c r="AH2064" s="520"/>
      <c r="AI2064" s="520"/>
      <c r="AJ2064" s="520"/>
      <c r="AK2064" s="520"/>
      <c r="AL2064" s="520"/>
      <c r="AM2064" s="520"/>
      <c r="AN2064" s="520"/>
      <c r="AO2064" s="520"/>
      <c r="AP2064" s="520"/>
      <c r="AQ2064" s="520"/>
      <c r="AR2064" s="520"/>
      <c r="AS2064" s="520"/>
      <c r="AT2064" s="520"/>
      <c r="AU2064" s="520"/>
      <c r="AV2064" s="520"/>
      <c r="AY2064" s="507"/>
      <c r="BA2064" s="507"/>
      <c r="BI2064" s="757" t="s">
        <v>126</v>
      </c>
      <c r="BJ2064" s="493"/>
      <c r="CU2064" s="488"/>
      <c r="CW2064" s="488"/>
      <c r="EV2064" s="821" t="str">
        <f>IF(U2064&amp;BP2064="","",D2064)</f>
        <v/>
      </c>
      <c r="EW2064" s="821"/>
      <c r="EY2064" s="487"/>
      <c r="EZ2064" s="487"/>
      <c r="FA2064" s="487"/>
    </row>
    <row r="2065" spans="1:157" s="905" customFormat="1" ht="39">
      <c r="A2065" s="654" t="str">
        <f t="shared" ref="A2065:A2068" ca="1" si="560">BT$1&amp;D2065</f>
        <v>D.1.2065</v>
      </c>
      <c r="B2065" s="654" t="str">
        <f t="shared" ref="B2065:B2068" ca="1" si="561">BW$1&amp;D2065</f>
        <v>1.2065</v>
      </c>
      <c r="C2065" s="654" t="str">
        <f t="shared" ref="C2065:C2068" si="562">CE$1&amp;D2065&amp;CF$1</f>
        <v>[2065]</v>
      </c>
      <c r="D2065" s="654">
        <f>ROW()</f>
        <v>2065</v>
      </c>
      <c r="E2065" s="1125" t="str">
        <f>CU2065</f>
        <v>Die kritische Einschätzung des Umweltbundesamtes zum künftigen Energiepflanzenanbau [2066] kann auch auf andere energetische Beanspruchungen von Landwirtschafsflächen wie PV-Freiflächenanlagen übertragen werden. Die Nutzungskonkurrenz mit der Nahrungsmittelproduktion trifft auf jede Art der Energiegewinnung zu.</v>
      </c>
      <c r="F2065" s="1125"/>
      <c r="G2065" s="1125"/>
      <c r="H2065" s="1125"/>
      <c r="I2065" s="1125"/>
      <c r="J2065" s="1125"/>
      <c r="K2065" s="1125"/>
      <c r="L2065" s="1125"/>
      <c r="M2065" s="1125"/>
      <c r="N2065" s="1125"/>
      <c r="O2065" s="869"/>
      <c r="P2065" s="691" t="str">
        <f ca="1">HYPERLINK(EK2065,EJ2065)</f>
        <v/>
      </c>
      <c r="Q2065" s="692" t="str">
        <f>Y2065</f>
        <v xml:space="preserve"> </v>
      </c>
      <c r="R2065" s="801"/>
      <c r="S2065" s="784"/>
      <c r="U2065" s="1023" t="str">
        <f>"Die kritische Einschätzung des Umweltbundesamtes zum künftigen Energiepflanzenanbau "&amp;C2066&amp;" kann auch auf andere energetische Beanspruchungen von Landwirtschafsflächen wie PV-Freiflächenanlagen übertragen werden."&amp;" Die Nutzungskonkurrenz mit der Nahrungsmittelproduktion trifft auf jede Art der Energiegewinnung zu."</f>
        <v>Die kritische Einschätzung des Umweltbundesamtes zum künftigen Energiepflanzenanbau [2066] kann auch auf andere energetische Beanspruchungen von Landwirtschafsflächen wie PV-Freiflächenanlagen übertragen werden. Die Nutzungskonkurrenz mit der Nahrungsmittelproduktion trifft auf jede Art der Energiegewinnung zu.</v>
      </c>
      <c r="V2065" s="905" t="s">
        <v>126</v>
      </c>
      <c r="W2065" s="1035">
        <v>0</v>
      </c>
      <c r="X2065" s="672"/>
      <c r="Y2065" s="672" t="s">
        <v>126</v>
      </c>
      <c r="Z2065" s="1025"/>
      <c r="AA2065" s="658"/>
      <c r="AB2065" s="801"/>
      <c r="AC2065" s="1020">
        <v>43925</v>
      </c>
      <c r="AD2065" s="854"/>
      <c r="AE2065" s="687"/>
      <c r="AF2065" s="687"/>
      <c r="AG2065" s="801"/>
      <c r="AH2065" s="687"/>
      <c r="AI2065" s="801"/>
      <c r="AJ2065" s="801"/>
      <c r="AK2065" s="801"/>
      <c r="AL2065" s="801"/>
      <c r="AM2065" s="801"/>
      <c r="AN2065" s="801"/>
      <c r="AO2065" s="801"/>
      <c r="AP2065" s="801"/>
      <c r="AQ2065" s="801"/>
      <c r="AR2065" s="801"/>
      <c r="AS2065" s="801"/>
      <c r="AT2065" s="801"/>
      <c r="AU2065" s="801"/>
      <c r="AV2065" s="801"/>
      <c r="BF2065" s="657"/>
      <c r="BI2065" s="905" t="s">
        <v>126</v>
      </c>
      <c r="BJ2065" s="666"/>
      <c r="BO2065" s="905" t="s">
        <v>259</v>
      </c>
      <c r="CU2065" s="663" t="str">
        <f>CG$2&amp;IF(U2065="",BF2065,U2065)</f>
        <v>Die kritische Einschätzung des Umweltbundesamtes zum künftigen Energiepflanzenanbau [2066] kann auch auf andere energetische Beanspruchungen von Landwirtschafsflächen wie PV-Freiflächenanlagen übertragen werden. Die Nutzungskonkurrenz mit der Nahrungsmittelproduktion trifft auf jede Art der Energiegewinnung zu.</v>
      </c>
      <c r="CW2065" s="663"/>
      <c r="DT2065" s="671" t="e">
        <f>#REF!</f>
        <v>#REF!</v>
      </c>
      <c r="EJ2065" s="905" t="str">
        <f>IF(X2065=0,"",EJ$1&amp;X2065)</f>
        <v/>
      </c>
      <c r="EK2065" s="905" t="str">
        <f ca="1">EK$1&amp;X2065</f>
        <v>[D_Python.xlsx]9.Quellen!C</v>
      </c>
      <c r="EV2065" s="819">
        <f t="shared" ref="EV2065:EV2068" si="563">IF(U2065&amp;BP2065="","",D2065)</f>
        <v>2065</v>
      </c>
      <c r="EW2065" s="819"/>
      <c r="EY2065" s="655"/>
      <c r="EZ2065" s="655"/>
      <c r="FA2065" s="655"/>
    </row>
    <row r="2066" spans="1:157" s="905" customFormat="1" ht="91">
      <c r="A2066" s="654" t="str">
        <f t="shared" ca="1" si="560"/>
        <v>D.1.2066</v>
      </c>
      <c r="B2066" s="654" t="str">
        <f t="shared" ca="1" si="561"/>
        <v>1.2066</v>
      </c>
      <c r="C2066" s="654" t="str">
        <f t="shared" si="562"/>
        <v>[2066]</v>
      </c>
      <c r="D2066" s="654">
        <f>ROW()</f>
        <v>2066</v>
      </c>
      <c r="E2066" s="1125" t="str">
        <f ca="1">CU2066</f>
        <v>"Treibhausgasneutrales Deutschland 2050" [9.249], S. 44: "Das Umweltbundesamt steht dem Anbau von Biomasse eigens zur energetischen Nutzung kritsich gegenüber, unter anderem aufgrund der zunehmenden Konkurrenz um fruchtbare Anbauflächen, der unverhältnismäßig hohen Flächenintensität der Energiegewinnung aus Anbaubiomasse im Vergleich mit anderen erneuerbaren Energiequellen und der sozioökonomisch problematischen Verknüpfung mit den Lebensmittelpreisen am Weltmarkt. Daher werden nachfolgend nur Potenziale aus biogenen Abfallstoffen berücksichtigt."
Daraus folgt: Auf Energiepflanzenanbau wird vollständig verzichtet.</v>
      </c>
      <c r="F2066" s="1125"/>
      <c r="G2066" s="1125"/>
      <c r="H2066" s="1125"/>
      <c r="I2066" s="1125"/>
      <c r="J2066" s="1125"/>
      <c r="K2066" s="1125"/>
      <c r="L2066" s="1125"/>
      <c r="M2066" s="1125"/>
      <c r="N2066" s="1125"/>
      <c r="O2066" s="869"/>
      <c r="P2066" s="691" t="str">
        <f ca="1">HYPERLINK(EK2066,EJ2066)</f>
        <v>9.249</v>
      </c>
      <c r="Q2066" s="692" t="str">
        <f>Y2066</f>
        <v>S. 45</v>
      </c>
      <c r="R2066" s="801"/>
      <c r="S2066" s="805"/>
      <c r="U2066" s="1033" t="str">
        <f ca="1">U370&amp;"
Daraus folgt: Auf Energiepflanzenanbau wird vollständig verzichtet."</f>
        <v>"Treibhausgasneutrales Deutschland 2050" [9.249], S. 44: "Das Umweltbundesamt steht dem Anbau von Biomasse eigens zur energetischen Nutzung kritsich gegenüber, unter anderem aufgrund der zunehmenden Konkurrenz um fruchtbare Anbauflächen, der unverhältnismäßig hohen Flächenintensität der Energiegewinnung aus Anbaubiomasse im Vergleich mit anderen erneuerbaren Energiequellen und der sozioökonomisch problematischen Verknüpfung mit den Lebensmittelpreisen am Weltmarkt. Daher werden nachfolgend nur Potenziale aus biogenen Abfallstoffen berücksichtigt."
Daraus folgt: Auf Energiepflanzenanbau wird vollständig verzichtet.</v>
      </c>
      <c r="V2066" s="905" t="s">
        <v>126</v>
      </c>
      <c r="W2066" s="1034"/>
      <c r="X2066" s="672">
        <f>'9.Quellen'!C249</f>
        <v>249</v>
      </c>
      <c r="Y2066" s="672" t="s">
        <v>1252</v>
      </c>
      <c r="Z2066" s="1025"/>
      <c r="AB2066" s="801"/>
      <c r="AC2066" s="1020">
        <v>44039</v>
      </c>
      <c r="AD2066" s="801"/>
      <c r="AE2066" s="801"/>
      <c r="AF2066" s="801"/>
      <c r="AG2066" s="801"/>
      <c r="AH2066" s="801"/>
      <c r="AI2066" s="801"/>
      <c r="AJ2066" s="801"/>
      <c r="AK2066" s="801"/>
      <c r="AL2066" s="801"/>
      <c r="AM2066" s="801"/>
      <c r="AN2066" s="801"/>
      <c r="AO2066" s="562"/>
      <c r="AP2066" s="801"/>
      <c r="AQ2066" s="687"/>
      <c r="AR2066" s="801"/>
      <c r="AS2066" s="801"/>
      <c r="AT2066" s="801"/>
      <c r="AU2066" s="801"/>
      <c r="AV2066" s="801"/>
      <c r="BF2066" s="657"/>
      <c r="BI2066" s="905" t="s">
        <v>126</v>
      </c>
      <c r="BJ2066" s="666"/>
      <c r="BO2066" s="905" t="s">
        <v>252</v>
      </c>
      <c r="CU2066" s="663" t="str">
        <f ca="1">IF(U2066="",BF2066,U2066)</f>
        <v>"Treibhausgasneutrales Deutschland 2050" [9.249], S. 44: "Das Umweltbundesamt steht dem Anbau von Biomasse eigens zur energetischen Nutzung kritsich gegenüber, unter anderem aufgrund der zunehmenden Konkurrenz um fruchtbare Anbauflächen, der unverhältnismäßig hohen Flächenintensität der Energiegewinnung aus Anbaubiomasse im Vergleich mit anderen erneuerbaren Energiequellen und der sozioökonomisch problematischen Verknüpfung mit den Lebensmittelpreisen am Weltmarkt. Daher werden nachfolgend nur Potenziale aus biogenen Abfallstoffen berücksichtigt."
Daraus folgt: Auf Energiepflanzenanbau wird vollständig verzichtet.</v>
      </c>
      <c r="CW2066" s="663"/>
      <c r="DT2066" s="671"/>
      <c r="EJ2066" s="905" t="str">
        <f ca="1">IF(X2066=0,"",EJ$1&amp;X2066)</f>
        <v>9.249</v>
      </c>
      <c r="EK2066" s="905" t="str">
        <f ca="1">EK$1&amp;X2066</f>
        <v>[D_Python.xlsx]9.Quellen!C249</v>
      </c>
      <c r="EV2066" s="819">
        <f t="shared" ca="1" si="563"/>
        <v>2066</v>
      </c>
      <c r="EW2066" s="819"/>
      <c r="EY2066" s="655"/>
      <c r="EZ2066" s="655"/>
      <c r="FA2066" s="655"/>
    </row>
    <row r="2067" spans="1:157" s="757" customFormat="1" ht="5.5" customHeight="1">
      <c r="A2067" s="487" t="str">
        <f ca="1">BT$1&amp;D2067</f>
        <v>D.1.2067</v>
      </c>
      <c r="B2067" s="487" t="str">
        <f ca="1">BW$1&amp;D2067</f>
        <v>1.2067</v>
      </c>
      <c r="C2067" s="487" t="str">
        <f>CE$1&amp;D2067&amp;CF$1</f>
        <v>[2067]</v>
      </c>
      <c r="D2067" s="487">
        <f>ROW()</f>
        <v>2067</v>
      </c>
      <c r="I2067" s="487"/>
      <c r="J2067" s="487"/>
      <c r="K2067" s="487"/>
      <c r="L2067" s="487"/>
      <c r="M2067" s="487"/>
      <c r="N2067" s="487"/>
      <c r="O2067" s="875"/>
      <c r="Q2067" s="704"/>
      <c r="R2067" s="520"/>
      <c r="S2067" s="704"/>
      <c r="AB2067" s="520"/>
      <c r="AC2067" s="1036"/>
      <c r="AD2067" s="520"/>
      <c r="AE2067" s="520"/>
      <c r="AF2067" s="520"/>
      <c r="AG2067" s="520"/>
      <c r="AH2067" s="520"/>
      <c r="AI2067" s="520"/>
      <c r="AJ2067" s="520"/>
      <c r="AK2067" s="520"/>
      <c r="AL2067" s="520"/>
      <c r="AM2067" s="520"/>
      <c r="AN2067" s="520"/>
      <c r="AO2067" s="520"/>
      <c r="AP2067" s="520"/>
      <c r="AQ2067" s="520"/>
      <c r="AR2067" s="520"/>
      <c r="AS2067" s="520"/>
      <c r="AT2067" s="520"/>
      <c r="AU2067" s="520"/>
      <c r="AV2067" s="520"/>
      <c r="AY2067" s="507"/>
      <c r="BA2067" s="507"/>
      <c r="BI2067" s="757" t="s">
        <v>126</v>
      </c>
      <c r="BJ2067" s="493"/>
      <c r="CU2067" s="488"/>
      <c r="CW2067" s="488"/>
      <c r="EV2067" s="821" t="str">
        <f>IF(U2067&amp;BP2067="","",D2067)</f>
        <v/>
      </c>
      <c r="EW2067" s="821"/>
      <c r="EY2067" s="487"/>
      <c r="EZ2067" s="487"/>
      <c r="FA2067" s="487"/>
    </row>
    <row r="2068" spans="1:157" s="905" customFormat="1" ht="143">
      <c r="A2068" s="654" t="str">
        <f t="shared" ca="1" si="560"/>
        <v>D.1.2068</v>
      </c>
      <c r="B2068" s="654" t="str">
        <f t="shared" ca="1" si="561"/>
        <v>1.2068</v>
      </c>
      <c r="C2068" s="654" t="str">
        <f t="shared" si="562"/>
        <v>[2068]</v>
      </c>
      <c r="D2068" s="654">
        <f>ROW()</f>
        <v>2068</v>
      </c>
      <c r="E2068" s="1125" t="str">
        <f ca="1">CU2068</f>
        <v>Im Jahr 2017 waren in der Zielregion  13,3% der Landwirtschaftsfläche energetisch genutzt (insgesamt 2.437.388 ha , davon 1.450.000 für Biogas [365],  760.000 für Biodiesel [445], 200.000 für Bioethanol [494], 6.500 für Kurzumtriebsplantagen [266] und 20.888 für PV-Freiflächenanlagen [129] bei einer Landwirtschaftsfläche von insgesamt 18.263.736 ha [75]). 
Eine künftige energetische Nutzung der Landwirtschaftsfläche in diesem Umfang erscheint möglich. Dies würde aber aus zwei Gründen eine drastische Senkung der beanspruchten Anbaufläche für Nahrungsmittelproduktion erfordern: 
1. Die heute über Importe externalisierten Teile der beanspruchten Anbaufläche werden nicht auf Dauer beanspruchbar sein (globales Bevölkerungswachstum, Überwindung von Unterernährung). 
2. Die verringerte Flächeneffizienz nach der unvermeidlichen Umstellung auf dauerhaft aufrecht zu erhaltende ökologische Anbauweise. 
Möglich wäre dies durch einen drastisch verringerten Fleischanteil an der Ernährung.</v>
      </c>
      <c r="F2068" s="1125"/>
      <c r="G2068" s="1125"/>
      <c r="H2068" s="1125"/>
      <c r="I2068" s="1125"/>
      <c r="J2068" s="1125"/>
      <c r="K2068" s="1125"/>
      <c r="L2068" s="1125"/>
      <c r="M2068" s="1125"/>
      <c r="N2068" s="1125"/>
      <c r="O2068" s="869"/>
      <c r="P2068" s="691" t="str">
        <f ca="1">HYPERLINK(EK2068,EJ2068)</f>
        <v/>
      </c>
      <c r="Q2068" s="692" t="str">
        <f>Y2068</f>
        <v xml:space="preserve"> </v>
      </c>
      <c r="R2068" s="801"/>
      <c r="S2068" s="784"/>
      <c r="U2068" s="1023" t="str">
        <f ca="1">"Im "&amp;AD2068&amp;" waren in der Zielregion  "&amp;TEXT(AO2068,"0,0")&amp;AP2068&amp;" energetisch genutzt (insgesamt "&amp;TEXT(AJ2068,"0.000")&amp;AK2068&amp;", davon "&amp;TEXT(K365,"0.000")&amp;" für Biogas "&amp;C365&amp;",  "&amp;TEXT(K445,"0.000")&amp;" für Biodiesel "&amp;C445&amp;", "&amp;TEXT(K494,"0.000")&amp;" für Bioethanol "&amp;C494&amp;", "&amp;TEXT(K266,"0.000")&amp;" für Kurzumtriebsplantagen "&amp;C266&amp;" und "&amp;TEXT(K129,"0.000")&amp;" für PV-Freiflächenanlagen "&amp;C129&amp;" bei einer Landwirtschaftsfläche von insgesamt "&amp;TEXT(AL2068,"0.000")&amp;AM2068&amp;AN2068&amp;"). 
Eine künftige energetische Nutzung der Landwirtschaftsfläche in diesem Umfang erscheint möglich. "&amp;"Dies würde aber aus zwei Gründen eine drastische Senkung der beanspruchten Anbaufläche für Nahrungsmittelproduktion erfordern: "&amp;"
1. Die heute über Importe externalisierten Teile der beanspruchten Anbaufläche werden nicht auf Dauer beanspruchbar sein (globales Bevölkerungswachstum, Überwindung von Unterernährung)."&amp;" 
2. Die verringerte Flächeneffizienz nach der unvermeidlichen Umstellung auf dauerhaft aufrecht zu erhaltende ökologische Anbauweise. "&amp;"
Möglich wäre dies durch einen drastisch verringerten Fleischanteil an der Ernährung."</f>
        <v>Im Jahr 2017 waren in der Zielregion  13,3% der Landwirtschaftsfläche energetisch genutzt (insgesamt 2.437.388 ha , davon 1.450.000 für Biogas [365],  760.000 für Biodiesel [445], 200.000 für Bioethanol [494], 6.500 für Kurzumtriebsplantagen [266] und 20.888 für PV-Freiflächenanlagen [129] bei einer Landwirtschaftsfläche von insgesamt 18.263.736 ha [75]). 
Eine künftige energetische Nutzung der Landwirtschaftsfläche in diesem Umfang erscheint möglich. Dies würde aber aus zwei Gründen eine drastische Senkung der beanspruchten Anbaufläche für Nahrungsmittelproduktion erfordern: 
1. Die heute über Importe externalisierten Teile der beanspruchten Anbaufläche werden nicht auf Dauer beanspruchbar sein (globales Bevölkerungswachstum, Überwindung von Unterernährung). 
2. Die verringerte Flächeneffizienz nach der unvermeidlichen Umstellung auf dauerhaft aufrecht zu erhaltende ökologische Anbauweise. 
Möglich wäre dies durch einen drastisch verringerten Fleischanteil an der Ernährung.</v>
      </c>
      <c r="V2068" s="905" t="s">
        <v>126</v>
      </c>
      <c r="W2068" s="1035">
        <f ca="1">AO2068</f>
        <v>13.345507047408043</v>
      </c>
      <c r="X2068" s="672"/>
      <c r="Y2068" s="672" t="s">
        <v>126</v>
      </c>
      <c r="Z2068" s="1025"/>
      <c r="AB2068" s="801"/>
      <c r="AC2068" s="1020">
        <v>43925</v>
      </c>
      <c r="AD2068" s="854" t="s">
        <v>1246</v>
      </c>
      <c r="AE2068" s="687">
        <f ca="1">K365</f>
        <v>1450000</v>
      </c>
      <c r="AF2068" s="687">
        <f ca="1">K445</f>
        <v>760000</v>
      </c>
      <c r="AG2068" s="687">
        <f ca="1">K494</f>
        <v>200000</v>
      </c>
      <c r="AH2068" s="834">
        <f ca="1">K266</f>
        <v>6500</v>
      </c>
      <c r="AI2068" s="687">
        <f ca="1">K129</f>
        <v>20888.175000000003</v>
      </c>
      <c r="AJ2068" s="687">
        <f ca="1">SUM(AE2068:AI2068)</f>
        <v>2437388.1749999998</v>
      </c>
      <c r="AK2068" s="687" t="s">
        <v>382</v>
      </c>
      <c r="AL2068" s="687">
        <f ca="1">K75</f>
        <v>18263736</v>
      </c>
      <c r="AM2068" s="801" t="s">
        <v>382</v>
      </c>
      <c r="AN2068" s="801" t="str">
        <f>C75</f>
        <v>[75]</v>
      </c>
      <c r="AO2068" s="801">
        <f ca="1">AJ2068/AL2068%</f>
        <v>13.345507047408043</v>
      </c>
      <c r="AP2068" s="801" t="s">
        <v>1253</v>
      </c>
      <c r="AQ2068" s="801"/>
      <c r="AR2068" s="801"/>
      <c r="AS2068" s="801"/>
      <c r="AT2068" s="801"/>
      <c r="AU2068" s="801"/>
      <c r="AV2068" s="801"/>
      <c r="BF2068" s="657"/>
      <c r="BI2068" s="905" t="s">
        <v>126</v>
      </c>
      <c r="BJ2068" s="666"/>
      <c r="BO2068" s="905" t="s">
        <v>252</v>
      </c>
      <c r="CU2068" s="663" t="str">
        <f ca="1">CH$2&amp;IF(U2068="",BF2068,U2068)</f>
        <v>Im Jahr 2017 waren in der Zielregion  13,3% der Landwirtschaftsfläche energetisch genutzt (insgesamt 2.437.388 ha , davon 1.450.000 für Biogas [365],  760.000 für Biodiesel [445], 200.000 für Bioethanol [494], 6.500 für Kurzumtriebsplantagen [266] und 20.888 für PV-Freiflächenanlagen [129] bei einer Landwirtschaftsfläche von insgesamt 18.263.736 ha [75]). 
Eine künftige energetische Nutzung der Landwirtschaftsfläche in diesem Umfang erscheint möglich. Dies würde aber aus zwei Gründen eine drastische Senkung der beanspruchten Anbaufläche für Nahrungsmittelproduktion erfordern: 
1. Die heute über Importe externalisierten Teile der beanspruchten Anbaufläche werden nicht auf Dauer beanspruchbar sein (globales Bevölkerungswachstum, Überwindung von Unterernährung). 
2. Die verringerte Flächeneffizienz nach der unvermeidlichen Umstellung auf dauerhaft aufrecht zu erhaltende ökologische Anbauweise. 
Möglich wäre dies durch einen drastisch verringerten Fleischanteil an der Ernährung.</v>
      </c>
      <c r="CW2068" s="663"/>
      <c r="DT2068" s="671"/>
      <c r="EJ2068" s="905" t="str">
        <f>IF(X2068=0,"",EJ$1&amp;X2068)</f>
        <v/>
      </c>
      <c r="EK2068" s="905" t="str">
        <f ca="1">EK$1&amp;X2068</f>
        <v>[D_Python.xlsx]9.Quellen!C</v>
      </c>
      <c r="EV2068" s="819">
        <f t="shared" ca="1" si="563"/>
        <v>2068</v>
      </c>
      <c r="EW2068" s="819"/>
      <c r="EY2068" s="655"/>
      <c r="EZ2068" s="655"/>
      <c r="FA2068" s="655"/>
    </row>
    <row r="2069" spans="1:157" s="757" customFormat="1" ht="5.5" customHeight="1">
      <c r="A2069" s="487" t="str">
        <f ca="1">BT$1&amp;D2069</f>
        <v>D.1.2069</v>
      </c>
      <c r="B2069" s="487" t="str">
        <f ca="1">BW$1&amp;D2069</f>
        <v>1.2069</v>
      </c>
      <c r="C2069" s="487" t="str">
        <f>CE$1&amp;D2069&amp;CF$1</f>
        <v>[2069]</v>
      </c>
      <c r="D2069" s="487">
        <f>ROW()</f>
        <v>2069</v>
      </c>
      <c r="I2069" s="487"/>
      <c r="J2069" s="487"/>
      <c r="K2069" s="487"/>
      <c r="L2069" s="487"/>
      <c r="M2069" s="487"/>
      <c r="N2069" s="487"/>
      <c r="O2069" s="875"/>
      <c r="Q2069" s="704"/>
      <c r="R2069" s="520"/>
      <c r="S2069" s="704"/>
      <c r="AB2069" s="520"/>
      <c r="AC2069" s="1036"/>
      <c r="AD2069" s="520"/>
      <c r="AE2069" s="520"/>
      <c r="AF2069" s="520"/>
      <c r="AG2069" s="520"/>
      <c r="AH2069" s="520"/>
      <c r="AI2069" s="520"/>
      <c r="AJ2069" s="520"/>
      <c r="AK2069" s="520"/>
      <c r="AL2069" s="520"/>
      <c r="AM2069" s="520"/>
      <c r="AN2069" s="520"/>
      <c r="AO2069" s="520"/>
      <c r="AP2069" s="520"/>
      <c r="AQ2069" s="520"/>
      <c r="AR2069" s="520"/>
      <c r="AS2069" s="520"/>
      <c r="AT2069" s="520"/>
      <c r="AU2069" s="520"/>
      <c r="AV2069" s="520"/>
      <c r="AY2069" s="507"/>
      <c r="BA2069" s="507"/>
      <c r="BI2069" s="757" t="s">
        <v>126</v>
      </c>
      <c r="BJ2069" s="493"/>
      <c r="CU2069" s="488"/>
      <c r="CW2069" s="488"/>
      <c r="EV2069" s="821" t="str">
        <f>IF(U2069&amp;BP2069="","",D2069)</f>
        <v/>
      </c>
      <c r="EW2069" s="821"/>
      <c r="EY2069" s="487"/>
      <c r="EZ2069" s="487"/>
      <c r="FA2069" s="487"/>
    </row>
    <row r="2070" spans="1:157" s="905" customFormat="1" ht="26">
      <c r="A2070" s="654" t="str">
        <f t="shared" ref="A2070:A2073" ca="1" si="564">BT$1&amp;D2070</f>
        <v>D.1.2070</v>
      </c>
      <c r="B2070" s="654" t="str">
        <f t="shared" ref="B2070:B2073" ca="1" si="565">BW$1&amp;D2070</f>
        <v>1.2070</v>
      </c>
      <c r="C2070" s="654" t="str">
        <f t="shared" ref="C2070:C2073" si="566">CE$1&amp;D2070&amp;CF$1</f>
        <v>[2070]</v>
      </c>
      <c r="D2070" s="654">
        <f>ROW()</f>
        <v>2070</v>
      </c>
      <c r="E2070" s="1125" t="str">
        <f>CU2070</f>
        <v>Als obere Potenzialgrenze für die energetische Nutzung von Landwirtschaftsfläche werden hier gemäß [2071] 22,5 % angenommen.</v>
      </c>
      <c r="F2070" s="1125"/>
      <c r="G2070" s="1125"/>
      <c r="H2070" s="1125"/>
      <c r="I2070" s="1125"/>
      <c r="J2070" s="1125"/>
      <c r="K2070" s="1125"/>
      <c r="L2070" s="1125"/>
      <c r="M2070" s="1125"/>
      <c r="N2070" s="1125"/>
      <c r="O2070" s="869"/>
      <c r="P2070" s="691" t="str">
        <f ca="1">HYPERLINK(EK2070,EJ2070)</f>
        <v/>
      </c>
      <c r="Q2070" s="692" t="str">
        <f>Y2070</f>
        <v xml:space="preserve"> </v>
      </c>
      <c r="R2070" s="801"/>
      <c r="S2070" s="784"/>
      <c r="U2070" s="1033" t="str">
        <f>"Als obere Potenzialgrenze für die energetische Nutzung von Landwirtschaftsfläche werden hier gemäß "&amp;C2071&amp;" "&amp;TEXT(W2070,"0,0")&amp;" % angenommen."</f>
        <v>Als obere Potenzialgrenze für die energetische Nutzung von Landwirtschaftsfläche werden hier gemäß [2071] 22,5 % angenommen.</v>
      </c>
      <c r="V2070" s="905" t="s">
        <v>126</v>
      </c>
      <c r="W2070" s="1034">
        <f>AH2071</f>
        <v>22.459893048128343</v>
      </c>
      <c r="X2070" s="672"/>
      <c r="Y2070" s="672" t="s">
        <v>126</v>
      </c>
      <c r="Z2070" s="1025"/>
      <c r="AB2070" s="801"/>
      <c r="AC2070" s="1020">
        <v>43925</v>
      </c>
      <c r="AD2070" s="801"/>
      <c r="AE2070" s="801"/>
      <c r="AF2070" s="801"/>
      <c r="AG2070" s="801"/>
      <c r="AH2070" s="801"/>
      <c r="AI2070" s="801"/>
      <c r="AJ2070" s="801"/>
      <c r="AK2070" s="687"/>
      <c r="AL2070" s="801"/>
      <c r="AM2070" s="801"/>
      <c r="AN2070" s="801"/>
      <c r="AO2070" s="801"/>
      <c r="AP2070" s="801"/>
      <c r="AQ2070" s="801"/>
      <c r="AR2070" s="801"/>
      <c r="AS2070" s="801"/>
      <c r="AT2070" s="801"/>
      <c r="AU2070" s="801"/>
      <c r="AV2070" s="801"/>
      <c r="BF2070" s="657"/>
      <c r="BI2070" s="905" t="s">
        <v>126</v>
      </c>
      <c r="BJ2070" s="666"/>
      <c r="BO2070" s="905" t="s">
        <v>252</v>
      </c>
      <c r="CU2070" s="663" t="str">
        <f>CI$2&amp;IF(U2070="",BF2070,U2070)</f>
        <v>Als obere Potenzialgrenze für die energetische Nutzung von Landwirtschaftsfläche werden hier gemäß [2071] 22,5 % angenommen.</v>
      </c>
      <c r="CW2070" s="663"/>
      <c r="DT2070" s="671"/>
      <c r="EJ2070" s="905" t="str">
        <f>IF(X2070=0,"",EJ$1&amp;X2070)</f>
        <v/>
      </c>
      <c r="EK2070" s="905" t="str">
        <f ca="1">EK$1&amp;X2070</f>
        <v>[D_Python.xlsx]9.Quellen!C</v>
      </c>
      <c r="EV2070" s="819">
        <f t="shared" ref="EV2070:EV2073" si="567">IF(U2070&amp;BP2070="","",D2070)</f>
        <v>2070</v>
      </c>
      <c r="EW2070" s="819"/>
      <c r="EY2070" s="655"/>
      <c r="EZ2070" s="655"/>
      <c r="FA2070" s="655"/>
    </row>
    <row r="2071" spans="1:157" s="905" customFormat="1" ht="39">
      <c r="A2071" s="654" t="str">
        <f t="shared" ca="1" si="564"/>
        <v>D.1.2071</v>
      </c>
      <c r="B2071" s="654" t="str">
        <f t="shared" ca="1" si="565"/>
        <v>1.2071</v>
      </c>
      <c r="C2071" s="654" t="str">
        <f t="shared" si="566"/>
        <v>[2071]</v>
      </c>
      <c r="D2071" s="654">
        <f>ROW()</f>
        <v>2071</v>
      </c>
      <c r="E2071" s="1125" t="str">
        <f ca="1">CU2071</f>
        <v>Leitstudie 2011 [9.60], S. 6: "Das begrenzte Potenzial der energetischen Nutzung von Biomasse verlangt einen sehr ressourceneffizienten Umgang (..) An nutzbarer inländischer Landfläche zum nachhaltigen Anbau von Energiepflanzen werden 4,2 %angenommen (entsprechend 22,5 %  der Landwirtschaftsfläche)."</v>
      </c>
      <c r="F2071" s="1125"/>
      <c r="G2071" s="1125"/>
      <c r="H2071" s="1125"/>
      <c r="I2071" s="1125"/>
      <c r="J2071" s="1125"/>
      <c r="K2071" s="1125"/>
      <c r="L2071" s="1125"/>
      <c r="M2071" s="1125"/>
      <c r="N2071" s="1125"/>
      <c r="O2071" s="869"/>
      <c r="P2071" s="691" t="str">
        <f ca="1">HYPERLINK(EK2071,EJ2071)</f>
        <v>9.60</v>
      </c>
      <c r="Q2071" s="692" t="str">
        <f>Y2071</f>
        <v>S. 6</v>
      </c>
      <c r="R2071" s="801"/>
      <c r="S2071" s="805"/>
      <c r="U2071" s="1033" t="str">
        <f ca="1">U369</f>
        <v>Leitstudie 2011 [9.60], S. 6: "Das begrenzte Potenzial der energetischen Nutzung von Biomasse verlangt einen sehr ressourceneffizienten Umgang (..) An nutzbarer inländischer Landfläche zum nachhaltigen Anbau von Energiepflanzen werden 4,2 %angenommen (entsprechend 22,5 %  der Landwirtschaftsfläche)."</v>
      </c>
      <c r="V2071" s="905" t="s">
        <v>126</v>
      </c>
      <c r="W2071" s="1034"/>
      <c r="X2071" s="672">
        <f>X369</f>
        <v>60</v>
      </c>
      <c r="Y2071" s="672" t="str">
        <f>Y369</f>
        <v>S. 6</v>
      </c>
      <c r="Z2071" s="1025"/>
      <c r="AB2071" s="801"/>
      <c r="AC2071" s="1020">
        <v>43925</v>
      </c>
      <c r="AD2071" s="801">
        <f>AD369</f>
        <v>4.2</v>
      </c>
      <c r="AE2071" s="801" t="s">
        <v>1254</v>
      </c>
      <c r="AF2071" s="801">
        <f t="shared" ref="AF2071:AI2071" si="568">AF369</f>
        <v>18.7</v>
      </c>
      <c r="AG2071" s="801" t="str">
        <f t="shared" si="568"/>
        <v xml:space="preserve"> Mio. ha </v>
      </c>
      <c r="AH2071" s="801">
        <f t="shared" si="568"/>
        <v>22.459893048128343</v>
      </c>
      <c r="AI2071" s="801" t="str">
        <f t="shared" si="568"/>
        <v xml:space="preserve"> % </v>
      </c>
      <c r="AJ2071" s="801"/>
      <c r="AK2071" s="801"/>
      <c r="AL2071" s="801"/>
      <c r="AM2071" s="801"/>
      <c r="AN2071" s="801"/>
      <c r="AO2071" s="562"/>
      <c r="AP2071" s="801"/>
      <c r="AQ2071" s="687"/>
      <c r="AR2071" s="801"/>
      <c r="AS2071" s="801"/>
      <c r="AT2071" s="801"/>
      <c r="AU2071" s="801"/>
      <c r="AV2071" s="801"/>
      <c r="BF2071" s="657"/>
      <c r="BI2071" s="905" t="s">
        <v>126</v>
      </c>
      <c r="BJ2071" s="666"/>
      <c r="BO2071" s="905" t="s">
        <v>252</v>
      </c>
      <c r="CU2071" s="663" t="str">
        <f ca="1">IF(U2071="",BF2071,U2071)</f>
        <v>Leitstudie 2011 [9.60], S. 6: "Das begrenzte Potenzial der energetischen Nutzung von Biomasse verlangt einen sehr ressourceneffizienten Umgang (..) An nutzbarer inländischer Landfläche zum nachhaltigen Anbau von Energiepflanzen werden 4,2 %angenommen (entsprechend 22,5 %  der Landwirtschaftsfläche)."</v>
      </c>
      <c r="CW2071" s="663"/>
      <c r="DT2071" s="671"/>
      <c r="EJ2071" s="905" t="str">
        <f ca="1">IF(X2071=0,"",EJ$1&amp;X2071)</f>
        <v>9.60</v>
      </c>
      <c r="EK2071" s="905" t="str">
        <f ca="1">EK$1&amp;X2071</f>
        <v>[D_Python.xlsx]9.Quellen!C60</v>
      </c>
      <c r="EV2071" s="819">
        <f t="shared" ca="1" si="567"/>
        <v>2071</v>
      </c>
      <c r="EW2071" s="819"/>
      <c r="EY2071" s="655"/>
      <c r="EZ2071" s="655"/>
      <c r="FA2071" s="655"/>
    </row>
    <row r="2072" spans="1:157" s="757" customFormat="1" ht="5.5" customHeight="1">
      <c r="A2072" s="487" t="str">
        <f ca="1">BT$1&amp;D2072</f>
        <v>D.1.2072</v>
      </c>
      <c r="B2072" s="487" t="str">
        <f ca="1">BW$1&amp;D2072</f>
        <v>1.2072</v>
      </c>
      <c r="C2072" s="487" t="str">
        <f>CE$1&amp;D2072&amp;CF$1</f>
        <v>[2072]</v>
      </c>
      <c r="D2072" s="487">
        <f>ROW()</f>
        <v>2072</v>
      </c>
      <c r="I2072" s="487"/>
      <c r="J2072" s="487"/>
      <c r="K2072" s="487"/>
      <c r="L2072" s="487"/>
      <c r="M2072" s="487"/>
      <c r="N2072" s="487"/>
      <c r="O2072" s="875"/>
      <c r="Q2072" s="704"/>
      <c r="R2072" s="520"/>
      <c r="S2072" s="704"/>
      <c r="AB2072" s="520"/>
      <c r="AC2072" s="1036"/>
      <c r="AD2072" s="520"/>
      <c r="AE2072" s="520"/>
      <c r="AF2072" s="520"/>
      <c r="AG2072" s="520"/>
      <c r="AH2072" s="520"/>
      <c r="AI2072" s="520"/>
      <c r="AJ2072" s="520"/>
      <c r="AK2072" s="520"/>
      <c r="AL2072" s="520"/>
      <c r="AM2072" s="520"/>
      <c r="AN2072" s="520"/>
      <c r="AO2072" s="520"/>
      <c r="AP2072" s="520"/>
      <c r="AQ2072" s="520"/>
      <c r="AR2072" s="520"/>
      <c r="AS2072" s="520"/>
      <c r="AT2072" s="520"/>
      <c r="AU2072" s="520"/>
      <c r="AV2072" s="520"/>
      <c r="AY2072" s="507"/>
      <c r="BA2072" s="507"/>
      <c r="BI2072" s="757" t="s">
        <v>126</v>
      </c>
      <c r="BJ2072" s="493"/>
      <c r="CU2072" s="488"/>
      <c r="CW2072" s="488"/>
      <c r="EV2072" s="821" t="str">
        <f>IF(U2072&amp;BP2072="","",D2072)</f>
        <v/>
      </c>
      <c r="EW2072" s="821"/>
      <c r="EY2072" s="487"/>
      <c r="EZ2072" s="487"/>
      <c r="FA2072" s="487"/>
    </row>
    <row r="2073" spans="1:157" s="905" customFormat="1" ht="26">
      <c r="A2073" s="654" t="str">
        <f t="shared" ca="1" si="564"/>
        <v>D.1.2073</v>
      </c>
      <c r="B2073" s="654" t="str">
        <f t="shared" ca="1" si="565"/>
        <v>1.2073</v>
      </c>
      <c r="C2073" s="654" t="str">
        <f t="shared" si="566"/>
        <v>[2073]</v>
      </c>
      <c r="D2073" s="654">
        <f>ROW()</f>
        <v>2073</v>
      </c>
      <c r="E2073" s="1125" t="str">
        <f>CU2073</f>
        <v>27,0 GW  (im Interesse einer übersichtlichen Potenzialdarstellung werden als Anzeigegrenze 120 %  des technischen Potenzials [2070] gewählt).</v>
      </c>
      <c r="F2073" s="1125"/>
      <c r="G2073" s="1125"/>
      <c r="H2073" s="1125"/>
      <c r="I2073" s="1125"/>
      <c r="J2073" s="1125"/>
      <c r="K2073" s="1125"/>
      <c r="L2073" s="1125"/>
      <c r="M2073" s="1125"/>
      <c r="N2073" s="1125"/>
      <c r="O2073" s="869"/>
      <c r="P2073" s="691" t="str">
        <f ca="1">HYPERLINK(EK2073,EJ2073)</f>
        <v/>
      </c>
      <c r="Q2073" s="692" t="str">
        <f>Y2073</f>
        <v xml:space="preserve"> </v>
      </c>
      <c r="R2073" s="801"/>
      <c r="S2073" s="784"/>
      <c r="U2073" s="1033" t="str">
        <f>TEXT(W2073,"0,0")&amp;" GW  (im Interesse einer übersichtlichen Potenzialdarstellung werden als Anzeigegrenze "&amp;AD2073&amp;AE2073&amp;" des technischen Potenzials "&amp;C2070&amp;" gewählt)."</f>
        <v>27,0 GW  (im Interesse einer übersichtlichen Potenzialdarstellung werden als Anzeigegrenze 120 %  des technischen Potenzials [2070] gewählt).</v>
      </c>
      <c r="V2073" s="905" t="s">
        <v>126</v>
      </c>
      <c r="W2073" s="1034">
        <f>W2070*AD2073%</f>
        <v>26.951871657754012</v>
      </c>
      <c r="X2073" s="672"/>
      <c r="Y2073" s="672" t="s">
        <v>126</v>
      </c>
      <c r="Z2073" s="1025"/>
      <c r="AB2073" s="801"/>
      <c r="AC2073" s="1020">
        <v>43925</v>
      </c>
      <c r="AD2073" s="801">
        <v>120</v>
      </c>
      <c r="AE2073" s="801" t="s">
        <v>531</v>
      </c>
      <c r="AF2073" s="801"/>
      <c r="AG2073" s="801"/>
      <c r="AH2073" s="801"/>
      <c r="AI2073" s="801"/>
      <c r="AJ2073" s="801"/>
      <c r="AK2073" s="687"/>
      <c r="AL2073" s="801"/>
      <c r="AM2073" s="801"/>
      <c r="AN2073" s="801"/>
      <c r="AO2073" s="801"/>
      <c r="AP2073" s="801"/>
      <c r="AQ2073" s="801"/>
      <c r="AR2073" s="801"/>
      <c r="AS2073" s="801"/>
      <c r="AT2073" s="801"/>
      <c r="AU2073" s="801"/>
      <c r="AV2073" s="801"/>
      <c r="BF2073" s="657"/>
      <c r="BI2073" s="905" t="s">
        <v>126</v>
      </c>
      <c r="BJ2073" s="666"/>
      <c r="BO2073" s="905" t="s">
        <v>252</v>
      </c>
      <c r="CU2073" s="663" t="str">
        <f>CJ$2&amp;IF(U2073="",BF2073,U2073)</f>
        <v>27,0 GW  (im Interesse einer übersichtlichen Potenzialdarstellung werden als Anzeigegrenze 120 %  des technischen Potenzials [2070] gewählt).</v>
      </c>
      <c r="CW2073" s="663"/>
      <c r="DT2073" s="671"/>
      <c r="EJ2073" s="905" t="str">
        <f>IF(X2073=0,"",EJ$1&amp;X2073)</f>
        <v/>
      </c>
      <c r="EK2073" s="905" t="str">
        <f ca="1">EK$1&amp;X2073</f>
        <v>[D_Python.xlsx]9.Quellen!C</v>
      </c>
      <c r="EV2073" s="819">
        <f t="shared" si="567"/>
        <v>2073</v>
      </c>
      <c r="EW2073" s="819"/>
      <c r="EY2073" s="655"/>
      <c r="EZ2073" s="655"/>
      <c r="FA2073" s="655"/>
    </row>
    <row r="2074" spans="1:157" s="757" customFormat="1" ht="5.5" customHeight="1">
      <c r="A2074" s="487"/>
      <c r="B2074" s="487"/>
      <c r="C2074" s="487"/>
      <c r="D2074" s="487"/>
      <c r="I2074" s="487"/>
      <c r="J2074" s="487"/>
      <c r="K2074" s="487"/>
      <c r="L2074" s="487"/>
      <c r="M2074" s="487"/>
      <c r="N2074" s="487"/>
      <c r="O2074" s="875"/>
      <c r="Q2074" s="704"/>
      <c r="R2074" s="520"/>
      <c r="S2074" s="704"/>
      <c r="AB2074" s="520"/>
      <c r="AC2074" s="1032"/>
      <c r="AD2074" s="520"/>
      <c r="AE2074" s="520"/>
      <c r="AF2074" s="520"/>
      <c r="AG2074" s="520"/>
      <c r="AH2074" s="520"/>
      <c r="AI2074" s="520"/>
      <c r="AJ2074" s="520"/>
      <c r="AK2074" s="520"/>
      <c r="AL2074" s="520"/>
      <c r="AM2074" s="520"/>
      <c r="AN2074" s="520"/>
      <c r="AO2074" s="520"/>
      <c r="AP2074" s="520"/>
      <c r="AQ2074" s="520"/>
      <c r="AR2074" s="520"/>
      <c r="AS2074" s="520"/>
      <c r="AT2074" s="520"/>
      <c r="AU2074" s="520"/>
      <c r="AV2074" s="520"/>
      <c r="AY2074" s="507"/>
      <c r="BA2074" s="507"/>
      <c r="BJ2074" s="493"/>
      <c r="CU2074" s="488"/>
      <c r="CW2074" s="488"/>
      <c r="EV2074" s="821"/>
      <c r="EW2074" s="821"/>
      <c r="EY2074" s="487"/>
      <c r="EZ2074" s="487"/>
      <c r="FA2074" s="487"/>
    </row>
    <row r="2075" spans="1:157" s="905" customFormat="1" ht="13">
      <c r="A2075" s="654" t="str">
        <f t="shared" ref="A2075:A2077" ca="1" si="569">BT$1&amp;D2075</f>
        <v>D.1.2075</v>
      </c>
      <c r="B2075" s="654" t="str">
        <f t="shared" ref="B2075:B2077" ca="1" si="570">BW$1&amp;D2075</f>
        <v>1.2075</v>
      </c>
      <c r="C2075" s="654" t="str">
        <f t="shared" ref="C2075:C2077" si="571">CE$1&amp;D2075&amp;CF$1</f>
        <v>[2075]</v>
      </c>
      <c r="D2075" s="654">
        <f>ROW()</f>
        <v>2075</v>
      </c>
      <c r="E2075" s="481" t="str">
        <f>BP2075</f>
        <v>H2-Speicherkapazität Salzkavernen</v>
      </c>
      <c r="F2075" s="482"/>
      <c r="G2075" s="482"/>
      <c r="H2075" s="482"/>
      <c r="I2075" s="482"/>
      <c r="J2075" s="484"/>
      <c r="K2075" s="484"/>
      <c r="L2075" s="484"/>
      <c r="M2075" s="484"/>
      <c r="N2075" s="483"/>
      <c r="O2075" s="869"/>
      <c r="P2075" s="568"/>
      <c r="Q2075" s="569"/>
      <c r="R2075" s="801"/>
      <c r="S2075" s="804"/>
      <c r="AB2075" s="801"/>
      <c r="AC2075" s="1031"/>
      <c r="AD2075" s="801"/>
      <c r="AE2075" s="801"/>
      <c r="AF2075" s="801"/>
      <c r="AG2075" s="801"/>
      <c r="AH2075" s="801"/>
      <c r="AI2075" s="801"/>
      <c r="AJ2075" s="801"/>
      <c r="AK2075" s="801"/>
      <c r="AL2075" s="801"/>
      <c r="AM2075" s="801"/>
      <c r="AN2075" s="801"/>
      <c r="AO2075" s="801"/>
      <c r="AP2075" s="801"/>
      <c r="AQ2075" s="801"/>
      <c r="AR2075" s="801"/>
      <c r="AS2075" s="801"/>
      <c r="AT2075" s="801"/>
      <c r="AU2075" s="801"/>
      <c r="AV2075" s="801"/>
      <c r="AZ2075" s="504"/>
      <c r="BB2075" s="506"/>
      <c r="BI2075" s="905" t="s">
        <v>126</v>
      </c>
      <c r="BJ2075" s="666"/>
      <c r="BO2075" s="905" t="s">
        <v>250</v>
      </c>
      <c r="BP2075" s="671" t="s">
        <v>1263</v>
      </c>
      <c r="CU2075" s="663"/>
      <c r="CW2075" s="663"/>
      <c r="EV2075" s="819">
        <f t="shared" ref="EV2075:EV2077" si="572">IF(U2075&amp;BP2075="","",D2075)</f>
        <v>2075</v>
      </c>
      <c r="EW2075" s="819"/>
      <c r="EY2075" s="655"/>
      <c r="EZ2075" s="655"/>
      <c r="FA2075" s="655"/>
    </row>
    <row r="2076" spans="1:157" s="661" customFormat="1" ht="4.5" customHeight="1">
      <c r="A2076" s="677" t="str">
        <f t="shared" ca="1" si="569"/>
        <v>D.1.2076</v>
      </c>
      <c r="B2076" s="677" t="str">
        <f t="shared" ca="1" si="570"/>
        <v>1.2076</v>
      </c>
      <c r="C2076" s="677" t="str">
        <f t="shared" si="571"/>
        <v>[2076]</v>
      </c>
      <c r="D2076" s="677">
        <f>ROW()</f>
        <v>2076</v>
      </c>
      <c r="I2076" s="1021"/>
      <c r="J2076" s="1021"/>
      <c r="K2076" s="1021"/>
      <c r="L2076" s="1021"/>
      <c r="M2076" s="1021"/>
      <c r="O2076" s="871"/>
      <c r="P2076" s="688"/>
      <c r="Q2076" s="689"/>
      <c r="R2076" s="675"/>
      <c r="S2076" s="802"/>
      <c r="AB2076" s="675"/>
      <c r="AC2076" s="1036"/>
      <c r="AD2076" s="675"/>
      <c r="AE2076" s="675"/>
      <c r="AF2076" s="675"/>
      <c r="AG2076" s="675"/>
      <c r="AH2076" s="675"/>
      <c r="AI2076" s="675"/>
      <c r="AJ2076" s="675"/>
      <c r="AK2076" s="675"/>
      <c r="AL2076" s="675"/>
      <c r="AM2076" s="675"/>
      <c r="AN2076" s="675"/>
      <c r="AO2076" s="675"/>
      <c r="AP2076" s="675"/>
      <c r="AQ2076" s="675"/>
      <c r="AR2076" s="675"/>
      <c r="AS2076" s="675"/>
      <c r="AT2076" s="675"/>
      <c r="AU2076" s="675"/>
      <c r="AV2076" s="675"/>
      <c r="AZ2076" s="669"/>
      <c r="BB2076" s="669"/>
      <c r="BI2076" s="661" t="s">
        <v>126</v>
      </c>
      <c r="BJ2076" s="665"/>
      <c r="CU2076" s="662"/>
      <c r="CW2076" s="662"/>
      <c r="EV2076" s="818" t="str">
        <f t="shared" si="572"/>
        <v/>
      </c>
      <c r="EW2076" s="818"/>
      <c r="EY2076" s="1021"/>
      <c r="EZ2076" s="1021"/>
      <c r="FA2076" s="1021"/>
    </row>
    <row r="2077" spans="1:157" s="658" customFormat="1" ht="13.5" customHeight="1">
      <c r="A2077" s="654" t="str">
        <f t="shared" ca="1" si="569"/>
        <v>D.1.2077</v>
      </c>
      <c r="B2077" s="654" t="str">
        <f t="shared" ca="1" si="570"/>
        <v>1.2077</v>
      </c>
      <c r="C2077" s="654" t="str">
        <f t="shared" si="571"/>
        <v>[2077]</v>
      </c>
      <c r="D2077" s="654">
        <f>ROW()</f>
        <v>2077</v>
      </c>
      <c r="F2077" s="1037" t="s">
        <v>1264</v>
      </c>
      <c r="G2077" s="1038">
        <f ca="1">INDIRECT($W$1&amp;U2077)</f>
        <v>45</v>
      </c>
      <c r="H2077" s="1039" t="str">
        <f ca="1">HYPERLINK($CK$1&amp;U2077,$CE$1&amp;U2077&amp;$CF$1)</f>
        <v>[2079]</v>
      </c>
      <c r="I2077" s="1040">
        <f ca="1">INDIRECT($W$1&amp;W2077)</f>
        <v>135</v>
      </c>
      <c r="J2077" s="1039" t="str">
        <f ca="1">HYPERLINK($CK$1&amp;W2077,$CE$1&amp;W2077&amp;$CF$1)</f>
        <v>[2081]</v>
      </c>
      <c r="K2077" s="1041">
        <f ca="1">INDIRECT($W$1&amp;X2077)</f>
        <v>450</v>
      </c>
      <c r="L2077" s="1039" t="str">
        <f ca="1">HYPERLINK($CK$1&amp;X2077,$CE$1&amp;X2077&amp;$CF$1)</f>
        <v>[2083]</v>
      </c>
      <c r="M2077" s="1042">
        <f ca="1">INDIRECT($W$1&amp;Y2077)</f>
        <v>500</v>
      </c>
      <c r="N2077" s="1039" t="str">
        <f ca="1">HYPERLINK($CK$1&amp;Y2077,$CE$1&amp;Y2077&amp;$CF$1)</f>
        <v>[2085]</v>
      </c>
      <c r="O2077" s="869"/>
      <c r="P2077" s="690"/>
      <c r="Q2077" s="695"/>
      <c r="R2077" s="801"/>
      <c r="S2077" s="784"/>
      <c r="T2077" s="905"/>
      <c r="U2077" s="1043">
        <f>D2079</f>
        <v>2079</v>
      </c>
      <c r="V2077" s="905" t="s">
        <v>126</v>
      </c>
      <c r="W2077" s="1043">
        <f>D2081</f>
        <v>2081</v>
      </c>
      <c r="X2077" s="1043">
        <f>D2083</f>
        <v>2083</v>
      </c>
      <c r="Y2077" s="1043">
        <f>D2085</f>
        <v>2085</v>
      </c>
      <c r="AB2077" s="801"/>
      <c r="AC2077" s="1020"/>
      <c r="AD2077" s="674"/>
      <c r="AE2077" s="674"/>
      <c r="AF2077" s="674"/>
      <c r="AG2077" s="674"/>
      <c r="AH2077" s="674"/>
      <c r="AI2077" s="674"/>
      <c r="AJ2077" s="674"/>
      <c r="AK2077" s="674"/>
      <c r="AL2077" s="674"/>
      <c r="AM2077" s="674"/>
      <c r="AN2077" s="674"/>
      <c r="AO2077" s="674"/>
      <c r="AP2077" s="674"/>
      <c r="AQ2077" s="674"/>
      <c r="AR2077" s="674"/>
      <c r="AS2077" s="674"/>
      <c r="AT2077" s="674"/>
      <c r="AU2077" s="674"/>
      <c r="AV2077" s="674"/>
      <c r="AX2077" s="658" t="s">
        <v>244</v>
      </c>
      <c r="AY2077" s="1022">
        <f ca="1">DA2077</f>
        <v>36590.400000000001</v>
      </c>
      <c r="AZ2077" s="670" t="str">
        <f ca="1">HYPERLINK(DN2077,DC2077)</f>
        <v xml:space="preserve"> 191</v>
      </c>
      <c r="BA2077" s="1022">
        <f ca="1">DB2077</f>
        <v>119034.45</v>
      </c>
      <c r="BB2077" s="670" t="str">
        <f ca="1">HYPERLINK(DO2077,DD2077)</f>
        <v xml:space="preserve"> 59</v>
      </c>
      <c r="BC2077" s="658" t="str">
        <f ca="1">CY2077&amp;" | "&amp;CZ2077</f>
        <v>Windpark-Fl.
Onshore | 2.1.5 Für Windparks genutzte Abstands-Flächen (Onshore)</v>
      </c>
      <c r="BI2077" s="658" t="s">
        <v>126</v>
      </c>
      <c r="BJ2077" s="667" t="str">
        <f>F2077</f>
        <v>TWh:</v>
      </c>
      <c r="BK2077" s="664">
        <f ca="1">G2077</f>
        <v>45</v>
      </c>
      <c r="BL2077" s="664">
        <f ca="1">M2077</f>
        <v>500</v>
      </c>
      <c r="BM2077" s="905">
        <f>D2077</f>
        <v>2077</v>
      </c>
      <c r="BO2077" s="658" t="s">
        <v>251</v>
      </c>
      <c r="CU2077" s="659"/>
      <c r="CW2077" s="671">
        <v>30</v>
      </c>
      <c r="CY2077" s="905" t="str">
        <f t="shared" ref="CY2077:DO2077" ca="1" si="573">INDIRECT($CX$1&amp;CY$1&amp;$CW2077)</f>
        <v>Windpark-Fl.
Onshore</v>
      </c>
      <c r="CZ2077" s="905" t="str">
        <f t="shared" ca="1" si="573"/>
        <v>2.1.5 Für Windparks genutzte Abstands-Flächen (Onshore)</v>
      </c>
      <c r="DA2077" s="905">
        <f t="shared" ca="1" si="573"/>
        <v>36590.400000000001</v>
      </c>
      <c r="DB2077" s="905">
        <f t="shared" ca="1" si="573"/>
        <v>119034.45</v>
      </c>
      <c r="DC2077" s="905" t="str">
        <f t="shared" ca="1" si="573"/>
        <v xml:space="preserve"> 191</v>
      </c>
      <c r="DD2077" s="905" t="str">
        <f t="shared" ca="1" si="573"/>
        <v xml:space="preserve"> 59</v>
      </c>
      <c r="DE2077" s="905" t="str">
        <f t="shared" ca="1" si="573"/>
        <v>Wi20</v>
      </c>
      <c r="DF2077" s="905" t="str">
        <f t="shared" ca="1" si="573"/>
        <v>Wi40</v>
      </c>
      <c r="DG2077" s="905" t="str">
        <f t="shared" ca="1" si="573"/>
        <v>Wi</v>
      </c>
      <c r="DH2077" s="905" t="str">
        <f t="shared" ca="1" si="573"/>
        <v>20</v>
      </c>
      <c r="DI2077" s="905" t="str">
        <f t="shared" ca="1" si="573"/>
        <v>[Wi.xls]TEXT!Z20S5</v>
      </c>
      <c r="DJ2077" s="905" t="str">
        <f t="shared" ca="1" si="573"/>
        <v>Wi</v>
      </c>
      <c r="DK2077" s="905" t="str">
        <f t="shared" ca="1" si="573"/>
        <v>40</v>
      </c>
      <c r="DL2077" s="905" t="str">
        <f t="shared" ca="1" si="573"/>
        <v>[Wi.xls]TEXT!Z40S5</v>
      </c>
      <c r="DM2077" s="905">
        <f t="shared" ca="1" si="573"/>
        <v>30</v>
      </c>
      <c r="DN2077" s="905" t="str">
        <f t="shared" ca="1" si="573"/>
        <v>[Region.xls]PARAMETER!Z191S6</v>
      </c>
      <c r="DO2077" s="905" t="str">
        <f t="shared" ca="1" si="573"/>
        <v>[Region.xls]PARAMETER!Z59S6</v>
      </c>
      <c r="DP2077" s="905"/>
      <c r="DS2077" s="905"/>
      <c r="DV2077" s="905"/>
      <c r="DW2077" s="905"/>
      <c r="DX2077" s="905"/>
      <c r="DY2077" s="905"/>
      <c r="DZ2077" s="905"/>
      <c r="EA2077" s="905"/>
      <c r="EB2077" s="905"/>
      <c r="EC2077" s="905"/>
      <c r="ED2077" s="905"/>
      <c r="EE2077" s="905"/>
      <c r="EF2077" s="905"/>
      <c r="EG2077" s="905"/>
      <c r="EH2077" s="905"/>
      <c r="EI2077" s="905"/>
      <c r="EJ2077" s="905"/>
      <c r="EK2077" s="905"/>
      <c r="EV2077" s="819">
        <f t="shared" si="572"/>
        <v>2077</v>
      </c>
      <c r="EW2077" s="819"/>
      <c r="EY2077" s="1044"/>
      <c r="EZ2077" s="1044"/>
      <c r="FA2077" s="1044"/>
    </row>
    <row r="2078" spans="1:157" s="661" customFormat="1" ht="4.5" customHeight="1">
      <c r="A2078" s="677" t="str">
        <f ca="1">BT$1&amp;D2078</f>
        <v>D.1.2078</v>
      </c>
      <c r="B2078" s="677" t="str">
        <f ca="1">BW$1&amp;D2078</f>
        <v>1.2078</v>
      </c>
      <c r="C2078" s="677" t="str">
        <f>CE$1&amp;D2078&amp;CF$1</f>
        <v>[2078]</v>
      </c>
      <c r="D2078" s="677">
        <f>ROW()</f>
        <v>2078</v>
      </c>
      <c r="I2078" s="1021"/>
      <c r="J2078" s="1021"/>
      <c r="K2078" s="1021"/>
      <c r="L2078" s="1021"/>
      <c r="M2078" s="1021"/>
      <c r="O2078" s="871"/>
      <c r="P2078" s="688"/>
      <c r="Q2078" s="689"/>
      <c r="R2078" s="675"/>
      <c r="S2078" s="802"/>
      <c r="AB2078" s="675"/>
      <c r="AC2078" s="1036"/>
      <c r="AD2078" s="675"/>
      <c r="AE2078" s="675"/>
      <c r="AF2078" s="675"/>
      <c r="AG2078" s="675"/>
      <c r="AH2078" s="675"/>
      <c r="AI2078" s="675"/>
      <c r="AJ2078" s="675"/>
      <c r="AK2078" s="675"/>
      <c r="AL2078" s="675"/>
      <c r="AM2078" s="675"/>
      <c r="AN2078" s="675"/>
      <c r="AO2078" s="675"/>
      <c r="AP2078" s="675"/>
      <c r="AQ2078" s="675"/>
      <c r="AR2078" s="675"/>
      <c r="AS2078" s="675"/>
      <c r="AT2078" s="675"/>
      <c r="AU2078" s="675"/>
      <c r="AV2078" s="675"/>
      <c r="AZ2078" s="669"/>
      <c r="BB2078" s="669"/>
      <c r="BI2078" s="661" t="s">
        <v>126</v>
      </c>
      <c r="BJ2078" s="665"/>
      <c r="CU2078" s="662"/>
      <c r="CW2078" s="662"/>
      <c r="EV2078" s="818" t="str">
        <f>IF(U2078&amp;BP2078="","",D2078)</f>
        <v/>
      </c>
      <c r="EW2078" s="818"/>
      <c r="EY2078" s="1021"/>
      <c r="EZ2078" s="1021"/>
      <c r="FA2078" s="1021"/>
    </row>
    <row r="2079" spans="1:157" s="905" customFormat="1" ht="26">
      <c r="A2079" s="654" t="str">
        <f t="shared" ref="A2079:A2081" ca="1" si="574">BT$1&amp;D2079</f>
        <v>D.1.2079</v>
      </c>
      <c r="B2079" s="654" t="str">
        <f t="shared" ref="B2079:B2081" ca="1" si="575">BW$1&amp;D2079</f>
        <v>1.2079</v>
      </c>
      <c r="C2079" s="654" t="str">
        <f t="shared" ref="C2079:C2081" si="576">CE$1&amp;D2079&amp;CF$1</f>
        <v>[2079]</v>
      </c>
      <c r="D2079" s="654">
        <f>ROW()</f>
        <v>2079</v>
      </c>
      <c r="E2079" s="1125" t="str">
        <f ca="1">CU2079</f>
        <v>Im Jahr 2019 betrug die Kapazität von Salzkavernen-Gasspeichern  in Deutschland 45 TWh, resultierend aus einem Arbeitsgasvolumen von 15 Mrd. Nm3 [9.78] und einem unteren Heizwert Wasserstoff von 3,0 kWh/Nm3.</v>
      </c>
      <c r="F2079" s="1125"/>
      <c r="G2079" s="1125"/>
      <c r="H2079" s="1125"/>
      <c r="I2079" s="1125"/>
      <c r="J2079" s="1125"/>
      <c r="K2079" s="1125"/>
      <c r="L2079" s="1125"/>
      <c r="M2079" s="1125"/>
      <c r="N2079" s="1125"/>
      <c r="O2079" s="869"/>
      <c r="P2079" s="691" t="str">
        <f ca="1">HYPERLINK(EK2079,EJ2079)</f>
        <v>9.78</v>
      </c>
      <c r="Q2079" s="692" t="str">
        <f>Y2079</f>
        <v xml:space="preserve"> </v>
      </c>
      <c r="R2079" s="801"/>
      <c r="S2079" s="784"/>
      <c r="U2079" s="1023" t="str">
        <f ca="1">"Im "&amp;AD2079&amp;" betrug die Kapazität von Salzkavernen-Gasspeichern  in Deutschland "&amp;TEXT(AE2079,"0")&amp;AF2079&amp;", resultierend aus einem Arbeitsgasvolumen von "&amp;TEXT(AG2079,"0")&amp;AH2079&amp;"["&amp;P2079&amp;"] und einem unteren Heizwert Wasserstoff von "&amp;TEXT(AI2079,"0,0")&amp;AJ2079&amp;"."</f>
        <v>Im Jahr 2019 betrug die Kapazität von Salzkavernen-Gasspeichern  in Deutschland 45 TWh, resultierend aus einem Arbeitsgasvolumen von 15 Mrd. Nm3 [9.78] und einem unteren Heizwert Wasserstoff von 3,0 kWh/Nm3.</v>
      </c>
      <c r="V2079" s="905" t="s">
        <v>126</v>
      </c>
      <c r="W2079" s="1035">
        <f>AE2079</f>
        <v>45</v>
      </c>
      <c r="X2079" s="672">
        <f>'9.Quellen'!C78</f>
        <v>78</v>
      </c>
      <c r="Y2079" s="672" t="s">
        <v>126</v>
      </c>
      <c r="Z2079" s="1025"/>
      <c r="AA2079" s="658"/>
      <c r="AB2079" s="801"/>
      <c r="AC2079" s="1020">
        <v>44039</v>
      </c>
      <c r="AD2079" s="854" t="s">
        <v>1267</v>
      </c>
      <c r="AE2079" s="687">
        <f>AG2079*AI2079</f>
        <v>45</v>
      </c>
      <c r="AF2079" s="687" t="s">
        <v>789</v>
      </c>
      <c r="AG2079" s="801">
        <v>15</v>
      </c>
      <c r="AH2079" s="687" t="s">
        <v>1266</v>
      </c>
      <c r="AI2079" s="801">
        <v>3</v>
      </c>
      <c r="AJ2079" s="801" t="s">
        <v>1265</v>
      </c>
      <c r="AK2079" s="801"/>
      <c r="AL2079" s="801"/>
      <c r="AM2079" s="801"/>
      <c r="AN2079" s="801"/>
      <c r="AO2079" s="801"/>
      <c r="AP2079" s="801"/>
      <c r="AQ2079" s="801"/>
      <c r="AR2079" s="801"/>
      <c r="AS2079" s="801"/>
      <c r="AT2079" s="801"/>
      <c r="AU2079" s="801"/>
      <c r="AV2079" s="801"/>
      <c r="BF2079" s="657"/>
      <c r="BI2079" s="905" t="s">
        <v>126</v>
      </c>
      <c r="BJ2079" s="666"/>
      <c r="BO2079" s="905" t="s">
        <v>259</v>
      </c>
      <c r="CU2079" s="663" t="str">
        <f ca="1">CG$2&amp;IF(U2079="",BF2079,U2079)</f>
        <v>Im Jahr 2019 betrug die Kapazität von Salzkavernen-Gasspeichern  in Deutschland 45 TWh, resultierend aus einem Arbeitsgasvolumen von 15 Mrd. Nm3 [9.78] und einem unteren Heizwert Wasserstoff von 3,0 kWh/Nm3.</v>
      </c>
      <c r="CW2079" s="663"/>
      <c r="DT2079" s="671" t="e">
        <f>#REF!</f>
        <v>#REF!</v>
      </c>
      <c r="EJ2079" s="905" t="str">
        <f ca="1">IF(X2079=0,"",EJ$1&amp;X2079)</f>
        <v>9.78</v>
      </c>
      <c r="EK2079" s="905" t="str">
        <f ca="1">EK$1&amp;X2079</f>
        <v>[D_Python.xlsx]9.Quellen!C78</v>
      </c>
      <c r="EV2079" s="819">
        <f t="shared" ref="EV2079:EV2081" ca="1" si="577">IF(U2079&amp;BP2079="","",D2079)</f>
        <v>2079</v>
      </c>
      <c r="EW2079" s="819"/>
      <c r="EY2079" s="655"/>
      <c r="EZ2079" s="655"/>
      <c r="FA2079" s="655"/>
    </row>
    <row r="2080" spans="1:157" s="661" customFormat="1" ht="4.5" customHeight="1">
      <c r="A2080" s="677" t="str">
        <f t="shared" ca="1" si="574"/>
        <v>D.1.2080</v>
      </c>
      <c r="B2080" s="677" t="str">
        <f t="shared" ca="1" si="575"/>
        <v>1.2080</v>
      </c>
      <c r="C2080" s="677" t="str">
        <f t="shared" si="576"/>
        <v>[2080]</v>
      </c>
      <c r="D2080" s="677">
        <f>ROW()</f>
        <v>2080</v>
      </c>
      <c r="I2080" s="1021"/>
      <c r="J2080" s="1021"/>
      <c r="K2080" s="1021"/>
      <c r="L2080" s="1021"/>
      <c r="M2080" s="1021"/>
      <c r="O2080" s="871"/>
      <c r="P2080" s="688"/>
      <c r="Q2080" s="689"/>
      <c r="R2080" s="675"/>
      <c r="S2080" s="802"/>
      <c r="AB2080" s="675"/>
      <c r="AC2080" s="1036"/>
      <c r="AD2080" s="675"/>
      <c r="AE2080" s="675"/>
      <c r="AF2080" s="675"/>
      <c r="AG2080" s="675"/>
      <c r="AH2080" s="675"/>
      <c r="AI2080" s="675"/>
      <c r="AJ2080" s="675"/>
      <c r="AK2080" s="675"/>
      <c r="AL2080" s="675"/>
      <c r="AM2080" s="675"/>
      <c r="AN2080" s="675"/>
      <c r="AO2080" s="675"/>
      <c r="AP2080" s="675"/>
      <c r="AQ2080" s="675"/>
      <c r="AR2080" s="675"/>
      <c r="AS2080" s="675"/>
      <c r="AT2080" s="675"/>
      <c r="AU2080" s="675"/>
      <c r="AV2080" s="675"/>
      <c r="AZ2080" s="669"/>
      <c r="BB2080" s="669"/>
      <c r="BI2080" s="661" t="s">
        <v>126</v>
      </c>
      <c r="BJ2080" s="665"/>
      <c r="CU2080" s="662"/>
      <c r="CW2080" s="662"/>
      <c r="EV2080" s="818" t="str">
        <f t="shared" si="577"/>
        <v/>
      </c>
      <c r="EW2080" s="818"/>
      <c r="EY2080" s="1021"/>
      <c r="EZ2080" s="1021"/>
      <c r="FA2080" s="1021"/>
    </row>
    <row r="2081" spans="1:157" s="905" customFormat="1" ht="26">
      <c r="A2081" s="654" t="str">
        <f t="shared" ca="1" si="574"/>
        <v>D.1.2081</v>
      </c>
      <c r="B2081" s="654" t="str">
        <f t="shared" ca="1" si="575"/>
        <v>1.2081</v>
      </c>
      <c r="C2081" s="654" t="str">
        <f t="shared" si="576"/>
        <v>[2081]</v>
      </c>
      <c r="D2081" s="654">
        <f>ROW()</f>
        <v>2081</v>
      </c>
      <c r="E2081" s="1125" t="str">
        <f>CU2081</f>
        <v>Eine Ausweitung der Arbeitsgas-Kapazität der deutschen Salzkanvernen aif das 3-fache  von heute wird hier willkürlich als gut möglich angenommen, das entspricht 135 TWh.</v>
      </c>
      <c r="F2081" s="1125"/>
      <c r="G2081" s="1125"/>
      <c r="H2081" s="1125"/>
      <c r="I2081" s="1125"/>
      <c r="J2081" s="1125"/>
      <c r="K2081" s="1125"/>
      <c r="L2081" s="1125"/>
      <c r="M2081" s="1125"/>
      <c r="N2081" s="1125"/>
      <c r="O2081" s="869"/>
      <c r="P2081" s="691" t="str">
        <f ca="1">HYPERLINK(EK2081,EJ2081)</f>
        <v/>
      </c>
      <c r="Q2081" s="692" t="str">
        <f>Y2081</f>
        <v xml:space="preserve"> </v>
      </c>
      <c r="R2081" s="801"/>
      <c r="S2081" s="784"/>
      <c r="U2081" s="1033" t="str">
        <f>"Eine Ausweitung der Arbeitsgas-Kapazität der deutschen Salzkanvernen aif das "&amp;AD2081&amp;AE2081&amp;" von heute wird hier willkürlich als gut möglich angenommen, das entspricht "&amp;AF2081&amp;AG2081&amp;"."</f>
        <v>Eine Ausweitung der Arbeitsgas-Kapazität der deutschen Salzkanvernen aif das 3-fache  von heute wird hier willkürlich als gut möglich angenommen, das entspricht 135 TWh.</v>
      </c>
      <c r="V2081" s="905" t="s">
        <v>126</v>
      </c>
      <c r="W2081" s="1034">
        <f>AF2081</f>
        <v>135</v>
      </c>
      <c r="X2081" s="672"/>
      <c r="Y2081" s="672" t="s">
        <v>126</v>
      </c>
      <c r="Z2081" s="1025"/>
      <c r="AB2081" s="801"/>
      <c r="AC2081" s="1020">
        <v>44039</v>
      </c>
      <c r="AD2081" s="801">
        <v>3</v>
      </c>
      <c r="AE2081" s="651" t="s">
        <v>1273</v>
      </c>
      <c r="AF2081" s="801">
        <f>AE2079*AD2081</f>
        <v>135</v>
      </c>
      <c r="AG2081" s="801" t="s">
        <v>789</v>
      </c>
      <c r="AH2081" s="687"/>
      <c r="AI2081" s="801"/>
      <c r="AJ2081" s="801"/>
      <c r="AK2081" s="687"/>
      <c r="AL2081" s="801"/>
      <c r="AM2081" s="801"/>
      <c r="AN2081" s="801"/>
      <c r="AO2081" s="801"/>
      <c r="AP2081" s="801"/>
      <c r="AQ2081" s="801"/>
      <c r="AR2081" s="801"/>
      <c r="AS2081" s="801"/>
      <c r="AT2081" s="801"/>
      <c r="AU2081" s="801"/>
      <c r="AV2081" s="801"/>
      <c r="BF2081" s="657"/>
      <c r="BI2081" s="905" t="s">
        <v>126</v>
      </c>
      <c r="BJ2081" s="666"/>
      <c r="BO2081" s="905" t="s">
        <v>252</v>
      </c>
      <c r="CU2081" s="663" t="str">
        <f>CH$2&amp;IF(U2081="",BF2081,U2081)</f>
        <v>Eine Ausweitung der Arbeitsgas-Kapazität der deutschen Salzkanvernen aif das 3-fache  von heute wird hier willkürlich als gut möglich angenommen, das entspricht 135 TWh.</v>
      </c>
      <c r="CW2081" s="663"/>
      <c r="DT2081" s="671"/>
      <c r="EJ2081" s="905" t="str">
        <f>IF(X2081=0,"",EJ$1&amp;X2081)</f>
        <v/>
      </c>
      <c r="EK2081" s="905" t="str">
        <f ca="1">EK$1&amp;X2081</f>
        <v>[D_Python.xlsx]9.Quellen!C</v>
      </c>
      <c r="EV2081" s="819">
        <f t="shared" si="577"/>
        <v>2081</v>
      </c>
      <c r="EW2081" s="819"/>
      <c r="EY2081" s="655"/>
      <c r="EZ2081" s="655"/>
      <c r="FA2081" s="655"/>
    </row>
    <row r="2082" spans="1:157" s="661" customFormat="1" ht="4.5" customHeight="1">
      <c r="A2082" s="677" t="str">
        <f ca="1">BT$1&amp;D2082</f>
        <v>D.1.2082</v>
      </c>
      <c r="B2082" s="677" t="str">
        <f ca="1">BW$1&amp;D2082</f>
        <v>1.2082</v>
      </c>
      <c r="C2082" s="677" t="str">
        <f>CE$1&amp;D2082&amp;CF$1</f>
        <v>[2082]</v>
      </c>
      <c r="D2082" s="677">
        <f>ROW()</f>
        <v>2082</v>
      </c>
      <c r="I2082" s="1021"/>
      <c r="J2082" s="1021"/>
      <c r="K2082" s="1021"/>
      <c r="L2082" s="1021"/>
      <c r="M2082" s="1021"/>
      <c r="O2082" s="871"/>
      <c r="P2082" s="688"/>
      <c r="Q2082" s="689"/>
      <c r="R2082" s="675"/>
      <c r="S2082" s="802"/>
      <c r="AB2082" s="675"/>
      <c r="AC2082" s="1036"/>
      <c r="AD2082" s="675"/>
      <c r="AE2082" s="675"/>
      <c r="AF2082" s="675"/>
      <c r="AG2082" s="675"/>
      <c r="AH2082" s="675"/>
      <c r="AI2082" s="675"/>
      <c r="AJ2082" s="675"/>
      <c r="AK2082" s="675"/>
      <c r="AL2082" s="675"/>
      <c r="AM2082" s="675"/>
      <c r="AN2082" s="675"/>
      <c r="AO2082" s="675"/>
      <c r="AP2082" s="675"/>
      <c r="AQ2082" s="675"/>
      <c r="AR2082" s="675"/>
      <c r="AS2082" s="675"/>
      <c r="AT2082" s="675"/>
      <c r="AU2082" s="675"/>
      <c r="AV2082" s="675"/>
      <c r="AZ2082" s="669"/>
      <c r="BB2082" s="669"/>
      <c r="BI2082" s="661" t="s">
        <v>126</v>
      </c>
      <c r="BJ2082" s="665"/>
      <c r="CU2082" s="662"/>
      <c r="CW2082" s="662"/>
      <c r="EV2082" s="818" t="str">
        <f>IF(U2082&amp;BP2082="","",D2082)</f>
        <v/>
      </c>
      <c r="EW2082" s="818"/>
      <c r="EY2082" s="1021"/>
      <c r="EZ2082" s="1021"/>
      <c r="FA2082" s="1021"/>
    </row>
    <row r="2083" spans="1:157" s="905" customFormat="1" ht="52">
      <c r="A2083" s="654" t="str">
        <f t="shared" ref="A2083" ca="1" si="578">BT$1&amp;D2083</f>
        <v>D.1.2083</v>
      </c>
      <c r="B2083" s="654" t="str">
        <f t="shared" ref="B2083" ca="1" si="579">BW$1&amp;D2083</f>
        <v>1.2083</v>
      </c>
      <c r="C2083" s="654" t="str">
        <f t="shared" ref="C2083" si="580">CE$1&amp;D2083&amp;CF$1</f>
        <v>[2083]</v>
      </c>
      <c r="D2083" s="654">
        <f>ROW()</f>
        <v>2083</v>
      </c>
      <c r="E2083" s="1125" t="str">
        <f ca="1">CU2083</f>
        <v>Gemäß einer Potenzialabschätzung der KBB [9.155], S. 29, liegt das theoretische Salzkavernen-Potenzial für die Speicherung von Wasserstoff in Deutschland bei 1.614 TWh und damit beim 36-fachen der heute vorhandenen Kapazität. Hier wird in Ermangelung belastbarer Daten willkürlich von einem technischen Potenzial ausgegangen, das beim 10-fachen der heute vorhandenen Kapazität liegt: 450 TWh.</v>
      </c>
      <c r="F2083" s="1125"/>
      <c r="G2083" s="1125"/>
      <c r="H2083" s="1125"/>
      <c r="I2083" s="1125"/>
      <c r="J2083" s="1125"/>
      <c r="K2083" s="1125"/>
      <c r="L2083" s="1125"/>
      <c r="M2083" s="1125"/>
      <c r="N2083" s="1125"/>
      <c r="O2083" s="869"/>
      <c r="P2083" s="691" t="str">
        <f ca="1">HYPERLINK(EK2083,EJ2083)</f>
        <v>9.155</v>
      </c>
      <c r="Q2083" s="692" t="str">
        <f>Y2083</f>
        <v>S. 29</v>
      </c>
      <c r="R2083" s="801"/>
      <c r="S2083" s="805"/>
      <c r="U2083" s="1033" t="str">
        <f ca="1">"Gemäß einer Potenzialabschätzung der KBB ["&amp;P2083&amp;"], "&amp;Q2083&amp;", liegt das theoretische Salzkavernen-Potenzial für die Speicherung von Wasserstoff in Deutschland bei "&amp;TEXT(AD2083,"0.000")&amp;AE2083&amp;" und damit beim "&amp;AF2083&amp;AG2083&amp;" der heute vorhandenen Kapazität. Hier wird in Ermangelung belastbarer Daten willkürlich von einem technischen Potenzial ausgegangen, das beim "&amp;AH2083&amp;AI2083&amp;"n der heute vorhandenen Kapazität liegt: "&amp;AJ2083&amp;AK2083&amp;"."</f>
        <v>Gemäß einer Potenzialabschätzung der KBB [9.155], S. 29, liegt das theoretische Salzkavernen-Potenzial für die Speicherung von Wasserstoff in Deutschland bei 1.614 TWh und damit beim 36-fachen der heute vorhandenen Kapazität. Hier wird in Ermangelung belastbarer Daten willkürlich von einem technischen Potenzial ausgegangen, das beim 10-fachen der heute vorhandenen Kapazität liegt: 450 TWh.</v>
      </c>
      <c r="V2083" s="905" t="s">
        <v>126</v>
      </c>
      <c r="W2083" s="1034">
        <f>AJ2083</f>
        <v>450</v>
      </c>
      <c r="X2083" s="672">
        <f>'9.Quellen'!C155</f>
        <v>155</v>
      </c>
      <c r="Y2083" s="672" t="s">
        <v>759</v>
      </c>
      <c r="Z2083" s="1025"/>
      <c r="AB2083" s="801"/>
      <c r="AC2083" s="1020">
        <v>44039</v>
      </c>
      <c r="AD2083" s="801">
        <v>1614</v>
      </c>
      <c r="AE2083" s="801" t="s">
        <v>789</v>
      </c>
      <c r="AF2083" s="801">
        <f>ROUND(AD2083/AE2079,0)</f>
        <v>36</v>
      </c>
      <c r="AG2083" s="651" t="s">
        <v>1276</v>
      </c>
      <c r="AH2083" s="801">
        <v>10</v>
      </c>
      <c r="AI2083" s="651" t="s">
        <v>1272</v>
      </c>
      <c r="AJ2083" s="801">
        <f>AE2079*AH2083</f>
        <v>450</v>
      </c>
      <c r="AK2083" s="801" t="s">
        <v>789</v>
      </c>
      <c r="AL2083" s="801"/>
      <c r="AM2083" s="801"/>
      <c r="AN2083" s="801"/>
      <c r="AO2083" s="562"/>
      <c r="AP2083" s="801"/>
      <c r="AQ2083" s="687"/>
      <c r="AR2083" s="801"/>
      <c r="AS2083" s="801"/>
      <c r="AT2083" s="801"/>
      <c r="AU2083" s="801"/>
      <c r="AV2083" s="801"/>
      <c r="BF2083" s="657"/>
      <c r="BI2083" s="905" t="s">
        <v>126</v>
      </c>
      <c r="BJ2083" s="666"/>
      <c r="BO2083" s="905" t="s">
        <v>252</v>
      </c>
      <c r="CU2083" s="663" t="str">
        <f ca="1">IF(U2083="",BF2083,U2083)</f>
        <v>Gemäß einer Potenzialabschätzung der KBB [9.155], S. 29, liegt das theoretische Salzkavernen-Potenzial für die Speicherung von Wasserstoff in Deutschland bei 1.614 TWh und damit beim 36-fachen der heute vorhandenen Kapazität. Hier wird in Ermangelung belastbarer Daten willkürlich von einem technischen Potenzial ausgegangen, das beim 10-fachen der heute vorhandenen Kapazität liegt: 450 TWh.</v>
      </c>
      <c r="CW2083" s="663"/>
      <c r="DT2083" s="671"/>
      <c r="EJ2083" s="905" t="str">
        <f ca="1">IF(X2083=0,"",EJ$1&amp;X2083)</f>
        <v>9.155</v>
      </c>
      <c r="EK2083" s="905" t="str">
        <f ca="1">EK$1&amp;X2083</f>
        <v>[D_Python.xlsx]9.Quellen!C155</v>
      </c>
      <c r="EV2083" s="819">
        <f t="shared" ref="EV2083" ca="1" si="581">IF(U2083&amp;BP2083="","",D2083)</f>
        <v>2083</v>
      </c>
      <c r="EW2083" s="819"/>
      <c r="EY2083" s="655"/>
      <c r="EZ2083" s="655"/>
      <c r="FA2083" s="655"/>
    </row>
    <row r="2084" spans="1:157" s="661" customFormat="1" ht="4.5" customHeight="1">
      <c r="A2084" s="677" t="str">
        <f ca="1">BT$1&amp;D2084</f>
        <v>D.1.2084</v>
      </c>
      <c r="B2084" s="677" t="str">
        <f ca="1">BW$1&amp;D2084</f>
        <v>1.2084</v>
      </c>
      <c r="C2084" s="677" t="str">
        <f>CE$1&amp;D2084&amp;CF$1</f>
        <v>[2084]</v>
      </c>
      <c r="D2084" s="677">
        <f>ROW()</f>
        <v>2084</v>
      </c>
      <c r="I2084" s="1021"/>
      <c r="J2084" s="1021"/>
      <c r="K2084" s="1021"/>
      <c r="L2084" s="1021"/>
      <c r="M2084" s="1021"/>
      <c r="O2084" s="871"/>
      <c r="P2084" s="688"/>
      <c r="Q2084" s="689"/>
      <c r="R2084" s="675"/>
      <c r="S2084" s="802"/>
      <c r="AB2084" s="675"/>
      <c r="AC2084" s="1036"/>
      <c r="AD2084" s="675"/>
      <c r="AE2084" s="675"/>
      <c r="AF2084" s="675"/>
      <c r="AG2084" s="675"/>
      <c r="AH2084" s="675"/>
      <c r="AI2084" s="675"/>
      <c r="AJ2084" s="675"/>
      <c r="AK2084" s="675"/>
      <c r="AL2084" s="675"/>
      <c r="AM2084" s="675"/>
      <c r="AN2084" s="675"/>
      <c r="AO2084" s="675"/>
      <c r="AP2084" s="675"/>
      <c r="AQ2084" s="675"/>
      <c r="AR2084" s="675"/>
      <c r="AS2084" s="675"/>
      <c r="AT2084" s="675"/>
      <c r="AU2084" s="675"/>
      <c r="AV2084" s="675"/>
      <c r="AZ2084" s="669"/>
      <c r="BB2084" s="669"/>
      <c r="BI2084" s="661" t="s">
        <v>126</v>
      </c>
      <c r="BJ2084" s="665"/>
      <c r="CU2084" s="662"/>
      <c r="CW2084" s="662"/>
      <c r="EV2084" s="818" t="str">
        <f>IF(U2084&amp;BP2084="","",D2084)</f>
        <v/>
      </c>
      <c r="EW2084" s="818"/>
      <c r="EY2084" s="1021"/>
      <c r="EZ2084" s="1021"/>
      <c r="FA2084" s="1021"/>
    </row>
    <row r="2085" spans="1:157" s="905" customFormat="1" ht="26">
      <c r="A2085" s="654" t="str">
        <f t="shared" ref="A2085" ca="1" si="582">BT$1&amp;D2085</f>
        <v>D.1.2085</v>
      </c>
      <c r="B2085" s="654" t="str">
        <f t="shared" ref="B2085" ca="1" si="583">BW$1&amp;D2085</f>
        <v>1.2085</v>
      </c>
      <c r="C2085" s="654" t="str">
        <f t="shared" ref="C2085" si="584">CE$1&amp;D2085&amp;CF$1</f>
        <v>[2085]</v>
      </c>
      <c r="D2085" s="654">
        <f>ROW()</f>
        <v>2085</v>
      </c>
      <c r="E2085" s="1125" t="str">
        <f>CU2085</f>
        <v>500 TWh  werden im Interesse einer übersichtlichen Potenzialdarstellung als Anzeigegrenze des technischen Potenzials gewählt).</v>
      </c>
      <c r="F2085" s="1125"/>
      <c r="G2085" s="1125"/>
      <c r="H2085" s="1125"/>
      <c r="I2085" s="1125"/>
      <c r="J2085" s="1125"/>
      <c r="K2085" s="1125"/>
      <c r="L2085" s="1125"/>
      <c r="M2085" s="1125"/>
      <c r="N2085" s="1125"/>
      <c r="O2085" s="869"/>
      <c r="P2085" s="691" t="str">
        <f ca="1">HYPERLINK(EK2085,EJ2085)</f>
        <v/>
      </c>
      <c r="Q2085" s="692" t="str">
        <f>Y2085</f>
        <v xml:space="preserve"> </v>
      </c>
      <c r="R2085" s="801"/>
      <c r="S2085" s="784"/>
      <c r="U2085" s="1033" t="str">
        <f>TEXT(W2085,"0")&amp;" TWh  werden im Interesse einer übersichtlichen Potenzialdarstellung als Anzeigegrenze des technischen Potenzials gewählt)."</f>
        <v>500 TWh  werden im Interesse einer übersichtlichen Potenzialdarstellung als Anzeigegrenze des technischen Potenzials gewählt).</v>
      </c>
      <c r="V2085" s="905" t="s">
        <v>126</v>
      </c>
      <c r="W2085" s="1034">
        <f>W2083*AD2085%</f>
        <v>500</v>
      </c>
      <c r="X2085" s="672"/>
      <c r="Y2085" s="672" t="s">
        <v>126</v>
      </c>
      <c r="Z2085" s="1025"/>
      <c r="AB2085" s="801"/>
      <c r="AC2085" s="1020">
        <v>44039</v>
      </c>
      <c r="AD2085" s="801">
        <f>500/AJ2083%</f>
        <v>111.11111111111111</v>
      </c>
      <c r="AE2085" s="801" t="s">
        <v>531</v>
      </c>
      <c r="AF2085" s="801"/>
      <c r="AG2085" s="801"/>
      <c r="AH2085" s="801"/>
      <c r="AI2085" s="801"/>
      <c r="AJ2085" s="801"/>
      <c r="AK2085" s="687"/>
      <c r="AL2085" s="801"/>
      <c r="AM2085" s="801"/>
      <c r="AN2085" s="801"/>
      <c r="AO2085" s="801"/>
      <c r="AP2085" s="801"/>
      <c r="AQ2085" s="801"/>
      <c r="AR2085" s="801"/>
      <c r="AS2085" s="801"/>
      <c r="AT2085" s="801"/>
      <c r="AU2085" s="801"/>
      <c r="AV2085" s="801"/>
      <c r="BF2085" s="657"/>
      <c r="BI2085" s="905" t="s">
        <v>126</v>
      </c>
      <c r="BJ2085" s="666"/>
      <c r="BO2085" s="905" t="s">
        <v>252</v>
      </c>
      <c r="CU2085" s="663" t="str">
        <f>CJ$2&amp;IF(U2085="",BF2085,U2085)</f>
        <v>500 TWh  werden im Interesse einer übersichtlichen Potenzialdarstellung als Anzeigegrenze des technischen Potenzials gewählt).</v>
      </c>
      <c r="CW2085" s="663"/>
      <c r="DT2085" s="671"/>
      <c r="EJ2085" s="905" t="str">
        <f>IF(X2085=0,"",EJ$1&amp;X2085)</f>
        <v/>
      </c>
      <c r="EK2085" s="905" t="str">
        <f ca="1">EK$1&amp;X2085</f>
        <v>[D_Python.xlsx]9.Quellen!C</v>
      </c>
      <c r="EV2085" s="819">
        <f t="shared" ref="EV2085" si="585">IF(U2085&amp;BP2085="","",D2085)</f>
        <v>2085</v>
      </c>
      <c r="EW2085" s="819"/>
      <c r="EY2085" s="655"/>
      <c r="EZ2085" s="655"/>
      <c r="FA2085" s="655"/>
    </row>
    <row r="2086" spans="1:157" s="661" customFormat="1" ht="11" customHeight="1">
      <c r="A2086" s="660" t="str">
        <f t="shared" ca="1" si="511"/>
        <v>D.1.2086</v>
      </c>
      <c r="B2086" s="660" t="str">
        <f t="shared" ca="1" si="512"/>
        <v>1.2086</v>
      </c>
      <c r="C2086" s="660" t="str">
        <f t="shared" si="526"/>
        <v>[2086]</v>
      </c>
      <c r="D2086" s="660">
        <f>ROW()</f>
        <v>2086</v>
      </c>
      <c r="E2086" s="685"/>
      <c r="F2086" s="685"/>
      <c r="G2086" s="685"/>
      <c r="H2086" s="685"/>
      <c r="I2086" s="686"/>
      <c r="J2086" s="686"/>
      <c r="K2086" s="686"/>
      <c r="L2086" s="686"/>
      <c r="M2086" s="686"/>
      <c r="N2086" s="685"/>
      <c r="O2086" s="871" t="s">
        <v>859</v>
      </c>
      <c r="P2086" s="693"/>
      <c r="Q2086" s="694"/>
      <c r="R2086" s="888"/>
      <c r="S2086" s="802"/>
      <c r="T2086" s="882"/>
      <c r="AB2086" s="675"/>
      <c r="AC2086" s="1036"/>
      <c r="AD2086" s="675"/>
      <c r="AE2086" s="675"/>
      <c r="AF2086" s="675"/>
      <c r="AG2086" s="675"/>
      <c r="AH2086" s="675"/>
      <c r="AI2086" s="675"/>
      <c r="AJ2086" s="675"/>
      <c r="AK2086" s="675"/>
      <c r="AL2086" s="675"/>
      <c r="AM2086" s="675"/>
      <c r="AN2086" s="675"/>
      <c r="AO2086" s="675"/>
      <c r="AP2086" s="675"/>
      <c r="AQ2086" s="675"/>
      <c r="AR2086" s="675"/>
      <c r="AS2086" s="675"/>
      <c r="AT2086" s="675"/>
      <c r="AU2086" s="675"/>
      <c r="AV2086" s="675"/>
      <c r="AZ2086" s="669"/>
      <c r="BB2086" s="669"/>
      <c r="BI2086" s="661" t="s">
        <v>126</v>
      </c>
      <c r="BJ2086" s="665"/>
      <c r="CU2086" s="662"/>
      <c r="CW2086" s="662"/>
      <c r="EV2086" s="818" t="str">
        <f t="shared" si="514"/>
        <v/>
      </c>
      <c r="EW2086" s="818"/>
    </row>
    <row r="2087" spans="1:157">
      <c r="P2087" s="577"/>
      <c r="Q2087" s="578"/>
      <c r="S2087" s="813"/>
      <c r="AC2087" s="675"/>
    </row>
    <row r="2089" spans="1:157" ht="16">
      <c r="Q2089" s="1018">
        <f>COUNTIF(R:R,R2089)-1</f>
        <v>-1</v>
      </c>
      <c r="S2089" s="499" t="s">
        <v>905</v>
      </c>
    </row>
    <row r="2090" spans="1:157">
      <c r="A2090" s="350"/>
      <c r="B2090" s="350"/>
      <c r="C2090" s="350"/>
      <c r="D2090" s="350"/>
      <c r="I2090" s="350"/>
      <c r="J2090" s="350"/>
      <c r="K2090" s="350"/>
      <c r="L2090" s="350"/>
      <c r="M2090" s="350"/>
      <c r="N2090" s="350"/>
      <c r="P2090" s="350"/>
      <c r="Q2090" s="1018">
        <f>COUNTIF(R:R,R2090)-1</f>
        <v>-1</v>
      </c>
      <c r="S2090" s="350" t="s">
        <v>903</v>
      </c>
      <c r="AY2090" s="350"/>
      <c r="BA2090" s="350"/>
      <c r="BJ2090" s="350"/>
      <c r="BN2090" s="350"/>
      <c r="CU2090" s="350"/>
      <c r="CV2090" s="350"/>
      <c r="CW2090" s="350"/>
      <c r="EV2090" s="817"/>
      <c r="EW2090" s="817"/>
    </row>
    <row r="2091" spans="1:157">
      <c r="A2091" s="350"/>
      <c r="B2091" s="350"/>
      <c r="C2091" s="350"/>
      <c r="D2091" s="350"/>
      <c r="I2091" s="350"/>
      <c r="J2091" s="350"/>
      <c r="K2091" s="350"/>
      <c r="L2091" s="350"/>
      <c r="M2091" s="350"/>
      <c r="N2091" s="350"/>
      <c r="P2091" s="350"/>
      <c r="Q2091" s="1018">
        <f>COUNTIF(R:R,R2091)-1</f>
        <v>-1</v>
      </c>
      <c r="S2091" s="350" t="s">
        <v>904</v>
      </c>
      <c r="AY2091" s="350"/>
      <c r="BA2091" s="350"/>
      <c r="BJ2091" s="350"/>
      <c r="BN2091" s="350"/>
      <c r="CU2091" s="350"/>
      <c r="CV2091" s="350"/>
      <c r="CW2091" s="350"/>
      <c r="EV2091" s="817"/>
      <c r="EW2091" s="817"/>
    </row>
    <row r="2092" spans="1:157">
      <c r="A2092" s="350"/>
      <c r="B2092" s="350"/>
      <c r="C2092" s="350"/>
      <c r="D2092" s="350"/>
      <c r="I2092" s="350"/>
      <c r="J2092" s="350"/>
      <c r="K2092" s="350"/>
      <c r="L2092" s="350"/>
      <c r="M2092" s="350"/>
      <c r="N2092" s="350"/>
      <c r="P2092" s="350"/>
      <c r="Q2092" s="350"/>
      <c r="S2092" s="350"/>
      <c r="AY2092" s="350"/>
      <c r="BA2092" s="350"/>
      <c r="BJ2092" s="350"/>
      <c r="BN2092" s="350"/>
      <c r="CU2092" s="350"/>
      <c r="CV2092" s="350"/>
      <c r="CW2092" s="350"/>
      <c r="EV2092" s="817"/>
      <c r="EW2092" s="817"/>
    </row>
    <row r="2093" spans="1:157">
      <c r="A2093" s="350"/>
      <c r="B2093" s="350"/>
      <c r="C2093" s="350"/>
      <c r="D2093" s="350"/>
      <c r="I2093" s="350"/>
      <c r="J2093" s="350"/>
      <c r="K2093" s="350"/>
      <c r="L2093" s="350"/>
      <c r="M2093" s="350"/>
      <c r="N2093" s="350"/>
      <c r="P2093" s="350"/>
      <c r="Q2093" s="350"/>
      <c r="S2093" s="350"/>
      <c r="AY2093" s="350"/>
      <c r="BA2093" s="350"/>
      <c r="BJ2093" s="350"/>
      <c r="BN2093" s="350"/>
      <c r="CU2093" s="350"/>
      <c r="CV2093" s="350"/>
      <c r="CW2093" s="350"/>
      <c r="EV2093" s="817"/>
      <c r="EW2093" s="817"/>
    </row>
    <row r="2094" spans="1:157">
      <c r="A2094" s="350"/>
      <c r="B2094" s="350"/>
      <c r="C2094" s="350"/>
      <c r="D2094" s="350"/>
      <c r="I2094" s="350"/>
      <c r="J2094" s="350"/>
      <c r="K2094" s="350"/>
      <c r="L2094" s="350"/>
      <c r="M2094" s="350"/>
      <c r="N2094" s="350"/>
      <c r="P2094" s="350"/>
      <c r="Q2094" s="350"/>
      <c r="S2094" s="350"/>
      <c r="AY2094" s="350"/>
      <c r="BA2094" s="350"/>
      <c r="BJ2094" s="350"/>
      <c r="BN2094" s="350"/>
      <c r="CU2094" s="350"/>
      <c r="CV2094" s="350"/>
      <c r="CW2094" s="350"/>
      <c r="EV2094" s="817"/>
      <c r="EW2094" s="817"/>
    </row>
    <row r="2095" spans="1:157">
      <c r="A2095" s="350"/>
      <c r="B2095" s="350"/>
      <c r="C2095" s="350"/>
      <c r="D2095" s="350"/>
      <c r="I2095" s="350"/>
      <c r="J2095" s="350"/>
      <c r="K2095" s="350"/>
      <c r="L2095" s="350"/>
      <c r="M2095" s="350"/>
      <c r="N2095" s="350"/>
      <c r="P2095" s="350"/>
      <c r="Q2095" s="350"/>
      <c r="S2095" s="350"/>
      <c r="AY2095" s="350"/>
      <c r="BA2095" s="350"/>
      <c r="BJ2095" s="350"/>
      <c r="BN2095" s="350"/>
      <c r="CU2095" s="350"/>
      <c r="CV2095" s="350"/>
      <c r="CW2095" s="350"/>
      <c r="EV2095" s="817"/>
      <c r="EW2095" s="817"/>
    </row>
    <row r="2096" spans="1:157">
      <c r="A2096" s="350"/>
      <c r="B2096" s="350"/>
      <c r="C2096" s="350"/>
      <c r="D2096" s="350"/>
      <c r="I2096" s="350"/>
      <c r="J2096" s="350"/>
      <c r="K2096" s="350"/>
      <c r="L2096" s="350"/>
      <c r="M2096" s="350"/>
      <c r="N2096" s="350"/>
      <c r="P2096" s="350"/>
      <c r="Q2096" s="350"/>
      <c r="S2096" s="350"/>
      <c r="AY2096" s="350"/>
      <c r="BA2096" s="350"/>
      <c r="BJ2096" s="350"/>
      <c r="BN2096" s="350"/>
      <c r="CU2096" s="350"/>
      <c r="CV2096" s="350"/>
      <c r="CW2096" s="350"/>
      <c r="EV2096" s="817"/>
      <c r="EW2096" s="817"/>
    </row>
    <row r="2097" spans="1:153">
      <c r="A2097" s="350"/>
      <c r="B2097" s="350"/>
      <c r="C2097" s="350"/>
      <c r="D2097" s="350"/>
      <c r="I2097" s="350"/>
      <c r="J2097" s="350"/>
      <c r="K2097" s="350"/>
      <c r="L2097" s="350"/>
      <c r="M2097" s="350"/>
      <c r="N2097" s="350"/>
      <c r="P2097" s="350"/>
      <c r="Q2097" s="350"/>
      <c r="S2097" s="350"/>
      <c r="AY2097" s="350"/>
      <c r="BA2097" s="350"/>
      <c r="BJ2097" s="350"/>
      <c r="BN2097" s="350"/>
      <c r="CU2097" s="350"/>
      <c r="CV2097" s="350"/>
      <c r="CW2097" s="350"/>
      <c r="EV2097" s="817"/>
      <c r="EW2097" s="817"/>
    </row>
    <row r="2098" spans="1:153">
      <c r="A2098" s="350"/>
      <c r="B2098" s="350"/>
      <c r="C2098" s="350"/>
      <c r="D2098" s="350"/>
      <c r="I2098" s="350"/>
      <c r="J2098" s="350"/>
      <c r="K2098" s="350"/>
      <c r="L2098" s="350"/>
      <c r="M2098" s="350"/>
      <c r="N2098" s="350"/>
      <c r="P2098" s="350"/>
      <c r="Q2098" s="350"/>
      <c r="S2098" s="350"/>
      <c r="AY2098" s="350"/>
      <c r="BA2098" s="350"/>
      <c r="BJ2098" s="350"/>
      <c r="BN2098" s="350"/>
      <c r="CU2098" s="350"/>
      <c r="CV2098" s="350"/>
      <c r="CW2098" s="350"/>
      <c r="DS2098" s="350"/>
      <c r="EV2098" s="817"/>
      <c r="EW2098" s="817"/>
    </row>
    <row r="2099" spans="1:153">
      <c r="A2099" s="350"/>
      <c r="B2099" s="350"/>
      <c r="C2099" s="350"/>
      <c r="D2099" s="350"/>
      <c r="I2099" s="350"/>
      <c r="J2099" s="350"/>
      <c r="K2099" s="350"/>
      <c r="L2099" s="350"/>
      <c r="M2099" s="350"/>
      <c r="N2099" s="350"/>
      <c r="P2099" s="350"/>
      <c r="Q2099" s="350"/>
      <c r="S2099" s="350"/>
      <c r="AY2099" s="350"/>
      <c r="BA2099" s="350"/>
      <c r="BJ2099" s="350"/>
      <c r="BN2099" s="350"/>
      <c r="CU2099" s="350"/>
      <c r="CV2099" s="350"/>
      <c r="CW2099" s="350"/>
      <c r="DS2099" s="350"/>
      <c r="EV2099" s="817"/>
      <c r="EW2099" s="817"/>
    </row>
    <row r="2100" spans="1:153">
      <c r="A2100" s="350"/>
      <c r="B2100" s="350"/>
      <c r="C2100" s="350"/>
      <c r="D2100" s="350"/>
      <c r="I2100" s="350"/>
      <c r="J2100" s="350"/>
      <c r="K2100" s="350"/>
      <c r="L2100" s="350"/>
      <c r="M2100" s="350"/>
      <c r="N2100" s="350"/>
      <c r="P2100" s="350"/>
      <c r="Q2100" s="350"/>
      <c r="S2100" s="350"/>
      <c r="AY2100" s="350"/>
      <c r="BA2100" s="350"/>
      <c r="BJ2100" s="350"/>
      <c r="BN2100" s="350"/>
      <c r="CU2100" s="350"/>
      <c r="CV2100" s="350"/>
      <c r="CW2100" s="350"/>
      <c r="DS2100" s="350"/>
      <c r="EV2100" s="817"/>
      <c r="EW2100" s="817"/>
    </row>
    <row r="2101" spans="1:153">
      <c r="A2101" s="350"/>
      <c r="B2101" s="350"/>
      <c r="C2101" s="350"/>
      <c r="D2101" s="350"/>
      <c r="I2101" s="350"/>
      <c r="J2101" s="350"/>
      <c r="K2101" s="350"/>
      <c r="L2101" s="350"/>
      <c r="M2101" s="350"/>
      <c r="N2101" s="350"/>
      <c r="P2101" s="350"/>
      <c r="Q2101" s="350"/>
      <c r="S2101" s="350"/>
      <c r="AY2101" s="350"/>
      <c r="BA2101" s="350"/>
      <c r="BJ2101" s="350"/>
      <c r="BN2101" s="350"/>
      <c r="CU2101" s="350"/>
      <c r="CV2101" s="350"/>
      <c r="CW2101" s="350"/>
      <c r="DS2101" s="350"/>
      <c r="EV2101" s="817"/>
      <c r="EW2101" s="817"/>
    </row>
    <row r="2102" spans="1:153">
      <c r="A2102" s="350"/>
      <c r="B2102" s="350"/>
      <c r="C2102" s="350"/>
      <c r="D2102" s="350"/>
      <c r="I2102" s="350"/>
      <c r="J2102" s="350"/>
      <c r="K2102" s="350"/>
      <c r="L2102" s="350"/>
      <c r="M2102" s="350"/>
      <c r="N2102" s="350"/>
      <c r="P2102" s="350"/>
      <c r="Q2102" s="350"/>
      <c r="S2102" s="350"/>
      <c r="AY2102" s="350"/>
      <c r="BA2102" s="350"/>
      <c r="BJ2102" s="350"/>
      <c r="BN2102" s="350"/>
      <c r="CU2102" s="350"/>
      <c r="CV2102" s="350"/>
      <c r="CW2102" s="350"/>
      <c r="DS2102" s="350"/>
      <c r="EV2102" s="817"/>
      <c r="EW2102" s="817"/>
    </row>
    <row r="2103" spans="1:153">
      <c r="A2103" s="350"/>
      <c r="B2103" s="350"/>
      <c r="C2103" s="350"/>
      <c r="D2103" s="350"/>
      <c r="I2103" s="350"/>
      <c r="J2103" s="350"/>
      <c r="K2103" s="350"/>
      <c r="L2103" s="350"/>
      <c r="M2103" s="350"/>
      <c r="N2103" s="350"/>
      <c r="P2103" s="350"/>
      <c r="Q2103" s="350"/>
      <c r="S2103" s="350"/>
      <c r="AY2103" s="350"/>
      <c r="BA2103" s="350"/>
      <c r="BJ2103" s="350"/>
      <c r="BN2103" s="350"/>
      <c r="CU2103" s="350"/>
      <c r="CV2103" s="350"/>
      <c r="CW2103" s="350"/>
      <c r="DS2103" s="350"/>
      <c r="EV2103" s="817"/>
      <c r="EW2103" s="817"/>
    </row>
    <row r="2104" spans="1:153">
      <c r="A2104" s="350"/>
      <c r="B2104" s="350"/>
      <c r="C2104" s="350"/>
      <c r="D2104" s="350"/>
      <c r="I2104" s="350"/>
      <c r="J2104" s="350"/>
      <c r="K2104" s="350"/>
      <c r="L2104" s="350"/>
      <c r="M2104" s="350"/>
      <c r="N2104" s="350"/>
      <c r="P2104" s="350"/>
      <c r="Q2104" s="350"/>
      <c r="S2104" s="350"/>
      <c r="AY2104" s="350"/>
      <c r="BA2104" s="350"/>
      <c r="BJ2104" s="350"/>
      <c r="BN2104" s="350"/>
      <c r="CU2104" s="350"/>
      <c r="CV2104" s="350"/>
      <c r="CW2104" s="350"/>
      <c r="DS2104" s="350"/>
      <c r="EV2104" s="817"/>
      <c r="EW2104" s="817"/>
    </row>
    <row r="2105" spans="1:153">
      <c r="A2105" s="350"/>
      <c r="B2105" s="350"/>
      <c r="C2105" s="350"/>
      <c r="D2105" s="350"/>
      <c r="I2105" s="350"/>
      <c r="J2105" s="350"/>
      <c r="K2105" s="350"/>
      <c r="L2105" s="350"/>
      <c r="M2105" s="350"/>
      <c r="N2105" s="350"/>
      <c r="P2105" s="350"/>
      <c r="Q2105" s="350"/>
      <c r="S2105" s="350"/>
      <c r="AY2105" s="350"/>
      <c r="BA2105" s="350"/>
      <c r="BJ2105" s="350"/>
      <c r="BN2105" s="350"/>
      <c r="CU2105" s="350"/>
      <c r="CV2105" s="350"/>
      <c r="CW2105" s="350"/>
      <c r="DS2105" s="350"/>
      <c r="EV2105" s="817"/>
      <c r="EW2105" s="817"/>
    </row>
    <row r="2106" spans="1:153">
      <c r="A2106" s="350"/>
      <c r="B2106" s="350"/>
      <c r="C2106" s="350"/>
      <c r="D2106" s="350"/>
      <c r="I2106" s="350"/>
      <c r="J2106" s="350"/>
      <c r="K2106" s="350"/>
      <c r="L2106" s="350"/>
      <c r="M2106" s="350"/>
      <c r="N2106" s="350"/>
      <c r="P2106" s="350"/>
      <c r="Q2106" s="350"/>
      <c r="S2106" s="350"/>
      <c r="AY2106" s="350"/>
      <c r="BA2106" s="350"/>
      <c r="BJ2106" s="350"/>
      <c r="BN2106" s="350"/>
      <c r="CU2106" s="350"/>
      <c r="CV2106" s="350"/>
      <c r="CW2106" s="350"/>
      <c r="DS2106" s="350"/>
      <c r="EV2106" s="817"/>
      <c r="EW2106" s="817"/>
    </row>
    <row r="2107" spans="1:153">
      <c r="A2107" s="350"/>
      <c r="B2107" s="350"/>
      <c r="C2107" s="350"/>
      <c r="D2107" s="350"/>
      <c r="I2107" s="350"/>
      <c r="J2107" s="350"/>
      <c r="K2107" s="350"/>
      <c r="L2107" s="350"/>
      <c r="M2107" s="350"/>
      <c r="N2107" s="350"/>
      <c r="P2107" s="350"/>
      <c r="Q2107" s="350"/>
      <c r="S2107" s="350"/>
      <c r="AY2107" s="350"/>
      <c r="BA2107" s="350"/>
      <c r="BJ2107" s="350"/>
      <c r="BN2107" s="350"/>
      <c r="CU2107" s="350"/>
      <c r="CV2107" s="350"/>
      <c r="CW2107" s="350"/>
      <c r="DS2107" s="350"/>
      <c r="EV2107" s="817"/>
      <c r="EW2107" s="817"/>
    </row>
    <row r="2108" spans="1:153">
      <c r="A2108" s="350"/>
      <c r="B2108" s="350"/>
      <c r="C2108" s="350"/>
      <c r="D2108" s="350"/>
      <c r="I2108" s="350"/>
      <c r="J2108" s="350"/>
      <c r="K2108" s="350"/>
      <c r="L2108" s="350"/>
      <c r="M2108" s="350"/>
      <c r="N2108" s="350"/>
      <c r="P2108" s="350"/>
      <c r="Q2108" s="350"/>
      <c r="S2108" s="350"/>
      <c r="AY2108" s="350"/>
      <c r="BA2108" s="350"/>
      <c r="BJ2108" s="350"/>
      <c r="BN2108" s="350"/>
      <c r="CU2108" s="350"/>
      <c r="CV2108" s="350"/>
      <c r="CW2108" s="350"/>
      <c r="DS2108" s="350"/>
      <c r="EV2108" s="817"/>
      <c r="EW2108" s="817"/>
    </row>
    <row r="2109" spans="1:153">
      <c r="A2109" s="350"/>
      <c r="B2109" s="350"/>
      <c r="C2109" s="350"/>
      <c r="D2109" s="350"/>
      <c r="I2109" s="350"/>
      <c r="J2109" s="350"/>
      <c r="K2109" s="350"/>
      <c r="L2109" s="350"/>
      <c r="M2109" s="350"/>
      <c r="N2109" s="350"/>
      <c r="P2109" s="350"/>
      <c r="Q2109" s="350"/>
      <c r="S2109" s="350"/>
      <c r="AY2109" s="350"/>
      <c r="BA2109" s="350"/>
      <c r="BJ2109" s="350"/>
      <c r="BN2109" s="350"/>
      <c r="CU2109" s="350"/>
      <c r="CV2109" s="350"/>
      <c r="CW2109" s="350"/>
      <c r="DS2109" s="350"/>
      <c r="EV2109" s="817"/>
      <c r="EW2109" s="817"/>
    </row>
    <row r="2110" spans="1:153">
      <c r="A2110" s="350"/>
      <c r="B2110" s="350"/>
      <c r="C2110" s="350"/>
      <c r="D2110" s="350"/>
      <c r="I2110" s="350"/>
      <c r="J2110" s="350"/>
      <c r="K2110" s="350"/>
      <c r="L2110" s="350"/>
      <c r="M2110" s="350"/>
      <c r="N2110" s="350"/>
      <c r="P2110" s="350"/>
      <c r="Q2110" s="350"/>
      <c r="S2110" s="350"/>
      <c r="AY2110" s="350"/>
      <c r="BA2110" s="350"/>
      <c r="BJ2110" s="350"/>
      <c r="BN2110" s="350"/>
      <c r="CU2110" s="350"/>
      <c r="CV2110" s="350"/>
      <c r="CW2110" s="350"/>
      <c r="DS2110" s="350"/>
      <c r="EV2110" s="817"/>
      <c r="EW2110" s="817"/>
    </row>
    <row r="2111" spans="1:153">
      <c r="A2111" s="350"/>
      <c r="B2111" s="350"/>
      <c r="C2111" s="350"/>
      <c r="D2111" s="350"/>
      <c r="I2111" s="350"/>
      <c r="J2111" s="350"/>
      <c r="K2111" s="350"/>
      <c r="L2111" s="350"/>
      <c r="M2111" s="350"/>
      <c r="N2111" s="350"/>
      <c r="P2111" s="350"/>
      <c r="Q2111" s="350"/>
      <c r="S2111" s="350"/>
      <c r="AY2111" s="350"/>
      <c r="BA2111" s="350"/>
      <c r="BJ2111" s="350"/>
      <c r="BN2111" s="350"/>
      <c r="CU2111" s="350"/>
      <c r="CV2111" s="350"/>
      <c r="CW2111" s="350"/>
      <c r="DS2111" s="350"/>
      <c r="EV2111" s="817"/>
      <c r="EW2111" s="817"/>
    </row>
    <row r="2112" spans="1:153">
      <c r="A2112" s="350"/>
      <c r="B2112" s="350"/>
      <c r="C2112" s="350"/>
      <c r="D2112" s="350"/>
      <c r="I2112" s="350"/>
      <c r="J2112" s="350"/>
      <c r="K2112" s="350"/>
      <c r="L2112" s="350"/>
      <c r="M2112" s="350"/>
      <c r="N2112" s="350"/>
      <c r="P2112" s="350"/>
      <c r="Q2112" s="350"/>
      <c r="S2112" s="350"/>
      <c r="AY2112" s="350"/>
      <c r="BA2112" s="350"/>
      <c r="BJ2112" s="350"/>
      <c r="BN2112" s="350"/>
      <c r="CU2112" s="350"/>
      <c r="CV2112" s="350"/>
      <c r="CW2112" s="350"/>
      <c r="DS2112" s="350"/>
      <c r="EV2112" s="817"/>
      <c r="EW2112" s="817"/>
    </row>
    <row r="2113" spans="1:153">
      <c r="A2113" s="350"/>
      <c r="B2113" s="350"/>
      <c r="C2113" s="350"/>
      <c r="D2113" s="350"/>
      <c r="I2113" s="350"/>
      <c r="J2113" s="350"/>
      <c r="K2113" s="350"/>
      <c r="L2113" s="350"/>
      <c r="M2113" s="350"/>
      <c r="N2113" s="350"/>
      <c r="P2113" s="350"/>
      <c r="Q2113" s="350"/>
      <c r="S2113" s="350"/>
      <c r="AY2113" s="350"/>
      <c r="BA2113" s="350"/>
      <c r="BJ2113" s="350"/>
      <c r="BN2113" s="350"/>
      <c r="CU2113" s="350"/>
      <c r="CV2113" s="350"/>
      <c r="CW2113" s="350"/>
      <c r="DS2113" s="350"/>
      <c r="EV2113" s="817"/>
      <c r="EW2113" s="817"/>
    </row>
    <row r="2114" spans="1:153">
      <c r="A2114" s="350"/>
      <c r="B2114" s="350"/>
      <c r="C2114" s="350"/>
      <c r="D2114" s="350"/>
      <c r="I2114" s="350"/>
      <c r="J2114" s="350"/>
      <c r="K2114" s="350"/>
      <c r="L2114" s="350"/>
      <c r="M2114" s="350"/>
      <c r="N2114" s="350"/>
      <c r="P2114" s="350"/>
      <c r="Q2114" s="350"/>
      <c r="S2114" s="350"/>
      <c r="AY2114" s="350"/>
      <c r="BA2114" s="350"/>
      <c r="BJ2114" s="350"/>
      <c r="BN2114" s="350"/>
      <c r="CU2114" s="350"/>
      <c r="CV2114" s="350"/>
      <c r="CW2114" s="350"/>
      <c r="DS2114" s="350"/>
      <c r="EV2114" s="817"/>
      <c r="EW2114" s="817"/>
    </row>
    <row r="2115" spans="1:153">
      <c r="A2115" s="350"/>
      <c r="B2115" s="350"/>
      <c r="C2115" s="350"/>
      <c r="D2115" s="350"/>
      <c r="I2115" s="350"/>
      <c r="J2115" s="350"/>
      <c r="K2115" s="350"/>
      <c r="L2115" s="350"/>
      <c r="M2115" s="350"/>
      <c r="N2115" s="350"/>
      <c r="P2115" s="350"/>
      <c r="Q2115" s="350"/>
      <c r="S2115" s="350"/>
      <c r="AY2115" s="350"/>
      <c r="BA2115" s="350"/>
      <c r="BJ2115" s="350"/>
      <c r="BN2115" s="350"/>
      <c r="CU2115" s="350"/>
      <c r="CV2115" s="350"/>
      <c r="CW2115" s="350"/>
      <c r="DS2115" s="350"/>
      <c r="EV2115" s="817"/>
      <c r="EW2115" s="817"/>
    </row>
    <row r="2116" spans="1:153">
      <c r="A2116" s="350"/>
      <c r="B2116" s="350"/>
      <c r="C2116" s="350"/>
      <c r="D2116" s="350"/>
      <c r="I2116" s="350"/>
      <c r="J2116" s="350"/>
      <c r="K2116" s="350"/>
      <c r="L2116" s="350"/>
      <c r="M2116" s="350"/>
      <c r="N2116" s="350"/>
      <c r="P2116" s="350"/>
      <c r="Q2116" s="350"/>
      <c r="S2116" s="350"/>
      <c r="AY2116" s="350"/>
      <c r="BA2116" s="350"/>
      <c r="BJ2116" s="350"/>
      <c r="BN2116" s="350"/>
      <c r="CU2116" s="350"/>
      <c r="CV2116" s="350"/>
      <c r="CW2116" s="350"/>
      <c r="DS2116" s="350"/>
      <c r="EV2116" s="817"/>
      <c r="EW2116" s="817"/>
    </row>
    <row r="2117" spans="1:153">
      <c r="A2117" s="350"/>
      <c r="B2117" s="350"/>
      <c r="C2117" s="350"/>
      <c r="D2117" s="350"/>
      <c r="I2117" s="350"/>
      <c r="J2117" s="350"/>
      <c r="K2117" s="350"/>
      <c r="L2117" s="350"/>
      <c r="M2117" s="350"/>
      <c r="N2117" s="350"/>
      <c r="P2117" s="350"/>
      <c r="Q2117" s="350"/>
      <c r="S2117" s="350"/>
      <c r="AY2117" s="350"/>
      <c r="BA2117" s="350"/>
      <c r="BJ2117" s="350"/>
      <c r="BN2117" s="350"/>
      <c r="CU2117" s="350"/>
      <c r="CV2117" s="350"/>
      <c r="CW2117" s="350"/>
      <c r="DS2117" s="350"/>
      <c r="EV2117" s="817"/>
      <c r="EW2117" s="817"/>
    </row>
    <row r="2118" spans="1:153">
      <c r="A2118" s="350"/>
      <c r="B2118" s="350"/>
      <c r="C2118" s="350"/>
      <c r="D2118" s="350"/>
      <c r="I2118" s="350"/>
      <c r="J2118" s="350"/>
      <c r="K2118" s="350"/>
      <c r="L2118" s="350"/>
      <c r="M2118" s="350"/>
      <c r="N2118" s="350"/>
      <c r="P2118" s="350"/>
      <c r="Q2118" s="350"/>
      <c r="S2118" s="350"/>
      <c r="AY2118" s="350"/>
      <c r="BA2118" s="350"/>
      <c r="BJ2118" s="350"/>
      <c r="BN2118" s="350"/>
      <c r="CU2118" s="350"/>
      <c r="CV2118" s="350"/>
      <c r="CW2118" s="350"/>
      <c r="DS2118" s="350"/>
      <c r="EV2118" s="817"/>
      <c r="EW2118" s="817"/>
    </row>
    <row r="2119" spans="1:153">
      <c r="A2119" s="350"/>
      <c r="B2119" s="350"/>
      <c r="C2119" s="350"/>
      <c r="D2119" s="350"/>
      <c r="I2119" s="350"/>
      <c r="J2119" s="350"/>
      <c r="K2119" s="350"/>
      <c r="L2119" s="350"/>
      <c r="M2119" s="350"/>
      <c r="N2119" s="350"/>
      <c r="P2119" s="350"/>
      <c r="Q2119" s="350"/>
      <c r="S2119" s="350"/>
      <c r="AY2119" s="350"/>
      <c r="BA2119" s="350"/>
      <c r="BJ2119" s="350"/>
      <c r="BN2119" s="350"/>
      <c r="CU2119" s="350"/>
      <c r="CV2119" s="350"/>
      <c r="CW2119" s="350"/>
      <c r="DS2119" s="350"/>
      <c r="EV2119" s="817"/>
      <c r="EW2119" s="817"/>
    </row>
    <row r="2120" spans="1:153">
      <c r="A2120" s="350"/>
      <c r="B2120" s="350"/>
      <c r="C2120" s="350"/>
      <c r="D2120" s="350"/>
      <c r="I2120" s="350"/>
      <c r="J2120" s="350"/>
      <c r="K2120" s="350"/>
      <c r="L2120" s="350"/>
      <c r="M2120" s="350"/>
      <c r="N2120" s="350"/>
      <c r="P2120" s="350"/>
      <c r="Q2120" s="350"/>
      <c r="S2120" s="350"/>
      <c r="AY2120" s="350"/>
      <c r="BA2120" s="350"/>
      <c r="BJ2120" s="350"/>
      <c r="BN2120" s="350"/>
      <c r="CU2120" s="350"/>
      <c r="CV2120" s="350"/>
      <c r="CW2120" s="350"/>
      <c r="DS2120" s="350"/>
      <c r="EV2120" s="817"/>
      <c r="EW2120" s="817"/>
    </row>
    <row r="2121" spans="1:153">
      <c r="A2121" s="350"/>
      <c r="B2121" s="350"/>
      <c r="C2121" s="350"/>
      <c r="D2121" s="350"/>
      <c r="I2121" s="350"/>
      <c r="J2121" s="350"/>
      <c r="K2121" s="350"/>
      <c r="L2121" s="350"/>
      <c r="M2121" s="350"/>
      <c r="N2121" s="350"/>
      <c r="P2121" s="350"/>
      <c r="Q2121" s="350"/>
      <c r="S2121" s="350"/>
      <c r="AY2121" s="350"/>
      <c r="BA2121" s="350"/>
      <c r="BJ2121" s="350"/>
      <c r="BN2121" s="350"/>
      <c r="CU2121" s="350"/>
      <c r="CV2121" s="350"/>
      <c r="CW2121" s="350"/>
      <c r="DS2121" s="350"/>
      <c r="EV2121" s="817"/>
      <c r="EW2121" s="817"/>
    </row>
    <row r="2122" spans="1:153">
      <c r="A2122" s="350"/>
      <c r="B2122" s="350"/>
      <c r="C2122" s="350"/>
      <c r="D2122" s="350"/>
      <c r="I2122" s="350"/>
      <c r="J2122" s="350"/>
      <c r="K2122" s="350"/>
      <c r="L2122" s="350"/>
      <c r="M2122" s="350"/>
      <c r="N2122" s="350"/>
      <c r="P2122" s="350"/>
      <c r="Q2122" s="350"/>
      <c r="S2122" s="350"/>
      <c r="AY2122" s="350"/>
      <c r="BA2122" s="350"/>
      <c r="BJ2122" s="350"/>
      <c r="BN2122" s="350"/>
      <c r="CU2122" s="350"/>
      <c r="CV2122" s="350"/>
      <c r="CW2122" s="350"/>
      <c r="DS2122" s="350"/>
      <c r="EV2122" s="817"/>
      <c r="EW2122" s="817"/>
    </row>
    <row r="2123" spans="1:153">
      <c r="A2123" s="350"/>
      <c r="B2123" s="350"/>
      <c r="C2123" s="350"/>
      <c r="D2123" s="350"/>
      <c r="I2123" s="350"/>
      <c r="J2123" s="350"/>
      <c r="K2123" s="350"/>
      <c r="L2123" s="350"/>
      <c r="M2123" s="350"/>
      <c r="N2123" s="350"/>
      <c r="P2123" s="350"/>
      <c r="Q2123" s="350"/>
      <c r="S2123" s="350"/>
      <c r="AY2123" s="350"/>
      <c r="BA2123" s="350"/>
      <c r="BJ2123" s="350"/>
      <c r="BN2123" s="350"/>
      <c r="CU2123" s="350"/>
      <c r="CV2123" s="350"/>
      <c r="CW2123" s="350"/>
      <c r="DS2123" s="350"/>
      <c r="EV2123" s="817"/>
      <c r="EW2123" s="817"/>
    </row>
    <row r="2124" spans="1:153">
      <c r="A2124" s="350"/>
      <c r="B2124" s="350"/>
      <c r="C2124" s="350"/>
      <c r="D2124" s="350"/>
      <c r="I2124" s="350"/>
      <c r="J2124" s="350"/>
      <c r="K2124" s="350"/>
      <c r="L2124" s="350"/>
      <c r="M2124" s="350"/>
      <c r="N2124" s="350"/>
      <c r="P2124" s="350"/>
      <c r="Q2124" s="350"/>
      <c r="S2124" s="350"/>
      <c r="AY2124" s="350"/>
      <c r="BA2124" s="350"/>
      <c r="BJ2124" s="350"/>
      <c r="BN2124" s="350"/>
      <c r="CU2124" s="350"/>
      <c r="CV2124" s="350"/>
      <c r="CW2124" s="350"/>
      <c r="DS2124" s="350"/>
      <c r="EV2124" s="817"/>
      <c r="EW2124" s="817"/>
    </row>
    <row r="2125" spans="1:153">
      <c r="A2125" s="350"/>
      <c r="B2125" s="350"/>
      <c r="C2125" s="350"/>
      <c r="D2125" s="350"/>
      <c r="I2125" s="350"/>
      <c r="J2125" s="350"/>
      <c r="K2125" s="350"/>
      <c r="L2125" s="350"/>
      <c r="M2125" s="350"/>
      <c r="N2125" s="350"/>
      <c r="P2125" s="350"/>
      <c r="Q2125" s="350"/>
      <c r="S2125" s="350"/>
      <c r="AY2125" s="350"/>
      <c r="BA2125" s="350"/>
      <c r="BJ2125" s="350"/>
      <c r="BN2125" s="350"/>
      <c r="CU2125" s="350"/>
      <c r="CV2125" s="350"/>
      <c r="CW2125" s="350"/>
      <c r="DS2125" s="350"/>
      <c r="EV2125" s="817"/>
      <c r="EW2125" s="817"/>
    </row>
    <row r="2126" spans="1:153">
      <c r="A2126" s="350"/>
      <c r="B2126" s="350"/>
      <c r="C2126" s="350"/>
      <c r="D2126" s="350"/>
      <c r="I2126" s="350"/>
      <c r="J2126" s="350"/>
      <c r="K2126" s="350"/>
      <c r="L2126" s="350"/>
      <c r="M2126" s="350"/>
      <c r="N2126" s="350"/>
      <c r="P2126" s="350"/>
      <c r="Q2126" s="350"/>
      <c r="S2126" s="350"/>
      <c r="AY2126" s="350"/>
      <c r="BA2126" s="350"/>
      <c r="BJ2126" s="350"/>
      <c r="BN2126" s="350"/>
      <c r="CU2126" s="350"/>
      <c r="CV2126" s="350"/>
      <c r="CW2126" s="350"/>
      <c r="DS2126" s="350"/>
      <c r="EV2126" s="817"/>
      <c r="EW2126" s="817"/>
    </row>
    <row r="2127" spans="1:153">
      <c r="A2127" s="350"/>
      <c r="B2127" s="350"/>
      <c r="C2127" s="350"/>
      <c r="D2127" s="350"/>
      <c r="I2127" s="350"/>
      <c r="J2127" s="350"/>
      <c r="K2127" s="350"/>
      <c r="L2127" s="350"/>
      <c r="M2127" s="350"/>
      <c r="N2127" s="350"/>
      <c r="P2127" s="350"/>
      <c r="Q2127" s="350"/>
      <c r="S2127" s="350"/>
      <c r="AY2127" s="350"/>
      <c r="BA2127" s="350"/>
      <c r="BJ2127" s="350"/>
      <c r="BN2127" s="350"/>
      <c r="CU2127" s="350"/>
      <c r="CV2127" s="350"/>
      <c r="CW2127" s="350"/>
      <c r="DS2127" s="350"/>
      <c r="EV2127" s="817"/>
      <c r="EW2127" s="817"/>
    </row>
    <row r="2128" spans="1:153">
      <c r="A2128" s="350"/>
      <c r="B2128" s="350"/>
      <c r="C2128" s="350"/>
      <c r="D2128" s="350"/>
      <c r="I2128" s="350"/>
      <c r="J2128" s="350"/>
      <c r="K2128" s="350"/>
      <c r="L2128" s="350"/>
      <c r="M2128" s="350"/>
      <c r="N2128" s="350"/>
      <c r="P2128" s="350"/>
      <c r="Q2128" s="350"/>
      <c r="S2128" s="350"/>
      <c r="AY2128" s="350"/>
      <c r="BA2128" s="350"/>
      <c r="BJ2128" s="350"/>
      <c r="BN2128" s="350"/>
      <c r="CU2128" s="350"/>
      <c r="CV2128" s="350"/>
      <c r="CW2128" s="350"/>
      <c r="DS2128" s="350"/>
      <c r="EV2128" s="817"/>
      <c r="EW2128" s="817"/>
    </row>
    <row r="2129" spans="1:153">
      <c r="A2129" s="350"/>
      <c r="B2129" s="350"/>
      <c r="C2129" s="350"/>
      <c r="D2129" s="350"/>
      <c r="I2129" s="350"/>
      <c r="J2129" s="350"/>
      <c r="K2129" s="350"/>
      <c r="L2129" s="350"/>
      <c r="M2129" s="350"/>
      <c r="N2129" s="350"/>
      <c r="P2129" s="350"/>
      <c r="Q2129" s="350"/>
      <c r="S2129" s="350"/>
      <c r="AY2129" s="350"/>
      <c r="BA2129" s="350"/>
      <c r="BJ2129" s="350"/>
      <c r="BN2129" s="350"/>
      <c r="CU2129" s="350"/>
      <c r="CV2129" s="350"/>
      <c r="CW2129" s="350"/>
      <c r="DS2129" s="350"/>
      <c r="EV2129" s="817"/>
      <c r="EW2129" s="817"/>
    </row>
    <row r="2130" spans="1:153">
      <c r="A2130" s="350"/>
      <c r="B2130" s="350"/>
      <c r="C2130" s="350"/>
      <c r="D2130" s="350"/>
      <c r="I2130" s="350"/>
      <c r="J2130" s="350"/>
      <c r="K2130" s="350"/>
      <c r="L2130" s="350"/>
      <c r="M2130" s="350"/>
      <c r="N2130" s="350"/>
      <c r="P2130" s="350"/>
      <c r="Q2130" s="350"/>
      <c r="S2130" s="350"/>
      <c r="AY2130" s="350"/>
      <c r="BA2130" s="350"/>
      <c r="BJ2130" s="350"/>
      <c r="BN2130" s="350"/>
      <c r="CU2130" s="350"/>
      <c r="CV2130" s="350"/>
      <c r="CW2130" s="350"/>
      <c r="DS2130" s="350"/>
      <c r="EV2130" s="817"/>
      <c r="EW2130" s="817"/>
    </row>
    <row r="2131" spans="1:153">
      <c r="A2131" s="350"/>
      <c r="B2131" s="350"/>
      <c r="C2131" s="350"/>
      <c r="D2131" s="350"/>
      <c r="I2131" s="350"/>
      <c r="J2131" s="350"/>
      <c r="K2131" s="350"/>
      <c r="L2131" s="350"/>
      <c r="M2131" s="350"/>
      <c r="N2131" s="350"/>
      <c r="P2131" s="350"/>
      <c r="Q2131" s="350"/>
      <c r="S2131" s="350"/>
      <c r="AY2131" s="350"/>
      <c r="BA2131" s="350"/>
      <c r="BJ2131" s="350"/>
      <c r="BN2131" s="350"/>
      <c r="CU2131" s="350"/>
      <c r="CV2131" s="350"/>
      <c r="CW2131" s="350"/>
      <c r="DS2131" s="350"/>
      <c r="EV2131" s="817"/>
      <c r="EW2131" s="817"/>
    </row>
    <row r="2132" spans="1:153">
      <c r="A2132" s="350"/>
      <c r="B2132" s="350"/>
      <c r="C2132" s="350"/>
      <c r="D2132" s="350"/>
      <c r="I2132" s="350"/>
      <c r="J2132" s="350"/>
      <c r="K2132" s="350"/>
      <c r="L2132" s="350"/>
      <c r="M2132" s="350"/>
      <c r="N2132" s="350"/>
      <c r="P2132" s="350"/>
      <c r="Q2132" s="350"/>
      <c r="S2132" s="350"/>
      <c r="AY2132" s="350"/>
      <c r="BA2132" s="350"/>
      <c r="BJ2132" s="350"/>
      <c r="BN2132" s="350"/>
      <c r="CU2132" s="350"/>
      <c r="CV2132" s="350"/>
      <c r="CW2132" s="350"/>
      <c r="DS2132" s="350"/>
      <c r="EV2132" s="817"/>
      <c r="EW2132" s="817"/>
    </row>
    <row r="2133" spans="1:153">
      <c r="A2133" s="350"/>
      <c r="B2133" s="350"/>
      <c r="C2133" s="350"/>
      <c r="D2133" s="350"/>
      <c r="I2133" s="350"/>
      <c r="J2133" s="350"/>
      <c r="K2133" s="350"/>
      <c r="L2133" s="350"/>
      <c r="M2133" s="350"/>
      <c r="N2133" s="350"/>
      <c r="P2133" s="350"/>
      <c r="Q2133" s="350"/>
      <c r="S2133" s="350"/>
      <c r="AY2133" s="350"/>
      <c r="BA2133" s="350"/>
      <c r="BJ2133" s="350"/>
      <c r="BN2133" s="350"/>
      <c r="CU2133" s="350"/>
      <c r="CV2133" s="350"/>
      <c r="CW2133" s="350"/>
      <c r="DS2133" s="350"/>
      <c r="EV2133" s="817"/>
      <c r="EW2133" s="817"/>
    </row>
  </sheetData>
  <sheetProtection formatRows="0"/>
  <mergeCells count="668">
    <mergeCell ref="E977:N977"/>
    <mergeCell ref="E814:N814"/>
    <mergeCell ref="E878:N878"/>
    <mergeCell ref="E899:N899"/>
    <mergeCell ref="E903:N903"/>
    <mergeCell ref="E904:N904"/>
    <mergeCell ref="E902:N902"/>
    <mergeCell ref="E947:N947"/>
    <mergeCell ref="E950:N950"/>
    <mergeCell ref="E865:N865"/>
    <mergeCell ref="E852:I852"/>
    <mergeCell ref="E853:N853"/>
    <mergeCell ref="E833:I833"/>
    <mergeCell ref="E834:N834"/>
    <mergeCell ref="E836:N836"/>
    <mergeCell ref="E843:I843"/>
    <mergeCell ref="E844:N844"/>
    <mergeCell ref="E841:N841"/>
    <mergeCell ref="E898:N898"/>
    <mergeCell ref="E876:I876"/>
    <mergeCell ref="E877:N877"/>
    <mergeCell ref="E880:N880"/>
    <mergeCell ref="E882:I882"/>
    <mergeCell ref="E883:N883"/>
    <mergeCell ref="E661:I661"/>
    <mergeCell ref="E662:N662"/>
    <mergeCell ref="E664:N664"/>
    <mergeCell ref="E666:I666"/>
    <mergeCell ref="E670:N670"/>
    <mergeCell ref="E667:N667"/>
    <mergeCell ref="E669:N669"/>
    <mergeCell ref="E710:N710"/>
    <mergeCell ref="E708:N709"/>
    <mergeCell ref="E700:I700"/>
    <mergeCell ref="E701:N701"/>
    <mergeCell ref="E703:N703"/>
    <mergeCell ref="E705:I705"/>
    <mergeCell ref="E706:N706"/>
    <mergeCell ref="E683:N683"/>
    <mergeCell ref="E684:N684"/>
    <mergeCell ref="E682:N682"/>
    <mergeCell ref="K681:M681"/>
    <mergeCell ref="E674:I674"/>
    <mergeCell ref="E754:N754"/>
    <mergeCell ref="E756:I756"/>
    <mergeCell ref="E733:I733"/>
    <mergeCell ref="E734:N734"/>
    <mergeCell ref="E736:N736"/>
    <mergeCell ref="E761:I761"/>
    <mergeCell ref="E762:N762"/>
    <mergeCell ref="E693:I693"/>
    <mergeCell ref="E722:I722"/>
    <mergeCell ref="E723:N723"/>
    <mergeCell ref="E715:N715"/>
    <mergeCell ref="E717:I717"/>
    <mergeCell ref="E718:N718"/>
    <mergeCell ref="E712:I712"/>
    <mergeCell ref="E713:N713"/>
    <mergeCell ref="E751:I751"/>
    <mergeCell ref="E752:N752"/>
    <mergeCell ref="E720:N720"/>
    <mergeCell ref="E757:N757"/>
    <mergeCell ref="E739:N739"/>
    <mergeCell ref="E741:N742"/>
    <mergeCell ref="E802:N802"/>
    <mergeCell ref="E804:I804"/>
    <mergeCell ref="E774:N774"/>
    <mergeCell ref="E777:N777"/>
    <mergeCell ref="E800:N800"/>
    <mergeCell ref="E657:N657"/>
    <mergeCell ref="E725:N726"/>
    <mergeCell ref="E738:I738"/>
    <mergeCell ref="E728:I728"/>
    <mergeCell ref="E729:N729"/>
    <mergeCell ref="E731:N731"/>
    <mergeCell ref="E746:I746"/>
    <mergeCell ref="E747:N747"/>
    <mergeCell ref="E749:N749"/>
    <mergeCell ref="E794:I794"/>
    <mergeCell ref="E795:N795"/>
    <mergeCell ref="E797:N797"/>
    <mergeCell ref="E764:N764"/>
    <mergeCell ref="E765:N765"/>
    <mergeCell ref="E778:N778"/>
    <mergeCell ref="E779:N779"/>
    <mergeCell ref="E675:N675"/>
    <mergeCell ref="E685:N685"/>
    <mergeCell ref="E686:N686"/>
    <mergeCell ref="E580:N580"/>
    <mergeCell ref="E634:I634"/>
    <mergeCell ref="E635:N635"/>
    <mergeCell ref="E637:N637"/>
    <mergeCell ref="E644:I644"/>
    <mergeCell ref="E611:I611"/>
    <mergeCell ref="E612:N612"/>
    <mergeCell ref="E614:N614"/>
    <mergeCell ref="E625:I625"/>
    <mergeCell ref="E630:N630"/>
    <mergeCell ref="E639:N639"/>
    <mergeCell ref="E640:N640"/>
    <mergeCell ref="E641:N641"/>
    <mergeCell ref="E642:N642"/>
    <mergeCell ref="E598:N598"/>
    <mergeCell ref="E600:I600"/>
    <mergeCell ref="E601:N601"/>
    <mergeCell ref="E603:N603"/>
    <mergeCell ref="E632:N632"/>
    <mergeCell ref="E615:N615"/>
    <mergeCell ref="E593:N593"/>
    <mergeCell ref="E584:I584"/>
    <mergeCell ref="E620:N620"/>
    <mergeCell ref="E621:N621"/>
    <mergeCell ref="E655:N655"/>
    <mergeCell ref="E626:N626"/>
    <mergeCell ref="E627:N627"/>
    <mergeCell ref="E628:N628"/>
    <mergeCell ref="E629:N629"/>
    <mergeCell ref="E638:N638"/>
    <mergeCell ref="E585:N585"/>
    <mergeCell ref="E587:N587"/>
    <mergeCell ref="E589:I589"/>
    <mergeCell ref="E590:N590"/>
    <mergeCell ref="E645:N645"/>
    <mergeCell ref="E647:N647"/>
    <mergeCell ref="E649:I649"/>
    <mergeCell ref="E650:N650"/>
    <mergeCell ref="E605:I605"/>
    <mergeCell ref="E606:N606"/>
    <mergeCell ref="E608:N608"/>
    <mergeCell ref="E652:N652"/>
    <mergeCell ref="E654:I654"/>
    <mergeCell ref="E592:N592"/>
    <mergeCell ref="E595:I595"/>
    <mergeCell ref="E596:N596"/>
    <mergeCell ref="E617:I617"/>
    <mergeCell ref="E618:N618"/>
    <mergeCell ref="E268:N268"/>
    <mergeCell ref="E371:N371"/>
    <mergeCell ref="E497:N497"/>
    <mergeCell ref="E509:I509"/>
    <mergeCell ref="E499:I499"/>
    <mergeCell ref="E398:N398"/>
    <mergeCell ref="E408:N408"/>
    <mergeCell ref="E410:N410"/>
    <mergeCell ref="E412:I412"/>
    <mergeCell ref="E413:N413"/>
    <mergeCell ref="E417:N417"/>
    <mergeCell ref="E494:I494"/>
    <mergeCell ref="E495:N495"/>
    <mergeCell ref="E402:I402"/>
    <mergeCell ref="E403:N403"/>
    <mergeCell ref="E405:N405"/>
    <mergeCell ref="E407:I407"/>
    <mergeCell ref="E400:N400"/>
    <mergeCell ref="E426:N426"/>
    <mergeCell ref="E275:N275"/>
    <mergeCell ref="E326:N326"/>
    <mergeCell ref="E328:N328"/>
    <mergeCell ref="E308:N308"/>
    <mergeCell ref="E286:I286"/>
    <mergeCell ref="E18:N18"/>
    <mergeCell ref="E24:N24"/>
    <mergeCell ref="E20:N20"/>
    <mergeCell ref="E7:I7"/>
    <mergeCell ref="E14:N14"/>
    <mergeCell ref="J7:M7"/>
    <mergeCell ref="E10:I10"/>
    <mergeCell ref="J10:M10"/>
    <mergeCell ref="E13:I13"/>
    <mergeCell ref="J13:M13"/>
    <mergeCell ref="E16:I16"/>
    <mergeCell ref="E67:N67"/>
    <mergeCell ref="E58:I58"/>
    <mergeCell ref="E59:N59"/>
    <mergeCell ref="E61:N61"/>
    <mergeCell ref="E49:I49"/>
    <mergeCell ref="E52:N52"/>
    <mergeCell ref="E46:N46"/>
    <mergeCell ref="E62:N62"/>
    <mergeCell ref="E47:N47"/>
    <mergeCell ref="E50:N50"/>
    <mergeCell ref="E34:I34"/>
    <mergeCell ref="J34:M34"/>
    <mergeCell ref="E35:N35"/>
    <mergeCell ref="E64:I64"/>
    <mergeCell ref="E65:N65"/>
    <mergeCell ref="E56:N56"/>
    <mergeCell ref="E53:N53"/>
    <mergeCell ref="E54:N54"/>
    <mergeCell ref="J22:M22"/>
    <mergeCell ref="E45:N45"/>
    <mergeCell ref="E30:N30"/>
    <mergeCell ref="E40:I40"/>
    <mergeCell ref="E43:N43"/>
    <mergeCell ref="E37:I37"/>
    <mergeCell ref="E41:N41"/>
    <mergeCell ref="E22:I22"/>
    <mergeCell ref="E27:I27"/>
    <mergeCell ref="E28:N28"/>
    <mergeCell ref="E69:I69"/>
    <mergeCell ref="E70:N70"/>
    <mergeCell ref="E72:N72"/>
    <mergeCell ref="E75:I75"/>
    <mergeCell ref="E107:N107"/>
    <mergeCell ref="E80:I80"/>
    <mergeCell ref="E81:N81"/>
    <mergeCell ref="E83:N83"/>
    <mergeCell ref="E90:I90"/>
    <mergeCell ref="E91:N91"/>
    <mergeCell ref="E73:N73"/>
    <mergeCell ref="E94:N94"/>
    <mergeCell ref="E76:N76"/>
    <mergeCell ref="E78:N78"/>
    <mergeCell ref="E96:I96"/>
    <mergeCell ref="E97:N97"/>
    <mergeCell ref="E100:N100"/>
    <mergeCell ref="E85:I85"/>
    <mergeCell ref="E86:N86"/>
    <mergeCell ref="E88:N88"/>
    <mergeCell ref="E93:N93"/>
    <mergeCell ref="E101:N101"/>
    <mergeCell ref="E277:N277"/>
    <mergeCell ref="E325:I325"/>
    <mergeCell ref="E299:N299"/>
    <mergeCell ref="E315:I315"/>
    <mergeCell ref="E316:N316"/>
    <mergeCell ref="E318:N318"/>
    <mergeCell ref="E310:I310"/>
    <mergeCell ref="E311:N311"/>
    <mergeCell ref="E303:I303"/>
    <mergeCell ref="E304:N304"/>
    <mergeCell ref="E306:N306"/>
    <mergeCell ref="E313:N313"/>
    <mergeCell ref="E287:N287"/>
    <mergeCell ref="E289:N289"/>
    <mergeCell ref="E281:I281"/>
    <mergeCell ref="E282:N282"/>
    <mergeCell ref="E284:N284"/>
    <mergeCell ref="E296:I296"/>
    <mergeCell ref="E297:N297"/>
    <mergeCell ref="E291:I291"/>
    <mergeCell ref="E292:N292"/>
    <mergeCell ref="E294:N294"/>
    <mergeCell ref="E156:N156"/>
    <mergeCell ref="E274:N274"/>
    <mergeCell ref="E180:N180"/>
    <mergeCell ref="E207:N207"/>
    <mergeCell ref="E245:I245"/>
    <mergeCell ref="E246:N246"/>
    <mergeCell ref="E252:N252"/>
    <mergeCell ref="E266:I266"/>
    <mergeCell ref="E267:N267"/>
    <mergeCell ref="E270:N270"/>
    <mergeCell ref="E272:I272"/>
    <mergeCell ref="E273:N273"/>
    <mergeCell ref="E261:N261"/>
    <mergeCell ref="E250:N250"/>
    <mergeCell ref="E249:N249"/>
    <mergeCell ref="E248:N248"/>
    <mergeCell ref="E255:N255"/>
    <mergeCell ref="E257:I257"/>
    <mergeCell ref="E258:N258"/>
    <mergeCell ref="E164:N164"/>
    <mergeCell ref="E210:N210"/>
    <mergeCell ref="E205:I205"/>
    <mergeCell ref="E181:I181"/>
    <mergeCell ref="E184:N184"/>
    <mergeCell ref="E120:I120"/>
    <mergeCell ref="E121:N121"/>
    <mergeCell ref="E126:N126"/>
    <mergeCell ref="E129:I129"/>
    <mergeCell ref="E130:N130"/>
    <mergeCell ref="E131:N131"/>
    <mergeCell ref="E133:N133"/>
    <mergeCell ref="E103:I103"/>
    <mergeCell ref="E104:N104"/>
    <mergeCell ref="E109:I109"/>
    <mergeCell ref="E110:N110"/>
    <mergeCell ref="E113:N113"/>
    <mergeCell ref="E123:N123"/>
    <mergeCell ref="E116:N116"/>
    <mergeCell ref="E127:N127"/>
    <mergeCell ref="E115:N115"/>
    <mergeCell ref="E124:N124"/>
    <mergeCell ref="E111:N111"/>
    <mergeCell ref="E122:N122"/>
    <mergeCell ref="E362:N362"/>
    <mergeCell ref="E330:I330"/>
    <mergeCell ref="E331:N331"/>
    <mergeCell ref="E333:N333"/>
    <mergeCell ref="E350:I350"/>
    <mergeCell ref="E351:N351"/>
    <mergeCell ref="E352:N352"/>
    <mergeCell ref="E344:I344"/>
    <mergeCell ref="E345:N345"/>
    <mergeCell ref="E346:N346"/>
    <mergeCell ref="E340:N340"/>
    <mergeCell ref="E337:I337"/>
    <mergeCell ref="E338:N338"/>
    <mergeCell ref="E462:N462"/>
    <mergeCell ref="E463:N463"/>
    <mergeCell ref="E464:N464"/>
    <mergeCell ref="E465:N465"/>
    <mergeCell ref="E466:N466"/>
    <mergeCell ref="E431:I431"/>
    <mergeCell ref="E432:N432"/>
    <mergeCell ref="E433:N433"/>
    <mergeCell ref="E435:I435"/>
    <mergeCell ref="E436:N436"/>
    <mergeCell ref="E437:N437"/>
    <mergeCell ref="E441:N441"/>
    <mergeCell ref="E461:N461"/>
    <mergeCell ref="E186:N186"/>
    <mergeCell ref="E203:N203"/>
    <mergeCell ref="E195:N195"/>
    <mergeCell ref="E182:N182"/>
    <mergeCell ref="E190:N190"/>
    <mergeCell ref="E194:N194"/>
    <mergeCell ref="E206:N206"/>
    <mergeCell ref="E209:N209"/>
    <mergeCell ref="E173:I173"/>
    <mergeCell ref="E174:N174"/>
    <mergeCell ref="E179:N179"/>
    <mergeCell ref="E176:N176"/>
    <mergeCell ref="E177:N177"/>
    <mergeCell ref="E374:N374"/>
    <mergeCell ref="E384:I384"/>
    <mergeCell ref="E385:N385"/>
    <mergeCell ref="E144:N144"/>
    <mergeCell ref="E146:N146"/>
    <mergeCell ref="E141:N141"/>
    <mergeCell ref="E143:I143"/>
    <mergeCell ref="E148:I148"/>
    <mergeCell ref="E149:N149"/>
    <mergeCell ref="E159:N159"/>
    <mergeCell ref="E155:N155"/>
    <mergeCell ref="E158:N158"/>
    <mergeCell ref="E161:I161"/>
    <mergeCell ref="E151:N151"/>
    <mergeCell ref="E153:I153"/>
    <mergeCell ref="E154:N154"/>
    <mergeCell ref="E217:N217"/>
    <mergeCell ref="E219:N219"/>
    <mergeCell ref="E197:I197"/>
    <mergeCell ref="E198:N198"/>
    <mergeCell ref="E202:N202"/>
    <mergeCell ref="E162:N162"/>
    <mergeCell ref="E373:I373"/>
    <mergeCell ref="E365:I365"/>
    <mergeCell ref="E366:N366"/>
    <mergeCell ref="E368:N368"/>
    <mergeCell ref="E375:N375"/>
    <mergeCell ref="E223:N223"/>
    <mergeCell ref="E199:N199"/>
    <mergeCell ref="E200:N200"/>
    <mergeCell ref="E193:N193"/>
    <mergeCell ref="E211:N211"/>
    <mergeCell ref="E212:N212"/>
    <mergeCell ref="E342:N342"/>
    <mergeCell ref="E339:N339"/>
    <mergeCell ref="E370:N370"/>
    <mergeCell ref="E369:N369"/>
    <mergeCell ref="E307:N307"/>
    <mergeCell ref="E320:I320"/>
    <mergeCell ref="E321:N321"/>
    <mergeCell ref="E323:N323"/>
    <mergeCell ref="E356:I356"/>
    <mergeCell ref="E357:N357"/>
    <mergeCell ref="E358:N358"/>
    <mergeCell ref="E360:I360"/>
    <mergeCell ref="E361:N361"/>
    <mergeCell ref="E216:I216"/>
    <mergeCell ref="E247:N247"/>
    <mergeCell ref="E238:N238"/>
    <mergeCell ref="E239:N239"/>
    <mergeCell ref="E222:I222"/>
    <mergeCell ref="E231:I231"/>
    <mergeCell ref="E232:N232"/>
    <mergeCell ref="E234:N234"/>
    <mergeCell ref="E236:I236"/>
    <mergeCell ref="E237:N237"/>
    <mergeCell ref="E460:N460"/>
    <mergeCell ref="E455:N455"/>
    <mergeCell ref="E456:N456"/>
    <mergeCell ref="E448:N448"/>
    <mergeCell ref="E421:N421"/>
    <mergeCell ref="E415:N415"/>
    <mergeCell ref="E439:N439"/>
    <mergeCell ref="E458:I458"/>
    <mergeCell ref="E459:N459"/>
    <mergeCell ref="E450:I450"/>
    <mergeCell ref="E454:N454"/>
    <mergeCell ref="E414:N414"/>
    <mergeCell ref="E429:N429"/>
    <mergeCell ref="E451:N451"/>
    <mergeCell ref="E376:N376"/>
    <mergeCell ref="E377:N377"/>
    <mergeCell ref="E510:N510"/>
    <mergeCell ref="E511:N511"/>
    <mergeCell ref="E378:N378"/>
    <mergeCell ref="E386:N386"/>
    <mergeCell ref="E382:N382"/>
    <mergeCell ref="E381:N381"/>
    <mergeCell ref="E380:N380"/>
    <mergeCell ref="E445:I445"/>
    <mergeCell ref="E446:N446"/>
    <mergeCell ref="E388:N388"/>
    <mergeCell ref="E391:I391"/>
    <mergeCell ref="E392:N392"/>
    <mergeCell ref="E395:N395"/>
    <mergeCell ref="E393:N393"/>
    <mergeCell ref="E389:N389"/>
    <mergeCell ref="E397:I397"/>
    <mergeCell ref="E468:N468"/>
    <mergeCell ref="E452:N452"/>
    <mergeCell ref="E425:N425"/>
    <mergeCell ref="E428:N428"/>
    <mergeCell ref="E419:I419"/>
    <mergeCell ref="E420:N420"/>
    <mergeCell ref="E422:N422"/>
    <mergeCell ref="E424:I424"/>
    <mergeCell ref="E792:N792"/>
    <mergeCell ref="E808:N808"/>
    <mergeCell ref="E810:I810"/>
    <mergeCell ref="E811:N811"/>
    <mergeCell ref="E477:I477"/>
    <mergeCell ref="E478:N478"/>
    <mergeCell ref="E480:N480"/>
    <mergeCell ref="E482:I482"/>
    <mergeCell ref="E483:N483"/>
    <mergeCell ref="E500:N500"/>
    <mergeCell ref="E501:N501"/>
    <mergeCell ref="E505:N505"/>
    <mergeCell ref="E561:N561"/>
    <mergeCell ref="E553:I553"/>
    <mergeCell ref="E554:N554"/>
    <mergeCell ref="E519:I519"/>
    <mergeCell ref="E512:N512"/>
    <mergeCell ref="E513:N513"/>
    <mergeCell ref="E515:N515"/>
    <mergeCell ref="E530:N530"/>
    <mergeCell ref="E506:N506"/>
    <mergeCell ref="E507:N507"/>
    <mergeCell ref="E503:N503"/>
    <mergeCell ref="E521:N521"/>
    <mergeCell ref="E568:I568"/>
    <mergeCell ref="E570:N570"/>
    <mergeCell ref="E566:N566"/>
    <mergeCell ref="E573:I573"/>
    <mergeCell ref="E858:N858"/>
    <mergeCell ref="E828:I828"/>
    <mergeCell ref="E829:N829"/>
    <mergeCell ref="E823:I823"/>
    <mergeCell ref="E824:N824"/>
    <mergeCell ref="E826:N826"/>
    <mergeCell ref="E805:N805"/>
    <mergeCell ref="E807:N807"/>
    <mergeCell ref="E789:I789"/>
    <mergeCell ref="E838:I838"/>
    <mergeCell ref="E839:N839"/>
    <mergeCell ref="E813:N813"/>
    <mergeCell ref="E831:N831"/>
    <mergeCell ref="E847:N847"/>
    <mergeCell ref="E816:I816"/>
    <mergeCell ref="E817:N817"/>
    <mergeCell ref="E819:N819"/>
    <mergeCell ref="E855:N855"/>
    <mergeCell ref="E857:I857"/>
    <mergeCell ref="E790:N790"/>
    <mergeCell ref="E773:N773"/>
    <mergeCell ref="E776:N776"/>
    <mergeCell ref="E781:I781"/>
    <mergeCell ref="K781:M781"/>
    <mergeCell ref="E782:N782"/>
    <mergeCell ref="E784:I784"/>
    <mergeCell ref="E785:N785"/>
    <mergeCell ref="E787:N787"/>
    <mergeCell ref="E527:I527"/>
    <mergeCell ref="E528:N528"/>
    <mergeCell ref="E532:I532"/>
    <mergeCell ref="E577:I577"/>
    <mergeCell ref="E578:N578"/>
    <mergeCell ref="E569:N569"/>
    <mergeCell ref="E549:N549"/>
    <mergeCell ref="E534:N534"/>
    <mergeCell ref="E536:N536"/>
    <mergeCell ref="E538:N538"/>
    <mergeCell ref="E563:I563"/>
    <mergeCell ref="E541:N541"/>
    <mergeCell ref="E564:N564"/>
    <mergeCell ref="E571:N571"/>
    <mergeCell ref="E575:N575"/>
    <mergeCell ref="E574:N574"/>
    <mergeCell ref="E862:I862"/>
    <mergeCell ref="E863:N863"/>
    <mergeCell ref="E767:I767"/>
    <mergeCell ref="E768:N768"/>
    <mergeCell ref="E770:N770"/>
    <mergeCell ref="E520:N520"/>
    <mergeCell ref="E524:N524"/>
    <mergeCell ref="E547:N547"/>
    <mergeCell ref="E556:N556"/>
    <mergeCell ref="E558:I558"/>
    <mergeCell ref="E559:N559"/>
    <mergeCell ref="E537:N537"/>
    <mergeCell ref="E546:I546"/>
    <mergeCell ref="E677:N677"/>
    <mergeCell ref="E679:N679"/>
    <mergeCell ref="E696:N696"/>
    <mergeCell ref="E694:N694"/>
    <mergeCell ref="E681:I681"/>
    <mergeCell ref="E688:I688"/>
    <mergeCell ref="E689:N689"/>
    <mergeCell ref="E691:N691"/>
    <mergeCell ref="E799:I799"/>
    <mergeCell ref="E759:N759"/>
    <mergeCell ref="E772:I772"/>
    <mergeCell ref="E955:N955"/>
    <mergeCell ref="E957:N957"/>
    <mergeCell ref="E951:N951"/>
    <mergeCell ref="E952:N952"/>
    <mergeCell ref="E976:N976"/>
    <mergeCell ref="E961:I961"/>
    <mergeCell ref="E962:N962"/>
    <mergeCell ref="E964:N964"/>
    <mergeCell ref="E968:I968"/>
    <mergeCell ref="E969:N969"/>
    <mergeCell ref="E971:N971"/>
    <mergeCell ref="E973:I973"/>
    <mergeCell ref="E974:N974"/>
    <mergeCell ref="E958:N958"/>
    <mergeCell ref="E959:N959"/>
    <mergeCell ref="E867:I867"/>
    <mergeCell ref="E868:N868"/>
    <mergeCell ref="E870:N870"/>
    <mergeCell ref="EV1:EV3"/>
    <mergeCell ref="EW1:EW3"/>
    <mergeCell ref="E438:N438"/>
    <mergeCell ref="E609:N609"/>
    <mergeCell ref="O2:O3"/>
    <mergeCell ref="E98:N98"/>
    <mergeCell ref="E105:N105"/>
    <mergeCell ref="E114:N114"/>
    <mergeCell ref="E253:N253"/>
    <mergeCell ref="E225:N225"/>
    <mergeCell ref="E220:N220"/>
    <mergeCell ref="E227:N227"/>
    <mergeCell ref="E226:N226"/>
    <mergeCell ref="E241:N241"/>
    <mergeCell ref="E137:I137"/>
    <mergeCell ref="E138:N138"/>
    <mergeCell ref="E166:I166"/>
    <mergeCell ref="E502:N502"/>
    <mergeCell ref="E469:N469"/>
    <mergeCell ref="E470:N470"/>
    <mergeCell ref="E475:N475"/>
    <mergeCell ref="E135:N135"/>
    <mergeCell ref="E134:N134"/>
    <mergeCell ref="E259:N259"/>
    <mergeCell ref="E262:N262"/>
    <mergeCell ref="E254:N254"/>
    <mergeCell ref="E540:I540"/>
    <mergeCell ref="E542:N542"/>
    <mergeCell ref="E544:N544"/>
    <mergeCell ref="E533:N533"/>
    <mergeCell ref="E485:N485"/>
    <mergeCell ref="E487:I487"/>
    <mergeCell ref="E488:N488"/>
    <mergeCell ref="E167:N167"/>
    <mergeCell ref="E169:N169"/>
    <mergeCell ref="E139:N139"/>
    <mergeCell ref="E188:I188"/>
    <mergeCell ref="E189:N189"/>
    <mergeCell ref="E192:N192"/>
    <mergeCell ref="E175:N175"/>
    <mergeCell ref="E473:N473"/>
    <mergeCell ref="E472:I472"/>
    <mergeCell ref="E490:N490"/>
    <mergeCell ref="E522:N522"/>
    <mergeCell ref="E525:N525"/>
    <mergeCell ref="E946:N946"/>
    <mergeCell ref="E949:N949"/>
    <mergeCell ref="E954:I954"/>
    <mergeCell ref="E849:N849"/>
    <mergeCell ref="E850:N850"/>
    <mergeCell ref="E848:N848"/>
    <mergeCell ref="E846:N846"/>
    <mergeCell ref="E909:N909"/>
    <mergeCell ref="E913:I913"/>
    <mergeCell ref="E914:N914"/>
    <mergeCell ref="E860:N860"/>
    <mergeCell ref="E916:N916"/>
    <mergeCell ref="E930:I930"/>
    <mergeCell ref="E917:N917"/>
    <mergeCell ref="E910:N910"/>
    <mergeCell ref="E911:N911"/>
    <mergeCell ref="E886:N886"/>
    <mergeCell ref="E897:I897"/>
    <mergeCell ref="E885:N885"/>
    <mergeCell ref="E901:N901"/>
    <mergeCell ref="E906:I906"/>
    <mergeCell ref="E907:N907"/>
    <mergeCell ref="E931:N931"/>
    <mergeCell ref="E933:N933"/>
    <mergeCell ref="E888:I888"/>
    <mergeCell ref="E889:N889"/>
    <mergeCell ref="E890:N890"/>
    <mergeCell ref="E892:N892"/>
    <mergeCell ref="E893:N893"/>
    <mergeCell ref="E894:N894"/>
    <mergeCell ref="E895:N895"/>
    <mergeCell ref="E934:N934"/>
    <mergeCell ref="E945:I945"/>
    <mergeCell ref="E919:I919"/>
    <mergeCell ref="E920:N920"/>
    <mergeCell ref="E922:N922"/>
    <mergeCell ref="E936:I936"/>
    <mergeCell ref="E937:N937"/>
    <mergeCell ref="E938:N938"/>
    <mergeCell ref="E940:N940"/>
    <mergeCell ref="E941:N941"/>
    <mergeCell ref="E942:N942"/>
    <mergeCell ref="E943:N943"/>
    <mergeCell ref="E924:I924"/>
    <mergeCell ref="E925:N925"/>
    <mergeCell ref="E927:N927"/>
    <mergeCell ref="E928:N928"/>
    <mergeCell ref="E981:I981"/>
    <mergeCell ref="E982:N982"/>
    <mergeCell ref="E984:N984"/>
    <mergeCell ref="E985:N985"/>
    <mergeCell ref="E2002:N2002"/>
    <mergeCell ref="E2003:N2003"/>
    <mergeCell ref="E2004:N2004"/>
    <mergeCell ref="E2005:N2005"/>
    <mergeCell ref="E2006:N2006"/>
    <mergeCell ref="E2012:N2012"/>
    <mergeCell ref="E2014:N2014"/>
    <mergeCell ref="E2016:N2016"/>
    <mergeCell ref="E2018:N2018"/>
    <mergeCell ref="E2020:I2020"/>
    <mergeCell ref="E2021:N2021"/>
    <mergeCell ref="E2023:N2023"/>
    <mergeCell ref="E2025:N2025"/>
    <mergeCell ref="E2031:N2031"/>
    <mergeCell ref="E2033:N2033"/>
    <mergeCell ref="E2035:N2035"/>
    <mergeCell ref="E2037:N2037"/>
    <mergeCell ref="E2039:I2039"/>
    <mergeCell ref="E2040:N2040"/>
    <mergeCell ref="E2042:N2042"/>
    <mergeCell ref="E2044:N2044"/>
    <mergeCell ref="E2050:N2050"/>
    <mergeCell ref="E2052:N2052"/>
    <mergeCell ref="E2079:N2079"/>
    <mergeCell ref="E2081:N2081"/>
    <mergeCell ref="E2083:N2083"/>
    <mergeCell ref="E2085:N2085"/>
    <mergeCell ref="E2073:N2073"/>
    <mergeCell ref="E2054:N2054"/>
    <mergeCell ref="E2055:N2055"/>
    <mergeCell ref="E2057:N2057"/>
    <mergeCell ref="E2063:N2063"/>
    <mergeCell ref="E2065:N2065"/>
    <mergeCell ref="E2066:N2066"/>
    <mergeCell ref="E2068:N2068"/>
    <mergeCell ref="E2070:N2070"/>
    <mergeCell ref="E2071:N2071"/>
  </mergeCells>
  <conditionalFormatting sqref="Q56 Q126 Q133 Q141 Q146 Q151 Q158 Q219 Q164 Q225 Q169 Q192 Q202 Q234 Q241 Q284 Q261 Q289 Q342 Q294 Q318 Q313 Q323 Q328 Q179 Q186 Q252 Q270 Q277 Q306 Q299 Q333 Q691 Q836 Q846 Q831 Q870 Q865 Q855 Q860 Q849">
    <cfRule type="expression" dxfId="856" priority="1076">
      <formula>AA56="z"</formula>
    </cfRule>
    <cfRule type="expression" dxfId="855" priority="1077">
      <formula>AA56="s"</formula>
    </cfRule>
  </conditionalFormatting>
  <conditionalFormatting sqref="Q14">
    <cfRule type="expression" dxfId="854" priority="1068">
      <formula>AA14="z"</formula>
    </cfRule>
    <cfRule type="expression" dxfId="853" priority="1069">
      <formula>AA14="s"</formula>
    </cfRule>
  </conditionalFormatting>
  <conditionalFormatting sqref="Q28 Q30">
    <cfRule type="expression" dxfId="852" priority="1064">
      <formula>AA28="z"</formula>
    </cfRule>
    <cfRule type="expression" dxfId="851" priority="1065">
      <formula>AA28="s"</formula>
    </cfRule>
  </conditionalFormatting>
  <conditionalFormatting sqref="Q43 Q45">
    <cfRule type="expression" dxfId="850" priority="1060">
      <formula>AA43="z"</formula>
    </cfRule>
    <cfRule type="expression" dxfId="849" priority="1061">
      <formula>AA43="s"</formula>
    </cfRule>
  </conditionalFormatting>
  <conditionalFormatting sqref="Q52">
    <cfRule type="expression" dxfId="848" priority="1056">
      <formula>AA52="z"</formula>
    </cfRule>
    <cfRule type="expression" dxfId="847" priority="1057">
      <formula>AA52="s"</formula>
    </cfRule>
  </conditionalFormatting>
  <conditionalFormatting sqref="Q53">
    <cfRule type="expression" dxfId="846" priority="1054">
      <formula>AA53="z"</formula>
    </cfRule>
    <cfRule type="expression" dxfId="845" priority="1055">
      <formula>AA53="s"</formula>
    </cfRule>
  </conditionalFormatting>
  <conditionalFormatting sqref="Q54">
    <cfRule type="expression" dxfId="844" priority="1052">
      <formula>AA54="z"</formula>
    </cfRule>
    <cfRule type="expression" dxfId="843" priority="1053">
      <formula>AA54="s"</formula>
    </cfRule>
  </conditionalFormatting>
  <conditionalFormatting sqref="Q35">
    <cfRule type="expression" dxfId="842" priority="1050">
      <formula>AA35="z"</formula>
    </cfRule>
    <cfRule type="expression" dxfId="841" priority="1051">
      <formula>AA35="s"</formula>
    </cfRule>
  </conditionalFormatting>
  <conditionalFormatting sqref="Q65 Q67">
    <cfRule type="expression" dxfId="840" priority="1048">
      <formula>AA65="z"</formula>
    </cfRule>
    <cfRule type="expression" dxfId="839" priority="1049">
      <formula>AA65="s"</formula>
    </cfRule>
  </conditionalFormatting>
  <conditionalFormatting sqref="Q70 Q72">
    <cfRule type="expression" dxfId="838" priority="1046">
      <formula>AA70="z"</formula>
    </cfRule>
    <cfRule type="expression" dxfId="837" priority="1047">
      <formula>AA70="s"</formula>
    </cfRule>
  </conditionalFormatting>
  <conditionalFormatting sqref="Q76 Q78">
    <cfRule type="expression" dxfId="836" priority="1038">
      <formula>AA76="z"</formula>
    </cfRule>
    <cfRule type="expression" dxfId="835" priority="1039">
      <formula>AA76="s"</formula>
    </cfRule>
  </conditionalFormatting>
  <conditionalFormatting sqref="Q97 Q100">
    <cfRule type="expression" dxfId="834" priority="1036">
      <formula>AA97="z"</formula>
    </cfRule>
    <cfRule type="expression" dxfId="833" priority="1037">
      <formula>AA97="s"</formula>
    </cfRule>
  </conditionalFormatting>
  <conditionalFormatting sqref="Q121">
    <cfRule type="expression" dxfId="832" priority="1034">
      <formula>AA121="z"</formula>
    </cfRule>
    <cfRule type="expression" dxfId="831" priority="1035">
      <formula>AA121="s"</formula>
    </cfRule>
  </conditionalFormatting>
  <conditionalFormatting sqref="Q130">
    <cfRule type="expression" dxfId="830" priority="1032">
      <formula>AA130="z"</formula>
    </cfRule>
    <cfRule type="expression" dxfId="829" priority="1033">
      <formula>AA130="s"</formula>
    </cfRule>
  </conditionalFormatting>
  <conditionalFormatting sqref="Q138">
    <cfRule type="expression" dxfId="828" priority="1030">
      <formula>AA138="z"</formula>
    </cfRule>
    <cfRule type="expression" dxfId="827" priority="1031">
      <formula>AA138="s"</formula>
    </cfRule>
  </conditionalFormatting>
  <conditionalFormatting sqref="Q144">
    <cfRule type="expression" dxfId="826" priority="1028">
      <formula>AA144="z"</formula>
    </cfRule>
    <cfRule type="expression" dxfId="825" priority="1029">
      <formula>AA144="s"</formula>
    </cfRule>
  </conditionalFormatting>
  <conditionalFormatting sqref="Q149">
    <cfRule type="expression" dxfId="824" priority="1024">
      <formula>AA149="z"</formula>
    </cfRule>
    <cfRule type="expression" dxfId="823" priority="1025">
      <formula>AA149="s"</formula>
    </cfRule>
  </conditionalFormatting>
  <conditionalFormatting sqref="Q154">
    <cfRule type="expression" dxfId="822" priority="1022">
      <formula>AA154="z"</formula>
    </cfRule>
    <cfRule type="expression" dxfId="821" priority="1023">
      <formula>AA154="s"</formula>
    </cfRule>
  </conditionalFormatting>
  <conditionalFormatting sqref="Q189">
    <cfRule type="expression" dxfId="820" priority="1020">
      <formula>AA189="z"</formula>
    </cfRule>
    <cfRule type="expression" dxfId="819" priority="1021">
      <formula>AA189="s"</formula>
    </cfRule>
  </conditionalFormatting>
  <conditionalFormatting sqref="Q217">
    <cfRule type="expression" dxfId="818" priority="1018">
      <formula>AA217="z"</formula>
    </cfRule>
    <cfRule type="expression" dxfId="817" priority="1019">
      <formula>AA217="s"</formula>
    </cfRule>
  </conditionalFormatting>
  <conditionalFormatting sqref="Q110 Q113">
    <cfRule type="expression" dxfId="816" priority="1006">
      <formula>AA110="z"</formula>
    </cfRule>
    <cfRule type="expression" dxfId="815" priority="1007">
      <formula>AA110="s"</formula>
    </cfRule>
  </conditionalFormatting>
  <conditionalFormatting sqref="Q198">
    <cfRule type="expression" dxfId="814" priority="1016">
      <formula>AA198="z"</formula>
    </cfRule>
    <cfRule type="expression" dxfId="813" priority="1017">
      <formula>AA198="s"</formula>
    </cfRule>
  </conditionalFormatting>
  <conditionalFormatting sqref="Q232">
    <cfRule type="expression" dxfId="812" priority="1012">
      <formula>AA232="z"</formula>
    </cfRule>
    <cfRule type="expression" dxfId="811" priority="1013">
      <formula>AA232="s"</formula>
    </cfRule>
  </conditionalFormatting>
  <conditionalFormatting sqref="Q237">
    <cfRule type="expression" dxfId="810" priority="1010">
      <formula>AA237="z"</formula>
    </cfRule>
    <cfRule type="expression" dxfId="809" priority="1011">
      <formula>AA237="s"</formula>
    </cfRule>
  </conditionalFormatting>
  <conditionalFormatting sqref="Q282">
    <cfRule type="expression" dxfId="808" priority="1004">
      <formula>AA282="z"</formula>
    </cfRule>
    <cfRule type="expression" dxfId="807" priority="1005">
      <formula>AA282="s"</formula>
    </cfRule>
  </conditionalFormatting>
  <conditionalFormatting sqref="Q258">
    <cfRule type="expression" dxfId="806" priority="1002">
      <formula>AA258="z"</formula>
    </cfRule>
    <cfRule type="expression" dxfId="805" priority="1003">
      <formula>AA258="s"</formula>
    </cfRule>
  </conditionalFormatting>
  <conditionalFormatting sqref="Q287">
    <cfRule type="expression" dxfId="804" priority="998">
      <formula>AA287="z"</formula>
    </cfRule>
    <cfRule type="expression" dxfId="803" priority="999">
      <formula>AA287="s"</formula>
    </cfRule>
  </conditionalFormatting>
  <conditionalFormatting sqref="Q338">
    <cfRule type="expression" dxfId="802" priority="996">
      <formula>AA338="z"</formula>
    </cfRule>
    <cfRule type="expression" dxfId="801" priority="997">
      <formula>AA338="s"</formula>
    </cfRule>
  </conditionalFormatting>
  <conditionalFormatting sqref="Q292">
    <cfRule type="expression" dxfId="800" priority="994">
      <formula>AA292="z"</formula>
    </cfRule>
    <cfRule type="expression" dxfId="799" priority="995">
      <formula>AA292="s"</formula>
    </cfRule>
  </conditionalFormatting>
  <conditionalFormatting sqref="Q408 Q410">
    <cfRule type="expression" dxfId="798" priority="982">
      <formula>AA408="z"</formula>
    </cfRule>
    <cfRule type="expression" dxfId="797" priority="983">
      <formula>AA408="s"</formula>
    </cfRule>
  </conditionalFormatting>
  <conditionalFormatting sqref="Q345:Q346">
    <cfRule type="expression" dxfId="796" priority="992">
      <formula>AA345="z"</formula>
    </cfRule>
    <cfRule type="expression" dxfId="795" priority="993">
      <formula>AA345="s"</formula>
    </cfRule>
  </conditionalFormatting>
  <conditionalFormatting sqref="Q413 Q417">
    <cfRule type="expression" dxfId="794" priority="978">
      <formula>AA413="z"</formula>
    </cfRule>
    <cfRule type="expression" dxfId="793" priority="979">
      <formula>AA413="s"</formula>
    </cfRule>
  </conditionalFormatting>
  <conditionalFormatting sqref="Q316">
    <cfRule type="expression" dxfId="792" priority="990">
      <formula>AA316="z"</formula>
    </cfRule>
    <cfRule type="expression" dxfId="791" priority="991">
      <formula>AA316="s"</formula>
    </cfRule>
  </conditionalFormatting>
  <conditionalFormatting sqref="Q311">
    <cfRule type="expression" dxfId="790" priority="988">
      <formula>AA311="z"</formula>
    </cfRule>
    <cfRule type="expression" dxfId="789" priority="989">
      <formula>AA311="s"</formula>
    </cfRule>
  </conditionalFormatting>
  <conditionalFormatting sqref="Q420 Q422">
    <cfRule type="expression" dxfId="788" priority="984">
      <formula>AA420="z"</formula>
    </cfRule>
    <cfRule type="expression" dxfId="787" priority="985">
      <formula>AA420="s"</formula>
    </cfRule>
  </conditionalFormatting>
  <conditionalFormatting sqref="Q425 Q428">
    <cfRule type="expression" dxfId="786" priority="986">
      <formula>AA425="z"</formula>
    </cfRule>
    <cfRule type="expression" dxfId="785" priority="987">
      <formula>AA425="s"</formula>
    </cfRule>
  </conditionalFormatting>
  <conditionalFormatting sqref="Q403 Q405">
    <cfRule type="expression" dxfId="784" priority="980">
      <formula>AA403="z"</formula>
    </cfRule>
    <cfRule type="expression" dxfId="783" priority="981">
      <formula>AA403="s"</formula>
    </cfRule>
  </conditionalFormatting>
  <conditionalFormatting sqref="Q86 Q88">
    <cfRule type="expression" dxfId="782" priority="976">
      <formula>AA86="z"</formula>
    </cfRule>
    <cfRule type="expression" dxfId="781" priority="977">
      <formula>AA86="s"</formula>
    </cfRule>
  </conditionalFormatting>
  <conditionalFormatting sqref="Q366 Q368">
    <cfRule type="expression" dxfId="780" priority="974">
      <formula>AA366="z"</formula>
    </cfRule>
    <cfRule type="expression" dxfId="779" priority="975">
      <formula>AA366="s"</formula>
    </cfRule>
  </conditionalFormatting>
  <conditionalFormatting sqref="Q321">
    <cfRule type="expression" dxfId="778" priority="970">
      <formula>AA321="z"</formula>
    </cfRule>
    <cfRule type="expression" dxfId="777" priority="971">
      <formula>AA321="s"</formula>
    </cfRule>
  </conditionalFormatting>
  <conditionalFormatting sqref="Q374 Q380">
    <cfRule type="expression" dxfId="776" priority="962">
      <formula>AA374="z"</formula>
    </cfRule>
    <cfRule type="expression" dxfId="775" priority="963">
      <formula>AA374="s"</formula>
    </cfRule>
  </conditionalFormatting>
  <conditionalFormatting sqref="Q326">
    <cfRule type="expression" dxfId="774" priority="966">
      <formula>AA326="z"</formula>
    </cfRule>
    <cfRule type="expression" dxfId="773" priority="967">
      <formula>AA326="s"</formula>
    </cfRule>
  </conditionalFormatting>
  <conditionalFormatting sqref="Q446 Q448">
    <cfRule type="expression" dxfId="772" priority="958">
      <formula>AA446="z"</formula>
    </cfRule>
    <cfRule type="expression" dxfId="771" priority="959">
      <formula>AA446="s"</formula>
    </cfRule>
  </conditionalFormatting>
  <conditionalFormatting sqref="Q483 Q485">
    <cfRule type="expression" dxfId="770" priority="952">
      <formula>AA483="z"</formula>
    </cfRule>
    <cfRule type="expression" dxfId="769" priority="953">
      <formula>AA483="s"</formula>
    </cfRule>
  </conditionalFormatting>
  <conditionalFormatting sqref="Q473 Q475">
    <cfRule type="expression" dxfId="768" priority="954">
      <formula>AA473="z"</formula>
    </cfRule>
    <cfRule type="expression" dxfId="767" priority="955">
      <formula>AA473="s"</formula>
    </cfRule>
  </conditionalFormatting>
  <conditionalFormatting sqref="Q488 Q490">
    <cfRule type="expression" dxfId="766" priority="948">
      <formula>AA488="z"</formula>
    </cfRule>
    <cfRule type="expression" dxfId="765" priority="949">
      <formula>AA488="s"</formula>
    </cfRule>
  </conditionalFormatting>
  <conditionalFormatting sqref="Q451 Q454">
    <cfRule type="expression" dxfId="764" priority="956">
      <formula>AA451="z"</formula>
    </cfRule>
    <cfRule type="expression" dxfId="763" priority="957">
      <formula>AA451="s"</formula>
    </cfRule>
  </conditionalFormatting>
  <conditionalFormatting sqref="Q520 Q524">
    <cfRule type="expression" dxfId="762" priority="944">
      <formula>AA520="z"</formula>
    </cfRule>
    <cfRule type="expression" dxfId="761" priority="945">
      <formula>AA520="s"</formula>
    </cfRule>
  </conditionalFormatting>
  <conditionalFormatting sqref="Q528 Q530">
    <cfRule type="expression" dxfId="760" priority="942">
      <formula>AA528="z"</formula>
    </cfRule>
    <cfRule type="expression" dxfId="759" priority="943">
      <formula>AA528="s"</formula>
    </cfRule>
  </conditionalFormatting>
  <conditionalFormatting sqref="Q478 Q480">
    <cfRule type="expression" dxfId="758" priority="950">
      <formula>AA478="z"</formula>
    </cfRule>
    <cfRule type="expression" dxfId="757" priority="951">
      <formula>AA478="s"</formula>
    </cfRule>
  </conditionalFormatting>
  <conditionalFormatting sqref="Q564 Q566">
    <cfRule type="expression" dxfId="756" priority="934">
      <formula>AA564="z"</formula>
    </cfRule>
    <cfRule type="expression" dxfId="755" priority="935">
      <formula>AA564="s"</formula>
    </cfRule>
  </conditionalFormatting>
  <conditionalFormatting sqref="Q559 Q561">
    <cfRule type="expression" dxfId="754" priority="938">
      <formula>AA559="z"</formula>
    </cfRule>
    <cfRule type="expression" dxfId="753" priority="939">
      <formula>AA559="s"</formula>
    </cfRule>
  </conditionalFormatting>
  <conditionalFormatting sqref="Q554 Q556">
    <cfRule type="expression" dxfId="752" priority="940">
      <formula>AA554="z"</formula>
    </cfRule>
    <cfRule type="expression" dxfId="751" priority="941">
      <formula>AA554="s"</formula>
    </cfRule>
  </conditionalFormatting>
  <conditionalFormatting sqref="Q578 Q580">
    <cfRule type="expression" dxfId="750" priority="932">
      <formula>AA578="z"</formula>
    </cfRule>
    <cfRule type="expression" dxfId="749" priority="933">
      <formula>AA578="s"</formula>
    </cfRule>
  </conditionalFormatting>
  <conditionalFormatting sqref="Q122">
    <cfRule type="expression" dxfId="748" priority="928">
      <formula>AA122="z"</formula>
    </cfRule>
    <cfRule type="expression" dxfId="747" priority="929">
      <formula>AA122="s"</formula>
    </cfRule>
  </conditionalFormatting>
  <conditionalFormatting sqref="Q123">
    <cfRule type="expression" dxfId="746" priority="922">
      <formula>AA123="z"</formula>
    </cfRule>
    <cfRule type="expression" dxfId="745" priority="923">
      <formula>AA123="s"</formula>
    </cfRule>
  </conditionalFormatting>
  <conditionalFormatting sqref="Q156">
    <cfRule type="expression" dxfId="744" priority="918">
      <formula>AA156="z"</formula>
    </cfRule>
    <cfRule type="expression" dxfId="743" priority="919">
      <formula>AA156="s"</formula>
    </cfRule>
  </conditionalFormatting>
  <conditionalFormatting sqref="Q131">
    <cfRule type="expression" dxfId="742" priority="908">
      <formula>AA131="z"</formula>
    </cfRule>
    <cfRule type="expression" dxfId="741" priority="909">
      <formula>AA131="s"</formula>
    </cfRule>
  </conditionalFormatting>
  <conditionalFormatting sqref="Q155">
    <cfRule type="expression" dxfId="740" priority="904">
      <formula>AA155="z"</formula>
    </cfRule>
    <cfRule type="expression" dxfId="739" priority="905">
      <formula>AA155="s"</formula>
    </cfRule>
  </conditionalFormatting>
  <conditionalFormatting sqref="Q127">
    <cfRule type="expression" dxfId="738" priority="906">
      <formula>AA127="z"</formula>
    </cfRule>
    <cfRule type="expression" dxfId="737" priority="907">
      <formula>AA127="s"</formula>
    </cfRule>
  </conditionalFormatting>
  <conditionalFormatting sqref="Q159">
    <cfRule type="expression" dxfId="736" priority="902">
      <formula>AA159="z"</formula>
    </cfRule>
    <cfRule type="expression" dxfId="735" priority="903">
      <formula>AA159="s"</formula>
    </cfRule>
  </conditionalFormatting>
  <conditionalFormatting sqref="Q162">
    <cfRule type="expression" dxfId="734" priority="900">
      <formula>AA162="z"</formula>
    </cfRule>
    <cfRule type="expression" dxfId="733" priority="901">
      <formula>AA162="s"</formula>
    </cfRule>
  </conditionalFormatting>
  <conditionalFormatting sqref="Q83 Q80:Q81">
    <cfRule type="expression" dxfId="732" priority="890">
      <formula>AA80="z"</formula>
    </cfRule>
    <cfRule type="expression" dxfId="731" priority="891">
      <formula>AA80="s"</formula>
    </cfRule>
  </conditionalFormatting>
  <conditionalFormatting sqref="Q91 Q93">
    <cfRule type="expression" dxfId="730" priority="888">
      <formula>AA91="z"</formula>
    </cfRule>
    <cfRule type="expression" dxfId="729" priority="889">
      <formula>AA91="s"</formula>
    </cfRule>
  </conditionalFormatting>
  <conditionalFormatting sqref="Q223">
    <cfRule type="expression" dxfId="728" priority="884">
      <formula>AA223="z"</formula>
    </cfRule>
    <cfRule type="expression" dxfId="727" priority="885">
      <formula>AA223="s"</formula>
    </cfRule>
  </conditionalFormatting>
  <conditionalFormatting sqref="Q220">
    <cfRule type="expression" dxfId="726" priority="876">
      <formula>AA220="z"</formula>
    </cfRule>
    <cfRule type="expression" dxfId="725" priority="877">
      <formula>AA220="s"</formula>
    </cfRule>
  </conditionalFormatting>
  <conditionalFormatting sqref="Q227">
    <cfRule type="expression" dxfId="724" priority="874">
      <formula>AA227="z"</formula>
    </cfRule>
    <cfRule type="expression" dxfId="723" priority="875">
      <formula>AA227="s"</formula>
    </cfRule>
  </conditionalFormatting>
  <conditionalFormatting sqref="Q59 Q61">
    <cfRule type="expression" dxfId="722" priority="872">
      <formula>AA59="z"</formula>
    </cfRule>
    <cfRule type="expression" dxfId="721" priority="873">
      <formula>AA59="s"</formula>
    </cfRule>
  </conditionalFormatting>
  <conditionalFormatting sqref="Q226">
    <cfRule type="expression" dxfId="720" priority="870">
      <formula>AA226="z"</formula>
    </cfRule>
    <cfRule type="expression" dxfId="719" priority="871">
      <formula>AA226="s"</formula>
    </cfRule>
  </conditionalFormatting>
  <conditionalFormatting sqref="Q167">
    <cfRule type="expression" dxfId="718" priority="868">
      <formula>AA167="z"</formula>
    </cfRule>
    <cfRule type="expression" dxfId="717" priority="869">
      <formula>AA167="s"</formula>
    </cfRule>
  </conditionalFormatting>
  <conditionalFormatting sqref="N7 N10 N13 N16 N22 N34">
    <cfRule type="expression" dxfId="716" priority="1100">
      <formula>$U7=$D7</formula>
    </cfRule>
  </conditionalFormatting>
  <conditionalFormatting sqref="Q174">
    <cfRule type="expression" dxfId="715" priority="866">
      <formula>AA174="z"</formula>
    </cfRule>
    <cfRule type="expression" dxfId="714" priority="867">
      <formula>AA174="s"</formula>
    </cfRule>
  </conditionalFormatting>
  <conditionalFormatting sqref="Q184">
    <cfRule type="expression" dxfId="713" priority="864">
      <formula>AA184="z"</formula>
    </cfRule>
    <cfRule type="expression" dxfId="712" priority="865">
      <formula>AA184="s"</formula>
    </cfRule>
  </conditionalFormatting>
  <conditionalFormatting sqref="Q182">
    <cfRule type="expression" dxfId="711" priority="856">
      <formula>AA182="z"</formula>
    </cfRule>
    <cfRule type="expression" dxfId="710" priority="857">
      <formula>AA182="s"</formula>
    </cfRule>
  </conditionalFormatting>
  <conditionalFormatting sqref="Q203">
    <cfRule type="expression" dxfId="709" priority="854">
      <formula>AA203="z"</formula>
    </cfRule>
    <cfRule type="expression" dxfId="708" priority="855">
      <formula>AA203="s"</formula>
    </cfRule>
  </conditionalFormatting>
  <conditionalFormatting sqref="Q190">
    <cfRule type="expression" dxfId="707" priority="850">
      <formula>AA190="z"</formula>
    </cfRule>
    <cfRule type="expression" dxfId="706" priority="851">
      <formula>AA190="s"</formula>
    </cfRule>
  </conditionalFormatting>
  <conditionalFormatting sqref="Q209">
    <cfRule type="expression" dxfId="705" priority="848">
      <formula>AA209="z"</formula>
    </cfRule>
    <cfRule type="expression" dxfId="704" priority="849">
      <formula>AA209="s"</formula>
    </cfRule>
  </conditionalFormatting>
  <conditionalFormatting sqref="Q206">
    <cfRule type="expression" dxfId="703" priority="846">
      <formula>AA206="z"</formula>
    </cfRule>
    <cfRule type="expression" dxfId="702" priority="847">
      <formula>AA206="s"</formula>
    </cfRule>
  </conditionalFormatting>
  <conditionalFormatting sqref="Q175">
    <cfRule type="expression" dxfId="701" priority="842">
      <formula>AA175="z"</formula>
    </cfRule>
    <cfRule type="expression" dxfId="700" priority="843">
      <formula>AA175="s"</formula>
    </cfRule>
  </conditionalFormatting>
  <conditionalFormatting sqref="Q176">
    <cfRule type="expression" dxfId="699" priority="840">
      <formula>AA176="z"</formula>
    </cfRule>
    <cfRule type="expression" dxfId="698" priority="841">
      <formula>AA176="s"</formula>
    </cfRule>
  </conditionalFormatting>
  <conditionalFormatting sqref="Q177">
    <cfRule type="expression" dxfId="697" priority="838">
      <formula>AA177="z"</formula>
    </cfRule>
    <cfRule type="expression" dxfId="696" priority="839">
      <formula>AA177="s"</formula>
    </cfRule>
  </conditionalFormatting>
  <conditionalFormatting sqref="Q180">
    <cfRule type="expression" dxfId="695" priority="836">
      <formula>AA180="z"</formula>
    </cfRule>
    <cfRule type="expression" dxfId="694" priority="837">
      <formula>AA180="s"</formula>
    </cfRule>
  </conditionalFormatting>
  <conditionalFormatting sqref="Q207">
    <cfRule type="expression" dxfId="693" priority="832">
      <formula>AA207="z"</formula>
    </cfRule>
    <cfRule type="expression" dxfId="692" priority="833">
      <formula>AA207="s"</formula>
    </cfRule>
  </conditionalFormatting>
  <conditionalFormatting sqref="Q195">
    <cfRule type="expression" dxfId="691" priority="826">
      <formula>AA195="z"</formula>
    </cfRule>
    <cfRule type="expression" dxfId="690" priority="827">
      <formula>AA195="s"</formula>
    </cfRule>
  </conditionalFormatting>
  <conditionalFormatting sqref="Q212">
    <cfRule type="expression" dxfId="689" priority="824">
      <formula>AA212="z"</formula>
    </cfRule>
    <cfRule type="expression" dxfId="688" priority="825">
      <formula>AA212="s"</formula>
    </cfRule>
  </conditionalFormatting>
  <conditionalFormatting sqref="Q194">
    <cfRule type="expression" dxfId="687" priority="822">
      <formula>AA194="z"</formula>
    </cfRule>
    <cfRule type="expression" dxfId="686" priority="823">
      <formula>AA194="s"</formula>
    </cfRule>
  </conditionalFormatting>
  <conditionalFormatting sqref="Q200">
    <cfRule type="expression" dxfId="685" priority="816">
      <formula>AA200="z"</formula>
    </cfRule>
    <cfRule type="expression" dxfId="684" priority="817">
      <formula>AA200="s"</formula>
    </cfRule>
  </conditionalFormatting>
  <conditionalFormatting sqref="Q199">
    <cfRule type="expression" dxfId="683" priority="814">
      <formula>AA199="z"</formula>
    </cfRule>
    <cfRule type="expression" dxfId="682" priority="815">
      <formula>AA199="s"</formula>
    </cfRule>
  </conditionalFormatting>
  <conditionalFormatting sqref="Q210">
    <cfRule type="expression" dxfId="681" priority="812">
      <formula>AA210="z"</formula>
    </cfRule>
    <cfRule type="expression" dxfId="680" priority="813">
      <formula>AA210="s"</formula>
    </cfRule>
  </conditionalFormatting>
  <conditionalFormatting sqref="Q238">
    <cfRule type="expression" dxfId="679" priority="810">
      <formula>AA238="z"</formula>
    </cfRule>
    <cfRule type="expression" dxfId="678" priority="811">
      <formula>AA238="s"</formula>
    </cfRule>
  </conditionalFormatting>
  <conditionalFormatting sqref="Q239">
    <cfRule type="expression" dxfId="677" priority="808">
      <formula>AA239="z"</formula>
    </cfRule>
    <cfRule type="expression" dxfId="676" priority="809">
      <formula>AA239="s"</formula>
    </cfRule>
  </conditionalFormatting>
  <conditionalFormatting sqref="Q246">
    <cfRule type="expression" dxfId="675" priority="806">
      <formula>AA246="z"</formula>
    </cfRule>
    <cfRule type="expression" dxfId="674" priority="807">
      <formula>AA246="s"</formula>
    </cfRule>
  </conditionalFormatting>
  <conditionalFormatting sqref="Q267">
    <cfRule type="expression" dxfId="673" priority="802">
      <formula>AA267="z"</formula>
    </cfRule>
    <cfRule type="expression" dxfId="672" priority="803">
      <formula>AA267="s"</formula>
    </cfRule>
  </conditionalFormatting>
  <conditionalFormatting sqref="Q273">
    <cfRule type="expression" dxfId="671" priority="800">
      <formula>AA273="z"</formula>
    </cfRule>
    <cfRule type="expression" dxfId="670" priority="801">
      <formula>AA273="s"</formula>
    </cfRule>
  </conditionalFormatting>
  <conditionalFormatting sqref="Q304">
    <cfRule type="expression" dxfId="669" priority="798">
      <formula>AA304="z"</formula>
    </cfRule>
    <cfRule type="expression" dxfId="668" priority="799">
      <formula>AA304="s"</formula>
    </cfRule>
  </conditionalFormatting>
  <conditionalFormatting sqref="Q357:Q358">
    <cfRule type="expression" dxfId="667" priority="796">
      <formula>AA357="z"</formula>
    </cfRule>
    <cfRule type="expression" dxfId="666" priority="797">
      <formula>AA357="s"</formula>
    </cfRule>
  </conditionalFormatting>
  <conditionalFormatting sqref="Q361:Q362">
    <cfRule type="expression" dxfId="665" priority="794">
      <formula>AA361="z"</formula>
    </cfRule>
    <cfRule type="expression" dxfId="664" priority="795">
      <formula>AA361="s"</formula>
    </cfRule>
  </conditionalFormatting>
  <conditionalFormatting sqref="Q297">
    <cfRule type="expression" dxfId="663" priority="792">
      <formula>AA297="z"</formula>
    </cfRule>
    <cfRule type="expression" dxfId="662" priority="793">
      <formula>AA297="s"</formula>
    </cfRule>
  </conditionalFormatting>
  <conditionalFormatting sqref="Q331">
    <cfRule type="expression" dxfId="661" priority="790">
      <formula>AA331="z"</formula>
    </cfRule>
    <cfRule type="expression" dxfId="660" priority="791">
      <formula>AA331="s"</formula>
    </cfRule>
  </conditionalFormatting>
  <conditionalFormatting sqref="Q351:Q352">
    <cfRule type="expression" dxfId="659" priority="786">
      <formula>AA351="z"</formula>
    </cfRule>
    <cfRule type="expression" dxfId="658" priority="787">
      <formula>AA351="s"</formula>
    </cfRule>
  </conditionalFormatting>
  <conditionalFormatting sqref="Q250">
    <cfRule type="expression" dxfId="657" priority="782">
      <formula>AA250="z"</formula>
    </cfRule>
    <cfRule type="expression" dxfId="656" priority="783">
      <formula>AA250="s"</formula>
    </cfRule>
  </conditionalFormatting>
  <conditionalFormatting sqref="Q249">
    <cfRule type="expression" dxfId="655" priority="780">
      <formula>AA249="z"</formula>
    </cfRule>
    <cfRule type="expression" dxfId="654" priority="781">
      <formula>AA249="s"</formula>
    </cfRule>
  </conditionalFormatting>
  <conditionalFormatting sqref="Q104 Q107">
    <cfRule type="expression" dxfId="653" priority="778">
      <formula>AA104="z"</formula>
    </cfRule>
    <cfRule type="expression" dxfId="652" priority="779">
      <formula>AA104="s"</formula>
    </cfRule>
  </conditionalFormatting>
  <conditionalFormatting sqref="Q247">
    <cfRule type="expression" dxfId="651" priority="776">
      <formula>AA247="z"</formula>
    </cfRule>
    <cfRule type="expression" dxfId="650" priority="777">
      <formula>AA247="s"</formula>
    </cfRule>
  </conditionalFormatting>
  <conditionalFormatting sqref="Q248">
    <cfRule type="expression" dxfId="649" priority="774">
      <formula>AA248="z"</formula>
    </cfRule>
    <cfRule type="expression" dxfId="648" priority="775">
      <formula>AA248="s"</formula>
    </cfRule>
  </conditionalFormatting>
  <conditionalFormatting sqref="Q268">
    <cfRule type="expression" dxfId="647" priority="772">
      <formula>AA268="z"</formula>
    </cfRule>
    <cfRule type="expression" dxfId="646" priority="773">
      <formula>AA268="s"</formula>
    </cfRule>
  </conditionalFormatting>
  <conditionalFormatting sqref="Q275">
    <cfRule type="expression" dxfId="645" priority="768">
      <formula>AA275="z"</formula>
    </cfRule>
    <cfRule type="expression" dxfId="644" priority="769">
      <formula>AA275="s"</formula>
    </cfRule>
  </conditionalFormatting>
  <conditionalFormatting sqref="Q24">
    <cfRule type="expression" dxfId="643" priority="752">
      <formula>AA24="z"</formula>
    </cfRule>
    <cfRule type="expression" dxfId="642" priority="753">
      <formula>AA24="s"</formula>
    </cfRule>
  </conditionalFormatting>
  <conditionalFormatting sqref="Q255">
    <cfRule type="expression" dxfId="641" priority="766">
      <formula>AA255="z"</formula>
    </cfRule>
    <cfRule type="expression" dxfId="640" priority="767">
      <formula>AA255="s"</formula>
    </cfRule>
  </conditionalFormatting>
  <conditionalFormatting sqref="Q308">
    <cfRule type="expression" dxfId="639" priority="762">
      <formula>AA308="z"</formula>
    </cfRule>
    <cfRule type="expression" dxfId="638" priority="763">
      <formula>AA308="s"</formula>
    </cfRule>
  </conditionalFormatting>
  <conditionalFormatting sqref="Q339">
    <cfRule type="expression" dxfId="637" priority="760">
      <formula>AA339="z"</formula>
    </cfRule>
    <cfRule type="expression" dxfId="636" priority="761">
      <formula>AA339="s"</formula>
    </cfRule>
  </conditionalFormatting>
  <conditionalFormatting sqref="Q340">
    <cfRule type="expression" dxfId="635" priority="758">
      <formula>AA340="z"</formula>
    </cfRule>
    <cfRule type="expression" dxfId="634" priority="759">
      <formula>AA340="s"</formula>
    </cfRule>
  </conditionalFormatting>
  <conditionalFormatting sqref="Q20">
    <cfRule type="expression" dxfId="633" priority="750">
      <formula>AA20="z"</formula>
    </cfRule>
    <cfRule type="expression" dxfId="632" priority="751">
      <formula>AA20="s"</formula>
    </cfRule>
  </conditionalFormatting>
  <conditionalFormatting sqref="Q689">
    <cfRule type="expression" dxfId="631" priority="746">
      <formula>AA689="z"</formula>
    </cfRule>
    <cfRule type="expression" dxfId="630" priority="747">
      <formula>AA689="s"</formula>
    </cfRule>
  </conditionalFormatting>
  <conditionalFormatting sqref="Q682">
    <cfRule type="expression" dxfId="629" priority="744">
      <formula>AA682="z"</formula>
    </cfRule>
    <cfRule type="expression" dxfId="628" priority="745">
      <formula>AA682="s"</formula>
    </cfRule>
  </conditionalFormatting>
  <conditionalFormatting sqref="Q834">
    <cfRule type="expression" dxfId="627" priority="740">
      <formula>AA834="z"</formula>
    </cfRule>
    <cfRule type="expression" dxfId="626" priority="741">
      <formula>AA834="s"</formula>
    </cfRule>
  </conditionalFormatting>
  <conditionalFormatting sqref="Q844">
    <cfRule type="expression" dxfId="625" priority="738">
      <formula>AA844="z"</formula>
    </cfRule>
    <cfRule type="expression" dxfId="624" priority="739">
      <formula>AA844="s"</formula>
    </cfRule>
  </conditionalFormatting>
  <conditionalFormatting sqref="Q829">
    <cfRule type="expression" dxfId="623" priority="736">
      <formula>AA829="z"</formula>
    </cfRule>
    <cfRule type="expression" dxfId="622" priority="737">
      <formula>AA829="s"</formula>
    </cfRule>
  </conditionalFormatting>
  <conditionalFormatting sqref="Q858">
    <cfRule type="expression" dxfId="621" priority="728">
      <formula>AA858="z"</formula>
    </cfRule>
    <cfRule type="expression" dxfId="620" priority="729">
      <formula>AA858="s"</formula>
    </cfRule>
  </conditionalFormatting>
  <conditionalFormatting sqref="Q868">
    <cfRule type="expression" dxfId="619" priority="724">
      <formula>AA868="z"</formula>
    </cfRule>
    <cfRule type="expression" dxfId="618" priority="725">
      <formula>AA868="s"</formula>
    </cfRule>
  </conditionalFormatting>
  <conditionalFormatting sqref="Q863">
    <cfRule type="expression" dxfId="617" priority="722">
      <formula>AA863="z"</formula>
    </cfRule>
    <cfRule type="expression" dxfId="616" priority="723">
      <formula>AA863="s"</formula>
    </cfRule>
  </conditionalFormatting>
  <conditionalFormatting sqref="Q853">
    <cfRule type="expression" dxfId="615" priority="720">
      <formula>AA853="z"</formula>
    </cfRule>
    <cfRule type="expression" dxfId="614" priority="721">
      <formula>AA853="s"</formula>
    </cfRule>
  </conditionalFormatting>
  <conditionalFormatting sqref="Q826">
    <cfRule type="expression" dxfId="613" priority="714">
      <formula>AA826="z"</formula>
    </cfRule>
    <cfRule type="expression" dxfId="612" priority="715">
      <formula>AA826="s"</formula>
    </cfRule>
  </conditionalFormatting>
  <conditionalFormatting sqref="Q824">
    <cfRule type="expression" dxfId="611" priority="712">
      <formula>AA824="z"</formula>
    </cfRule>
    <cfRule type="expression" dxfId="610" priority="713">
      <formula>AA824="s"</formula>
    </cfRule>
  </conditionalFormatting>
  <conditionalFormatting sqref="Q715 Q725">
    <cfRule type="expression" dxfId="609" priority="710">
      <formula>AA715="z"</formula>
    </cfRule>
    <cfRule type="expression" dxfId="608" priority="711">
      <formula>AA715="s"</formula>
    </cfRule>
  </conditionalFormatting>
  <conditionalFormatting sqref="Q713">
    <cfRule type="expression" dxfId="607" priority="708">
      <formula>AA713="z"</formula>
    </cfRule>
    <cfRule type="expression" dxfId="606" priority="709">
      <formula>AA713="s"</formula>
    </cfRule>
  </conditionalFormatting>
  <conditionalFormatting sqref="Q723">
    <cfRule type="expression" dxfId="605" priority="706">
      <formula>AA723="z"</formula>
    </cfRule>
    <cfRule type="expression" dxfId="604" priority="707">
      <formula>AA723="s"</formula>
    </cfRule>
  </conditionalFormatting>
  <conditionalFormatting sqref="Q726">
    <cfRule type="expression" dxfId="603" priority="702">
      <formula>AA726="z"</formula>
    </cfRule>
    <cfRule type="expression" dxfId="602" priority="703">
      <formula>AA726="s"</formula>
    </cfRule>
  </conditionalFormatting>
  <conditionalFormatting sqref="Q708">
    <cfRule type="expression" dxfId="601" priority="700">
      <formula>AA708="z"</formula>
    </cfRule>
    <cfRule type="expression" dxfId="600" priority="701">
      <formula>AA708="s"</formula>
    </cfRule>
  </conditionalFormatting>
  <conditionalFormatting sqref="Q706">
    <cfRule type="expression" dxfId="599" priority="698">
      <formula>AA706="z"</formula>
    </cfRule>
    <cfRule type="expression" dxfId="598" priority="699">
      <formula>AA706="s"</formula>
    </cfRule>
  </conditionalFormatting>
  <conditionalFormatting sqref="Q703">
    <cfRule type="expression" dxfId="597" priority="696">
      <formula>AA703="z"</formula>
    </cfRule>
    <cfRule type="expression" dxfId="596" priority="697">
      <formula>AA703="s"</formula>
    </cfRule>
  </conditionalFormatting>
  <conditionalFormatting sqref="Q701">
    <cfRule type="expression" dxfId="595" priority="694">
      <formula>AA701="z"</formula>
    </cfRule>
    <cfRule type="expression" dxfId="594" priority="695">
      <formula>AA701="s"</formula>
    </cfRule>
  </conditionalFormatting>
  <conditionalFormatting sqref="Q731 Q741">
    <cfRule type="expression" dxfId="593" priority="690">
      <formula>AA731="z"</formula>
    </cfRule>
    <cfRule type="expression" dxfId="592" priority="691">
      <formula>AA731="s"</formula>
    </cfRule>
  </conditionalFormatting>
  <conditionalFormatting sqref="Q729">
    <cfRule type="expression" dxfId="591" priority="688">
      <formula>AA729="z"</formula>
    </cfRule>
    <cfRule type="expression" dxfId="590" priority="689">
      <formula>AA729="s"</formula>
    </cfRule>
  </conditionalFormatting>
  <conditionalFormatting sqref="Q739">
    <cfRule type="expression" dxfId="589" priority="686">
      <formula>AA739="z"</formula>
    </cfRule>
    <cfRule type="expression" dxfId="588" priority="687">
      <formula>AA739="s"</formula>
    </cfRule>
  </conditionalFormatting>
  <conditionalFormatting sqref="Q742">
    <cfRule type="expression" dxfId="587" priority="682">
      <formula>AA742="z"</formula>
    </cfRule>
    <cfRule type="expression" dxfId="586" priority="683">
      <formula>AA742="s"</formula>
    </cfRule>
  </conditionalFormatting>
  <conditionalFormatting sqref="Q274">
    <cfRule type="expression" dxfId="585" priority="680">
      <formula>AA274="z"</formula>
    </cfRule>
    <cfRule type="expression" dxfId="584" priority="681">
      <formula>AA274="s"</formula>
    </cfRule>
  </conditionalFormatting>
  <conditionalFormatting sqref="Q495 Q497">
    <cfRule type="expression" dxfId="583" priority="678">
      <formula>AA495="z"</formula>
    </cfRule>
    <cfRule type="expression" dxfId="582" priority="679">
      <formula>AA495="s"</formula>
    </cfRule>
  </conditionalFormatting>
  <conditionalFormatting sqref="Q677">
    <cfRule type="expression" dxfId="581" priority="664">
      <formula>AA677="z"</formula>
    </cfRule>
    <cfRule type="expression" dxfId="580" priority="665">
      <formula>AA677="s"</formula>
    </cfRule>
  </conditionalFormatting>
  <conditionalFormatting sqref="Q694">
    <cfRule type="expression" dxfId="579" priority="660">
      <formula>AA694="z"</formula>
    </cfRule>
    <cfRule type="expression" dxfId="578" priority="661">
      <formula>AA694="s"</formula>
    </cfRule>
  </conditionalFormatting>
  <conditionalFormatting sqref="Q679">
    <cfRule type="expression" dxfId="577" priority="666">
      <formula>AA679="z"</formula>
    </cfRule>
    <cfRule type="expression" dxfId="576" priority="667">
      <formula>AA679="s"</formula>
    </cfRule>
  </conditionalFormatting>
  <conditionalFormatting sqref="Q696">
    <cfRule type="expression" dxfId="575" priority="662">
      <formula>AA696="z"</formula>
    </cfRule>
    <cfRule type="expression" dxfId="574" priority="663">
      <formula>AA696="s"</formula>
    </cfRule>
  </conditionalFormatting>
  <conditionalFormatting sqref="Q710">
    <cfRule type="expression" dxfId="573" priority="658">
      <formula>AA710="z"</formula>
    </cfRule>
    <cfRule type="expression" dxfId="572" priority="659">
      <formula>AA710="s"</formula>
    </cfRule>
  </conditionalFormatting>
  <conditionalFormatting sqref="Q709">
    <cfRule type="expression" dxfId="571" priority="656">
      <formula>AA709="z"</formula>
    </cfRule>
    <cfRule type="expression" dxfId="570" priority="657">
      <formula>AA709="s"</formula>
    </cfRule>
  </conditionalFormatting>
  <conditionalFormatting sqref="Q385 Q388">
    <cfRule type="expression" dxfId="569" priority="652">
      <formula>AA385="z"</formula>
    </cfRule>
    <cfRule type="expression" dxfId="568" priority="653">
      <formula>AA385="s"</formula>
    </cfRule>
  </conditionalFormatting>
  <conditionalFormatting sqref="Q395">
    <cfRule type="expression" dxfId="567" priority="650">
      <formula>AA395="z"</formula>
    </cfRule>
    <cfRule type="expression" dxfId="566" priority="651">
      <formula>AA395="s"</formula>
    </cfRule>
  </conditionalFormatting>
  <conditionalFormatting sqref="Q398 Q400">
    <cfRule type="expression" dxfId="565" priority="648">
      <formula>AA398="z"</formula>
    </cfRule>
    <cfRule type="expression" dxfId="564" priority="649">
      <formula>AA398="s"</formula>
    </cfRule>
  </conditionalFormatting>
  <conditionalFormatting sqref="Q375">
    <cfRule type="expression" dxfId="563" priority="646">
      <formula>AA375="z"</formula>
    </cfRule>
    <cfRule type="expression" dxfId="562" priority="647">
      <formula>AA375="s"</formula>
    </cfRule>
  </conditionalFormatting>
  <conditionalFormatting sqref="Q376">
    <cfRule type="expression" dxfId="561" priority="644">
      <formula>AA376="z"</formula>
    </cfRule>
    <cfRule type="expression" dxfId="560" priority="645">
      <formula>AA376="s"</formula>
    </cfRule>
  </conditionalFormatting>
  <conditionalFormatting sqref="Q377">
    <cfRule type="expression" dxfId="559" priority="642">
      <formula>AA377="z"</formula>
    </cfRule>
    <cfRule type="expression" dxfId="558" priority="643">
      <formula>AA377="s"</formula>
    </cfRule>
  </conditionalFormatting>
  <conditionalFormatting sqref="Q378">
    <cfRule type="expression" dxfId="557" priority="640">
      <formula>AA378="z"</formula>
    </cfRule>
    <cfRule type="expression" dxfId="556" priority="641">
      <formula>AA378="s"</formula>
    </cfRule>
  </conditionalFormatting>
  <conditionalFormatting sqref="Q386">
    <cfRule type="expression" dxfId="555" priority="636">
      <formula>AA386="z"</formula>
    </cfRule>
    <cfRule type="expression" dxfId="554" priority="637">
      <formula>AA386="s"</formula>
    </cfRule>
  </conditionalFormatting>
  <conditionalFormatting sqref="Q393">
    <cfRule type="expression" dxfId="553" priority="632">
      <formula>AA393="z"</formula>
    </cfRule>
    <cfRule type="expression" dxfId="552" priority="633">
      <formula>AA393="s"</formula>
    </cfRule>
  </conditionalFormatting>
  <conditionalFormatting sqref="Q392">
    <cfRule type="expression" dxfId="551" priority="634">
      <formula>AA392="z"</formula>
    </cfRule>
    <cfRule type="expression" dxfId="550" priority="635">
      <formula>AA392="s"</formula>
    </cfRule>
  </conditionalFormatting>
  <conditionalFormatting sqref="Q421">
    <cfRule type="expression" dxfId="549" priority="630">
      <formula>AA421="z"</formula>
    </cfRule>
    <cfRule type="expression" dxfId="548" priority="631">
      <formula>AA421="s"</formula>
    </cfRule>
  </conditionalFormatting>
  <conditionalFormatting sqref="Q415">
    <cfRule type="expression" dxfId="547" priority="628">
      <formula>AA415="z"</formula>
    </cfRule>
    <cfRule type="expression" dxfId="546" priority="629">
      <formula>AA415="s"</formula>
    </cfRule>
  </conditionalFormatting>
  <conditionalFormatting sqref="Q414">
    <cfRule type="expression" dxfId="545" priority="626">
      <formula>AA414="z"</formula>
    </cfRule>
    <cfRule type="expression" dxfId="544" priority="627">
      <formula>AA414="s"</formula>
    </cfRule>
  </conditionalFormatting>
  <conditionalFormatting sqref="Q426">
    <cfRule type="expression" dxfId="543" priority="624">
      <formula>AA426="z"</formula>
    </cfRule>
    <cfRule type="expression" dxfId="542" priority="625">
      <formula>AA426="s"</formula>
    </cfRule>
  </conditionalFormatting>
  <conditionalFormatting sqref="Q382">
    <cfRule type="expression" dxfId="541" priority="622">
      <formula>AA382="z"</formula>
    </cfRule>
    <cfRule type="expression" dxfId="540" priority="623">
      <formula>AA382="s"</formula>
    </cfRule>
  </conditionalFormatting>
  <conditionalFormatting sqref="Q381">
    <cfRule type="expression" dxfId="539" priority="620">
      <formula>AA381="z"</formula>
    </cfRule>
    <cfRule type="expression" dxfId="538" priority="621">
      <formula>AA381="s"</formula>
    </cfRule>
  </conditionalFormatting>
  <conditionalFormatting sqref="Q459 Q468">
    <cfRule type="expression" dxfId="537" priority="618">
      <formula>AA459="z"</formula>
    </cfRule>
    <cfRule type="expression" dxfId="536" priority="619">
      <formula>AA459="s"</formula>
    </cfRule>
  </conditionalFormatting>
  <conditionalFormatting sqref="Q452">
    <cfRule type="expression" dxfId="535" priority="616">
      <formula>AA452="z"</formula>
    </cfRule>
    <cfRule type="expression" dxfId="534" priority="617">
      <formula>AA452="s"</formula>
    </cfRule>
  </conditionalFormatting>
  <conditionalFormatting sqref="Q462">
    <cfRule type="expression" dxfId="533" priority="614">
      <formula>AA462="z"</formula>
    </cfRule>
    <cfRule type="expression" dxfId="532" priority="615">
      <formula>AA462="s"</formula>
    </cfRule>
  </conditionalFormatting>
  <conditionalFormatting sqref="Q463">
    <cfRule type="expression" dxfId="531" priority="612">
      <formula>AA463="z"</formula>
    </cfRule>
    <cfRule type="expression" dxfId="530" priority="613">
      <formula>AA463="s"</formula>
    </cfRule>
  </conditionalFormatting>
  <conditionalFormatting sqref="Q464">
    <cfRule type="expression" dxfId="529" priority="610">
      <formula>AA464="z"</formula>
    </cfRule>
    <cfRule type="expression" dxfId="528" priority="611">
      <formula>AA464="s"</formula>
    </cfRule>
  </conditionalFormatting>
  <conditionalFormatting sqref="Q465">
    <cfRule type="expression" dxfId="527" priority="608">
      <formula>AA465="z"</formula>
    </cfRule>
    <cfRule type="expression" dxfId="526" priority="609">
      <formula>AA465="s"</formula>
    </cfRule>
  </conditionalFormatting>
  <conditionalFormatting sqref="Q460">
    <cfRule type="expression" dxfId="525" priority="606">
      <formula>AA460="z"</formula>
    </cfRule>
    <cfRule type="expression" dxfId="524" priority="607">
      <formula>AA460="s"</formula>
    </cfRule>
  </conditionalFormatting>
  <conditionalFormatting sqref="Q466">
    <cfRule type="expression" dxfId="523" priority="604">
      <formula>AA466="z"</formula>
    </cfRule>
    <cfRule type="expression" dxfId="522" priority="605">
      <formula>AA466="s"</formula>
    </cfRule>
  </conditionalFormatting>
  <conditionalFormatting sqref="Q461">
    <cfRule type="expression" dxfId="521" priority="602">
      <formula>AA461="z"</formula>
    </cfRule>
    <cfRule type="expression" dxfId="520" priority="603">
      <formula>AA461="s"</formula>
    </cfRule>
  </conditionalFormatting>
  <conditionalFormatting sqref="Q456">
    <cfRule type="expression" dxfId="519" priority="600">
      <formula>AA456="z"</formula>
    </cfRule>
    <cfRule type="expression" dxfId="518" priority="601">
      <formula>AA456="s"</formula>
    </cfRule>
  </conditionalFormatting>
  <conditionalFormatting sqref="Q455">
    <cfRule type="expression" dxfId="517" priority="598">
      <formula>AA455="z"</formula>
    </cfRule>
    <cfRule type="expression" dxfId="516" priority="599">
      <formula>AA455="s"</formula>
    </cfRule>
  </conditionalFormatting>
  <conditionalFormatting sqref="Q389">
    <cfRule type="expression" dxfId="515" priority="594">
      <formula>AA389="z"</formula>
    </cfRule>
    <cfRule type="expression" dxfId="514" priority="595">
      <formula>AA389="s"</formula>
    </cfRule>
  </conditionalFormatting>
  <conditionalFormatting sqref="Q429">
    <cfRule type="expression" dxfId="513" priority="592">
      <formula>AA429="z"</formula>
    </cfRule>
    <cfRule type="expression" dxfId="512" priority="593">
      <formula>AA429="s"</formula>
    </cfRule>
  </conditionalFormatting>
  <conditionalFormatting sqref="Q46">
    <cfRule type="expression" dxfId="511" priority="590">
      <formula>AA46="z"</formula>
    </cfRule>
    <cfRule type="expression" dxfId="510" priority="591">
      <formula>AA46="s"</formula>
    </cfRule>
  </conditionalFormatting>
  <conditionalFormatting sqref="Q62">
    <cfRule type="expression" dxfId="509" priority="588">
      <formula>AA62="z"</formula>
    </cfRule>
    <cfRule type="expression" dxfId="508" priority="589">
      <formula>AA62="s"</formula>
    </cfRule>
  </conditionalFormatting>
  <conditionalFormatting sqref="Q47">
    <cfRule type="expression" dxfId="507" priority="584">
      <formula>AA47="z"</formula>
    </cfRule>
    <cfRule type="expression" dxfId="506" priority="585">
      <formula>AA47="s"</formula>
    </cfRule>
  </conditionalFormatting>
  <conditionalFormatting sqref="Q50">
    <cfRule type="expression" dxfId="505" priority="578">
      <formula>AA50="z"</formula>
    </cfRule>
    <cfRule type="expression" dxfId="504" priority="579">
      <formula>AA50="s"</formula>
    </cfRule>
  </conditionalFormatting>
  <conditionalFormatting sqref="Q41">
    <cfRule type="expression" dxfId="503" priority="576">
      <formula>AA41="z"</formula>
    </cfRule>
    <cfRule type="expression" dxfId="502" priority="577">
      <formula>AA41="s"</formula>
    </cfRule>
  </conditionalFormatting>
  <conditionalFormatting sqref="Q500 Q505">
    <cfRule type="expression" dxfId="501" priority="574">
      <formula>AA500="z"</formula>
    </cfRule>
    <cfRule type="expression" dxfId="500" priority="575">
      <formula>AA500="s"</formula>
    </cfRule>
  </conditionalFormatting>
  <conditionalFormatting sqref="Q501">
    <cfRule type="expression" dxfId="499" priority="572">
      <formula>AA501="z"</formula>
    </cfRule>
    <cfRule type="expression" dxfId="498" priority="573">
      <formula>AA501="s"</formula>
    </cfRule>
  </conditionalFormatting>
  <conditionalFormatting sqref="Q507">
    <cfRule type="expression" dxfId="497" priority="570">
      <formula>AA507="z"</formula>
    </cfRule>
    <cfRule type="expression" dxfId="496" priority="571">
      <formula>AA507="s"</formula>
    </cfRule>
  </conditionalFormatting>
  <conditionalFormatting sqref="Q506">
    <cfRule type="expression" dxfId="495" priority="568">
      <formula>AA506="z"</formula>
    </cfRule>
    <cfRule type="expression" dxfId="494" priority="569">
      <formula>AA506="s"</formula>
    </cfRule>
  </conditionalFormatting>
  <conditionalFormatting sqref="Q503">
    <cfRule type="expression" dxfId="493" priority="566">
      <formula>AA503="z"</formula>
    </cfRule>
    <cfRule type="expression" dxfId="492" priority="567">
      <formula>AA503="s"</formula>
    </cfRule>
  </conditionalFormatting>
  <conditionalFormatting sqref="Q502">
    <cfRule type="expression" dxfId="491" priority="564">
      <formula>AA502="z"</formula>
    </cfRule>
    <cfRule type="expression" dxfId="490" priority="565">
      <formula>AA502="s"</formula>
    </cfRule>
  </conditionalFormatting>
  <conditionalFormatting sqref="Q510 Q515">
    <cfRule type="expression" dxfId="489" priority="562">
      <formula>AA510="z"</formula>
    </cfRule>
    <cfRule type="expression" dxfId="488" priority="563">
      <formula>AA510="s"</formula>
    </cfRule>
  </conditionalFormatting>
  <conditionalFormatting sqref="Q512">
    <cfRule type="expression" dxfId="487" priority="560">
      <formula>AA512="z"</formula>
    </cfRule>
    <cfRule type="expression" dxfId="486" priority="561">
      <formula>AA512="s"</formula>
    </cfRule>
  </conditionalFormatting>
  <conditionalFormatting sqref="Q511">
    <cfRule type="expression" dxfId="485" priority="552">
      <formula>AA511="z"</formula>
    </cfRule>
    <cfRule type="expression" dxfId="484" priority="553">
      <formula>AA511="s"</formula>
    </cfRule>
  </conditionalFormatting>
  <conditionalFormatting sqref="Q513">
    <cfRule type="expression" dxfId="483" priority="550">
      <formula>AA513="z"</formula>
    </cfRule>
    <cfRule type="expression" dxfId="482" priority="551">
      <formula>AA513="s"</formula>
    </cfRule>
  </conditionalFormatting>
  <conditionalFormatting sqref="Q534 Q536">
    <cfRule type="expression" dxfId="481" priority="546">
      <formula>AA534="z"</formula>
    </cfRule>
    <cfRule type="expression" dxfId="480" priority="547">
      <formula>AA534="s"</formula>
    </cfRule>
  </conditionalFormatting>
  <conditionalFormatting sqref="Q542 Q544">
    <cfRule type="expression" dxfId="479" priority="542">
      <formula>AA542="z"</formula>
    </cfRule>
    <cfRule type="expression" dxfId="478" priority="543">
      <formula>AA542="s"</formula>
    </cfRule>
  </conditionalFormatting>
  <conditionalFormatting sqref="Q547 Q549">
    <cfRule type="expression" dxfId="477" priority="540">
      <formula>AA547="z"</formula>
    </cfRule>
    <cfRule type="expression" dxfId="476" priority="541">
      <formula>AA547="s"</formula>
    </cfRule>
  </conditionalFormatting>
  <conditionalFormatting sqref="Q533">
    <cfRule type="expression" dxfId="475" priority="538">
      <formula>AA533="z"</formula>
    </cfRule>
    <cfRule type="expression" dxfId="474" priority="539">
      <formula>AA533="s"</formula>
    </cfRule>
  </conditionalFormatting>
  <conditionalFormatting sqref="Q541">
    <cfRule type="expression" dxfId="473" priority="536">
      <formula>AA541="z"</formula>
    </cfRule>
    <cfRule type="expression" dxfId="472" priority="537">
      <formula>AA541="s"</formula>
    </cfRule>
  </conditionalFormatting>
  <conditionalFormatting sqref="Q569">
    <cfRule type="expression" dxfId="471" priority="534">
      <formula>AA569="z"</formula>
    </cfRule>
    <cfRule type="expression" dxfId="470" priority="535">
      <formula>AA569="s"</formula>
    </cfRule>
  </conditionalFormatting>
  <conditionalFormatting sqref="Q574">
    <cfRule type="expression" dxfId="469" priority="532">
      <formula>AA574="z"</formula>
    </cfRule>
    <cfRule type="expression" dxfId="468" priority="533">
      <formula>AA574="s"</formula>
    </cfRule>
  </conditionalFormatting>
  <conditionalFormatting sqref="Q570">
    <cfRule type="expression" dxfId="467" priority="530">
      <formula>AA570="z"</formula>
    </cfRule>
    <cfRule type="expression" dxfId="466" priority="531">
      <formula>AA570="s"</formula>
    </cfRule>
  </conditionalFormatting>
  <conditionalFormatting sqref="Q571">
    <cfRule type="expression" dxfId="465" priority="528">
      <formula>AA571="z"</formula>
    </cfRule>
    <cfRule type="expression" dxfId="464" priority="529">
      <formula>AA571="s"</formula>
    </cfRule>
  </conditionalFormatting>
  <conditionalFormatting sqref="Q575">
    <cfRule type="expression" dxfId="463" priority="526">
      <formula>AA575="z"</formula>
    </cfRule>
    <cfRule type="expression" dxfId="462" priority="527">
      <formula>AA575="s"</formula>
    </cfRule>
  </conditionalFormatting>
  <conditionalFormatting sqref="Q585 Q587">
    <cfRule type="expression" dxfId="461" priority="524">
      <formula>AA585="z"</formula>
    </cfRule>
    <cfRule type="expression" dxfId="460" priority="525">
      <formula>AA585="s"</formula>
    </cfRule>
  </conditionalFormatting>
  <conditionalFormatting sqref="Q590 Q592">
    <cfRule type="expression" dxfId="459" priority="522">
      <formula>AA590="z"</formula>
    </cfRule>
    <cfRule type="expression" dxfId="458" priority="523">
      <formula>AA590="s"</formula>
    </cfRule>
  </conditionalFormatting>
  <conditionalFormatting sqref="Q596 Q598">
    <cfRule type="expression" dxfId="457" priority="520">
      <formula>AA596="z"</formula>
    </cfRule>
    <cfRule type="expression" dxfId="456" priority="521">
      <formula>AA596="s"</formula>
    </cfRule>
  </conditionalFormatting>
  <conditionalFormatting sqref="Q601 Q603">
    <cfRule type="expression" dxfId="455" priority="518">
      <formula>AA601="z"</formula>
    </cfRule>
    <cfRule type="expression" dxfId="454" priority="519">
      <formula>AA601="s"</formula>
    </cfRule>
  </conditionalFormatting>
  <conditionalFormatting sqref="Q606 Q608">
    <cfRule type="expression" dxfId="453" priority="516">
      <formula>AA606="z"</formula>
    </cfRule>
    <cfRule type="expression" dxfId="452" priority="517">
      <formula>AA606="s"</formula>
    </cfRule>
  </conditionalFormatting>
  <conditionalFormatting sqref="Q612 Q614">
    <cfRule type="expression" dxfId="451" priority="514">
      <formula>AA612="z"</formula>
    </cfRule>
    <cfRule type="expression" dxfId="450" priority="515">
      <formula>AA612="s"</formula>
    </cfRule>
  </conditionalFormatting>
  <conditionalFormatting sqref="Q630">
    <cfRule type="expression" dxfId="449" priority="512">
      <formula>AA630="z"</formula>
    </cfRule>
    <cfRule type="expression" dxfId="448" priority="513">
      <formula>AA630="s"</formula>
    </cfRule>
  </conditionalFormatting>
  <conditionalFormatting sqref="Q635">
    <cfRule type="expression" dxfId="447" priority="510">
      <formula>AA635="z"</formula>
    </cfRule>
    <cfRule type="expression" dxfId="446" priority="511">
      <formula>AA635="s"</formula>
    </cfRule>
  </conditionalFormatting>
  <conditionalFormatting sqref="Q645 Q647">
    <cfRule type="expression" dxfId="445" priority="508">
      <formula>AA645="z"</formula>
    </cfRule>
    <cfRule type="expression" dxfId="444" priority="509">
      <formula>AA645="s"</formula>
    </cfRule>
  </conditionalFormatting>
  <conditionalFormatting sqref="Q650">
    <cfRule type="expression" dxfId="443" priority="506">
      <formula>AA650="z"</formula>
    </cfRule>
    <cfRule type="expression" dxfId="442" priority="507">
      <formula>AA650="s"</formula>
    </cfRule>
  </conditionalFormatting>
  <conditionalFormatting sqref="Q655">
    <cfRule type="expression" dxfId="441" priority="504">
      <formula>AA655="z"</formula>
    </cfRule>
    <cfRule type="expression" dxfId="440" priority="505">
      <formula>AA655="s"</formula>
    </cfRule>
  </conditionalFormatting>
  <conditionalFormatting sqref="Q662 Q664">
    <cfRule type="expression" dxfId="439" priority="502">
      <formula>AA662="z"</formula>
    </cfRule>
    <cfRule type="expression" dxfId="438" priority="503">
      <formula>AA662="s"</formula>
    </cfRule>
  </conditionalFormatting>
  <conditionalFormatting sqref="Q669">
    <cfRule type="expression" dxfId="437" priority="500">
      <formula>AA669="z"</formula>
    </cfRule>
    <cfRule type="expression" dxfId="436" priority="501">
      <formula>AA669="s"</formula>
    </cfRule>
  </conditionalFormatting>
  <conditionalFormatting sqref="Q667">
    <cfRule type="expression" dxfId="435" priority="498">
      <formula>AA667="z"</formula>
    </cfRule>
    <cfRule type="expression" dxfId="434" priority="499">
      <formula>AA667="s"</formula>
    </cfRule>
  </conditionalFormatting>
  <conditionalFormatting sqref="Q670">
    <cfRule type="expression" dxfId="433" priority="496">
      <formula>AA670="z"</formula>
    </cfRule>
    <cfRule type="expression" dxfId="432" priority="497">
      <formula>AA670="s"</formula>
    </cfRule>
  </conditionalFormatting>
  <conditionalFormatting sqref="Q593">
    <cfRule type="expression" dxfId="431" priority="494">
      <formula>AA593="z"</formula>
    </cfRule>
    <cfRule type="expression" dxfId="430" priority="495">
      <formula>AA593="s"</formula>
    </cfRule>
  </conditionalFormatting>
  <conditionalFormatting sqref="Q615">
    <cfRule type="expression" dxfId="429" priority="492">
      <formula>AA615="z"</formula>
    </cfRule>
    <cfRule type="expression" dxfId="428" priority="493">
      <formula>AA615="s"</formula>
    </cfRule>
  </conditionalFormatting>
  <conditionalFormatting sqref="Q749">
    <cfRule type="expression" dxfId="427" priority="490">
      <formula>AA749="z"</formula>
    </cfRule>
    <cfRule type="expression" dxfId="426" priority="491">
      <formula>AA749="s"</formula>
    </cfRule>
  </conditionalFormatting>
  <conditionalFormatting sqref="Q747">
    <cfRule type="expression" dxfId="425" priority="488">
      <formula>AA747="z"</formula>
    </cfRule>
    <cfRule type="expression" dxfId="424" priority="489">
      <formula>AA747="s"</formula>
    </cfRule>
  </conditionalFormatting>
  <conditionalFormatting sqref="Q754">
    <cfRule type="expression" dxfId="423" priority="486">
      <formula>AA754="z"</formula>
    </cfRule>
    <cfRule type="expression" dxfId="422" priority="487">
      <formula>AA754="s"</formula>
    </cfRule>
  </conditionalFormatting>
  <conditionalFormatting sqref="Q752">
    <cfRule type="expression" dxfId="421" priority="484">
      <formula>AA752="z"</formula>
    </cfRule>
    <cfRule type="expression" dxfId="420" priority="485">
      <formula>AA752="s"</formula>
    </cfRule>
  </conditionalFormatting>
  <conditionalFormatting sqref="Q757">
    <cfRule type="expression" dxfId="419" priority="480">
      <formula>AA757="z"</formula>
    </cfRule>
    <cfRule type="expression" dxfId="418" priority="481">
      <formula>AA757="s"</formula>
    </cfRule>
  </conditionalFormatting>
  <conditionalFormatting sqref="Q759">
    <cfRule type="expression" dxfId="417" priority="482">
      <formula>AA759="z"</formula>
    </cfRule>
    <cfRule type="expression" dxfId="416" priority="483">
      <formula>AA759="s"</formula>
    </cfRule>
  </conditionalFormatting>
  <conditionalFormatting sqref="Q768">
    <cfRule type="expression" dxfId="415" priority="476">
      <formula>AA768="z"</formula>
    </cfRule>
    <cfRule type="expression" dxfId="414" priority="477">
      <formula>AA768="s"</formula>
    </cfRule>
  </conditionalFormatting>
  <conditionalFormatting sqref="Q770">
    <cfRule type="expression" dxfId="413" priority="478">
      <formula>AA770="z"</formula>
    </cfRule>
    <cfRule type="expression" dxfId="412" priority="479">
      <formula>AA770="s"</formula>
    </cfRule>
  </conditionalFormatting>
  <conditionalFormatting sqref="Q790">
    <cfRule type="expression" dxfId="411" priority="472">
      <formula>AA790="z"</formula>
    </cfRule>
    <cfRule type="expression" dxfId="410" priority="473">
      <formula>AA790="s"</formula>
    </cfRule>
  </conditionalFormatting>
  <conditionalFormatting sqref="Q792">
    <cfRule type="expression" dxfId="409" priority="474">
      <formula>AA792="z"</formula>
    </cfRule>
    <cfRule type="expression" dxfId="408" priority="475">
      <formula>AA792="s"</formula>
    </cfRule>
  </conditionalFormatting>
  <conditionalFormatting sqref="Q776">
    <cfRule type="expression" dxfId="407" priority="470">
      <formula>AA776="z"</formula>
    </cfRule>
    <cfRule type="expression" dxfId="406" priority="471">
      <formula>AA776="s"</formula>
    </cfRule>
  </conditionalFormatting>
  <conditionalFormatting sqref="Q773">
    <cfRule type="expression" dxfId="405" priority="468">
      <formula>AA773="z"</formula>
    </cfRule>
    <cfRule type="expression" dxfId="404" priority="469">
      <formula>AA773="s"</formula>
    </cfRule>
  </conditionalFormatting>
  <conditionalFormatting sqref="Q782">
    <cfRule type="expression" dxfId="403" priority="466">
      <formula>AA782="z"</formula>
    </cfRule>
    <cfRule type="expression" dxfId="402" priority="467">
      <formula>AA782="s"</formula>
    </cfRule>
  </conditionalFormatting>
  <conditionalFormatting sqref="Q785 Q787">
    <cfRule type="expression" dxfId="401" priority="464">
      <formula>AA785="z"</formula>
    </cfRule>
    <cfRule type="expression" dxfId="400" priority="465">
      <formula>AA785="s"</formula>
    </cfRule>
  </conditionalFormatting>
  <conditionalFormatting sqref="Q797">
    <cfRule type="expression" dxfId="399" priority="462">
      <formula>AA797="z"</formula>
    </cfRule>
    <cfRule type="expression" dxfId="398" priority="463">
      <formula>AA797="s"</formula>
    </cfRule>
  </conditionalFormatting>
  <conditionalFormatting sqref="Q795">
    <cfRule type="expression" dxfId="397" priority="460">
      <formula>AA795="z"</formula>
    </cfRule>
    <cfRule type="expression" dxfId="396" priority="461">
      <formula>AA795="s"</formula>
    </cfRule>
  </conditionalFormatting>
  <conditionalFormatting sqref="Q819">
    <cfRule type="expression" dxfId="395" priority="458">
      <formula>AA819="z"</formula>
    </cfRule>
    <cfRule type="expression" dxfId="394" priority="459">
      <formula>AA819="s"</formula>
    </cfRule>
  </conditionalFormatting>
  <conditionalFormatting sqref="Q817">
    <cfRule type="expression" dxfId="393" priority="456">
      <formula>AA817="z"</formula>
    </cfRule>
    <cfRule type="expression" dxfId="392" priority="457">
      <formula>AA817="s"</formula>
    </cfRule>
  </conditionalFormatting>
  <conditionalFormatting sqref="Q800">
    <cfRule type="expression" dxfId="391" priority="454">
      <formula>AA800="z"</formula>
    </cfRule>
    <cfRule type="expression" dxfId="390" priority="455">
      <formula>AA800="s"</formula>
    </cfRule>
  </conditionalFormatting>
  <conditionalFormatting sqref="Q805">
    <cfRule type="expression" dxfId="389" priority="452">
      <formula>AA805="z"</formula>
    </cfRule>
    <cfRule type="expression" dxfId="388" priority="453">
      <formula>AA805="s"</formula>
    </cfRule>
  </conditionalFormatting>
  <conditionalFormatting sqref="Q811">
    <cfRule type="expression" dxfId="387" priority="450">
      <formula>AA811="z"</formula>
    </cfRule>
    <cfRule type="expression" dxfId="386" priority="451">
      <formula>AA811="s"</formula>
    </cfRule>
  </conditionalFormatting>
  <conditionalFormatting sqref="Q777">
    <cfRule type="expression" dxfId="385" priority="438">
      <formula>AA777="z"</formula>
    </cfRule>
    <cfRule type="expression" dxfId="384" priority="439">
      <formula>AA777="s"</formula>
    </cfRule>
  </conditionalFormatting>
  <conditionalFormatting sqref="Q877">
    <cfRule type="expression" dxfId="383" priority="426">
      <formula>AA877="z"</formula>
    </cfRule>
    <cfRule type="expression" dxfId="382" priority="427">
      <formula>AA877="s"</formula>
    </cfRule>
  </conditionalFormatting>
  <conditionalFormatting sqref="Q880">
    <cfRule type="expression" dxfId="381" priority="430">
      <formula>AA880="z"</formula>
    </cfRule>
    <cfRule type="expression" dxfId="380" priority="431">
      <formula>AA880="s"</formula>
    </cfRule>
  </conditionalFormatting>
  <conditionalFormatting sqref="Q885">
    <cfRule type="expression" dxfId="379" priority="424">
      <formula>AA885="z"</formula>
    </cfRule>
    <cfRule type="expression" dxfId="378" priority="425">
      <formula>AA885="s"</formula>
    </cfRule>
  </conditionalFormatting>
  <conditionalFormatting sqref="Q901">
    <cfRule type="expression" dxfId="377" priority="418">
      <formula>AA901="z"</formula>
    </cfRule>
    <cfRule type="expression" dxfId="376" priority="419">
      <formula>AA901="s"</formula>
    </cfRule>
  </conditionalFormatting>
  <conditionalFormatting sqref="Q883">
    <cfRule type="expression" dxfId="375" priority="422">
      <formula>AA883="z"</formula>
    </cfRule>
    <cfRule type="expression" dxfId="374" priority="423">
      <formula>AA883="s"</formula>
    </cfRule>
  </conditionalFormatting>
  <conditionalFormatting sqref="Q898">
    <cfRule type="expression" dxfId="373" priority="416">
      <formula>AA898="z"</formula>
    </cfRule>
    <cfRule type="expression" dxfId="372" priority="417">
      <formula>AA898="s"</formula>
    </cfRule>
  </conditionalFormatting>
  <conditionalFormatting sqref="Q909">
    <cfRule type="expression" dxfId="371" priority="414">
      <formula>AA909="z"</formula>
    </cfRule>
    <cfRule type="expression" dxfId="370" priority="415">
      <formula>AA909="s"</formula>
    </cfRule>
  </conditionalFormatting>
  <conditionalFormatting sqref="Q907">
    <cfRule type="expression" dxfId="369" priority="412">
      <formula>AA907="z"</formula>
    </cfRule>
    <cfRule type="expression" dxfId="368" priority="413">
      <formula>AA907="s"</formula>
    </cfRule>
  </conditionalFormatting>
  <conditionalFormatting sqref="Q914">
    <cfRule type="expression" dxfId="367" priority="408">
      <formula>AA914="z"</formula>
    </cfRule>
    <cfRule type="expression" dxfId="366" priority="409">
      <formula>AA914="s"</formula>
    </cfRule>
  </conditionalFormatting>
  <conditionalFormatting sqref="Q916">
    <cfRule type="expression" dxfId="365" priority="410">
      <formula>AA916="z"</formula>
    </cfRule>
    <cfRule type="expression" dxfId="364" priority="411">
      <formula>AA916="s"</formula>
    </cfRule>
  </conditionalFormatting>
  <conditionalFormatting sqref="Q949">
    <cfRule type="expression" dxfId="363" priority="400">
      <formula>AA949="z"</formula>
    </cfRule>
    <cfRule type="expression" dxfId="362" priority="401">
      <formula>AA949="s"</formula>
    </cfRule>
  </conditionalFormatting>
  <conditionalFormatting sqref="Q962">
    <cfRule type="expression" dxfId="361" priority="390">
      <formula>AA962="z"</formula>
    </cfRule>
    <cfRule type="expression" dxfId="360" priority="391">
      <formula>AA962="s"</formula>
    </cfRule>
  </conditionalFormatting>
  <conditionalFormatting sqref="Q931">
    <cfRule type="expression" dxfId="359" priority="404">
      <formula>AA931="z"</formula>
    </cfRule>
    <cfRule type="expression" dxfId="358" priority="405">
      <formula>AA931="s"</formula>
    </cfRule>
  </conditionalFormatting>
  <conditionalFormatting sqref="Q946">
    <cfRule type="expression" dxfId="357" priority="398">
      <formula>AA946="z"</formula>
    </cfRule>
    <cfRule type="expression" dxfId="356" priority="399">
      <formula>AA946="s"</formula>
    </cfRule>
  </conditionalFormatting>
  <conditionalFormatting sqref="Q955">
    <cfRule type="expression" dxfId="355" priority="394">
      <formula>AA955="z"</formula>
    </cfRule>
    <cfRule type="expression" dxfId="354" priority="395">
      <formula>AA955="s"</formula>
    </cfRule>
  </conditionalFormatting>
  <conditionalFormatting sqref="Q976">
    <cfRule type="expression" dxfId="353" priority="382">
      <formula>AA976="z"</formula>
    </cfRule>
    <cfRule type="expression" dxfId="352" priority="383">
      <formula>AA976="s"</formula>
    </cfRule>
  </conditionalFormatting>
  <conditionalFormatting sqref="Q964">
    <cfRule type="expression" dxfId="351" priority="392">
      <formula>AA964="z"</formula>
    </cfRule>
    <cfRule type="expression" dxfId="350" priority="393">
      <formula>AA964="s"</formula>
    </cfRule>
  </conditionalFormatting>
  <conditionalFormatting sqref="Q974">
    <cfRule type="expression" dxfId="349" priority="380">
      <formula>AA974="z"</formula>
    </cfRule>
    <cfRule type="expression" dxfId="348" priority="381">
      <formula>AA974="s"</formula>
    </cfRule>
  </conditionalFormatting>
  <conditionalFormatting sqref="Q971">
    <cfRule type="expression" dxfId="347" priority="388">
      <formula>AA971="z"</formula>
    </cfRule>
    <cfRule type="expression" dxfId="346" priority="389">
      <formula>AA971="s"</formula>
    </cfRule>
  </conditionalFormatting>
  <conditionalFormatting sqref="Q969">
    <cfRule type="expression" dxfId="345" priority="386">
      <formula>AA969="z"</formula>
    </cfRule>
    <cfRule type="expression" dxfId="344" priority="387">
      <formula>AA969="s"</formula>
    </cfRule>
  </conditionalFormatting>
  <conditionalFormatting sqref="Q193">
    <cfRule type="expression" dxfId="343" priority="378">
      <formula>AA193="z"</formula>
    </cfRule>
    <cfRule type="expression" dxfId="342" priority="379">
      <formula>AA193="s"</formula>
    </cfRule>
  </conditionalFormatting>
  <conditionalFormatting sqref="Q521">
    <cfRule type="expression" dxfId="341" priority="376">
      <formula>AA521="z"</formula>
    </cfRule>
    <cfRule type="expression" dxfId="340" priority="377">
      <formula>AA521="s"</formula>
    </cfRule>
  </conditionalFormatting>
  <conditionalFormatting sqref="Q522">
    <cfRule type="expression" dxfId="339" priority="374">
      <formula>AA522="z"</formula>
    </cfRule>
    <cfRule type="expression" dxfId="338" priority="375">
      <formula>AA522="s"</formula>
    </cfRule>
  </conditionalFormatting>
  <conditionalFormatting sqref="Q525">
    <cfRule type="expression" dxfId="337" priority="372">
      <formula>AA525="z"</formula>
    </cfRule>
    <cfRule type="expression" dxfId="336" priority="373">
      <formula>AA525="s"</formula>
    </cfRule>
  </conditionalFormatting>
  <conditionalFormatting sqref="Q850">
    <cfRule type="expression" dxfId="335" priority="368">
      <formula>AA850="z"</formula>
    </cfRule>
    <cfRule type="expression" dxfId="334" priority="369">
      <formula>AA850="s"</formula>
    </cfRule>
  </conditionalFormatting>
  <conditionalFormatting sqref="Q848">
    <cfRule type="expression" dxfId="333" priority="366">
      <formula>AA848="z"</formula>
    </cfRule>
    <cfRule type="expression" dxfId="332" priority="367">
      <formula>AA848="s"</formula>
    </cfRule>
  </conditionalFormatting>
  <conditionalFormatting sqref="Q432:Q433">
    <cfRule type="expression" dxfId="331" priority="362">
      <formula>AA432="z"</formula>
    </cfRule>
    <cfRule type="expression" dxfId="330" priority="363">
      <formula>AA432="s"</formula>
    </cfRule>
  </conditionalFormatting>
  <conditionalFormatting sqref="Q436 Q441">
    <cfRule type="expression" dxfId="329" priority="364">
      <formula>AA436="z"</formula>
    </cfRule>
    <cfRule type="expression" dxfId="328" priority="365">
      <formula>AA436="s"</formula>
    </cfRule>
  </conditionalFormatting>
  <conditionalFormatting sqref="Q437">
    <cfRule type="expression" dxfId="327" priority="358">
      <formula>AA437="z"</formula>
    </cfRule>
    <cfRule type="expression" dxfId="326" priority="359">
      <formula>AA437="s"</formula>
    </cfRule>
  </conditionalFormatting>
  <conditionalFormatting sqref="Q439">
    <cfRule type="expression" dxfId="325" priority="356">
      <formula>AA439="z"</formula>
    </cfRule>
    <cfRule type="expression" dxfId="324" priority="357">
      <formula>AA439="s"</formula>
    </cfRule>
  </conditionalFormatting>
  <conditionalFormatting sqref="Q73">
    <cfRule type="expression" dxfId="323" priority="354">
      <formula>AA73="z"</formula>
    </cfRule>
    <cfRule type="expression" dxfId="322" priority="355">
      <formula>AA73="s"</formula>
    </cfRule>
  </conditionalFormatting>
  <conditionalFormatting sqref="Q720">
    <cfRule type="expression" dxfId="321" priority="352">
      <formula>AA720="z"</formula>
    </cfRule>
    <cfRule type="expression" dxfId="320" priority="353">
      <formula>AA720="s"</formula>
    </cfRule>
  </conditionalFormatting>
  <conditionalFormatting sqref="Q718">
    <cfRule type="expression" dxfId="319" priority="350">
      <formula>AA718="z"</formula>
    </cfRule>
    <cfRule type="expression" dxfId="318" priority="351">
      <formula>AA718="s"</formula>
    </cfRule>
  </conditionalFormatting>
  <conditionalFormatting sqref="Q734">
    <cfRule type="expression" dxfId="317" priority="344">
      <formula>AA734="z"</formula>
    </cfRule>
    <cfRule type="expression" dxfId="316" priority="345">
      <formula>AA734="s"</formula>
    </cfRule>
  </conditionalFormatting>
  <conditionalFormatting sqref="Q736">
    <cfRule type="expression" dxfId="315" priority="346">
      <formula>AA736="z"</formula>
    </cfRule>
    <cfRule type="expression" dxfId="314" priority="347">
      <formula>AA736="s"</formula>
    </cfRule>
  </conditionalFormatting>
  <conditionalFormatting sqref="Q841">
    <cfRule type="expression" dxfId="313" priority="338">
      <formula>AA841="z"</formula>
    </cfRule>
    <cfRule type="expression" dxfId="312" priority="339">
      <formula>AA841="s"</formula>
    </cfRule>
  </conditionalFormatting>
  <conditionalFormatting sqref="Q839">
    <cfRule type="expression" dxfId="311" priority="336">
      <formula>AA839="z"</formula>
    </cfRule>
    <cfRule type="expression" dxfId="310" priority="337">
      <formula>AA839="s"</formula>
    </cfRule>
  </conditionalFormatting>
  <conditionalFormatting sqref="Q762">
    <cfRule type="expression" dxfId="309" priority="332">
      <formula>AA762="z"</formula>
    </cfRule>
    <cfRule type="expression" dxfId="308" priority="333">
      <formula>AA762="s"</formula>
    </cfRule>
  </conditionalFormatting>
  <conditionalFormatting sqref="Q764">
    <cfRule type="expression" dxfId="307" priority="334">
      <formula>AA764="z"</formula>
    </cfRule>
    <cfRule type="expression" dxfId="306" priority="335">
      <formula>AA764="s"</formula>
    </cfRule>
  </conditionalFormatting>
  <conditionalFormatting sqref="Q765">
    <cfRule type="expression" dxfId="305" priority="330">
      <formula>AA765="z"</formula>
    </cfRule>
    <cfRule type="expression" dxfId="304" priority="331">
      <formula>AA765="s"</formula>
    </cfRule>
  </conditionalFormatting>
  <conditionalFormatting sqref="Q94">
    <cfRule type="expression" dxfId="303" priority="326">
      <formula>AA94="z"</formula>
    </cfRule>
    <cfRule type="expression" dxfId="302" priority="327">
      <formula>AA94="s"</formula>
    </cfRule>
  </conditionalFormatting>
  <conditionalFormatting sqref="Q371">
    <cfRule type="expression" dxfId="301" priority="324">
      <formula>AA371="z"</formula>
    </cfRule>
    <cfRule type="expression" dxfId="300" priority="325">
      <formula>AA371="s"</formula>
    </cfRule>
  </conditionalFormatting>
  <conditionalFormatting sqref="Q369">
    <cfRule type="expression" dxfId="299" priority="320">
      <formula>AA369="z"</formula>
    </cfRule>
    <cfRule type="expression" dxfId="298" priority="321">
      <formula>AA369="s"</formula>
    </cfRule>
  </conditionalFormatting>
  <conditionalFormatting sqref="Q469">
    <cfRule type="expression" dxfId="297" priority="318">
      <formula>AA469="z"</formula>
    </cfRule>
    <cfRule type="expression" dxfId="296" priority="319">
      <formula>AA469="s"</formula>
    </cfRule>
  </conditionalFormatting>
  <conditionalFormatting sqref="Q470">
    <cfRule type="expression" dxfId="295" priority="316">
      <formula>AA470="z"</formula>
    </cfRule>
    <cfRule type="expression" dxfId="294" priority="317">
      <formula>AA470="s"</formula>
    </cfRule>
  </conditionalFormatting>
  <conditionalFormatting sqref="Q370">
    <cfRule type="expression" dxfId="293" priority="312">
      <formula>AA370="z"</formula>
    </cfRule>
    <cfRule type="expression" dxfId="292" priority="313">
      <formula>AA370="s"</formula>
    </cfRule>
  </conditionalFormatting>
  <conditionalFormatting sqref="Q115">
    <cfRule type="expression" dxfId="291" priority="310">
      <formula>AA115="z"</formula>
    </cfRule>
    <cfRule type="expression" dxfId="290" priority="311">
      <formula>AA115="s"</formula>
    </cfRule>
  </conditionalFormatting>
  <conditionalFormatting sqref="Q101">
    <cfRule type="expression" dxfId="289" priority="308">
      <formula>AA101="z"</formula>
    </cfRule>
    <cfRule type="expression" dxfId="288" priority="309">
      <formula>AA101="s"</formula>
    </cfRule>
  </conditionalFormatting>
  <conditionalFormatting sqref="Q111">
    <cfRule type="expression" dxfId="287" priority="306">
      <formula>AA111="z"</formula>
    </cfRule>
    <cfRule type="expression" dxfId="286" priority="307">
      <formula>AA111="s"</formula>
    </cfRule>
  </conditionalFormatting>
  <conditionalFormatting sqref="Q116">
    <cfRule type="expression" dxfId="285" priority="304">
      <formula>AA116="z"</formula>
    </cfRule>
    <cfRule type="expression" dxfId="284" priority="305">
      <formula>AA116="s"</formula>
    </cfRule>
  </conditionalFormatting>
  <conditionalFormatting sqref="Q675">
    <cfRule type="expression" dxfId="283" priority="302">
      <formula>AA675="z"</formula>
    </cfRule>
    <cfRule type="expression" dxfId="282" priority="303">
      <formula>AA675="s"</formula>
    </cfRule>
  </conditionalFormatting>
  <conditionalFormatting sqref="Q685">
    <cfRule type="expression" dxfId="281" priority="300">
      <formula>AA685="z"</formula>
    </cfRule>
    <cfRule type="expression" dxfId="280" priority="301">
      <formula>AA685="s"</formula>
    </cfRule>
  </conditionalFormatting>
  <conditionalFormatting sqref="Q686">
    <cfRule type="expression" dxfId="279" priority="298">
      <formula>AA686="z"</formula>
    </cfRule>
    <cfRule type="expression" dxfId="278" priority="299">
      <formula>AA686="s"</formula>
    </cfRule>
  </conditionalFormatting>
  <conditionalFormatting sqref="Q684">
    <cfRule type="expression" dxfId="277" priority="292">
      <formula>AA684="z"</formula>
    </cfRule>
    <cfRule type="expression" dxfId="276" priority="293">
      <formula>AA684="s"</formula>
    </cfRule>
  </conditionalFormatting>
  <conditionalFormatting sqref="Q683">
    <cfRule type="expression" dxfId="275" priority="290">
      <formula>AA683="z"</formula>
    </cfRule>
    <cfRule type="expression" dxfId="274" priority="291">
      <formula>AA683="s"</formula>
    </cfRule>
  </conditionalFormatting>
  <conditionalFormatting sqref="Q778">
    <cfRule type="expression" dxfId="273" priority="284">
      <formula>AA778="z"</formula>
    </cfRule>
    <cfRule type="expression" dxfId="272" priority="285">
      <formula>AA778="s"</formula>
    </cfRule>
  </conditionalFormatting>
  <conditionalFormatting sqref="Q779">
    <cfRule type="expression" dxfId="271" priority="282">
      <formula>AA779="z"</formula>
    </cfRule>
    <cfRule type="expression" dxfId="270" priority="283">
      <formula>AA779="s"</formula>
    </cfRule>
  </conditionalFormatting>
  <conditionalFormatting sqref="Q808">
    <cfRule type="expression" dxfId="269" priority="280">
      <formula>AA808="z"</formula>
    </cfRule>
    <cfRule type="expression" dxfId="268" priority="281">
      <formula>AA808="s"</formula>
    </cfRule>
  </conditionalFormatting>
  <conditionalFormatting sqref="Q814">
    <cfRule type="expression" dxfId="267" priority="278">
      <formula>AA814="z"</formula>
    </cfRule>
    <cfRule type="expression" dxfId="266" priority="279">
      <formula>AA814="s"</formula>
    </cfRule>
  </conditionalFormatting>
  <conditionalFormatting sqref="Q878">
    <cfRule type="expression" dxfId="265" priority="276">
      <formula>AA878="z"</formula>
    </cfRule>
    <cfRule type="expression" dxfId="264" priority="277">
      <formula>AA878="s"</formula>
    </cfRule>
  </conditionalFormatting>
  <conditionalFormatting sqref="Q886">
    <cfRule type="expression" dxfId="263" priority="274">
      <formula>AA886="z"</formula>
    </cfRule>
    <cfRule type="expression" dxfId="262" priority="275">
      <formula>AA886="s"</formula>
    </cfRule>
  </conditionalFormatting>
  <conditionalFormatting sqref="Q899">
    <cfRule type="expression" dxfId="261" priority="272">
      <formula>AA899="z"</formula>
    </cfRule>
    <cfRule type="expression" dxfId="260" priority="273">
      <formula>AA899="s"</formula>
    </cfRule>
  </conditionalFormatting>
  <conditionalFormatting sqref="Q903">
    <cfRule type="expression" dxfId="259" priority="270">
      <formula>AA903="z"</formula>
    </cfRule>
    <cfRule type="expression" dxfId="258" priority="271">
      <formula>AA903="s"</formula>
    </cfRule>
  </conditionalFormatting>
  <conditionalFormatting sqref="Q904">
    <cfRule type="expression" dxfId="257" priority="268">
      <formula>AA904="z"</formula>
    </cfRule>
    <cfRule type="expression" dxfId="256" priority="269">
      <formula>AA904="s"</formula>
    </cfRule>
  </conditionalFormatting>
  <conditionalFormatting sqref="Q902">
    <cfRule type="expression" dxfId="255" priority="266">
      <formula>AA902="z"</formula>
    </cfRule>
    <cfRule type="expression" dxfId="254" priority="267">
      <formula>AA902="s"</formula>
    </cfRule>
  </conditionalFormatting>
  <conditionalFormatting sqref="Q947">
    <cfRule type="expression" dxfId="253" priority="264">
      <formula>AA947="z"</formula>
    </cfRule>
    <cfRule type="expression" dxfId="252" priority="265">
      <formula>AA947="s"</formula>
    </cfRule>
  </conditionalFormatting>
  <conditionalFormatting sqref="Q951">
    <cfRule type="expression" dxfId="251" priority="260">
      <formula>AA951="z"</formula>
    </cfRule>
    <cfRule type="expression" dxfId="250" priority="261">
      <formula>AA951="s"</formula>
    </cfRule>
  </conditionalFormatting>
  <conditionalFormatting sqref="Q952">
    <cfRule type="expression" dxfId="249" priority="258">
      <formula>AA952="z"</formula>
    </cfRule>
    <cfRule type="expression" dxfId="248" priority="259">
      <formula>AA952="s"</formula>
    </cfRule>
  </conditionalFormatting>
  <conditionalFormatting sqref="Q950">
    <cfRule type="expression" dxfId="247" priority="256">
      <formula>AA950="z"</formula>
    </cfRule>
    <cfRule type="expression" dxfId="246" priority="257">
      <formula>AA950="s"</formula>
    </cfRule>
  </conditionalFormatting>
  <conditionalFormatting sqref="Q917">
    <cfRule type="expression" dxfId="245" priority="254">
      <formula>AA917="z"</formula>
    </cfRule>
    <cfRule type="expression" dxfId="244" priority="255">
      <formula>AA917="s"</formula>
    </cfRule>
  </conditionalFormatting>
  <conditionalFormatting sqref="Q977">
    <cfRule type="expression" dxfId="243" priority="252">
      <formula>AA977="z"</formula>
    </cfRule>
    <cfRule type="expression" dxfId="242" priority="253">
      <formula>AA977="s"</formula>
    </cfRule>
  </conditionalFormatting>
  <conditionalFormatting sqref="Q933">
    <cfRule type="expression" dxfId="241" priority="250">
      <formula>AA933="z"</formula>
    </cfRule>
    <cfRule type="expression" dxfId="240" priority="251">
      <formula>AA933="s"</formula>
    </cfRule>
  </conditionalFormatting>
  <conditionalFormatting sqref="Q934">
    <cfRule type="expression" dxfId="239" priority="248">
      <formula>AA934="z"</formula>
    </cfRule>
    <cfRule type="expression" dxfId="238" priority="249">
      <formula>AA934="s"</formula>
    </cfRule>
  </conditionalFormatting>
  <conditionalFormatting sqref="Q910">
    <cfRule type="expression" dxfId="237" priority="246">
      <formula>AA910="z"</formula>
    </cfRule>
    <cfRule type="expression" dxfId="236" priority="247">
      <formula>AA910="s"</formula>
    </cfRule>
  </conditionalFormatting>
  <conditionalFormatting sqref="Q911">
    <cfRule type="expression" dxfId="235" priority="244">
      <formula>AA911="z"</formula>
    </cfRule>
    <cfRule type="expression" dxfId="234" priority="245">
      <formula>AA911="s"</formula>
    </cfRule>
  </conditionalFormatting>
  <conditionalFormatting sqref="Q958">
    <cfRule type="expression" dxfId="233" priority="242">
      <formula>AA958="z"</formula>
    </cfRule>
    <cfRule type="expression" dxfId="232" priority="243">
      <formula>AA958="s"</formula>
    </cfRule>
  </conditionalFormatting>
  <conditionalFormatting sqref="Q959">
    <cfRule type="expression" dxfId="231" priority="240">
      <formula>AA959="z"</formula>
    </cfRule>
    <cfRule type="expression" dxfId="230" priority="241">
      <formula>AA959="s"</formula>
    </cfRule>
  </conditionalFormatting>
  <conditionalFormatting sqref="Q957">
    <cfRule type="expression" dxfId="229" priority="238">
      <formula>AA957="z"</formula>
    </cfRule>
    <cfRule type="expression" dxfId="228" priority="239">
      <formula>AA957="s"</formula>
    </cfRule>
  </conditionalFormatting>
  <conditionalFormatting sqref="Q124">
    <cfRule type="expression" dxfId="227" priority="236">
      <formula>AA124="z"</formula>
    </cfRule>
    <cfRule type="expression" dxfId="226" priority="237">
      <formula>AA124="s"</formula>
    </cfRule>
  </conditionalFormatting>
  <conditionalFormatting sqref="Q774">
    <cfRule type="expression" dxfId="225" priority="234">
      <formula>AA774="z"</formula>
    </cfRule>
    <cfRule type="expression" dxfId="224" priority="235">
      <formula>AA774="s"</formula>
    </cfRule>
  </conditionalFormatting>
  <conditionalFormatting sqref="Q626">
    <cfRule type="expression" dxfId="223" priority="232">
      <formula>AA626="z"</formula>
    </cfRule>
    <cfRule type="expression" dxfId="222" priority="233">
      <formula>AA626="s"</formula>
    </cfRule>
  </conditionalFormatting>
  <conditionalFormatting sqref="Q627">
    <cfRule type="expression" dxfId="221" priority="230">
      <formula>AA627="z"</formula>
    </cfRule>
    <cfRule type="expression" dxfId="220" priority="231">
      <formula>AA627="s"</formula>
    </cfRule>
  </conditionalFormatting>
  <conditionalFormatting sqref="Q628">
    <cfRule type="expression" dxfId="219" priority="228">
      <formula>AA628="z"</formula>
    </cfRule>
    <cfRule type="expression" dxfId="218" priority="229">
      <formula>AA628="s"</formula>
    </cfRule>
  </conditionalFormatting>
  <conditionalFormatting sqref="Q629">
    <cfRule type="expression" dxfId="217" priority="226">
      <formula>AA629="z"</formula>
    </cfRule>
    <cfRule type="expression" dxfId="216" priority="227">
      <formula>AA629="s"</formula>
    </cfRule>
  </conditionalFormatting>
  <conditionalFormatting sqref="Q632">
    <cfRule type="expression" dxfId="215" priority="224">
      <formula>AA632="z"</formula>
    </cfRule>
    <cfRule type="expression" dxfId="214" priority="225">
      <formula>AA632="s"</formula>
    </cfRule>
  </conditionalFormatting>
  <conditionalFormatting sqref="Q609">
    <cfRule type="expression" dxfId="213" priority="208">
      <formula>AA609="z"</formula>
    </cfRule>
    <cfRule type="expression" dxfId="212" priority="209">
      <formula>AA609="s"</formula>
    </cfRule>
  </conditionalFormatting>
  <conditionalFormatting sqref="Q642">
    <cfRule type="expression" dxfId="211" priority="216">
      <formula>AA642="z"</formula>
    </cfRule>
    <cfRule type="expression" dxfId="210" priority="217">
      <formula>AA642="s"</formula>
    </cfRule>
  </conditionalFormatting>
  <conditionalFormatting sqref="Q211">
    <cfRule type="expression" dxfId="209" priority="206">
      <formula>AA211="z"</formula>
    </cfRule>
    <cfRule type="expression" dxfId="208" priority="207">
      <formula>AA211="s"</formula>
    </cfRule>
  </conditionalFormatting>
  <conditionalFormatting sqref="Q438">
    <cfRule type="expression" dxfId="207" priority="210">
      <formula>AA438="z"</formula>
    </cfRule>
    <cfRule type="expression" dxfId="206" priority="211">
      <formula>AA438="s"</formula>
    </cfRule>
  </conditionalFormatting>
  <conditionalFormatting sqref="Q139">
    <cfRule type="expression" dxfId="205" priority="200">
      <formula>AA139="z"</formula>
    </cfRule>
    <cfRule type="expression" dxfId="204" priority="201">
      <formula>AA139="s"</formula>
    </cfRule>
  </conditionalFormatting>
  <conditionalFormatting sqref="Q135">
    <cfRule type="expression" dxfId="203" priority="202">
      <formula>AA135="z"</formula>
    </cfRule>
    <cfRule type="expression" dxfId="202" priority="203">
      <formula>AA135="s"</formula>
    </cfRule>
  </conditionalFormatting>
  <conditionalFormatting sqref="Q98">
    <cfRule type="expression" dxfId="201" priority="198">
      <formula>AA98="z"</formula>
    </cfRule>
    <cfRule type="expression" dxfId="200" priority="199">
      <formula>AA98="s"</formula>
    </cfRule>
  </conditionalFormatting>
  <conditionalFormatting sqref="Q105">
    <cfRule type="expression" dxfId="199" priority="196">
      <formula>AA105="z"</formula>
    </cfRule>
    <cfRule type="expression" dxfId="198" priority="197">
      <formula>AA105="s"</formula>
    </cfRule>
  </conditionalFormatting>
  <conditionalFormatting sqref="Q114">
    <cfRule type="expression" dxfId="197" priority="194">
      <formula>AA114="z"</formula>
    </cfRule>
    <cfRule type="expression" dxfId="196" priority="195">
      <formula>AA114="s"</formula>
    </cfRule>
  </conditionalFormatting>
  <conditionalFormatting sqref="Q134">
    <cfRule type="expression" dxfId="195" priority="192">
      <formula>AA134="z"</formula>
    </cfRule>
    <cfRule type="expression" dxfId="194" priority="193">
      <formula>AA134="s"</formula>
    </cfRule>
  </conditionalFormatting>
  <conditionalFormatting sqref="Q259">
    <cfRule type="expression" dxfId="193" priority="190">
      <formula>AA259="z"</formula>
    </cfRule>
    <cfRule type="expression" dxfId="192" priority="191">
      <formula>AA259="s"</formula>
    </cfRule>
  </conditionalFormatting>
  <conditionalFormatting sqref="Q262">
    <cfRule type="expression" dxfId="191" priority="188">
      <formula>AA262="z"</formula>
    </cfRule>
    <cfRule type="expression" dxfId="190" priority="189">
      <formula>AA262="s"</formula>
    </cfRule>
  </conditionalFormatting>
  <conditionalFormatting sqref="Q254">
    <cfRule type="expression" dxfId="189" priority="186">
      <formula>AA254="z"</formula>
    </cfRule>
    <cfRule type="expression" dxfId="188" priority="187">
      <formula>AA254="s"</formula>
    </cfRule>
  </conditionalFormatting>
  <conditionalFormatting sqref="Q253">
    <cfRule type="expression" dxfId="187" priority="184">
      <formula>AA253="z"</formula>
    </cfRule>
    <cfRule type="expression" dxfId="186" priority="185">
      <formula>AA253="s"</formula>
    </cfRule>
  </conditionalFormatting>
  <conditionalFormatting sqref="Q307">
    <cfRule type="expression" dxfId="185" priority="182">
      <formula>AA307="z"</formula>
    </cfRule>
    <cfRule type="expression" dxfId="184" priority="183">
      <formula>AA307="s"</formula>
    </cfRule>
  </conditionalFormatting>
  <conditionalFormatting sqref="Q538">
    <cfRule type="expression" dxfId="183" priority="180">
      <formula>AA538="z"</formula>
    </cfRule>
    <cfRule type="expression" dxfId="182" priority="181">
      <formula>AA538="s"</formula>
    </cfRule>
  </conditionalFormatting>
  <conditionalFormatting sqref="Q537">
    <cfRule type="expression" dxfId="181" priority="178">
      <formula>AA537="z"</formula>
    </cfRule>
    <cfRule type="expression" dxfId="180" priority="179">
      <formula>AA537="s"</formula>
    </cfRule>
  </conditionalFormatting>
  <conditionalFormatting sqref="Q847">
    <cfRule type="expression" dxfId="179" priority="176">
      <formula>AA847="z"</formula>
    </cfRule>
    <cfRule type="expression" dxfId="178" priority="177">
      <formula>AA847="s"</formula>
    </cfRule>
  </conditionalFormatting>
  <conditionalFormatting sqref="Q618 Q620">
    <cfRule type="expression" dxfId="177" priority="173">
      <formula>AA618="z"</formula>
    </cfRule>
    <cfRule type="expression" dxfId="176" priority="174">
      <formula>AA618="s"</formula>
    </cfRule>
  </conditionalFormatting>
  <conditionalFormatting sqref="Q621">
    <cfRule type="expression" dxfId="175" priority="171">
      <formula>AA621="z"</formula>
    </cfRule>
    <cfRule type="expression" dxfId="174" priority="172">
      <formula>AA621="s"</formula>
    </cfRule>
  </conditionalFormatting>
  <conditionalFormatting sqref="Q925">
    <cfRule type="expression" dxfId="173" priority="167">
      <formula>AA925="z"</formula>
    </cfRule>
    <cfRule type="expression" dxfId="172" priority="168">
      <formula>AA925="s"</formula>
    </cfRule>
  </conditionalFormatting>
  <conditionalFormatting sqref="Q927">
    <cfRule type="expression" dxfId="171" priority="169">
      <formula>AA927="z"</formula>
    </cfRule>
    <cfRule type="expression" dxfId="170" priority="170">
      <formula>AA927="s"</formula>
    </cfRule>
  </conditionalFormatting>
  <conditionalFormatting sqref="Q928">
    <cfRule type="expression" dxfId="169" priority="165">
      <formula>AA928="z"</formula>
    </cfRule>
    <cfRule type="expression" dxfId="168" priority="166">
      <formula>AA928="s"</formula>
    </cfRule>
  </conditionalFormatting>
  <conditionalFormatting sqref="Q892">
    <cfRule type="expression" dxfId="167" priority="163">
      <formula>AA892="z"</formula>
    </cfRule>
    <cfRule type="expression" dxfId="166" priority="164">
      <formula>AA892="s"</formula>
    </cfRule>
  </conditionalFormatting>
  <conditionalFormatting sqref="Q889">
    <cfRule type="expression" dxfId="165" priority="161">
      <formula>AA889="z"</formula>
    </cfRule>
    <cfRule type="expression" dxfId="164" priority="162">
      <formula>AA889="s"</formula>
    </cfRule>
  </conditionalFormatting>
  <conditionalFormatting sqref="Q890">
    <cfRule type="expression" dxfId="163" priority="159">
      <formula>AA890="z"</formula>
    </cfRule>
    <cfRule type="expression" dxfId="162" priority="160">
      <formula>AA890="s"</formula>
    </cfRule>
  </conditionalFormatting>
  <conditionalFormatting sqref="Q894">
    <cfRule type="expression" dxfId="161" priority="157">
      <formula>AA894="z"</formula>
    </cfRule>
    <cfRule type="expression" dxfId="160" priority="158">
      <formula>AA894="s"</formula>
    </cfRule>
  </conditionalFormatting>
  <conditionalFormatting sqref="Q895">
    <cfRule type="expression" dxfId="159" priority="155">
      <formula>AA895="z"</formula>
    </cfRule>
    <cfRule type="expression" dxfId="158" priority="156">
      <formula>AA895="s"</formula>
    </cfRule>
  </conditionalFormatting>
  <conditionalFormatting sqref="Q893">
    <cfRule type="expression" dxfId="157" priority="153">
      <formula>AA893="z"</formula>
    </cfRule>
    <cfRule type="expression" dxfId="156" priority="154">
      <formula>AA893="s"</formula>
    </cfRule>
  </conditionalFormatting>
  <conditionalFormatting sqref="Q940">
    <cfRule type="expression" dxfId="155" priority="151">
      <formula>AA940="z"</formula>
    </cfRule>
    <cfRule type="expression" dxfId="154" priority="152">
      <formula>AA940="s"</formula>
    </cfRule>
  </conditionalFormatting>
  <conditionalFormatting sqref="Q937">
    <cfRule type="expression" dxfId="153" priority="149">
      <formula>AA937="z"</formula>
    </cfRule>
    <cfRule type="expression" dxfId="152" priority="150">
      <formula>AA937="s"</formula>
    </cfRule>
  </conditionalFormatting>
  <conditionalFormatting sqref="Q938">
    <cfRule type="expression" dxfId="151" priority="147">
      <formula>AA938="z"</formula>
    </cfRule>
    <cfRule type="expression" dxfId="150" priority="148">
      <formula>AA938="s"</formula>
    </cfRule>
  </conditionalFormatting>
  <conditionalFormatting sqref="Q942">
    <cfRule type="expression" dxfId="149" priority="145">
      <formula>AA942="z"</formula>
    </cfRule>
    <cfRule type="expression" dxfId="148" priority="146">
      <formula>AA942="s"</formula>
    </cfRule>
  </conditionalFormatting>
  <conditionalFormatting sqref="Q943">
    <cfRule type="expression" dxfId="147" priority="143">
      <formula>AA943="z"</formula>
    </cfRule>
    <cfRule type="expression" dxfId="146" priority="144">
      <formula>AA943="s"</formula>
    </cfRule>
  </conditionalFormatting>
  <conditionalFormatting sqref="Q941">
    <cfRule type="expression" dxfId="145" priority="141">
      <formula>AA941="z"</formula>
    </cfRule>
    <cfRule type="expression" dxfId="144" priority="142">
      <formula>AA941="s"</formula>
    </cfRule>
  </conditionalFormatting>
  <conditionalFormatting sqref="Q920">
    <cfRule type="expression" dxfId="143" priority="137">
      <formula>AA920="z"</formula>
    </cfRule>
    <cfRule type="expression" dxfId="142" priority="138">
      <formula>AA920="s"</formula>
    </cfRule>
  </conditionalFormatting>
  <conditionalFormatting sqref="Q922">
    <cfRule type="expression" dxfId="141" priority="139">
      <formula>AA922="z"</formula>
    </cfRule>
    <cfRule type="expression" dxfId="140" priority="140">
      <formula>AA922="s"</formula>
    </cfRule>
  </conditionalFormatting>
  <conditionalFormatting sqref="Q18">
    <cfRule type="expression" dxfId="139" priority="134">
      <formula>AA18="z"</formula>
    </cfRule>
    <cfRule type="expression" dxfId="138" priority="135">
      <formula>AA18="s"</formula>
    </cfRule>
  </conditionalFormatting>
  <conditionalFormatting sqref="Q2050 Q2054 Q2066">
    <cfRule type="expression" dxfId="137" priority="132">
      <formula>AA2050="z"</formula>
    </cfRule>
    <cfRule type="expression" dxfId="136" priority="133">
      <formula>AA2050="s"</formula>
    </cfRule>
  </conditionalFormatting>
  <conditionalFormatting sqref="Q2025">
    <cfRule type="expression" dxfId="135" priority="129">
      <formula>AA2025="z"</formula>
    </cfRule>
    <cfRule type="expression" dxfId="134" priority="130">
      <formula>AA2025="s"</formula>
    </cfRule>
  </conditionalFormatting>
  <conditionalFormatting sqref="Q2012">
    <cfRule type="expression" dxfId="133" priority="127">
      <formula>AA2012="z"</formula>
    </cfRule>
    <cfRule type="expression" dxfId="132" priority="128">
      <formula>AA2012="s"</formula>
    </cfRule>
  </conditionalFormatting>
  <conditionalFormatting sqref="Q2023">
    <cfRule type="expression" dxfId="131" priority="125">
      <formula>AA2023="z"</formula>
    </cfRule>
    <cfRule type="expression" dxfId="130" priority="126">
      <formula>AA2023="s"</formula>
    </cfRule>
  </conditionalFormatting>
  <conditionalFormatting sqref="Q2021">
    <cfRule type="expression" dxfId="129" priority="123">
      <formula>AA2021="z"</formula>
    </cfRule>
    <cfRule type="expression" dxfId="128" priority="124">
      <formula>AA2021="s"</formula>
    </cfRule>
  </conditionalFormatting>
  <conditionalFormatting sqref="Q2014">
    <cfRule type="expression" dxfId="127" priority="121">
      <formula>AA2014="z"</formula>
    </cfRule>
    <cfRule type="expression" dxfId="126" priority="122">
      <formula>AA2014="s"</formula>
    </cfRule>
  </conditionalFormatting>
  <conditionalFormatting sqref="Q2016">
    <cfRule type="expression" dxfId="125" priority="119">
      <formula>AA2016="z"</formula>
    </cfRule>
    <cfRule type="expression" dxfId="124" priority="120">
      <formula>AA2016="s"</formula>
    </cfRule>
  </conditionalFormatting>
  <conditionalFormatting sqref="Q2018">
    <cfRule type="expression" dxfId="123" priority="117">
      <formula>AA2018="z"</formula>
    </cfRule>
    <cfRule type="expression" dxfId="122" priority="118">
      <formula>AA2018="s"</formula>
    </cfRule>
  </conditionalFormatting>
  <conditionalFormatting sqref="Q2031">
    <cfRule type="expression" dxfId="121" priority="115">
      <formula>AA2031="z"</formula>
    </cfRule>
    <cfRule type="expression" dxfId="120" priority="116">
      <formula>AA2031="s"</formula>
    </cfRule>
  </conditionalFormatting>
  <conditionalFormatting sqref="Q2033">
    <cfRule type="expression" dxfId="119" priority="113">
      <formula>AA2033="z"</formula>
    </cfRule>
    <cfRule type="expression" dxfId="118" priority="114">
      <formula>AA2033="s"</formula>
    </cfRule>
  </conditionalFormatting>
  <conditionalFormatting sqref="Q2035">
    <cfRule type="expression" dxfId="117" priority="111">
      <formula>AA2035="z"</formula>
    </cfRule>
    <cfRule type="expression" dxfId="116" priority="112">
      <formula>AA2035="s"</formula>
    </cfRule>
  </conditionalFormatting>
  <conditionalFormatting sqref="Q2037">
    <cfRule type="expression" dxfId="115" priority="109">
      <formula>AA2037="z"</formula>
    </cfRule>
    <cfRule type="expression" dxfId="114" priority="110">
      <formula>AA2037="s"</formula>
    </cfRule>
  </conditionalFormatting>
  <conditionalFormatting sqref="Q2044">
    <cfRule type="expression" dxfId="113" priority="107">
      <formula>AA2044="z"</formula>
    </cfRule>
    <cfRule type="expression" dxfId="112" priority="108">
      <formula>AA2044="s"</formula>
    </cfRule>
  </conditionalFormatting>
  <conditionalFormatting sqref="Q2042">
    <cfRule type="expression" dxfId="111" priority="105">
      <formula>AA2042="z"</formula>
    </cfRule>
    <cfRule type="expression" dxfId="110" priority="106">
      <formula>AA2042="s"</formula>
    </cfRule>
  </conditionalFormatting>
  <conditionalFormatting sqref="Q2040">
    <cfRule type="expression" dxfId="109" priority="103">
      <formula>AA2040="z"</formula>
    </cfRule>
    <cfRule type="expression" dxfId="108" priority="104">
      <formula>AA2040="s"</formula>
    </cfRule>
  </conditionalFormatting>
  <conditionalFormatting sqref="Q2052">
    <cfRule type="expression" dxfId="107" priority="101">
      <formula>AA2052="z"</formula>
    </cfRule>
    <cfRule type="expression" dxfId="106" priority="102">
      <formula>AA2052="s"</formula>
    </cfRule>
  </conditionalFormatting>
  <conditionalFormatting sqref="Q2057">
    <cfRule type="expression" dxfId="105" priority="99">
      <formula>AA2057="z"</formula>
    </cfRule>
    <cfRule type="expression" dxfId="104" priority="100">
      <formula>AA2057="s"</formula>
    </cfRule>
  </conditionalFormatting>
  <conditionalFormatting sqref="Q2055">
    <cfRule type="expression" dxfId="103" priority="97">
      <formula>AA2055="z"</formula>
    </cfRule>
    <cfRule type="expression" dxfId="102" priority="98">
      <formula>AA2055="s"</formula>
    </cfRule>
  </conditionalFormatting>
  <conditionalFormatting sqref="Q2065 Q2070">
    <cfRule type="expression" dxfId="101" priority="95">
      <formula>AA2065="z"</formula>
    </cfRule>
    <cfRule type="expression" dxfId="100" priority="96">
      <formula>AA2065="s"</formula>
    </cfRule>
  </conditionalFormatting>
  <conditionalFormatting sqref="Q2068">
    <cfRule type="expression" dxfId="99" priority="93">
      <formula>AA2068="z"</formula>
    </cfRule>
    <cfRule type="expression" dxfId="98" priority="94">
      <formula>AA2068="s"</formula>
    </cfRule>
  </conditionalFormatting>
  <conditionalFormatting sqref="Q2073">
    <cfRule type="expression" dxfId="97" priority="91">
      <formula>AA2073="z"</formula>
    </cfRule>
    <cfRule type="expression" dxfId="96" priority="92">
      <formula>AA2073="s"</formula>
    </cfRule>
  </conditionalFormatting>
  <conditionalFormatting sqref="Q2071">
    <cfRule type="expression" dxfId="95" priority="89">
      <formula>AA2071="z"</formula>
    </cfRule>
    <cfRule type="expression" dxfId="94" priority="90">
      <formula>AA2071="s"</formula>
    </cfRule>
  </conditionalFormatting>
  <conditionalFormatting sqref="Q2063">
    <cfRule type="expression" dxfId="93" priority="87">
      <formula>AA2063="z"</formula>
    </cfRule>
    <cfRule type="expression" dxfId="92" priority="88">
      <formula>AA2063="s"</formula>
    </cfRule>
  </conditionalFormatting>
  <conditionalFormatting sqref="Q2003">
    <cfRule type="expression" dxfId="91" priority="85">
      <formula>AA2003="z"</formula>
    </cfRule>
    <cfRule type="expression" dxfId="90" priority="86">
      <formula>AA2003="s"</formula>
    </cfRule>
  </conditionalFormatting>
  <conditionalFormatting sqref="Q2004">
    <cfRule type="expression" dxfId="89" priority="83">
      <formula>AA2004="z"</formula>
    </cfRule>
    <cfRule type="expression" dxfId="88" priority="84">
      <formula>AA2004="s"</formula>
    </cfRule>
  </conditionalFormatting>
  <conditionalFormatting sqref="Q2005">
    <cfRule type="expression" dxfId="87" priority="81">
      <formula>AA2005="z"</formula>
    </cfRule>
    <cfRule type="expression" dxfId="86" priority="82">
      <formula>AA2005="s"</formula>
    </cfRule>
  </conditionalFormatting>
  <conditionalFormatting sqref="Q2006">
    <cfRule type="expression" dxfId="85" priority="79">
      <formula>AA2006="z"</formula>
    </cfRule>
    <cfRule type="expression" dxfId="84" priority="80">
      <formula>AA2006="s"</formula>
    </cfRule>
  </conditionalFormatting>
  <conditionalFormatting sqref="Q2002">
    <cfRule type="expression" dxfId="83" priority="77">
      <formula>AA2002="z"</formula>
    </cfRule>
    <cfRule type="expression" dxfId="82" priority="78">
      <formula>AA2002="s"</formula>
    </cfRule>
  </conditionalFormatting>
  <conditionalFormatting sqref="R986:R2085">
    <cfRule type="cellIs" dxfId="81" priority="76" operator="greaterThan">
      <formula>0</formula>
    </cfRule>
  </conditionalFormatting>
  <conditionalFormatting sqref="Q982 Q984">
    <cfRule type="expression" dxfId="80" priority="74">
      <formula>AA982="z"</formula>
    </cfRule>
    <cfRule type="expression" dxfId="79" priority="75">
      <formula>AA982="s"</formula>
    </cfRule>
  </conditionalFormatting>
  <conditionalFormatting sqref="Q985">
    <cfRule type="expression" dxfId="78" priority="72">
      <formula>AA985="z"</formula>
    </cfRule>
    <cfRule type="expression" dxfId="77" priority="73">
      <formula>AA985="s"</formula>
    </cfRule>
  </conditionalFormatting>
  <conditionalFormatting sqref="R978 R981:R985">
    <cfRule type="cellIs" dxfId="76" priority="71" operator="greaterThan">
      <formula>0</formula>
    </cfRule>
  </conditionalFormatting>
  <conditionalFormatting sqref="R979">
    <cfRule type="cellIs" dxfId="75" priority="67" operator="greaterThan">
      <formula>0</formula>
    </cfRule>
  </conditionalFormatting>
  <conditionalFormatting sqref="R980">
    <cfRule type="cellIs" dxfId="74" priority="66" operator="greaterThan">
      <formula>0</formula>
    </cfRule>
  </conditionalFormatting>
  <conditionalFormatting sqref="AC720 AC736 AC754 AC776 AC855 AC885 AC892 AC922 AC933 AC940 AC971 AC587 AC2002:AC2005 AC2012 AC2014 AC2016 AC2018 AC2020 AC2029 AC2031 AC2033 AC2035 AC2037 AC2039 AC2048 AC2050 AC2052 AC2054:AC2055 AC2057 AC2063 AC2065:AC2066 AC2068 AC2070:AC2071 AC2073 AC2083 AC2085">
    <cfRule type="expression" dxfId="73" priority="64">
      <formula>$AC587&gt;=$AC$2</formula>
    </cfRule>
  </conditionalFormatting>
  <conditionalFormatting sqref="AC14">
    <cfRule type="expression" dxfId="72" priority="63">
      <formula>$AC14&gt;=$AC$2</formula>
    </cfRule>
  </conditionalFormatting>
  <conditionalFormatting sqref="AC18">
    <cfRule type="expression" dxfId="71" priority="62">
      <formula>$AC18&gt;=$AC$2</formula>
    </cfRule>
  </conditionalFormatting>
  <conditionalFormatting sqref="AC22">
    <cfRule type="expression" dxfId="70" priority="61">
      <formula>$AC22&gt;=$AC$2</formula>
    </cfRule>
  </conditionalFormatting>
  <conditionalFormatting sqref="AC83">
    <cfRule type="expression" dxfId="69" priority="60">
      <formula>$AC83&gt;=$AC$2</formula>
    </cfRule>
  </conditionalFormatting>
  <conditionalFormatting sqref="AC93">
    <cfRule type="expression" dxfId="68" priority="59">
      <formula>$AC93&gt;=$AC$2</formula>
    </cfRule>
  </conditionalFormatting>
  <conditionalFormatting sqref="AC91">
    <cfRule type="expression" dxfId="67" priority="58">
      <formula>$AC91&gt;=$AC$2</formula>
    </cfRule>
  </conditionalFormatting>
  <conditionalFormatting sqref="AC126">
    <cfRule type="expression" dxfId="66" priority="57">
      <formula>$AC126&gt;=$AC$2</formula>
    </cfRule>
  </conditionalFormatting>
  <conditionalFormatting sqref="AC368">
    <cfRule type="expression" dxfId="65" priority="56">
      <formula>$AC368&gt;=$AC$2</formula>
    </cfRule>
  </conditionalFormatting>
  <conditionalFormatting sqref="AC133">
    <cfRule type="expression" dxfId="64" priority="55">
      <formula>$AC133&gt;=$AC$2</formula>
    </cfRule>
  </conditionalFormatting>
  <conditionalFormatting sqref="AC448">
    <cfRule type="expression" dxfId="63" priority="54">
      <formula>$AC448&gt;=$AC$2</formula>
    </cfRule>
  </conditionalFormatting>
  <conditionalFormatting sqref="AC192">
    <cfRule type="expression" dxfId="62" priority="53">
      <formula>$AC192&gt;=$AC$2</formula>
    </cfRule>
  </conditionalFormatting>
  <conditionalFormatting sqref="AC141">
    <cfRule type="expression" dxfId="61" priority="52">
      <formula>$AC141&gt;=$AC$2</formula>
    </cfRule>
  </conditionalFormatting>
  <conditionalFormatting sqref="AC146">
    <cfRule type="expression" dxfId="60" priority="51">
      <formula>$AC146&gt;=$AC$2</formula>
    </cfRule>
  </conditionalFormatting>
  <conditionalFormatting sqref="AC252">
    <cfRule type="expression" dxfId="59" priority="50">
      <formula>$AC252&gt;=$AC$2</formula>
    </cfRule>
  </conditionalFormatting>
  <conditionalFormatting sqref="AC380">
    <cfRule type="expression" dxfId="58" priority="49">
      <formula>$AC380&gt;=$AC$2</formula>
    </cfRule>
  </conditionalFormatting>
  <conditionalFormatting sqref="AC422">
    <cfRule type="expression" dxfId="57" priority="48">
      <formula>$AC422&gt;=$AC$2</formula>
    </cfRule>
  </conditionalFormatting>
  <conditionalFormatting sqref="AC433">
    <cfRule type="expression" dxfId="56" priority="47">
      <formula>$AC433&gt;=$AC$2</formula>
    </cfRule>
  </conditionalFormatting>
  <conditionalFormatting sqref="AC524">
    <cfRule type="expression" dxfId="55" priority="46">
      <formula>$AC524&gt;=$AC$2</formula>
    </cfRule>
  </conditionalFormatting>
  <conditionalFormatting sqref="AC981">
    <cfRule type="expression" dxfId="54" priority="45">
      <formula>$AC981&gt;=$AC$2</formula>
    </cfRule>
  </conditionalFormatting>
  <conditionalFormatting sqref="AC982">
    <cfRule type="expression" dxfId="53" priority="44">
      <formula>$AC982&gt;=$AC$2</formula>
    </cfRule>
  </conditionalFormatting>
  <conditionalFormatting sqref="AC984">
    <cfRule type="expression" dxfId="52" priority="43">
      <formula>$AC984&gt;=$AC$2</formula>
    </cfRule>
  </conditionalFormatting>
  <conditionalFormatting sqref="AC979">
    <cfRule type="expression" dxfId="51" priority="42">
      <formula>$AC979&gt;=$AC$2</formula>
    </cfRule>
  </conditionalFormatting>
  <conditionalFormatting sqref="AC536">
    <cfRule type="expression" dxfId="50" priority="41">
      <formula>$AC536&gt;=$AC$2</formula>
    </cfRule>
  </conditionalFormatting>
  <conditionalFormatting sqref="AC679">
    <cfRule type="expression" dxfId="49" priority="40">
      <formula>$AC679&gt;=$AC$2</formula>
    </cfRule>
  </conditionalFormatting>
  <conditionalFormatting sqref="AC782">
    <cfRule type="expression" dxfId="48" priority="39">
      <formula>$AC782&gt;=$AC$2</formula>
    </cfRule>
  </conditionalFormatting>
  <conditionalFormatting sqref="AC787">
    <cfRule type="expression" dxfId="47" priority="38">
      <formula>$AC787&gt;=$AC$2</formula>
    </cfRule>
  </conditionalFormatting>
  <conditionalFormatting sqref="AC785">
    <cfRule type="expression" dxfId="46" priority="37">
      <formula>$AC785&gt;=$AC$2</formula>
    </cfRule>
  </conditionalFormatting>
  <conditionalFormatting sqref="AC807">
    <cfRule type="expression" dxfId="45" priority="36">
      <formula>$AC807&gt;=$AC$2</formula>
    </cfRule>
  </conditionalFormatting>
  <conditionalFormatting sqref="AC841">
    <cfRule type="expression" dxfId="44" priority="35">
      <formula>$AC841&gt;=$AC$2</formula>
    </cfRule>
  </conditionalFormatting>
  <conditionalFormatting sqref="AC949">
    <cfRule type="expression" dxfId="43" priority="34">
      <formula>$AC949&gt;=$AC$2</formula>
    </cfRule>
  </conditionalFormatting>
  <conditionalFormatting sqref="Q2079">
    <cfRule type="expression" dxfId="42" priority="32">
      <formula>AA2079="z"</formula>
    </cfRule>
    <cfRule type="expression" dxfId="41" priority="33">
      <formula>AA2079="s"</formula>
    </cfRule>
  </conditionalFormatting>
  <conditionalFormatting sqref="Q2081">
    <cfRule type="expression" dxfId="40" priority="30">
      <formula>AA2081="z"</formula>
    </cfRule>
    <cfRule type="expression" dxfId="39" priority="31">
      <formula>AA2081="s"</formula>
    </cfRule>
  </conditionalFormatting>
  <conditionalFormatting sqref="Q2085">
    <cfRule type="expression" dxfId="38" priority="28">
      <formula>AA2085="z"</formula>
    </cfRule>
    <cfRule type="expression" dxfId="37" priority="29">
      <formula>AA2085="s"</formula>
    </cfRule>
  </conditionalFormatting>
  <conditionalFormatting sqref="Q2083">
    <cfRule type="expression" dxfId="36" priority="26">
      <formula>AA2083="z"</formula>
    </cfRule>
    <cfRule type="expression" dxfId="35" priority="27">
      <formula>AA2083="s"</formula>
    </cfRule>
  </conditionalFormatting>
  <conditionalFormatting sqref="AC2077 AC2079 AC2081">
    <cfRule type="expression" dxfId="34" priority="24">
      <formula>$AC2077&gt;=$AC$2</formula>
    </cfRule>
  </conditionalFormatting>
  <conditionalFormatting sqref="AC629">
    <cfRule type="expression" dxfId="33" priority="23">
      <formula>$AC629&gt;=$AC$2</formula>
    </cfRule>
  </conditionalFormatting>
  <conditionalFormatting sqref="AC632">
    <cfRule type="expression" dxfId="32" priority="22">
      <formula>$AC632&gt;=$AC$2</formula>
    </cfRule>
  </conditionalFormatting>
  <conditionalFormatting sqref="Q637">
    <cfRule type="expression" dxfId="31" priority="20">
      <formula>AA637="z"</formula>
    </cfRule>
    <cfRule type="expression" dxfId="30" priority="21">
      <formula>AA637="s"</formula>
    </cfRule>
  </conditionalFormatting>
  <conditionalFormatting sqref="AC637:AC641">
    <cfRule type="expression" dxfId="29" priority="19">
      <formula>$AC637&gt;=$AC$2</formula>
    </cfRule>
  </conditionalFormatting>
  <conditionalFormatting sqref="Q638">
    <cfRule type="expression" dxfId="28" priority="17">
      <formula>AA638="z"</formula>
    </cfRule>
    <cfRule type="expression" dxfId="27" priority="18">
      <formula>AA638="s"</formula>
    </cfRule>
  </conditionalFormatting>
  <conditionalFormatting sqref="Q639">
    <cfRule type="expression" dxfId="26" priority="15">
      <formula>AA639="z"</formula>
    </cfRule>
    <cfRule type="expression" dxfId="25" priority="16">
      <formula>AA639="s"</formula>
    </cfRule>
  </conditionalFormatting>
  <conditionalFormatting sqref="Q640">
    <cfRule type="expression" dxfId="24" priority="13">
      <formula>AA640="z"</formula>
    </cfRule>
    <cfRule type="expression" dxfId="23" priority="14">
      <formula>AA640="s"</formula>
    </cfRule>
  </conditionalFormatting>
  <conditionalFormatting sqref="Q641">
    <cfRule type="expression" dxfId="22" priority="11">
      <formula>AA641="z"</formula>
    </cfRule>
    <cfRule type="expression" dxfId="21" priority="12">
      <formula>AA641="s"</formula>
    </cfRule>
  </conditionalFormatting>
  <conditionalFormatting sqref="Q652">
    <cfRule type="expression" dxfId="20" priority="9">
      <formula>AA652="z"</formula>
    </cfRule>
    <cfRule type="expression" dxfId="19" priority="10">
      <formula>AA652="s"</formula>
    </cfRule>
  </conditionalFormatting>
  <conditionalFormatting sqref="Q657">
    <cfRule type="expression" dxfId="18" priority="7">
      <formula>AA657="z"</formula>
    </cfRule>
    <cfRule type="expression" dxfId="17" priority="8">
      <formula>AA657="s"</formula>
    </cfRule>
  </conditionalFormatting>
  <conditionalFormatting sqref="AC652">
    <cfRule type="expression" dxfId="16" priority="6">
      <formula>$AC652&gt;=$AC$2</formula>
    </cfRule>
  </conditionalFormatting>
  <conditionalFormatting sqref="AC657">
    <cfRule type="expression" dxfId="15" priority="5">
      <formula>$AC657&gt;=$AC$2</formula>
    </cfRule>
  </conditionalFormatting>
  <conditionalFormatting sqref="AC7">
    <cfRule type="expression" dxfId="14" priority="4">
      <formula>$AC7&gt;=$AC$2</formula>
    </cfRule>
  </conditionalFormatting>
  <conditionalFormatting sqref="AC530">
    <cfRule type="expression" dxfId="13" priority="3">
      <formula>$AC530&gt;=$AC$2</formula>
    </cfRule>
  </conditionalFormatting>
  <conditionalFormatting sqref="AC28">
    <cfRule type="expression" dxfId="12" priority="2">
      <formula>$AC28&gt;=$AC$2</formula>
    </cfRule>
  </conditionalFormatting>
  <conditionalFormatting sqref="AC30">
    <cfRule type="expression" dxfId="11" priority="1">
      <formula>$AC30&gt;=$AC$2</formula>
    </cfRule>
  </conditionalFormatting>
  <dataValidations disablePrompts="1" count="2">
    <dataValidation type="list" allowBlank="1" showInputMessage="1" showErrorMessage="1" sqref="W34" xr:uid="{00000000-0002-0000-0000-000000000000}">
      <formula1>$BQ$34:$BQ$35</formula1>
    </dataValidation>
    <dataValidation type="list" allowBlank="1" showInputMessage="1" showErrorMessage="1" sqref="W922" xr:uid="{00000000-0002-0000-0000-000001000000}">
      <formula1>$AD$922:$AE$922</formula1>
    </dataValidation>
  </dataValidations>
  <hyperlinks>
    <hyperlink ref="AJ97" r:id="rId1" xr:uid="{00000000-0004-0000-0000-000000000000}"/>
    <hyperlink ref="AR111" r:id="rId2" xr:uid="{00000000-0004-0000-0000-000001000000}"/>
    <hyperlink ref="AF258" r:id="rId3" xr:uid="{00000000-0004-0000-0000-000002000000}"/>
  </hyperlinks>
  <pageMargins left="0.70866141732283472" right="0.51181102362204722" top="0.74803149606299213" bottom="0.74803149606299213" header="0.31496062992125984" footer="0.31496062992125984"/>
  <pageSetup paperSize="9" orientation="portrait" horizontalDpi="1200" verticalDpi="1200" r:id="rId4"/>
  <headerFooter>
    <oddFooter>&amp;R&amp;P / &amp;N</oddFooter>
  </headerFooter>
  <legacyDrawing r:id="rId5"/>
  <extLst>
    <ext xmlns:x14="http://schemas.microsoft.com/office/spreadsheetml/2009/9/main" uri="{78C0D931-6437-407d-A8EE-F0AAD7539E65}">
      <x14:conditionalFormattings>
        <x14:conditionalFormatting xmlns:xm="http://schemas.microsoft.com/office/excel/2006/main">
          <x14:cfRule type="expression" priority="136" id="{C7E7A655-EE72-4779-9F9C-344D0832814C}">
            <xm:f>Stempel!$B$4=0</xm:f>
            <x14:dxf>
              <font>
                <color rgb="FFFF0000"/>
              </font>
            </x14:dxf>
          </x14:cfRule>
          <xm:sqref>N2</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tabColor theme="6" tint="0.39997558519241921"/>
  </sheetPr>
  <dimension ref="A1:CR122"/>
  <sheetViews>
    <sheetView showGridLines="0" showRowColHeaders="0" topLeftCell="D1" zoomScaleNormal="100" zoomScaleSheetLayoutView="100" workbookViewId="0">
      <selection activeCell="D1" sqref="D1"/>
    </sheetView>
  </sheetViews>
  <sheetFormatPr baseColWidth="10" defaultColWidth="11.5" defaultRowHeight="15"/>
  <cols>
    <col min="1" max="3" width="4.83203125" style="16" hidden="1" customWidth="1"/>
    <col min="4" max="4" width="4.33203125" style="16" customWidth="1"/>
    <col min="5" max="5" width="8.1640625" style="501" hidden="1" customWidth="1"/>
    <col min="6" max="6" width="3.33203125" style="16" customWidth="1"/>
    <col min="7" max="7" width="17.33203125" style="16" customWidth="1"/>
    <col min="8" max="8" width="0.5" style="16" customWidth="1"/>
    <col min="9" max="10" width="8.1640625" style="16" customWidth="1"/>
    <col min="11" max="11" width="0.5" style="16" customWidth="1"/>
    <col min="12" max="13" width="9" style="16" customWidth="1"/>
    <col min="14" max="14" width="0.83203125" style="16" customWidth="1"/>
    <col min="15" max="16" width="8.5" style="16" customWidth="1"/>
    <col min="17" max="17" width="0.5" style="16" customWidth="1"/>
    <col min="18" max="19" width="7.5" style="16" customWidth="1"/>
    <col min="20" max="20" width="13.5" style="16" customWidth="1"/>
    <col min="21" max="21" width="11.5" style="54" customWidth="1"/>
    <col min="22" max="22" width="7.5" style="54" customWidth="1"/>
    <col min="23" max="23" width="4.5" style="16" customWidth="1"/>
    <col min="24" max="24" width="3.5" style="16" hidden="1" customWidth="1"/>
    <col min="25" max="26" width="9.5" style="16" hidden="1" customWidth="1"/>
    <col min="27" max="27" width="0.5" style="16" hidden="1" customWidth="1"/>
    <col min="28" max="29" width="9.5" style="16" hidden="1" customWidth="1"/>
    <col min="30" max="43" width="0" style="16" hidden="1" customWidth="1"/>
    <col min="44" max="16384" width="11.5" style="16"/>
  </cols>
  <sheetData>
    <row r="1" spans="1:96">
      <c r="A1" s="943" t="s">
        <v>1883</v>
      </c>
      <c r="D1" s="607"/>
      <c r="E1" s="27"/>
      <c r="U1" s="2"/>
      <c r="V1" s="2"/>
      <c r="AB1" s="452" t="str">
        <f ca="1">"'"&amp;MID(AF1,FIND("]",AF1)+1,255)&amp;"'"</f>
        <v>'7.VerbrauchStatus'</v>
      </c>
      <c r="AE1" s="452" t="str">
        <f ca="1">MID(AF1,FIND("]",AF1)+1,255)</f>
        <v>7.VerbrauchStatus</v>
      </c>
      <c r="AF1" s="350" t="str">
        <f ca="1">CELL("dateiname",AF1)</f>
        <v>/Users/izzetkilicarslan/PycharmProjects/Masterarbeit_100prosim/Excel_import/Python_Modell/[D_Python.xlsx]7.VerbrauchStatus</v>
      </c>
      <c r="AG1" s="472"/>
      <c r="AH1" s="472"/>
      <c r="AI1" s="472"/>
      <c r="BM1" s="494" t="s">
        <v>209</v>
      </c>
      <c r="BN1" s="16" t="str">
        <f ca="1">BO1&amp;BQ1</f>
        <v>D_Python.7.</v>
      </c>
      <c r="BO1" s="472" t="str">
        <f ca="1">BP1</f>
        <v>D_Python.</v>
      </c>
      <c r="BP1" s="452" t="str">
        <f ca="1">MID(BS1,FIND("[",BS1)+1,FIND("xls",BS1)-FIND("[",BS1)-1)</f>
        <v>D_Python.</v>
      </c>
      <c r="BQ1" s="452" t="str">
        <f ca="1">LEFT(BR1,FIND(".",BR1))</f>
        <v>7.</v>
      </c>
      <c r="BR1" s="452" t="str">
        <f ca="1">MID(BS1,FIND("]",BS1)+1,255)</f>
        <v>7.VerbrauchStatus</v>
      </c>
      <c r="BS1" s="350" t="str">
        <f ca="1">CELL("dateiname",BS1)</f>
        <v>/Users/izzetkilicarslan/PycharmProjects/Masterarbeit_100prosim/Excel_import/Python_Modell/[D_Python.xlsx]7.VerbrauchStatus</v>
      </c>
      <c r="BT1" s="472"/>
      <c r="BU1" s="472"/>
      <c r="BV1" s="472"/>
      <c r="BW1" s="472"/>
      <c r="BX1" s="472"/>
      <c r="BY1" s="472" t="s">
        <v>197</v>
      </c>
      <c r="BZ1" s="472" t="s">
        <v>198</v>
      </c>
      <c r="CC1" s="13" t="str">
        <f ca="1">"["&amp;BP1&amp;"xlsx]"</f>
        <v>[D_Python.xlsx]</v>
      </c>
      <c r="CD1" s="13"/>
      <c r="CE1" s="13" t="str">
        <f ca="1">BP1&amp;BR1&amp;" - "</f>
        <v xml:space="preserve">D_Python.7.VerbrauchStatus - </v>
      </c>
      <c r="CF1" s="13" t="str">
        <f>"Szenario '"&amp;[1]I_!K4&amp;"' ("&amp;[1]I_!S6&amp;")"</f>
        <v>Szenario 'Deutschland 100%EE' (200822)</v>
      </c>
      <c r="CG1" s="13"/>
      <c r="CH1" s="13"/>
      <c r="CI1" s="608" t="e">
        <f>#REF!</f>
        <v>#REF!</v>
      </c>
      <c r="CJ1" s="350" t="str">
        <f ca="1">TEXT(TODAY(),"tt.MM.jjjj")</f>
        <v>23.03.2021</v>
      </c>
      <c r="CK1" s="472" t="str">
        <f ca="1">TEXT(NOW(),"hh:mm")</f>
        <v>10:34</v>
      </c>
      <c r="CL1" s="472" t="e">
        <f ca="1">"100prosim ("&amp;BP1&amp;".xlsx, V."&amp;CI1&amp;")   -   "&amp;CJ1&amp;"  "&amp;CK1</f>
        <v>#REF!</v>
      </c>
      <c r="CM1" s="472"/>
      <c r="CN1" s="472"/>
      <c r="CO1" s="472"/>
      <c r="CP1" s="13"/>
      <c r="CQ1" s="16" t="s">
        <v>453</v>
      </c>
      <c r="CR1" s="13" t="s">
        <v>454</v>
      </c>
    </row>
    <row r="2" spans="1:96">
      <c r="D2" s="609"/>
      <c r="E2" s="13"/>
      <c r="F2" s="13"/>
      <c r="G2" s="13"/>
      <c r="H2" s="610"/>
      <c r="I2" s="450"/>
      <c r="J2" s="450"/>
      <c r="K2" s="610"/>
      <c r="L2" s="450"/>
      <c r="M2" s="450"/>
      <c r="N2" s="898"/>
      <c r="O2" s="450"/>
      <c r="V2" s="950" t="str">
        <f ca="1">Stempel!$A$11&amp;" - "&amp;Stempel!$B$13&amp;" "&amp;Stempel!$B$14</f>
        <v>100prosim (D_Python.xlsx, 200818.2120_hsk) - 23.03.2021 10:34</v>
      </c>
    </row>
    <row r="3" spans="1:96" ht="18">
      <c r="D3" s="782" t="str">
        <f ca="1">CE1&amp;CF1</f>
        <v>D_Python.7.VerbrauchStatus - Szenario 'Deutschland 100%EE' (200822)</v>
      </c>
      <c r="E3" s="553"/>
      <c r="F3" s="553"/>
      <c r="G3" s="553"/>
      <c r="H3" s="554"/>
      <c r="I3" s="555"/>
      <c r="J3" s="555"/>
      <c r="K3" s="555"/>
      <c r="L3" s="611"/>
      <c r="M3" s="612"/>
      <c r="N3" s="613"/>
      <c r="O3" s="555"/>
      <c r="P3" s="555"/>
      <c r="Q3" s="555"/>
      <c r="R3" s="555"/>
      <c r="S3" s="555"/>
      <c r="T3" s="555"/>
      <c r="U3" s="555"/>
      <c r="V3" s="555"/>
    </row>
    <row r="4" spans="1:96">
      <c r="A4" s="607" t="str">
        <f t="shared" ref="A4:A32" ca="1" si="0">BO$1&amp;B4</f>
        <v>D_Python.4</v>
      </c>
      <c r="B4" s="607">
        <v>4</v>
      </c>
      <c r="C4" s="607" t="str">
        <f t="shared" ref="C4:C80" si="1">"["&amp;D4&amp;"] "</f>
        <v xml:space="preserve">[4] </v>
      </c>
      <c r="D4" s="607">
        <f>ROW()</f>
        <v>4</v>
      </c>
      <c r="E4" s="616"/>
      <c r="F4" s="615"/>
      <c r="G4" s="616"/>
      <c r="H4" s="616"/>
      <c r="I4" s="616"/>
      <c r="J4" s="616"/>
      <c r="K4" s="616"/>
      <c r="L4" s="616"/>
      <c r="M4" s="616"/>
      <c r="N4" s="617"/>
      <c r="O4" s="616"/>
      <c r="U4" s="2"/>
      <c r="V4" s="2"/>
      <c r="AB4" s="126">
        <v>1000000</v>
      </c>
      <c r="AC4" s="16" t="s">
        <v>2</v>
      </c>
    </row>
    <row r="5" spans="1:96" ht="19" hidden="1">
      <c r="A5" s="607" t="str">
        <f t="shared" ca="1" si="0"/>
        <v>D_Python.7.5</v>
      </c>
      <c r="B5" s="607" t="str">
        <f t="shared" ref="B5:B81" ca="1" si="2">BQ$1&amp;D5</f>
        <v>7.5</v>
      </c>
      <c r="C5" s="607" t="str">
        <f t="shared" si="1"/>
        <v xml:space="preserve">[5] </v>
      </c>
      <c r="D5" s="607">
        <f>ROW()</f>
        <v>5</v>
      </c>
      <c r="E5" s="751"/>
      <c r="F5" s="618" t="s">
        <v>455</v>
      </c>
      <c r="G5" s="614"/>
      <c r="H5" s="614"/>
      <c r="I5" s="614"/>
      <c r="J5" s="619"/>
      <c r="K5" s="620"/>
      <c r="L5" s="1169">
        <f>'[1]3. Bedarfsniveau'!L10</f>
        <v>82175684</v>
      </c>
      <c r="M5" s="1170"/>
      <c r="N5" s="621"/>
      <c r="O5" s="622" t="str">
        <f>"["&amp;'[1]3. Bedarfsniveau'!B10&amp;"]"</f>
        <v>[3.10]</v>
      </c>
      <c r="U5" s="2"/>
      <c r="V5" s="2"/>
      <c r="AC5" s="16" t="s">
        <v>3</v>
      </c>
    </row>
    <row r="6" spans="1:96" hidden="1">
      <c r="A6" s="607" t="str">
        <f t="shared" ca="1" si="0"/>
        <v>D_Python.7.6</v>
      </c>
      <c r="B6" s="607" t="str">
        <f t="shared" ca="1" si="2"/>
        <v>7.6</v>
      </c>
      <c r="C6" s="607" t="str">
        <f t="shared" si="1"/>
        <v xml:space="preserve">[6] </v>
      </c>
      <c r="D6" s="607">
        <f>ROW()</f>
        <v>6</v>
      </c>
      <c r="E6" s="751"/>
      <c r="U6" s="2"/>
      <c r="V6" s="2"/>
    </row>
    <row r="7" spans="1:96" ht="19" hidden="1">
      <c r="A7" s="607" t="str">
        <f t="shared" ca="1" si="0"/>
        <v>D_Python.7.7</v>
      </c>
      <c r="B7" s="607" t="str">
        <f t="shared" ca="1" si="2"/>
        <v>7.7</v>
      </c>
      <c r="C7" s="607" t="str">
        <f t="shared" si="1"/>
        <v xml:space="preserve">[7] </v>
      </c>
      <c r="D7" s="607">
        <f>ROW()</f>
        <v>7</v>
      </c>
      <c r="E7" s="751"/>
      <c r="F7" s="4" t="s">
        <v>456</v>
      </c>
      <c r="AJ7" s="4" t="s">
        <v>18</v>
      </c>
      <c r="AK7" s="4"/>
    </row>
    <row r="8" spans="1:96" hidden="1">
      <c r="A8" s="607" t="str">
        <f t="shared" ca="1" si="0"/>
        <v>D_Python.7.8</v>
      </c>
      <c r="B8" s="607" t="str">
        <f t="shared" ca="1" si="2"/>
        <v>7.8</v>
      </c>
      <c r="C8" s="607" t="str">
        <f t="shared" si="1"/>
        <v xml:space="preserve">[8] </v>
      </c>
      <c r="D8" s="607">
        <f>ROW()</f>
        <v>8</v>
      </c>
      <c r="E8" s="751"/>
      <c r="F8" s="24"/>
      <c r="G8" s="70" t="s">
        <v>15</v>
      </c>
      <c r="H8" s="1171" t="str">
        <f>H48</f>
        <v>Anwendung</v>
      </c>
      <c r="I8" s="1172"/>
      <c r="J8" s="1172"/>
      <c r="K8" s="1172"/>
      <c r="L8" s="1172"/>
      <c r="M8" s="1172"/>
      <c r="N8" s="1172"/>
      <c r="O8" s="1172"/>
      <c r="P8" s="1172"/>
      <c r="Q8" s="1172"/>
      <c r="R8" s="1172"/>
      <c r="S8" s="1173"/>
      <c r="T8" s="31"/>
      <c r="U8" s="194"/>
      <c r="AJ8" s="143" t="s">
        <v>19</v>
      </c>
      <c r="AK8" s="143"/>
    </row>
    <row r="9" spans="1:96" hidden="1">
      <c r="A9" s="607" t="str">
        <f t="shared" ca="1" si="0"/>
        <v>D_Python.7.9</v>
      </c>
      <c r="B9" s="607" t="str">
        <f t="shared" ca="1" si="2"/>
        <v>7.9</v>
      </c>
      <c r="C9" s="607" t="str">
        <f t="shared" si="1"/>
        <v xml:space="preserve">[9] </v>
      </c>
      <c r="D9" s="607">
        <f>ROW()</f>
        <v>9</v>
      </c>
      <c r="E9" s="751"/>
      <c r="F9" s="28"/>
      <c r="G9" s="17"/>
      <c r="H9" s="1174" t="str">
        <f>H49</f>
        <v>Kraft/Licht/
IKT/Kälte</v>
      </c>
      <c r="I9" s="1175"/>
      <c r="J9" s="1176"/>
      <c r="K9" s="1180" t="str">
        <f>K49</f>
        <v>Gebäudewärme</v>
      </c>
      <c r="L9" s="1181"/>
      <c r="M9" s="1182"/>
      <c r="N9" s="1183" t="str">
        <f>N49</f>
        <v>Prozess-
wärme</v>
      </c>
      <c r="O9" s="1184"/>
      <c r="P9" s="1185"/>
      <c r="Q9" s="1189" t="str">
        <f>Q49</f>
        <v>Mobile Anwend.</v>
      </c>
      <c r="R9" s="1190"/>
      <c r="S9" s="1190"/>
      <c r="T9" s="32" t="str">
        <f>T49</f>
        <v>insgesamt</v>
      </c>
      <c r="U9" s="195" t="str">
        <f>U49</f>
        <v>Nicht-</v>
      </c>
      <c r="AH9" s="16" t="s">
        <v>14</v>
      </c>
      <c r="AJ9" s="1191" t="str">
        <f>K9</f>
        <v>Gebäudewärme</v>
      </c>
      <c r="AK9" s="1192"/>
      <c r="AL9" s="1193"/>
      <c r="AM9" s="1183" t="str">
        <f>N9</f>
        <v>Prozess-
wärme</v>
      </c>
      <c r="AN9" s="1184"/>
      <c r="AO9" s="1185"/>
    </row>
    <row r="10" spans="1:96" ht="16" hidden="1" thickBot="1">
      <c r="A10" s="607" t="str">
        <f t="shared" ca="1" si="0"/>
        <v>D_Python.7.10</v>
      </c>
      <c r="B10" s="607" t="str">
        <f t="shared" ca="1" si="2"/>
        <v>7.10</v>
      </c>
      <c r="C10" s="607" t="str">
        <f t="shared" si="1"/>
        <v xml:space="preserve">[10] </v>
      </c>
      <c r="D10" s="607">
        <f>ROW()</f>
        <v>10</v>
      </c>
      <c r="E10" s="751"/>
      <c r="F10" s="25"/>
      <c r="G10" s="29"/>
      <c r="H10" s="1177"/>
      <c r="I10" s="1178"/>
      <c r="J10" s="1179"/>
      <c r="K10" s="1194" t="str">
        <f>K50</f>
        <v>Raumw.</v>
      </c>
      <c r="L10" s="1195"/>
      <c r="M10" s="30" t="str">
        <f>M50</f>
        <v>Warmwas.</v>
      </c>
      <c r="N10" s="1186"/>
      <c r="O10" s="1187"/>
      <c r="P10" s="1188"/>
      <c r="Q10" s="1196" t="str">
        <f>Q50</f>
        <v>Boden+</v>
      </c>
      <c r="R10" s="1197"/>
      <c r="S10" s="147" t="str">
        <f>S50</f>
        <v>Luft</v>
      </c>
      <c r="T10" s="33"/>
      <c r="U10" s="195" t="str">
        <f>U50</f>
        <v>energet.</v>
      </c>
      <c r="AJ10" s="1194" t="str">
        <f>K10</f>
        <v>Raumw.</v>
      </c>
      <c r="AK10" s="1195"/>
      <c r="AL10" s="30" t="str">
        <f>M10</f>
        <v>Warmwas.</v>
      </c>
      <c r="AM10" s="1186">
        <f>N10</f>
        <v>0</v>
      </c>
      <c r="AN10" s="1187"/>
      <c r="AO10" s="1188">
        <f>P10</f>
        <v>0</v>
      </c>
    </row>
    <row r="11" spans="1:96" ht="16" hidden="1" thickTop="1">
      <c r="A11" s="607" t="str">
        <f t="shared" ca="1" si="0"/>
        <v>D_Python.7.11</v>
      </c>
      <c r="B11" s="607" t="str">
        <f t="shared" ca="1" si="2"/>
        <v>7.11</v>
      </c>
      <c r="C11" s="607" t="str">
        <f t="shared" si="1"/>
        <v xml:space="preserve">[11] </v>
      </c>
      <c r="D11" s="607">
        <f>ROW()</f>
        <v>11</v>
      </c>
      <c r="E11" s="751"/>
      <c r="F11" s="1198" t="str">
        <f>F51</f>
        <v>Endenergie-Träger</v>
      </c>
      <c r="G11" s="56" t="str">
        <f>G51</f>
        <v>Strom</v>
      </c>
      <c r="H11" s="1201">
        <f>H51*$L$5/$AB$4</f>
        <v>385953.0722430899</v>
      </c>
      <c r="I11" s="1202"/>
      <c r="J11" s="1203"/>
      <c r="K11" s="1204">
        <f>K51*$L$5/$AB$4</f>
        <v>40480.425057887071</v>
      </c>
      <c r="L11" s="1205"/>
      <c r="M11" s="1206"/>
      <c r="N11" s="1207">
        <f>N51*$L$5/$AB$4</f>
        <v>86687.072707996209</v>
      </c>
      <c r="O11" s="1202"/>
      <c r="P11" s="1203"/>
      <c r="Q11" s="1204">
        <f>Q51*$L$5/$AB$4</f>
        <v>16838.496137524449</v>
      </c>
      <c r="R11" s="1205"/>
      <c r="S11" s="1208"/>
      <c r="T11" s="57">
        <f>SUM(H11:S11)</f>
        <v>529959.06614649773</v>
      </c>
      <c r="U11" s="202"/>
      <c r="V11" s="622" t="str">
        <f t="shared" ref="V11:V21" si="3">C51&amp;C$5</f>
        <v xml:space="preserve">[51] [5] </v>
      </c>
      <c r="AJ11" s="1204">
        <f>K11*K79%</f>
        <v>40480.425057887071</v>
      </c>
      <c r="AK11" s="1205"/>
      <c r="AL11" s="1206"/>
      <c r="AM11" s="1204">
        <f>N11*N79%</f>
        <v>86687.072707996209</v>
      </c>
      <c r="AN11" s="1205"/>
      <c r="AO11" s="1206"/>
    </row>
    <row r="12" spans="1:96" hidden="1">
      <c r="A12" s="607" t="str">
        <f t="shared" ca="1" si="0"/>
        <v>D_Python.7.12</v>
      </c>
      <c r="B12" s="607" t="str">
        <f t="shared" ca="1" si="2"/>
        <v>7.12</v>
      </c>
      <c r="C12" s="607" t="str">
        <f t="shared" si="1"/>
        <v xml:space="preserve">[12] </v>
      </c>
      <c r="D12" s="607">
        <f>ROW()</f>
        <v>12</v>
      </c>
      <c r="E12" s="751"/>
      <c r="F12" s="1199"/>
      <c r="G12" s="37"/>
      <c r="H12" s="151"/>
      <c r="I12" s="152"/>
      <c r="J12" s="109"/>
      <c r="K12" s="39"/>
      <c r="L12" s="40">
        <f>L52*$L$5/$AB$4</f>
        <v>14372.251753745615</v>
      </c>
      <c r="M12" s="41">
        <f>M52*$L$5/$AB$4</f>
        <v>26108.173304141448</v>
      </c>
      <c r="N12" s="113"/>
      <c r="O12" s="112"/>
      <c r="P12" s="42"/>
      <c r="Q12" s="39"/>
      <c r="R12" s="40">
        <f>R52*$L$5/$AB$4</f>
        <v>16838.496137524449</v>
      </c>
      <c r="S12" s="43">
        <f>S52*$L$5/$AB$4</f>
        <v>0</v>
      </c>
      <c r="T12" s="44"/>
      <c r="U12" s="196"/>
      <c r="V12" s="622" t="str">
        <f t="shared" si="3"/>
        <v xml:space="preserve">[52] [5] </v>
      </c>
      <c r="AH12" s="16">
        <f>M12/(L12+M12)%</f>
        <v>64.495798319327733</v>
      </c>
      <c r="AJ12" s="39"/>
      <c r="AK12" s="40">
        <f>L12*K79%</f>
        <v>14372.251753745615</v>
      </c>
      <c r="AL12" s="40">
        <f>M12*K79%</f>
        <v>26108.173304141448</v>
      </c>
      <c r="AM12" s="113"/>
      <c r="AN12" s="40"/>
      <c r="AO12" s="41"/>
    </row>
    <row r="13" spans="1:96" hidden="1">
      <c r="A13" s="607" t="str">
        <f t="shared" ca="1" si="0"/>
        <v>D_Python.7.13</v>
      </c>
      <c r="B13" s="607" t="str">
        <f t="shared" ca="1" si="2"/>
        <v>7.13</v>
      </c>
      <c r="C13" s="607" t="str">
        <f t="shared" si="1"/>
        <v xml:space="preserve">[13] </v>
      </c>
      <c r="D13" s="607">
        <f>ROW()</f>
        <v>13</v>
      </c>
      <c r="E13" s="751"/>
      <c r="F13" s="1199"/>
      <c r="G13" s="58" t="str">
        <f>G53</f>
        <v>Brennst.gasförm.</v>
      </c>
      <c r="H13" s="1209">
        <f>H53*$L$5/$AB$4</f>
        <v>0</v>
      </c>
      <c r="I13" s="1210"/>
      <c r="J13" s="1211"/>
      <c r="K13" s="1212">
        <f>K53*$L$5/$AB$4</f>
        <v>408772.91970219294</v>
      </c>
      <c r="L13" s="1210"/>
      <c r="M13" s="1211"/>
      <c r="N13" s="1212">
        <f>N53*$L$5/$AB$4</f>
        <v>234916.8644640827</v>
      </c>
      <c r="O13" s="1210"/>
      <c r="P13" s="1211"/>
      <c r="Q13" s="1212">
        <f>Q53*$L$5/$AB$4</f>
        <v>6622.0079086291453</v>
      </c>
      <c r="R13" s="1210"/>
      <c r="S13" s="1213"/>
      <c r="T13" s="59">
        <f>SUM(H13:S13)</f>
        <v>650311.79207490478</v>
      </c>
      <c r="U13" s="623">
        <f>U53*$L$5/$AB$4</f>
        <v>26514.961889281978</v>
      </c>
      <c r="V13" s="622" t="str">
        <f t="shared" si="3"/>
        <v xml:space="preserve">[53] [5] </v>
      </c>
      <c r="AJ13" s="1204">
        <f>K13*K80%</f>
        <v>347456.98174686398</v>
      </c>
      <c r="AK13" s="1205"/>
      <c r="AL13" s="1206"/>
      <c r="AM13" s="1204">
        <f>N13*N80%</f>
        <v>211425.17801767442</v>
      </c>
      <c r="AN13" s="1205"/>
      <c r="AO13" s="1206"/>
    </row>
    <row r="14" spans="1:96" hidden="1">
      <c r="A14" s="607" t="str">
        <f t="shared" ca="1" si="0"/>
        <v>D_Python.7.14</v>
      </c>
      <c r="B14" s="607" t="str">
        <f t="shared" ca="1" si="2"/>
        <v>7.14</v>
      </c>
      <c r="C14" s="607" t="str">
        <f t="shared" si="1"/>
        <v xml:space="preserve">[14] </v>
      </c>
      <c r="D14" s="607">
        <f>ROW()</f>
        <v>14</v>
      </c>
      <c r="E14" s="751"/>
      <c r="F14" s="1199"/>
      <c r="G14" s="37"/>
      <c r="H14" s="151"/>
      <c r="I14" s="152"/>
      <c r="J14" s="109"/>
      <c r="K14" s="39"/>
      <c r="L14" s="40">
        <f>L54*$L$5/$AB$4</f>
        <v>347201.85301750753</v>
      </c>
      <c r="M14" s="41">
        <f>M54*$L$5/$AB$4</f>
        <v>61571.066684685364</v>
      </c>
      <c r="N14" s="39"/>
      <c r="O14" s="152"/>
      <c r="P14" s="109"/>
      <c r="Q14" s="39"/>
      <c r="R14" s="40">
        <f>R54*$L$5/$AB$4</f>
        <v>6622.0079086291453</v>
      </c>
      <c r="S14" s="43">
        <f>S54*$L$5/$AB$4</f>
        <v>0</v>
      </c>
      <c r="T14" s="44"/>
      <c r="U14" s="196"/>
      <c r="V14" s="622" t="str">
        <f t="shared" si="3"/>
        <v xml:space="preserve">[54] [5] </v>
      </c>
      <c r="AH14" s="16">
        <f>M14/(L14+M14)%</f>
        <v>15.0624133148405</v>
      </c>
      <c r="AJ14" s="39"/>
      <c r="AK14" s="40">
        <f>L14*K80%</f>
        <v>295121.57506488141</v>
      </c>
      <c r="AL14" s="40">
        <f>M14*K80%</f>
        <v>52335.40668198256</v>
      </c>
      <c r="AM14" s="39"/>
      <c r="AN14" s="40"/>
      <c r="AO14" s="41"/>
    </row>
    <row r="15" spans="1:96" hidden="1">
      <c r="A15" s="607" t="str">
        <f t="shared" ca="1" si="0"/>
        <v>D_Python.7.15</v>
      </c>
      <c r="B15" s="607" t="str">
        <f t="shared" ca="1" si="2"/>
        <v>7.15</v>
      </c>
      <c r="C15" s="607" t="str">
        <f t="shared" si="1"/>
        <v xml:space="preserve">[15] </v>
      </c>
      <c r="D15" s="607">
        <f>ROW()</f>
        <v>15</v>
      </c>
      <c r="E15" s="751"/>
      <c r="F15" s="1199"/>
      <c r="G15" s="60" t="str">
        <f>G55</f>
        <v>Brennst.flüssig</v>
      </c>
      <c r="H15" s="1209">
        <f>H55*$L$5/$AB$4</f>
        <v>0</v>
      </c>
      <c r="I15" s="1210"/>
      <c r="J15" s="1211"/>
      <c r="K15" s="1212">
        <f>K55*$L$5/$AB$4</f>
        <v>196335.73105807131</v>
      </c>
      <c r="L15" s="1210"/>
      <c r="M15" s="1211"/>
      <c r="N15" s="1212">
        <f>N55*$L$5/$AB$4</f>
        <v>27412.164587518764</v>
      </c>
      <c r="O15" s="1210"/>
      <c r="P15" s="1211"/>
      <c r="Q15" s="1212">
        <f>Q55*$L$5/$AB$4</f>
        <v>771194.73219818773</v>
      </c>
      <c r="R15" s="1210"/>
      <c r="S15" s="1213"/>
      <c r="T15" s="61">
        <f>SUM(H15:S15)</f>
        <v>994942.62784377777</v>
      </c>
      <c r="U15" s="624">
        <f>U55*$L$5/$AB$4</f>
        <v>243425.69106448564</v>
      </c>
      <c r="V15" s="622" t="str">
        <f t="shared" si="3"/>
        <v xml:space="preserve">[55] [5] </v>
      </c>
      <c r="AJ15" s="1204">
        <f>K15*K81%</f>
        <v>157068.58484645706</v>
      </c>
      <c r="AK15" s="1205"/>
      <c r="AL15" s="1206"/>
      <c r="AM15" s="1204">
        <f>N15*N81%</f>
        <v>23300.33989939095</v>
      </c>
      <c r="AN15" s="1205"/>
      <c r="AO15" s="1206"/>
    </row>
    <row r="16" spans="1:96" hidden="1">
      <c r="A16" s="607" t="str">
        <f t="shared" ca="1" si="0"/>
        <v>D_Python.7.16</v>
      </c>
      <c r="B16" s="607" t="str">
        <f t="shared" ca="1" si="2"/>
        <v>7.16</v>
      </c>
      <c r="C16" s="607" t="str">
        <f t="shared" si="1"/>
        <v xml:space="preserve">[16] </v>
      </c>
      <c r="D16" s="607">
        <f>ROW()</f>
        <v>16</v>
      </c>
      <c r="E16" s="751"/>
      <c r="F16" s="1199"/>
      <c r="G16" s="37"/>
      <c r="H16" s="151"/>
      <c r="I16" s="152"/>
      <c r="J16" s="109"/>
      <c r="K16" s="39"/>
      <c r="L16" s="40">
        <f>L56*$L$5/$AB$4</f>
        <v>168980.26174374283</v>
      </c>
      <c r="M16" s="41">
        <f>M56*$L$5/$AB$4</f>
        <v>27355.469314328446</v>
      </c>
      <c r="N16" s="39"/>
      <c r="O16" s="152"/>
      <c r="P16" s="109"/>
      <c r="Q16" s="39"/>
      <c r="R16" s="40">
        <f>R56*$L$5/$AB$4</f>
        <v>662430.2366335158</v>
      </c>
      <c r="S16" s="43">
        <f>S56*$L$5/$AB$4</f>
        <v>108764.49556467203</v>
      </c>
      <c r="T16" s="44"/>
      <c r="U16" s="196"/>
      <c r="V16" s="622" t="str">
        <f t="shared" si="3"/>
        <v xml:space="preserve">[56] [5] </v>
      </c>
      <c r="AH16" s="16">
        <f>M16/(L16+M16)%</f>
        <v>13.933006064106269</v>
      </c>
      <c r="AJ16" s="39"/>
      <c r="AK16" s="40">
        <f>L16*K81%</f>
        <v>135184.20939499428</v>
      </c>
      <c r="AL16" s="40">
        <f>M16*K81%</f>
        <v>21884.375451462758</v>
      </c>
      <c r="AM16" s="39"/>
      <c r="AN16" s="40"/>
      <c r="AO16" s="41"/>
    </row>
    <row r="17" spans="1:41" hidden="1">
      <c r="A17" s="607" t="str">
        <f t="shared" ca="1" si="0"/>
        <v>D_Python.7.17</v>
      </c>
      <c r="B17" s="607" t="str">
        <f t="shared" ca="1" si="2"/>
        <v>7.17</v>
      </c>
      <c r="C17" s="607" t="str">
        <f t="shared" si="1"/>
        <v xml:space="preserve">[17] </v>
      </c>
      <c r="D17" s="607">
        <f>ROW()</f>
        <v>17</v>
      </c>
      <c r="E17" s="751"/>
      <c r="F17" s="1199"/>
      <c r="G17" s="62" t="str">
        <f>G57</f>
        <v>Brennst.fest</v>
      </c>
      <c r="H17" s="1209">
        <f>H57*$L$5/$AB$4</f>
        <v>0</v>
      </c>
      <c r="I17" s="1210"/>
      <c r="J17" s="1211"/>
      <c r="K17" s="1212">
        <f>K57*$L$5/$AB$4</f>
        <v>97782.337671341505</v>
      </c>
      <c r="L17" s="1210"/>
      <c r="M17" s="1211"/>
      <c r="N17" s="1212">
        <f>N57*$L$5/$AB$4</f>
        <v>123504.98311778877</v>
      </c>
      <c r="O17" s="1210"/>
      <c r="P17" s="1211"/>
      <c r="Q17" s="1212">
        <f>Q57*$L$5/$AB$4</f>
        <v>0</v>
      </c>
      <c r="R17" s="1210"/>
      <c r="S17" s="1210"/>
      <c r="T17" s="63">
        <f>SUM(H17:S17)</f>
        <v>221287.32078913029</v>
      </c>
      <c r="U17" s="625">
        <f>U57*$L$5/$AB$4</f>
        <v>6783.0224844896475</v>
      </c>
      <c r="V17" s="622" t="str">
        <f t="shared" si="3"/>
        <v xml:space="preserve">[57] [5] </v>
      </c>
      <c r="AJ17" s="1204">
        <f>K17*K82%</f>
        <v>73336.753253506133</v>
      </c>
      <c r="AK17" s="1205"/>
      <c r="AL17" s="1206"/>
      <c r="AM17" s="1204">
        <f>N17*N82%</f>
        <v>98803.986494231023</v>
      </c>
      <c r="AN17" s="1205"/>
      <c r="AO17" s="1206"/>
    </row>
    <row r="18" spans="1:41" hidden="1">
      <c r="A18" s="607" t="str">
        <f t="shared" ca="1" si="0"/>
        <v>D_Python.7.18</v>
      </c>
      <c r="B18" s="607" t="str">
        <f t="shared" ca="1" si="2"/>
        <v>7.18</v>
      </c>
      <c r="C18" s="607" t="str">
        <f t="shared" si="1"/>
        <v xml:space="preserve">[18] </v>
      </c>
      <c r="D18" s="607">
        <f>ROW()</f>
        <v>18</v>
      </c>
      <c r="E18" s="751"/>
      <c r="F18" s="1199"/>
      <c r="G18" s="26"/>
      <c r="H18" s="151"/>
      <c r="I18" s="152"/>
      <c r="J18" s="109"/>
      <c r="K18" s="39"/>
      <c r="L18" s="40">
        <f>L58*$L$5/$AB$4</f>
        <v>95119.005516869176</v>
      </c>
      <c r="M18" s="41">
        <f>M58*$L$5/$AB$4</f>
        <v>2663.3321544723267</v>
      </c>
      <c r="N18" s="39"/>
      <c r="O18" s="152"/>
      <c r="P18" s="109"/>
      <c r="Q18" s="39"/>
      <c r="R18" s="40">
        <f>R58*$L$5/$AB$4</f>
        <v>0</v>
      </c>
      <c r="S18" s="43">
        <f>S58*$L$5/$AB$4</f>
        <v>0</v>
      </c>
      <c r="T18" s="44"/>
      <c r="U18" s="196"/>
      <c r="V18" s="622" t="str">
        <f t="shared" si="3"/>
        <v xml:space="preserve">[58] [5] </v>
      </c>
      <c r="AH18" s="16">
        <f>M18/(L18+M18)%</f>
        <v>2.7237354085603007</v>
      </c>
      <c r="AJ18" s="39"/>
      <c r="AK18" s="40">
        <f>L18*K82%</f>
        <v>71339.254137651878</v>
      </c>
      <c r="AL18" s="40">
        <f>M18*K82%</f>
        <v>1997.499115854245</v>
      </c>
      <c r="AM18" s="39"/>
      <c r="AN18" s="152"/>
      <c r="AO18" s="109"/>
    </row>
    <row r="19" spans="1:41" hidden="1">
      <c r="A19" s="607" t="str">
        <f t="shared" ca="1" si="0"/>
        <v>D_Python.7.19</v>
      </c>
      <c r="B19" s="607" t="str">
        <f t="shared" ca="1" si="2"/>
        <v>7.19</v>
      </c>
      <c r="C19" s="607" t="str">
        <f t="shared" si="1"/>
        <v xml:space="preserve">[19] </v>
      </c>
      <c r="D19" s="607">
        <f>ROW()</f>
        <v>19</v>
      </c>
      <c r="E19" s="751"/>
      <c r="F19" s="1199"/>
      <c r="G19" s="64" t="str">
        <f>G59</f>
        <v xml:space="preserve">Wärme </v>
      </c>
      <c r="H19" s="1209">
        <f>H59*$L$5/$AB$4</f>
        <v>0</v>
      </c>
      <c r="I19" s="1210"/>
      <c r="J19" s="1211"/>
      <c r="K19" s="1212">
        <f>K59*$L$5/$AB$4</f>
        <v>151463.48188592552</v>
      </c>
      <c r="L19" s="1210"/>
      <c r="M19" s="1211"/>
      <c r="N19" s="1212">
        <f>N59*$L$5/$AB$4</f>
        <v>58311.088476242083</v>
      </c>
      <c r="O19" s="1210"/>
      <c r="P19" s="1211"/>
      <c r="Q19" s="1212">
        <f>Q59*$L$5/$AB$4</f>
        <v>0</v>
      </c>
      <c r="R19" s="1210"/>
      <c r="S19" s="1210"/>
      <c r="T19" s="65">
        <f>SUM(H19:S19)</f>
        <v>209774.57036216761</v>
      </c>
      <c r="U19" s="201"/>
      <c r="V19" s="622" t="str">
        <f t="shared" si="3"/>
        <v xml:space="preserve">[59] [5] </v>
      </c>
      <c r="AJ19" s="1204">
        <f>K19*K$83%</f>
        <v>151463.48188592552</v>
      </c>
      <c r="AK19" s="1205"/>
      <c r="AL19" s="1206"/>
      <c r="AM19" s="1204">
        <f>N19*N83%</f>
        <v>58311.088476242083</v>
      </c>
      <c r="AN19" s="1205"/>
      <c r="AO19" s="1206"/>
    </row>
    <row r="20" spans="1:41" ht="16" hidden="1" thickBot="1">
      <c r="A20" s="607" t="str">
        <f t="shared" ca="1" si="0"/>
        <v>D_Python.7.20</v>
      </c>
      <c r="B20" s="607" t="str">
        <f t="shared" ca="1" si="2"/>
        <v>7.20</v>
      </c>
      <c r="C20" s="607" t="str">
        <f t="shared" si="1"/>
        <v xml:space="preserve">[20] </v>
      </c>
      <c r="D20" s="607">
        <f>ROW()</f>
        <v>20</v>
      </c>
      <c r="E20" s="751"/>
      <c r="F20" s="1200"/>
      <c r="G20" s="34"/>
      <c r="H20" s="110"/>
      <c r="I20" s="108"/>
      <c r="J20" s="111"/>
      <c r="K20" s="45"/>
      <c r="L20" s="46">
        <f>L60*$L$5/$AB$4</f>
        <v>137303.11481210287</v>
      </c>
      <c r="M20" s="47">
        <f>M60*$L$5/$AB$4</f>
        <v>14160.367073822656</v>
      </c>
      <c r="N20" s="45"/>
      <c r="O20" s="108"/>
      <c r="P20" s="111"/>
      <c r="Q20" s="45"/>
      <c r="R20" s="46">
        <f>R60*$L$5/$AB$4</f>
        <v>0</v>
      </c>
      <c r="S20" s="46">
        <f>S60*$L$5/$AB$4</f>
        <v>0</v>
      </c>
      <c r="T20" s="48"/>
      <c r="U20" s="200"/>
      <c r="V20" s="622" t="str">
        <f t="shared" si="3"/>
        <v xml:space="preserve">[60] [5] </v>
      </c>
      <c r="AH20" s="16">
        <f>M20/(L20+M20)%</f>
        <v>9.3490304709141139</v>
      </c>
      <c r="AJ20" s="45"/>
      <c r="AK20" s="46">
        <f>L20*$K$83%</f>
        <v>137303.11481210287</v>
      </c>
      <c r="AL20" s="46">
        <f>M20*K83%</f>
        <v>14160.367073822656</v>
      </c>
      <c r="AM20" s="45"/>
      <c r="AN20" s="108"/>
      <c r="AO20" s="111"/>
    </row>
    <row r="21" spans="1:41" ht="17" hidden="1" thickTop="1" thickBot="1">
      <c r="A21" s="607" t="str">
        <f t="shared" ca="1" si="0"/>
        <v>D_Python.7.21</v>
      </c>
      <c r="B21" s="607" t="str">
        <f t="shared" ca="1" si="2"/>
        <v>7.21</v>
      </c>
      <c r="C21" s="607" t="str">
        <f t="shared" si="1"/>
        <v xml:space="preserve">[21] </v>
      </c>
      <c r="D21" s="607">
        <f>ROW()</f>
        <v>21</v>
      </c>
      <c r="E21" s="751"/>
      <c r="F21" s="36"/>
      <c r="G21" s="35" t="str">
        <f>G61</f>
        <v>insgesamt</v>
      </c>
      <c r="H21" s="1220">
        <f>SUM(H11:H19)</f>
        <v>385953.0722430899</v>
      </c>
      <c r="I21" s="1221"/>
      <c r="J21" s="1222"/>
      <c r="K21" s="1223">
        <f>SUM(K11:K19)</f>
        <v>894834.89537541824</v>
      </c>
      <c r="L21" s="1224"/>
      <c r="M21" s="1225"/>
      <c r="N21" s="1226">
        <f>SUM(N11:N19)</f>
        <v>530832.17335362849</v>
      </c>
      <c r="O21" s="1227"/>
      <c r="P21" s="1228"/>
      <c r="Q21" s="1229">
        <f>SUM(Q11:Q19)</f>
        <v>794655.23624434136</v>
      </c>
      <c r="R21" s="1230"/>
      <c r="S21" s="1230"/>
      <c r="T21" s="49">
        <f>SUM(T11:T19)</f>
        <v>2606275.3772164779</v>
      </c>
      <c r="U21" s="196">
        <f>SUM(U11:U20)</f>
        <v>276723.67543825728</v>
      </c>
      <c r="V21" s="622" t="str">
        <f t="shared" si="3"/>
        <v xml:space="preserve">[61] [5] </v>
      </c>
      <c r="AG21" s="16">
        <f>T21*3.6/1000</f>
        <v>9382.5913579793196</v>
      </c>
      <c r="AH21" s="16" t="s">
        <v>4</v>
      </c>
      <c r="AJ21" s="1231">
        <f>SUM(AJ11:AJ19)</f>
        <v>769806.2267906398</v>
      </c>
      <c r="AK21" s="1232"/>
      <c r="AL21" s="1233"/>
      <c r="AM21" s="1231">
        <f>SUM(AM11:AM19)</f>
        <v>478527.66559553467</v>
      </c>
      <c r="AN21" s="1232"/>
      <c r="AO21" s="1233"/>
    </row>
    <row r="22" spans="1:41" hidden="1">
      <c r="A22" s="607" t="str">
        <f t="shared" ca="1" si="0"/>
        <v>D_Python.7.22</v>
      </c>
      <c r="B22" s="607" t="str">
        <f t="shared" ca="1" si="2"/>
        <v>7.22</v>
      </c>
      <c r="C22" s="607" t="str">
        <f t="shared" si="1"/>
        <v xml:space="preserve">[22] </v>
      </c>
      <c r="D22" s="607">
        <f>ROW()</f>
        <v>22</v>
      </c>
      <c r="E22" s="751"/>
      <c r="F22" s="6"/>
      <c r="G22" s="6"/>
      <c r="H22" s="6"/>
      <c r="I22" s="6"/>
      <c r="J22" s="6"/>
      <c r="L22" s="626">
        <f>SUM(L12:L20)</f>
        <v>762976.48684396793</v>
      </c>
      <c r="M22" s="627">
        <f>SUM(M12:M20)</f>
        <v>131858.40853145023</v>
      </c>
      <c r="N22" s="628"/>
      <c r="O22" s="628"/>
      <c r="P22" s="628"/>
      <c r="Q22" s="628"/>
      <c r="R22" s="627">
        <f>SUM(R12:R20)</f>
        <v>685890.74067966943</v>
      </c>
      <c r="S22" s="627">
        <f>SUM(S12:S20)</f>
        <v>108764.49556467203</v>
      </c>
      <c r="T22" s="628"/>
      <c r="AH22" s="16">
        <f>M22/(L22+M22)%</f>
        <v>14.735501399521359</v>
      </c>
      <c r="AK22" s="19"/>
      <c r="AL22" s="19"/>
    </row>
    <row r="23" spans="1:41" hidden="1">
      <c r="A23" s="607" t="str">
        <f t="shared" ca="1" si="0"/>
        <v>D_Python.7.23</v>
      </c>
      <c r="B23" s="607" t="str">
        <f t="shared" ca="1" si="2"/>
        <v>7.23</v>
      </c>
      <c r="C23" s="607" t="str">
        <f t="shared" si="1"/>
        <v xml:space="preserve">[23] </v>
      </c>
      <c r="D23" s="607">
        <f>ROW()</f>
        <v>23</v>
      </c>
      <c r="E23" s="751"/>
      <c r="F23" s="11"/>
      <c r="G23" s="11"/>
      <c r="H23" s="11"/>
      <c r="I23" s="11"/>
      <c r="J23" s="11"/>
      <c r="K23" s="11"/>
      <c r="L23" s="11"/>
      <c r="M23" s="11"/>
      <c r="N23" s="11"/>
      <c r="O23" s="11"/>
      <c r="P23" s="11"/>
      <c r="Q23" s="11"/>
      <c r="R23" s="11"/>
      <c r="S23" s="11"/>
      <c r="T23" s="11"/>
      <c r="AJ23" s="11"/>
      <c r="AK23" s="11"/>
      <c r="AL23" s="11"/>
      <c r="AM23" s="11"/>
      <c r="AN23" s="11"/>
      <c r="AO23" s="11"/>
    </row>
    <row r="24" spans="1:41" ht="19" hidden="1">
      <c r="A24" s="607" t="str">
        <f t="shared" ca="1" si="0"/>
        <v>D_Python.7.24</v>
      </c>
      <c r="B24" s="607" t="str">
        <f t="shared" ca="1" si="2"/>
        <v>7.24</v>
      </c>
      <c r="C24" s="607" t="str">
        <f t="shared" si="1"/>
        <v xml:space="preserve">[24] </v>
      </c>
      <c r="D24" s="607">
        <f>ROW()</f>
        <v>24</v>
      </c>
      <c r="E24" s="751"/>
      <c r="F24" s="4" t="s">
        <v>17</v>
      </c>
      <c r="Q24" s="27"/>
      <c r="R24" s="27"/>
      <c r="S24" s="27"/>
      <c r="T24" s="27"/>
      <c r="U24" s="27"/>
      <c r="V24" s="27"/>
      <c r="W24" s="27"/>
    </row>
    <row r="25" spans="1:41" hidden="1">
      <c r="A25" s="607" t="str">
        <f t="shared" ca="1" si="0"/>
        <v>D_Python.7.25</v>
      </c>
      <c r="B25" s="607" t="str">
        <f t="shared" ca="1" si="2"/>
        <v>7.25</v>
      </c>
      <c r="C25" s="607" t="str">
        <f t="shared" si="1"/>
        <v xml:space="preserve">[25] </v>
      </c>
      <c r="D25" s="607">
        <f>ROW()</f>
        <v>25</v>
      </c>
      <c r="E25" s="751"/>
      <c r="F25" s="114"/>
      <c r="G25" s="70" t="s">
        <v>15</v>
      </c>
      <c r="H25" s="115"/>
      <c r="I25" s="115"/>
      <c r="J25" s="115"/>
      <c r="K25" s="1214" t="str">
        <f>K68</f>
        <v>Gebäudewärme</v>
      </c>
      <c r="L25" s="1215"/>
      <c r="M25" s="1216"/>
      <c r="N25" s="1217" t="str">
        <f>N68</f>
        <v>Prozesswärme</v>
      </c>
      <c r="O25" s="1218"/>
      <c r="P25" s="1219"/>
      <c r="Q25" s="27"/>
      <c r="R25" s="27"/>
      <c r="S25" s="27"/>
      <c r="T25" s="27"/>
      <c r="U25" s="27"/>
      <c r="V25" s="27"/>
      <c r="W25" s="27"/>
      <c r="AJ25" s="1191" t="str">
        <f>K25</f>
        <v>Gebäudewärme</v>
      </c>
      <c r="AK25" s="1192"/>
      <c r="AL25" s="1193"/>
      <c r="AM25" s="1183" t="str">
        <f>N25</f>
        <v>Prozesswärme</v>
      </c>
      <c r="AN25" s="1184"/>
      <c r="AO25" s="1185"/>
    </row>
    <row r="26" spans="1:41" ht="16" hidden="1" thickBot="1">
      <c r="A26" s="607" t="str">
        <f t="shared" ca="1" si="0"/>
        <v>D_Python.7.26</v>
      </c>
      <c r="B26" s="607" t="str">
        <f t="shared" ca="1" si="2"/>
        <v>7.26</v>
      </c>
      <c r="C26" s="607" t="str">
        <f t="shared" si="1"/>
        <v xml:space="preserve">[26] </v>
      </c>
      <c r="D26" s="607">
        <f>ROW()</f>
        <v>26</v>
      </c>
      <c r="E26" s="751"/>
      <c r="F26" s="116"/>
      <c r="G26" s="66"/>
      <c r="H26" s="66"/>
      <c r="I26" s="66"/>
      <c r="J26" s="117"/>
      <c r="K26" s="1194" t="str">
        <f>K69</f>
        <v>fossil</v>
      </c>
      <c r="L26" s="1195"/>
      <c r="M26" s="30" t="str">
        <f>M69</f>
        <v>erneuerb.</v>
      </c>
      <c r="N26" s="118" t="e">
        <f>'[2]2.'!#REF!</f>
        <v>#REF!</v>
      </c>
      <c r="O26" s="119" t="str">
        <f>O69</f>
        <v>fossil</v>
      </c>
      <c r="P26" s="120" t="str">
        <f>P69</f>
        <v>erneuerb.</v>
      </c>
      <c r="Q26" s="27"/>
      <c r="R26" s="27"/>
      <c r="S26" s="27"/>
      <c r="T26" s="27"/>
      <c r="U26" s="27"/>
      <c r="V26" s="27"/>
      <c r="W26" s="27"/>
      <c r="AJ26" s="1194" t="str">
        <f>K26</f>
        <v>fossil</v>
      </c>
      <c r="AK26" s="1195"/>
      <c r="AL26" s="30" t="str">
        <f>M26</f>
        <v>erneuerb.</v>
      </c>
      <c r="AM26" s="118"/>
      <c r="AN26" s="119" t="str">
        <f>O26</f>
        <v>fossil</v>
      </c>
      <c r="AO26" s="141" t="str">
        <f>P26</f>
        <v>erneuerb.</v>
      </c>
    </row>
    <row r="27" spans="1:41" ht="16" hidden="1" thickTop="1">
      <c r="A27" s="607" t="str">
        <f t="shared" ca="1" si="0"/>
        <v>D_Python.7.27</v>
      </c>
      <c r="B27" s="607" t="str">
        <f t="shared" ca="1" si="2"/>
        <v>7.27</v>
      </c>
      <c r="C27" s="607" t="str">
        <f t="shared" si="1"/>
        <v xml:space="preserve">[27] </v>
      </c>
      <c r="D27" s="607">
        <f>ROW()</f>
        <v>27</v>
      </c>
      <c r="E27" s="751"/>
      <c r="F27" s="121"/>
      <c r="G27" s="122" t="str">
        <f>G70</f>
        <v>Wärme</v>
      </c>
      <c r="H27" s="67"/>
      <c r="I27" s="67"/>
      <c r="J27" s="67"/>
      <c r="K27" s="1234">
        <f>K70*$L$5/$AB$4</f>
        <v>151463.48188592552</v>
      </c>
      <c r="L27" s="1235"/>
      <c r="M27" s="1236"/>
      <c r="N27" s="1237">
        <f>N70*$L$5/$AB$4</f>
        <v>58311.088476242083</v>
      </c>
      <c r="O27" s="1238"/>
      <c r="P27" s="1239"/>
      <c r="Q27" s="27"/>
      <c r="R27" s="27"/>
      <c r="S27" s="27"/>
      <c r="T27" s="27"/>
      <c r="U27" s="27"/>
      <c r="V27" s="27"/>
      <c r="W27" s="27"/>
      <c r="AJ27" s="1237">
        <f>K27*K$83%</f>
        <v>151463.48188592552</v>
      </c>
      <c r="AK27" s="1238"/>
      <c r="AL27" s="1240"/>
      <c r="AM27" s="1237">
        <f>N27*N$83%</f>
        <v>58311.088476242083</v>
      </c>
      <c r="AN27" s="1238"/>
      <c r="AO27" s="1240"/>
    </row>
    <row r="28" spans="1:41" hidden="1">
      <c r="A28" s="607" t="str">
        <f t="shared" ca="1" si="0"/>
        <v>D_Python.7.28</v>
      </c>
      <c r="B28" s="607" t="str">
        <f t="shared" ca="1" si="2"/>
        <v>7.28</v>
      </c>
      <c r="C28" s="607" t="str">
        <f t="shared" si="1"/>
        <v xml:space="preserve">[28] </v>
      </c>
      <c r="D28" s="607">
        <f>ROW()</f>
        <v>28</v>
      </c>
      <c r="E28" s="751"/>
      <c r="F28" s="123"/>
      <c r="G28" s="124" t="str">
        <f>G71</f>
        <v>Fernheizwerke    fossil</v>
      </c>
      <c r="H28" s="17"/>
      <c r="I28" s="17"/>
      <c r="J28" s="17"/>
      <c r="K28" s="125"/>
      <c r="L28" s="126">
        <f>L71*$L$5/$AB$4</f>
        <v>28176.121766553755</v>
      </c>
      <c r="M28" s="127"/>
      <c r="N28" s="17"/>
      <c r="O28" s="139">
        <f>O71*$L$5/$AB$4</f>
        <v>0</v>
      </c>
      <c r="P28" s="140"/>
      <c r="Q28" s="27"/>
      <c r="R28" s="27"/>
      <c r="S28" s="27"/>
      <c r="T28" s="27"/>
      <c r="U28" s="27"/>
      <c r="V28" s="27"/>
      <c r="W28" s="27"/>
      <c r="AJ28" s="125"/>
      <c r="AK28" s="126">
        <f>L28*$K$83%</f>
        <v>28176.121766553755</v>
      </c>
      <c r="AL28" s="127"/>
      <c r="AM28" s="17"/>
      <c r="AN28" s="139">
        <f>O28*$K$83%</f>
        <v>0</v>
      </c>
      <c r="AO28" s="142"/>
    </row>
    <row r="29" spans="1:41" hidden="1">
      <c r="A29" s="607" t="str">
        <f t="shared" ca="1" si="0"/>
        <v>D_Python.7.29</v>
      </c>
      <c r="B29" s="607" t="str">
        <f t="shared" ca="1" si="2"/>
        <v>7.29</v>
      </c>
      <c r="C29" s="607" t="str">
        <f t="shared" si="1"/>
        <v xml:space="preserve">[29] </v>
      </c>
      <c r="D29" s="607">
        <f>ROW()</f>
        <v>29</v>
      </c>
      <c r="E29" s="751"/>
      <c r="F29" s="128"/>
      <c r="G29" s="129" t="str">
        <f>G72</f>
        <v xml:space="preserve">                              erneuerbar</v>
      </c>
      <c r="H29" s="22"/>
      <c r="I29" s="22"/>
      <c r="J29" s="22"/>
      <c r="K29" s="130"/>
      <c r="L29" s="40"/>
      <c r="M29" s="41">
        <f>M72*$L$5/$AB$4</f>
        <v>6633.3469632672077</v>
      </c>
      <c r="N29" s="22"/>
      <c r="O29" s="40"/>
      <c r="P29" s="131">
        <f>P72*$L$5/$AB$4</f>
        <v>0</v>
      </c>
      <c r="Q29" s="27"/>
      <c r="R29" s="27"/>
      <c r="S29" s="27"/>
      <c r="T29" s="27"/>
      <c r="U29" s="27"/>
      <c r="V29" s="27"/>
      <c r="W29" s="27"/>
      <c r="AJ29" s="130"/>
      <c r="AK29" s="40"/>
      <c r="AL29" s="41">
        <f>M29*$K$83%</f>
        <v>6633.3469632672077</v>
      </c>
      <c r="AM29" s="22"/>
      <c r="AN29" s="40"/>
      <c r="AO29" s="41">
        <f>P29*$K$83%</f>
        <v>0</v>
      </c>
    </row>
    <row r="30" spans="1:41" hidden="1">
      <c r="A30" s="607" t="str">
        <f t="shared" ca="1" si="0"/>
        <v>D_Python.7.30</v>
      </c>
      <c r="B30" s="607" t="str">
        <f t="shared" ca="1" si="2"/>
        <v>7.30</v>
      </c>
      <c r="C30" s="607" t="str">
        <f t="shared" si="1"/>
        <v xml:space="preserve">[30] </v>
      </c>
      <c r="D30" s="607">
        <f>ROW()</f>
        <v>30</v>
      </c>
      <c r="E30" s="751"/>
      <c r="F30" s="132"/>
      <c r="G30" s="133" t="str">
        <f>G73</f>
        <v>Fern-HeizKRAFTwerke</v>
      </c>
      <c r="H30" s="52"/>
      <c r="I30" s="52"/>
      <c r="J30" s="52"/>
      <c r="K30" s="21"/>
      <c r="L30" s="134">
        <f>L73*$L$5/$AB$4</f>
        <v>78211.216216677523</v>
      </c>
      <c r="M30" s="135">
        <f>M73*$L$5/$AB$4</f>
        <v>24737.281598399557</v>
      </c>
      <c r="N30" s="52"/>
      <c r="O30" s="134">
        <f>O73*$L$5/$AB$4</f>
        <v>33166.734816336044</v>
      </c>
      <c r="P30" s="136">
        <f>P73*$L$5/$AB$4</f>
        <v>0</v>
      </c>
      <c r="Q30" s="27"/>
      <c r="R30" s="27"/>
      <c r="S30" s="27"/>
      <c r="T30" s="27"/>
      <c r="U30" s="27"/>
      <c r="V30" s="27"/>
      <c r="W30" s="27"/>
      <c r="AJ30" s="21"/>
      <c r="AK30" s="134">
        <f>L30*$K$83%</f>
        <v>78211.216216677523</v>
      </c>
      <c r="AL30" s="135">
        <f>M30*$K$83%</f>
        <v>24737.281598399557</v>
      </c>
      <c r="AM30" s="52"/>
      <c r="AN30" s="134">
        <f>O30*$K$83%</f>
        <v>33166.734816336044</v>
      </c>
      <c r="AO30" s="135">
        <f>P30*$K$83%</f>
        <v>0</v>
      </c>
    </row>
    <row r="31" spans="1:41" ht="16" hidden="1" thickBot="1">
      <c r="A31" s="607" t="str">
        <f t="shared" ca="1" si="0"/>
        <v>D_Python.7.31</v>
      </c>
      <c r="B31" s="607" t="str">
        <f t="shared" ca="1" si="2"/>
        <v>7.31</v>
      </c>
      <c r="C31" s="607" t="str">
        <f t="shared" si="1"/>
        <v xml:space="preserve">[31] </v>
      </c>
      <c r="D31" s="607">
        <f>ROW()</f>
        <v>31</v>
      </c>
      <c r="E31" s="751"/>
      <c r="F31" s="137"/>
      <c r="G31" s="138" t="str">
        <f>G74</f>
        <v xml:space="preserve">Nahwärme Abw./erneuerb. </v>
      </c>
      <c r="H31" s="18"/>
      <c r="I31" s="18"/>
      <c r="J31" s="18"/>
      <c r="K31" s="12"/>
      <c r="L31" s="300">
        <f>IFERROR(L74*$L$5/$AB$4,0)</f>
        <v>0</v>
      </c>
      <c r="M31" s="301">
        <f>M74*$L$5/$AB$4</f>
        <v>13705.515341027476</v>
      </c>
      <c r="N31" s="18"/>
      <c r="O31" s="300">
        <f>O74*$L$5/$AB$4</f>
        <v>25144.353659906039</v>
      </c>
      <c r="P31" s="302">
        <f>P74*$L$5/$AB$4</f>
        <v>0</v>
      </c>
      <c r="Q31" s="27"/>
      <c r="R31" s="27"/>
      <c r="S31" s="27"/>
      <c r="T31" s="27"/>
      <c r="U31" s="27"/>
      <c r="V31" s="27"/>
      <c r="W31" s="27"/>
      <c r="AJ31" s="130"/>
      <c r="AK31" s="134">
        <f>L31*$K$83%</f>
        <v>0</v>
      </c>
      <c r="AL31" s="135">
        <f>M31*$K$83%</f>
        <v>13705.515341027476</v>
      </c>
      <c r="AM31" s="22"/>
      <c r="AN31" s="134">
        <f>O31*$K$83%</f>
        <v>25144.353659906039</v>
      </c>
      <c r="AO31" s="135">
        <f>P31*$K$83%</f>
        <v>0</v>
      </c>
    </row>
    <row r="32" spans="1:41">
      <c r="A32" s="607" t="str">
        <f t="shared" ca="1" si="0"/>
        <v>D_Python.7.32</v>
      </c>
      <c r="B32" s="607" t="str">
        <f t="shared" ca="1" si="2"/>
        <v>7.32</v>
      </c>
      <c r="C32" s="607" t="str">
        <f t="shared" si="1"/>
        <v xml:space="preserve">[32] </v>
      </c>
      <c r="D32" s="607">
        <f>ROW()</f>
        <v>32</v>
      </c>
      <c r="E32" s="751"/>
      <c r="F32" s="6"/>
      <c r="G32" s="7"/>
      <c r="H32" s="6"/>
      <c r="I32" s="6"/>
      <c r="J32" s="6"/>
      <c r="L32" s="627"/>
      <c r="M32" s="627"/>
      <c r="N32" s="628"/>
      <c r="O32" s="627"/>
      <c r="P32" s="628"/>
      <c r="Q32" s="628"/>
      <c r="R32" s="628"/>
      <c r="S32" s="628"/>
      <c r="T32" s="627"/>
    </row>
    <row r="33" spans="1:22" ht="20" thickBot="1">
      <c r="A33" s="607" t="str">
        <f t="shared" ref="A33" ca="1" si="4">BO$1&amp;B33</f>
        <v>D_Python.7.33</v>
      </c>
      <c r="B33" s="607" t="str">
        <f t="shared" ref="B33" ca="1" si="5">BQ$1&amp;D33</f>
        <v>7.33</v>
      </c>
      <c r="C33" s="607" t="str">
        <f t="shared" ref="C33" si="6">"["&amp;D33&amp;"] "</f>
        <v xml:space="preserve">[33] </v>
      </c>
      <c r="D33" s="607">
        <f>ROW()</f>
        <v>33</v>
      </c>
      <c r="E33" s="16"/>
      <c r="F33" s="71" t="s">
        <v>688</v>
      </c>
      <c r="G33" s="8"/>
      <c r="H33" s="6"/>
      <c r="I33" s="6"/>
      <c r="J33" s="6"/>
    </row>
    <row r="34" spans="1:22">
      <c r="A34" s="607" t="str">
        <f t="shared" ref="A34:A69" ca="1" si="7">BO$1&amp;B34</f>
        <v>D_Python.7.34</v>
      </c>
      <c r="B34" s="607" t="str">
        <f t="shared" ref="B34:B48" ca="1" si="8">BQ$1&amp;D34</f>
        <v>7.34</v>
      </c>
      <c r="C34" s="607" t="str">
        <f t="shared" ref="C34:C48" si="9">"["&amp;D34&amp;"] "</f>
        <v xml:space="preserve">[34] </v>
      </c>
      <c r="D34" s="607">
        <f>ROW()</f>
        <v>34</v>
      </c>
      <c r="E34" s="16"/>
      <c r="F34" s="72"/>
      <c r="G34" s="642"/>
      <c r="H34" s="1258" t="s">
        <v>477</v>
      </c>
      <c r="I34" s="1258"/>
      <c r="J34" s="1258"/>
      <c r="K34" s="1258">
        <v>0</v>
      </c>
      <c r="L34" s="1258">
        <v>0</v>
      </c>
      <c r="M34" s="1258">
        <v>0</v>
      </c>
      <c r="N34" s="1258">
        <v>0</v>
      </c>
      <c r="O34" s="1258"/>
      <c r="P34" s="1258"/>
      <c r="Q34" s="1258">
        <v>0</v>
      </c>
      <c r="R34" s="1258">
        <v>0</v>
      </c>
      <c r="S34" s="1341">
        <v>0</v>
      </c>
    </row>
    <row r="35" spans="1:22">
      <c r="A35" s="607" t="str">
        <f t="shared" ca="1" si="7"/>
        <v>D_Python.7.35</v>
      </c>
      <c r="B35" s="607" t="str">
        <f t="shared" ca="1" si="8"/>
        <v>7.35</v>
      </c>
      <c r="C35" s="607" t="str">
        <f t="shared" si="9"/>
        <v xml:space="preserve">[35] </v>
      </c>
      <c r="D35" s="607">
        <f>ROW()</f>
        <v>35</v>
      </c>
      <c r="E35" s="16"/>
      <c r="F35" s="75"/>
      <c r="G35" s="643" t="s">
        <v>476</v>
      </c>
      <c r="H35" s="1175" t="s">
        <v>459</v>
      </c>
      <c r="I35" s="1175"/>
      <c r="J35" s="1176"/>
      <c r="K35" s="1260" t="s">
        <v>460</v>
      </c>
      <c r="L35" s="1261">
        <v>0</v>
      </c>
      <c r="M35" s="1262">
        <v>0</v>
      </c>
      <c r="N35" s="1183" t="s">
        <v>461</v>
      </c>
      <c r="O35" s="1184"/>
      <c r="P35" s="1185"/>
      <c r="Q35" s="1347" t="s">
        <v>462</v>
      </c>
      <c r="R35" s="1348">
        <v>0</v>
      </c>
      <c r="S35" s="1349">
        <v>0</v>
      </c>
    </row>
    <row r="36" spans="1:22" ht="16" thickBot="1">
      <c r="A36" s="607" t="str">
        <f t="shared" ca="1" si="7"/>
        <v>D_Python.7.36</v>
      </c>
      <c r="B36" s="607" t="str">
        <f t="shared" ca="1" si="8"/>
        <v>7.36</v>
      </c>
      <c r="C36" s="607" t="str">
        <f t="shared" si="9"/>
        <v xml:space="preserve">[36] </v>
      </c>
      <c r="D36" s="607">
        <f>ROW()</f>
        <v>36</v>
      </c>
      <c r="E36" s="16"/>
      <c r="F36" s="1297" t="s">
        <v>475</v>
      </c>
      <c r="G36" s="1298"/>
      <c r="H36" s="1342">
        <v>0</v>
      </c>
      <c r="I36" s="1342"/>
      <c r="J36" s="1343"/>
      <c r="K36" s="1265" t="str">
        <f>K50</f>
        <v>Raumw.</v>
      </c>
      <c r="L36" s="1266"/>
      <c r="M36" s="80" t="str">
        <f>M50</f>
        <v>Warmwas.</v>
      </c>
      <c r="N36" s="1344">
        <v>0</v>
      </c>
      <c r="O36" s="1345"/>
      <c r="P36" s="1346"/>
      <c r="Q36" s="1335"/>
      <c r="R36" s="1336"/>
      <c r="S36" s="647"/>
    </row>
    <row r="37" spans="1:22" ht="16" thickTop="1">
      <c r="A37" s="607" t="str">
        <f t="shared" ca="1" si="7"/>
        <v>D_Python.7.37</v>
      </c>
      <c r="B37" s="607" t="str">
        <f t="shared" ca="1" si="8"/>
        <v>7.37</v>
      </c>
      <c r="C37" s="607" t="str">
        <f t="shared" si="9"/>
        <v xml:space="preserve">[37] </v>
      </c>
      <c r="D37" s="607">
        <f>ROW()</f>
        <v>37</v>
      </c>
      <c r="E37" s="16"/>
      <c r="F37" s="758"/>
      <c r="G37" s="763" t="s">
        <v>5</v>
      </c>
      <c r="H37" s="1352">
        <f>H51/H61%</f>
        <v>100</v>
      </c>
      <c r="I37" s="1350"/>
      <c r="J37" s="1350"/>
      <c r="K37" s="1350">
        <f>K51/K61%</f>
        <v>4.5237870435197927</v>
      </c>
      <c r="L37" s="1350"/>
      <c r="M37" s="1350"/>
      <c r="N37" s="1350">
        <f t="shared" ref="N37" si="10">N51/N61%</f>
        <v>16.33041044975381</v>
      </c>
      <c r="O37" s="1350"/>
      <c r="P37" s="1350"/>
      <c r="Q37" s="1350">
        <f t="shared" ref="Q37" si="11">Q51/Q61%</f>
        <v>2.1189687514179965</v>
      </c>
      <c r="R37" s="1350"/>
      <c r="S37" s="1351"/>
    </row>
    <row r="38" spans="1:22" s="756" customFormat="1">
      <c r="A38" s="607" t="str">
        <f t="shared" ref="A38:A44" ca="1" si="12">BO$1&amp;B38</f>
        <v>D_Python.7.38</v>
      </c>
      <c r="B38" s="607" t="str">
        <f t="shared" ref="B38:B44" ca="1" si="13">BQ$1&amp;D38</f>
        <v>7.38</v>
      </c>
      <c r="C38" s="607" t="str">
        <f t="shared" ref="C38:C44" si="14">"["&amp;D38&amp;"] "</f>
        <v xml:space="preserve">[38] </v>
      </c>
      <c r="D38" s="607">
        <f>ROW()</f>
        <v>38</v>
      </c>
      <c r="F38" s="128"/>
      <c r="G38" s="762"/>
      <c r="H38" s="760"/>
      <c r="I38" s="760"/>
      <c r="J38" s="755"/>
      <c r="K38" s="761"/>
      <c r="L38" s="755">
        <f>L52/$K$61%</f>
        <v>1.6061344755353884</v>
      </c>
      <c r="M38" s="755">
        <f>M52/$K$61%</f>
        <v>2.9176525679844043</v>
      </c>
      <c r="N38" s="761"/>
      <c r="O38" s="760"/>
      <c r="P38" s="755"/>
      <c r="Q38" s="761"/>
      <c r="R38" s="755"/>
      <c r="S38" s="754"/>
      <c r="U38" s="54"/>
      <c r="V38" s="54"/>
    </row>
    <row r="39" spans="1:22">
      <c r="A39" s="607" t="str">
        <f t="shared" ca="1" si="12"/>
        <v>D_Python.7.39</v>
      </c>
      <c r="B39" s="607" t="str">
        <f t="shared" ca="1" si="13"/>
        <v>7.39</v>
      </c>
      <c r="C39" s="607" t="str">
        <f t="shared" si="14"/>
        <v xml:space="preserve">[39] </v>
      </c>
      <c r="D39" s="607">
        <f>ROW()</f>
        <v>39</v>
      </c>
      <c r="E39" s="16"/>
      <c r="F39" s="758"/>
      <c r="G39" s="763" t="s">
        <v>8</v>
      </c>
      <c r="H39" s="1352">
        <f>H59/H61%</f>
        <v>0</v>
      </c>
      <c r="I39" s="1350"/>
      <c r="J39" s="1350"/>
      <c r="K39" s="1350">
        <f t="shared" ref="K39" si="15">K59/K61%</f>
        <v>16.926416556696822</v>
      </c>
      <c r="L39" s="1350"/>
      <c r="M39" s="1350"/>
      <c r="N39" s="1350">
        <f t="shared" ref="N39" si="16">N59/N61%</f>
        <v>10.98484443922289</v>
      </c>
      <c r="O39" s="1350"/>
      <c r="P39" s="1350"/>
      <c r="Q39" s="1350">
        <f t="shared" ref="Q39" si="17">Q59/Q61%</f>
        <v>0</v>
      </c>
      <c r="R39" s="1350"/>
      <c r="S39" s="1351"/>
    </row>
    <row r="40" spans="1:22" s="756" customFormat="1">
      <c r="A40" s="607" t="str">
        <f t="shared" ca="1" si="12"/>
        <v>D_Python.7.40</v>
      </c>
      <c r="B40" s="607" t="str">
        <f t="shared" ca="1" si="13"/>
        <v>7.40</v>
      </c>
      <c r="C40" s="607" t="str">
        <f t="shared" si="14"/>
        <v xml:space="preserve">[40] </v>
      </c>
      <c r="D40" s="607">
        <f>ROW()</f>
        <v>40</v>
      </c>
      <c r="F40" s="128"/>
      <c r="G40" s="762"/>
      <c r="H40" s="760"/>
      <c r="I40" s="760"/>
      <c r="J40" s="755"/>
      <c r="K40" s="761"/>
      <c r="L40" s="755">
        <f>L60/$K$61%</f>
        <v>15.343960715177387</v>
      </c>
      <c r="M40" s="755">
        <f>M60/$K$61%</f>
        <v>1.5824558415194376</v>
      </c>
      <c r="N40" s="761"/>
      <c r="O40" s="760"/>
      <c r="P40" s="755"/>
      <c r="Q40" s="761"/>
      <c r="R40" s="755"/>
      <c r="S40" s="754"/>
      <c r="U40" s="54"/>
      <c r="V40" s="54"/>
    </row>
    <row r="41" spans="1:22">
      <c r="A41" s="607" t="str">
        <f t="shared" ca="1" si="12"/>
        <v>D_Python.7.41</v>
      </c>
      <c r="B41" s="607" t="str">
        <f t="shared" ca="1" si="13"/>
        <v>7.41</v>
      </c>
      <c r="C41" s="607" t="str">
        <f t="shared" si="14"/>
        <v xml:space="preserve">[41] </v>
      </c>
      <c r="D41" s="607">
        <f>ROW()</f>
        <v>41</v>
      </c>
      <c r="E41" s="16"/>
      <c r="F41" s="758"/>
      <c r="G41" s="759" t="s">
        <v>473</v>
      </c>
      <c r="H41" s="1352">
        <f>(H53+H55+H57)/H61%</f>
        <v>0</v>
      </c>
      <c r="I41" s="1350"/>
      <c r="J41" s="1350"/>
      <c r="K41" s="1350">
        <f>(K53+K55+K57)/K61%</f>
        <v>78.549796399783375</v>
      </c>
      <c r="L41" s="1350"/>
      <c r="M41" s="1350"/>
      <c r="N41" s="1350">
        <f>(N53+N55+N57)/N61%</f>
        <v>72.68474511102329</v>
      </c>
      <c r="O41" s="1350"/>
      <c r="P41" s="1350"/>
      <c r="Q41" s="1350">
        <f>(Q53+Q55+Q57)/Q61%</f>
        <v>97.881031248582005</v>
      </c>
      <c r="R41" s="1350"/>
      <c r="S41" s="1351"/>
    </row>
    <row r="42" spans="1:22" s="756" customFormat="1" ht="16" thickBot="1">
      <c r="A42" s="607" t="str">
        <f t="shared" ca="1" si="12"/>
        <v>D_Python.7.42</v>
      </c>
      <c r="B42" s="607" t="str">
        <f t="shared" ca="1" si="13"/>
        <v>7.42</v>
      </c>
      <c r="C42" s="607" t="str">
        <f t="shared" si="14"/>
        <v xml:space="preserve">[42] </v>
      </c>
      <c r="D42" s="607">
        <f>ROW()</f>
        <v>42</v>
      </c>
      <c r="F42" s="116"/>
      <c r="G42" s="769"/>
      <c r="H42" s="770"/>
      <c r="I42" s="770"/>
      <c r="J42" s="771"/>
      <c r="K42" s="772"/>
      <c r="L42" s="771">
        <f>(L54+L56+L58)/$K$61%</f>
        <v>68.314403409765859</v>
      </c>
      <c r="M42" s="771">
        <f>(M54+M56+M58)/$K$61%</f>
        <v>10.235392990017516</v>
      </c>
      <c r="N42" s="772"/>
      <c r="O42" s="770"/>
      <c r="P42" s="771"/>
      <c r="Q42" s="772"/>
      <c r="R42" s="771"/>
      <c r="S42" s="773"/>
      <c r="U42" s="54"/>
      <c r="V42" s="54"/>
    </row>
    <row r="43" spans="1:22" ht="16" thickTop="1">
      <c r="A43" s="607" t="str">
        <f t="shared" ca="1" si="12"/>
        <v>D_Python.7.43</v>
      </c>
      <c r="B43" s="607" t="str">
        <f t="shared" ca="1" si="13"/>
        <v>7.43</v>
      </c>
      <c r="C43" s="607" t="str">
        <f t="shared" si="14"/>
        <v xml:space="preserve">[43] </v>
      </c>
      <c r="D43" s="607">
        <f>ROW()</f>
        <v>43</v>
      </c>
      <c r="E43" s="16"/>
      <c r="F43" s="123"/>
      <c r="G43" s="768" t="s">
        <v>474</v>
      </c>
      <c r="H43" s="1337">
        <f>SUM(H37:J41)</f>
        <v>100</v>
      </c>
      <c r="I43" s="1338"/>
      <c r="J43" s="1338"/>
      <c r="K43" s="1339">
        <f>SUM(K37:K41)</f>
        <v>99.999999999999986</v>
      </c>
      <c r="L43" s="1338"/>
      <c r="M43" s="1338"/>
      <c r="N43" s="1339">
        <f t="shared" ref="N43" si="18">SUM(N37:P41)</f>
        <v>99.999999999999986</v>
      </c>
      <c r="O43" s="1338"/>
      <c r="P43" s="1338"/>
      <c r="Q43" s="1339">
        <f t="shared" ref="Q43" si="19">SUM(Q37:S41)</f>
        <v>100</v>
      </c>
      <c r="R43" s="1338"/>
      <c r="S43" s="1340"/>
    </row>
    <row r="44" spans="1:22" s="756" customFormat="1" ht="16" thickBot="1">
      <c r="A44" s="607" t="str">
        <f t="shared" ca="1" si="12"/>
        <v>D_Python.7.44</v>
      </c>
      <c r="B44" s="607" t="str">
        <f t="shared" ca="1" si="13"/>
        <v>7.44</v>
      </c>
      <c r="C44" s="607" t="str">
        <f t="shared" si="14"/>
        <v xml:space="preserve">[44] </v>
      </c>
      <c r="D44" s="607">
        <f>ROW()</f>
        <v>44</v>
      </c>
      <c r="F44" s="137"/>
      <c r="G44" s="764"/>
      <c r="H44" s="765"/>
      <c r="I44" s="765"/>
      <c r="J44" s="753"/>
      <c r="K44" s="766"/>
      <c r="L44" s="753">
        <f>SUM(L38:L42)</f>
        <v>85.264498600478632</v>
      </c>
      <c r="M44" s="753">
        <f>SUM(M38:M42)</f>
        <v>14.735501399521358</v>
      </c>
      <c r="N44" s="766"/>
      <c r="O44" s="765"/>
      <c r="P44" s="753"/>
      <c r="Q44" s="766"/>
      <c r="R44" s="753"/>
      <c r="S44" s="767"/>
      <c r="U44" s="54"/>
      <c r="V44" s="54"/>
    </row>
    <row r="45" spans="1:22">
      <c r="A45" s="607" t="str">
        <f t="shared" ca="1" si="7"/>
        <v>D_Python.7.45</v>
      </c>
      <c r="B45" s="607" t="str">
        <f t="shared" ca="1" si="8"/>
        <v>7.45</v>
      </c>
      <c r="C45" s="607" t="str">
        <f t="shared" si="9"/>
        <v xml:space="preserve">[45] </v>
      </c>
      <c r="D45" s="607">
        <f>ROW()</f>
        <v>45</v>
      </c>
      <c r="E45" s="16"/>
      <c r="F45" s="6" t="str">
        <f>"Errechnet aus "&amp;C51&amp;" bis "&amp;C61&amp;"."</f>
        <v>Errechnet aus [51]  bis [61] .</v>
      </c>
      <c r="G45" s="8"/>
      <c r="H45" s="6"/>
      <c r="I45" s="6"/>
      <c r="J45" s="6"/>
    </row>
    <row r="46" spans="1:22">
      <c r="A46" s="607" t="str">
        <f t="shared" ca="1" si="7"/>
        <v>D_Python.7.46</v>
      </c>
      <c r="B46" s="607" t="str">
        <f t="shared" ca="1" si="8"/>
        <v>7.46</v>
      </c>
      <c r="C46" s="607" t="str">
        <f t="shared" si="9"/>
        <v xml:space="preserve">[46] </v>
      </c>
      <c r="D46" s="607">
        <f>ROW()</f>
        <v>46</v>
      </c>
      <c r="E46" s="16"/>
      <c r="G46" s="8"/>
      <c r="H46" s="6"/>
      <c r="I46" s="6"/>
      <c r="J46" s="6"/>
    </row>
    <row r="47" spans="1:22" ht="20" thickBot="1">
      <c r="A47" s="607" t="str">
        <f t="shared" ca="1" si="7"/>
        <v>D_Python.7.47</v>
      </c>
      <c r="B47" s="607" t="str">
        <f t="shared" ca="1" si="8"/>
        <v>7.47</v>
      </c>
      <c r="C47" s="607" t="str">
        <f t="shared" si="9"/>
        <v xml:space="preserve">[47] </v>
      </c>
      <c r="D47" s="607">
        <f>ROW()</f>
        <v>47</v>
      </c>
      <c r="E47" s="27" t="str">
        <f>'[2]2.'!A4</f>
        <v>BS.2.4</v>
      </c>
      <c r="F47" s="71" t="str">
        <f>'[2]2.'!D4</f>
        <v>BS.2.a   Endenergie-Verbrauch+ / Einwohner (direkt/indirekt)</v>
      </c>
      <c r="G47" s="20"/>
      <c r="H47" s="20"/>
      <c r="I47" s="20"/>
      <c r="J47" s="20"/>
      <c r="K47" s="20"/>
      <c r="L47" s="20"/>
      <c r="M47" s="20"/>
      <c r="N47" s="20"/>
      <c r="O47" s="20"/>
      <c r="P47" s="20"/>
      <c r="Q47" s="20"/>
      <c r="R47" s="20"/>
      <c r="S47" s="20"/>
      <c r="T47" s="20"/>
    </row>
    <row r="48" spans="1:22">
      <c r="A48" s="607" t="str">
        <f t="shared" ca="1" si="7"/>
        <v>D_Python.7.48</v>
      </c>
      <c r="B48" s="607" t="str">
        <f t="shared" ca="1" si="8"/>
        <v>7.48</v>
      </c>
      <c r="C48" s="607" t="str">
        <f t="shared" si="9"/>
        <v xml:space="preserve">[48] </v>
      </c>
      <c r="D48" s="607">
        <f>ROW()</f>
        <v>48</v>
      </c>
      <c r="E48" s="27" t="str">
        <f>'[2]2.'!A5</f>
        <v>BS.2.5</v>
      </c>
      <c r="F48" s="72"/>
      <c r="G48" s="73" t="str">
        <f>'[2]2.'!E5</f>
        <v>Endenergie (kWh)</v>
      </c>
      <c r="H48" s="1257" t="str">
        <f>'[2]2.'!F5</f>
        <v>Anwendung</v>
      </c>
      <c r="I48" s="1258"/>
      <c r="J48" s="1258"/>
      <c r="K48" s="1258"/>
      <c r="L48" s="1258"/>
      <c r="M48" s="1258"/>
      <c r="N48" s="1258"/>
      <c r="O48" s="1258"/>
      <c r="P48" s="1258"/>
      <c r="Q48" s="1258"/>
      <c r="R48" s="1258"/>
      <c r="S48" s="1259"/>
      <c r="T48" s="74"/>
      <c r="U48" s="194"/>
    </row>
    <row r="49" spans="1:47" ht="15" customHeight="1">
      <c r="A49" s="607" t="str">
        <f t="shared" ca="1" si="7"/>
        <v>D_Python.7.49</v>
      </c>
      <c r="B49" s="607" t="str">
        <f t="shared" ca="1" si="2"/>
        <v>7.49</v>
      </c>
      <c r="C49" s="607" t="str">
        <f t="shared" si="1"/>
        <v xml:space="preserve">[49] </v>
      </c>
      <c r="D49" s="607">
        <f>ROW()</f>
        <v>49</v>
      </c>
      <c r="E49" s="27" t="str">
        <f>'[2]2.'!A6</f>
        <v>BS.2.6</v>
      </c>
      <c r="F49" s="75"/>
      <c r="G49" s="76"/>
      <c r="H49" s="1174" t="str">
        <f>'[2]2.'!F6</f>
        <v>Kraft/Licht/
IKT/Kälte</v>
      </c>
      <c r="I49" s="1175"/>
      <c r="J49" s="1176"/>
      <c r="K49" s="1260" t="str">
        <f>'[2]2.'!I6</f>
        <v>Gebäudewärme</v>
      </c>
      <c r="L49" s="1261"/>
      <c r="M49" s="1262"/>
      <c r="N49" s="1183" t="str">
        <f>'[2]2.'!L6</f>
        <v>Prozess-
wärme</v>
      </c>
      <c r="O49" s="1184"/>
      <c r="P49" s="1185"/>
      <c r="Q49" s="1263" t="str">
        <f>'[2]2.'!O6</f>
        <v>Mobile Anwend.</v>
      </c>
      <c r="R49" s="1264"/>
      <c r="S49" s="1264"/>
      <c r="T49" s="77" t="str">
        <f>'[2]2.'!R6</f>
        <v>insgesamt</v>
      </c>
      <c r="U49" s="195" t="str">
        <f>'[2]2.'!S6</f>
        <v>Nicht-</v>
      </c>
    </row>
    <row r="50" spans="1:47" ht="16" thickBot="1">
      <c r="A50" s="607" t="str">
        <f t="shared" ca="1" si="7"/>
        <v>D_Python.7.50</v>
      </c>
      <c r="B50" s="607" t="str">
        <f t="shared" ca="1" si="2"/>
        <v>7.50</v>
      </c>
      <c r="C50" s="607" t="str">
        <f t="shared" si="1"/>
        <v xml:space="preserve">[50] </v>
      </c>
      <c r="D50" s="607">
        <f>ROW()</f>
        <v>50</v>
      </c>
      <c r="E50" s="27" t="str">
        <f>'[2]2.'!A7</f>
        <v>BS.2.7</v>
      </c>
      <c r="F50" s="78"/>
      <c r="G50" s="79"/>
      <c r="H50" s="1177"/>
      <c r="I50" s="1178"/>
      <c r="J50" s="1179"/>
      <c r="K50" s="1265" t="str">
        <f>'[2]2.'!I7</f>
        <v>Raumw.</v>
      </c>
      <c r="L50" s="1266"/>
      <c r="M50" s="80" t="str">
        <f>'[2]2.'!K7</f>
        <v>Warmwas.</v>
      </c>
      <c r="N50" s="1186"/>
      <c r="O50" s="1187"/>
      <c r="P50" s="1188"/>
      <c r="Q50" s="1267" t="str">
        <f>'[2]2.'!O7</f>
        <v>Boden+</v>
      </c>
      <c r="R50" s="1268"/>
      <c r="S50" s="602" t="str">
        <f>'[2]2.'!Q7</f>
        <v>Luft</v>
      </c>
      <c r="T50" s="81"/>
      <c r="U50" s="195" t="str">
        <f>'[2]2.'!S7</f>
        <v>energet.</v>
      </c>
    </row>
    <row r="51" spans="1:47" ht="16" thickTop="1">
      <c r="A51" s="607" t="str">
        <f t="shared" ca="1" si="7"/>
        <v>D_Python.7.51</v>
      </c>
      <c r="B51" s="607" t="str">
        <f t="shared" ca="1" si="2"/>
        <v>7.51</v>
      </c>
      <c r="C51" s="607" t="str">
        <f t="shared" si="1"/>
        <v xml:space="preserve">[51] </v>
      </c>
      <c r="D51" s="607">
        <f>ROW()</f>
        <v>51</v>
      </c>
      <c r="E51" s="27" t="str">
        <f>'[2]2.'!A8</f>
        <v>BS.2.8</v>
      </c>
      <c r="F51" s="1241" t="str">
        <f>'[2]2.'!D8</f>
        <v>Endenergie-Träger</v>
      </c>
      <c r="G51" s="82" t="str">
        <f>'[2]2.'!E8</f>
        <v>Strom</v>
      </c>
      <c r="H51" s="1201">
        <f>'[2]2.'!F8</f>
        <v>4696.6821991173192</v>
      </c>
      <c r="I51" s="1202"/>
      <c r="J51" s="1203"/>
      <c r="K51" s="1244">
        <f>'[2]2.'!I8</f>
        <v>492.60831291513273</v>
      </c>
      <c r="L51" s="1245"/>
      <c r="M51" s="1246"/>
      <c r="N51" s="1207">
        <f>'[2]2.'!L8</f>
        <v>1054.8993143518735</v>
      </c>
      <c r="O51" s="1202"/>
      <c r="P51" s="1203"/>
      <c r="Q51" s="1244">
        <f>'[2]2.'!O8</f>
        <v>204.90849991007619</v>
      </c>
      <c r="R51" s="1245"/>
      <c r="S51" s="1247"/>
      <c r="T51" s="83">
        <f>'[2]2.'!R8</f>
        <v>6449.0983262944019</v>
      </c>
      <c r="U51" s="202"/>
      <c r="V51" s="622" t="str">
        <f>"["&amp;E51&amp;"]"</f>
        <v>[BS.2.8]</v>
      </c>
    </row>
    <row r="52" spans="1:47">
      <c r="A52" s="607" t="str">
        <f t="shared" ca="1" si="7"/>
        <v>D_Python.7.52</v>
      </c>
      <c r="B52" s="607" t="str">
        <f t="shared" ca="1" si="2"/>
        <v>7.52</v>
      </c>
      <c r="C52" s="607" t="str">
        <f t="shared" si="1"/>
        <v xml:space="preserve">[52] </v>
      </c>
      <c r="D52" s="607">
        <f>ROW()</f>
        <v>52</v>
      </c>
      <c r="E52" s="27" t="str">
        <f>'[2]2.'!A9</f>
        <v>BS.2.9</v>
      </c>
      <c r="F52" s="1242"/>
      <c r="G52" s="84"/>
      <c r="H52" s="151"/>
      <c r="I52" s="152"/>
      <c r="J52" s="109"/>
      <c r="K52" s="85"/>
      <c r="L52" s="86">
        <f>'[2]2.'!J9</f>
        <v>174.89664891314584</v>
      </c>
      <c r="M52" s="87">
        <f>'[2]2.'!K9</f>
        <v>317.71166400198689</v>
      </c>
      <c r="N52" s="113"/>
      <c r="O52" s="112"/>
      <c r="P52" s="42"/>
      <c r="Q52" s="85"/>
      <c r="R52" s="86">
        <f>'[2]2.'!P9</f>
        <v>204.90849991007619</v>
      </c>
      <c r="S52" s="88">
        <f>'[2]2.'!Q9</f>
        <v>0</v>
      </c>
      <c r="T52" s="89"/>
      <c r="U52" s="196"/>
      <c r="V52" s="622" t="str">
        <f t="shared" ref="V52:V61" si="20">"["&amp;E52&amp;"]"</f>
        <v>[BS.2.9]</v>
      </c>
    </row>
    <row r="53" spans="1:47">
      <c r="A53" s="607" t="str">
        <f t="shared" ca="1" si="7"/>
        <v>D_Python.7.53</v>
      </c>
      <c r="B53" s="607" t="str">
        <f t="shared" ca="1" si="2"/>
        <v>7.53</v>
      </c>
      <c r="C53" s="607" t="str">
        <f t="shared" si="1"/>
        <v xml:space="preserve">[53] </v>
      </c>
      <c r="D53" s="607">
        <f>ROW()</f>
        <v>53</v>
      </c>
      <c r="E53" s="27" t="str">
        <f>'[2]2.'!A10</f>
        <v>BS.2.10</v>
      </c>
      <c r="F53" s="1242"/>
      <c r="G53" s="90" t="str">
        <f>'[2]2.'!E10</f>
        <v>Brennst.gasförm.</v>
      </c>
      <c r="H53" s="1209">
        <f>'[2]2.'!F10</f>
        <v>0</v>
      </c>
      <c r="I53" s="1210"/>
      <c r="J53" s="1211"/>
      <c r="K53" s="1248">
        <f>'[2]2.'!I10</f>
        <v>4974.3780617900657</v>
      </c>
      <c r="L53" s="1249"/>
      <c r="M53" s="1250"/>
      <c r="N53" s="1212">
        <f>'[2]2.'!L10</f>
        <v>2858.715048408757</v>
      </c>
      <c r="O53" s="1210"/>
      <c r="P53" s="1211"/>
      <c r="Q53" s="1248">
        <f>'[2]2.'!O10</f>
        <v>80.583544745780827</v>
      </c>
      <c r="R53" s="1249"/>
      <c r="S53" s="1251"/>
      <c r="T53" s="91">
        <f>'[2]2.'!R10</f>
        <v>7913.6766549446038</v>
      </c>
      <c r="U53" s="197">
        <f>'[2]2.'!S10</f>
        <v>322.66189459745755</v>
      </c>
      <c r="V53" s="622" t="str">
        <f t="shared" si="20"/>
        <v>[BS.2.10]</v>
      </c>
    </row>
    <row r="54" spans="1:47">
      <c r="A54" s="607" t="str">
        <f t="shared" ca="1" si="7"/>
        <v>D_Python.7.54</v>
      </c>
      <c r="B54" s="607" t="str">
        <f t="shared" ca="1" si="2"/>
        <v>7.54</v>
      </c>
      <c r="C54" s="607" t="str">
        <f t="shared" si="1"/>
        <v xml:space="preserve">[54] </v>
      </c>
      <c r="D54" s="607">
        <f>ROW()</f>
        <v>54</v>
      </c>
      <c r="E54" s="27" t="str">
        <f>'[2]2.'!A11</f>
        <v>BS.2.11</v>
      </c>
      <c r="F54" s="1242"/>
      <c r="G54" s="84"/>
      <c r="H54" s="151"/>
      <c r="I54" s="152"/>
      <c r="J54" s="109"/>
      <c r="K54" s="85"/>
      <c r="L54" s="86">
        <f>'[2]2.'!J11</f>
        <v>4225.1166782804939</v>
      </c>
      <c r="M54" s="87">
        <f>'[2]2.'!K11</f>
        <v>749.2613835095716</v>
      </c>
      <c r="N54" s="39"/>
      <c r="O54" s="152"/>
      <c r="P54" s="109"/>
      <c r="Q54" s="85"/>
      <c r="R54" s="86">
        <f>'[2]2.'!P11</f>
        <v>80.583544745780827</v>
      </c>
      <c r="S54" s="88">
        <f>'[2]2.'!Q11</f>
        <v>0</v>
      </c>
      <c r="T54" s="89"/>
      <c r="U54" s="196"/>
      <c r="V54" s="622" t="str">
        <f t="shared" si="20"/>
        <v>[BS.2.11]</v>
      </c>
    </row>
    <row r="55" spans="1:47">
      <c r="A55" s="607" t="str">
        <f t="shared" ca="1" si="7"/>
        <v>D_Python.7.55</v>
      </c>
      <c r="B55" s="607" t="str">
        <f t="shared" ca="1" si="2"/>
        <v>7.55</v>
      </c>
      <c r="C55" s="607" t="str">
        <f t="shared" si="1"/>
        <v xml:space="preserve">[55] </v>
      </c>
      <c r="D55" s="607">
        <f>ROW()</f>
        <v>55</v>
      </c>
      <c r="E55" s="27" t="str">
        <f>'[2]2.'!A12</f>
        <v>BS.2.12</v>
      </c>
      <c r="F55" s="1242"/>
      <c r="G55" s="92" t="str">
        <f>'[2]2.'!E12</f>
        <v>Brennst.flüssig</v>
      </c>
      <c r="H55" s="1209">
        <f>'[2]2.'!F12</f>
        <v>0</v>
      </c>
      <c r="I55" s="1210"/>
      <c r="J55" s="1211"/>
      <c r="K55" s="1248">
        <f>'[2]2.'!I12</f>
        <v>2389.2193103993063</v>
      </c>
      <c r="L55" s="1249"/>
      <c r="M55" s="1250"/>
      <c r="N55" s="1212">
        <f>'[2]2.'!L12</f>
        <v>333.57999901185809</v>
      </c>
      <c r="O55" s="1210"/>
      <c r="P55" s="1211"/>
      <c r="Q55" s="1248">
        <f>'[2]2.'!O12</f>
        <v>9384.7071865953403</v>
      </c>
      <c r="R55" s="1249"/>
      <c r="S55" s="1251"/>
      <c r="T55" s="93">
        <f>'[2]2.'!R12</f>
        <v>12107.506496006505</v>
      </c>
      <c r="U55" s="198">
        <f>'[2]2.'!S12</f>
        <v>2962.259383986212</v>
      </c>
      <c r="V55" s="622" t="str">
        <f t="shared" si="20"/>
        <v>[BS.2.12]</v>
      </c>
    </row>
    <row r="56" spans="1:47">
      <c r="A56" s="607" t="str">
        <f t="shared" ca="1" si="7"/>
        <v>D_Python.7.56</v>
      </c>
      <c r="B56" s="607" t="str">
        <f t="shared" ca="1" si="2"/>
        <v>7.56</v>
      </c>
      <c r="C56" s="607" t="str">
        <f t="shared" si="1"/>
        <v xml:space="preserve">[56] </v>
      </c>
      <c r="D56" s="607">
        <f>ROW()</f>
        <v>56</v>
      </c>
      <c r="E56" s="27" t="str">
        <f>'[2]2.'!A13</f>
        <v>BS.2.13</v>
      </c>
      <c r="F56" s="1242"/>
      <c r="G56" s="84"/>
      <c r="H56" s="151"/>
      <c r="I56" s="152"/>
      <c r="J56" s="109"/>
      <c r="K56" s="85"/>
      <c r="L56" s="86">
        <f>'[2]2.'!J13</f>
        <v>2056.3292389965727</v>
      </c>
      <c r="M56" s="87">
        <f>'[2]2.'!K13</f>
        <v>332.89007140273327</v>
      </c>
      <c r="N56" s="39"/>
      <c r="O56" s="152"/>
      <c r="P56" s="109"/>
      <c r="Q56" s="85"/>
      <c r="R56" s="86">
        <f>'[2]2.'!P13</f>
        <v>8061.1466116122101</v>
      </c>
      <c r="S56" s="88">
        <f>'[2]2.'!Q13</f>
        <v>1323.5605749831304</v>
      </c>
      <c r="T56" s="89"/>
      <c r="U56" s="196"/>
      <c r="V56" s="622" t="str">
        <f t="shared" si="20"/>
        <v>[BS.2.13]</v>
      </c>
    </row>
    <row r="57" spans="1:47">
      <c r="A57" s="607" t="str">
        <f t="shared" ca="1" si="7"/>
        <v>D_Python.7.57</v>
      </c>
      <c r="B57" s="607" t="str">
        <f t="shared" ca="1" si="2"/>
        <v>7.57</v>
      </c>
      <c r="C57" s="607" t="str">
        <f t="shared" si="1"/>
        <v xml:space="preserve">[57] </v>
      </c>
      <c r="D57" s="607">
        <f>ROW()</f>
        <v>57</v>
      </c>
      <c r="E57" s="27" t="str">
        <f>'[2]2.'!A14</f>
        <v>BS.2.14</v>
      </c>
      <c r="F57" s="1242"/>
      <c r="G57" s="94" t="str">
        <f>'[2]2.'!E14</f>
        <v>Brennst.fest</v>
      </c>
      <c r="H57" s="1209">
        <f>'[2]2.'!F14</f>
        <v>0</v>
      </c>
      <c r="I57" s="1210"/>
      <c r="J57" s="1211"/>
      <c r="K57" s="1248">
        <f>'[2]2.'!I14</f>
        <v>1189.9181474576044</v>
      </c>
      <c r="L57" s="1249"/>
      <c r="M57" s="1250"/>
      <c r="N57" s="1212">
        <f>'[2]2.'!L14</f>
        <v>1502.9383037175421</v>
      </c>
      <c r="O57" s="1210"/>
      <c r="P57" s="1211"/>
      <c r="Q57" s="1248">
        <f>'[2]2.'!O14</f>
        <v>0</v>
      </c>
      <c r="R57" s="1249"/>
      <c r="S57" s="1249"/>
      <c r="T57" s="95">
        <f>'[2]2.'!R14</f>
        <v>2692.8564511751465</v>
      </c>
      <c r="U57" s="199">
        <f>'[2]2.'!S14</f>
        <v>82.54293915569535</v>
      </c>
      <c r="V57" s="622" t="str">
        <f t="shared" si="20"/>
        <v>[BS.2.14]</v>
      </c>
    </row>
    <row r="58" spans="1:47">
      <c r="A58" s="607" t="str">
        <f t="shared" ca="1" si="7"/>
        <v>D_Python.7.58</v>
      </c>
      <c r="B58" s="607" t="str">
        <f t="shared" ca="1" si="2"/>
        <v>7.58</v>
      </c>
      <c r="C58" s="607" t="str">
        <f t="shared" si="1"/>
        <v xml:space="preserve">[58] </v>
      </c>
      <c r="D58" s="607">
        <f>ROW()</f>
        <v>58</v>
      </c>
      <c r="E58" s="27" t="str">
        <f>'[2]2.'!A15</f>
        <v>BS.2.15</v>
      </c>
      <c r="F58" s="1242"/>
      <c r="G58" s="96"/>
      <c r="H58" s="151"/>
      <c r="I58" s="152"/>
      <c r="J58" s="109"/>
      <c r="K58" s="85"/>
      <c r="L58" s="86">
        <f>'[2]2.'!J15</f>
        <v>1157.5079255424168</v>
      </c>
      <c r="M58" s="87">
        <f>'[2]2.'!K15</f>
        <v>32.410221915187549</v>
      </c>
      <c r="N58" s="39"/>
      <c r="O58" s="152"/>
      <c r="P58" s="109"/>
      <c r="Q58" s="85"/>
      <c r="R58" s="86">
        <f>'[2]2.'!P15</f>
        <v>0</v>
      </c>
      <c r="S58" s="88">
        <f>'[2]2.'!Q15</f>
        <v>0</v>
      </c>
      <c r="T58" s="89"/>
      <c r="U58" s="196"/>
      <c r="V58" s="622" t="str">
        <f t="shared" si="20"/>
        <v>[BS.2.15]</v>
      </c>
    </row>
    <row r="59" spans="1:47">
      <c r="A59" s="607" t="str">
        <f t="shared" ca="1" si="7"/>
        <v>D_Python.7.59</v>
      </c>
      <c r="B59" s="607" t="str">
        <f t="shared" ca="1" si="2"/>
        <v>7.59</v>
      </c>
      <c r="C59" s="607" t="str">
        <f t="shared" si="1"/>
        <v xml:space="preserve">[59] </v>
      </c>
      <c r="D59" s="607">
        <f>ROW()</f>
        <v>59</v>
      </c>
      <c r="E59" s="27" t="str">
        <f>'[2]2.'!A16</f>
        <v>BS.2.16</v>
      </c>
      <c r="F59" s="1242"/>
      <c r="G59" s="97" t="str">
        <f>'[2]2.'!E16</f>
        <v xml:space="preserve">Wärme </v>
      </c>
      <c r="H59" s="1209">
        <f>'[2]2.'!F16</f>
        <v>0</v>
      </c>
      <c r="I59" s="1210"/>
      <c r="J59" s="1211"/>
      <c r="K59" s="1248">
        <f>'[2]2.'!I16</f>
        <v>1843.1666706409831</v>
      </c>
      <c r="L59" s="1249"/>
      <c r="M59" s="1250"/>
      <c r="N59" s="1212">
        <f>'[2]2.'!L16</f>
        <v>709.59054598489354</v>
      </c>
      <c r="O59" s="1210"/>
      <c r="P59" s="1211"/>
      <c r="Q59" s="1248">
        <f>'[2]2.'!O16</f>
        <v>0</v>
      </c>
      <c r="R59" s="1249"/>
      <c r="S59" s="1249"/>
      <c r="T59" s="98">
        <f>'[2]2.'!R16</f>
        <v>2552.7572166258765</v>
      </c>
      <c r="U59" s="201"/>
      <c r="V59" s="622" t="str">
        <f t="shared" si="20"/>
        <v>[BS.2.16]</v>
      </c>
    </row>
    <row r="60" spans="1:47" ht="16" thickBot="1">
      <c r="A60" s="607" t="str">
        <f t="shared" ca="1" si="7"/>
        <v>D_Python.7.60</v>
      </c>
      <c r="B60" s="607" t="str">
        <f t="shared" ca="1" si="2"/>
        <v>7.60</v>
      </c>
      <c r="C60" s="607" t="str">
        <f t="shared" si="1"/>
        <v xml:space="preserve">[60] </v>
      </c>
      <c r="D60" s="607">
        <f>ROW()</f>
        <v>60</v>
      </c>
      <c r="E60" s="27" t="str">
        <f>'[2]2.'!A17</f>
        <v>BS.2.17</v>
      </c>
      <c r="F60" s="1243"/>
      <c r="G60" s="99"/>
      <c r="H60" s="110"/>
      <c r="I60" s="108"/>
      <c r="J60" s="111"/>
      <c r="K60" s="100"/>
      <c r="L60" s="101">
        <f>'[2]2.'!J17</f>
        <v>1670.8484569730244</v>
      </c>
      <c r="M60" s="102">
        <f>'[2]2.'!K17</f>
        <v>172.3182136679587</v>
      </c>
      <c r="N60" s="45"/>
      <c r="O60" s="108"/>
      <c r="P60" s="111"/>
      <c r="Q60" s="100"/>
      <c r="R60" s="101">
        <f>'[2]2.'!P17</f>
        <v>0</v>
      </c>
      <c r="S60" s="101">
        <f>'[2]2.'!Q17</f>
        <v>0</v>
      </c>
      <c r="T60" s="103"/>
      <c r="U60" s="200"/>
      <c r="V60" s="622" t="str">
        <f t="shared" si="20"/>
        <v>[BS.2.17]</v>
      </c>
    </row>
    <row r="61" spans="1:47" ht="17" thickTop="1" thickBot="1">
      <c r="A61" s="607" t="str">
        <f t="shared" ca="1" si="7"/>
        <v>D_Python.7.61</v>
      </c>
      <c r="B61" s="607" t="str">
        <f t="shared" ca="1" si="2"/>
        <v>7.61</v>
      </c>
      <c r="C61" s="607" t="str">
        <f t="shared" si="1"/>
        <v xml:space="preserve">[61] </v>
      </c>
      <c r="D61" s="607">
        <f>ROW()</f>
        <v>61</v>
      </c>
      <c r="E61" s="27" t="str">
        <f>'[2]2.'!A18</f>
        <v>BS.2.18</v>
      </c>
      <c r="F61" s="104"/>
      <c r="G61" s="105" t="str">
        <f>'[2]2.'!E18</f>
        <v>insgesamt</v>
      </c>
      <c r="H61" s="1220">
        <f>'[2]2.'!F18</f>
        <v>4696.6821991173192</v>
      </c>
      <c r="I61" s="1221"/>
      <c r="J61" s="1222"/>
      <c r="K61" s="1252">
        <f>'[2]2.'!I18</f>
        <v>10889.290503203092</v>
      </c>
      <c r="L61" s="1253"/>
      <c r="M61" s="1254"/>
      <c r="N61" s="1226">
        <f>'[2]2.'!L18</f>
        <v>6459.7232114749249</v>
      </c>
      <c r="O61" s="1227"/>
      <c r="P61" s="1228"/>
      <c r="Q61" s="1255">
        <f>'[2]2.'!O18</f>
        <v>9670.1992312511975</v>
      </c>
      <c r="R61" s="1256"/>
      <c r="S61" s="1256"/>
      <c r="T61" s="106">
        <f>'[2]2.'!R18</f>
        <v>31715.895145046532</v>
      </c>
      <c r="U61" s="196">
        <f>'[2]2.'!S18</f>
        <v>3367.4642177393648</v>
      </c>
      <c r="V61" s="622" t="str">
        <f t="shared" si="20"/>
        <v>[BS.2.18]</v>
      </c>
    </row>
    <row r="62" spans="1:47" hidden="1">
      <c r="A62" s="607" t="str">
        <f t="shared" ca="1" si="7"/>
        <v>D_Python.7.62</v>
      </c>
      <c r="B62" s="607" t="str">
        <f t="shared" ca="1" si="2"/>
        <v>7.62</v>
      </c>
      <c r="C62" s="607" t="str">
        <f t="shared" si="1"/>
        <v xml:space="preserve">[62] </v>
      </c>
      <c r="D62" s="607">
        <f>ROW()</f>
        <v>62</v>
      </c>
      <c r="E62" s="27" t="str">
        <f>'[2]2.'!A19</f>
        <v>BS.2.19</v>
      </c>
      <c r="F62" s="11" t="str">
        <f>'[2]2.'!D19</f>
        <v>errechnet aus der Tabelle [4.4] mit:</v>
      </c>
      <c r="G62" s="11"/>
      <c r="H62" s="11"/>
      <c r="I62" s="11"/>
      <c r="J62" s="11"/>
      <c r="K62" s="11"/>
      <c r="L62" s="11"/>
      <c r="M62" s="11"/>
      <c r="N62" s="11"/>
      <c r="O62" s="11"/>
      <c r="P62" s="11"/>
      <c r="Q62" s="11"/>
      <c r="R62" s="11"/>
      <c r="S62" s="11"/>
      <c r="T62" s="11"/>
      <c r="V62" s="16"/>
      <c r="W62" s="27"/>
      <c r="AR62" s="756"/>
      <c r="AS62" s="756"/>
      <c r="AT62" s="756"/>
      <c r="AU62" s="756"/>
    </row>
    <row r="63" spans="1:47" hidden="1">
      <c r="A63" s="607" t="str">
        <f t="shared" ca="1" si="7"/>
        <v>D_Python.7.63</v>
      </c>
      <c r="B63" s="607" t="str">
        <f t="shared" ca="1" si="2"/>
        <v>7.63</v>
      </c>
      <c r="C63" s="607" t="str">
        <f t="shared" si="1"/>
        <v xml:space="preserve">[63] </v>
      </c>
      <c r="D63" s="607">
        <f>ROW()</f>
        <v>63</v>
      </c>
      <c r="E63" s="27" t="str">
        <f>'[2]2.'!A20</f>
        <v>BS.2.20</v>
      </c>
      <c r="F63" s="11"/>
      <c r="G63" s="11">
        <f>'[2]2.'!E20</f>
        <v>3.6</v>
      </c>
      <c r="H63" s="11" t="str">
        <f>'[2]2.'!F20</f>
        <v>PJ/TWh</v>
      </c>
      <c r="I63" s="11"/>
      <c r="J63" s="11"/>
      <c r="K63" s="11"/>
      <c r="L63" s="11"/>
      <c r="M63" s="11"/>
      <c r="N63" s="11"/>
      <c r="O63" s="11"/>
      <c r="P63" s="11"/>
      <c r="Q63" s="11"/>
      <c r="R63" s="11"/>
      <c r="S63" s="11"/>
      <c r="T63" s="11"/>
      <c r="V63" s="16"/>
      <c r="W63" s="27"/>
      <c r="AR63" s="756"/>
      <c r="AS63" s="756"/>
      <c r="AT63" s="756"/>
      <c r="AU63" s="756"/>
    </row>
    <row r="64" spans="1:47" hidden="1">
      <c r="A64" s="607" t="str">
        <f t="shared" ca="1" si="7"/>
        <v>D_Python.7.64</v>
      </c>
      <c r="B64" s="607" t="str">
        <f t="shared" ca="1" si="2"/>
        <v>7.64</v>
      </c>
      <c r="C64" s="607" t="str">
        <f t="shared" si="1"/>
        <v xml:space="preserve">[64] </v>
      </c>
      <c r="D64" s="607">
        <f>ROW()</f>
        <v>64</v>
      </c>
      <c r="E64" s="27" t="str">
        <f>'[2]2.'!A21</f>
        <v>BS.2.21</v>
      </c>
      <c r="F64" s="11"/>
      <c r="G64" s="11">
        <f>'[2]2.'!E21</f>
        <v>1000000000</v>
      </c>
      <c r="H64" s="11" t="str">
        <f>'[2]2.'!F21</f>
        <v>kWh/TWh</v>
      </c>
      <c r="I64" s="11"/>
      <c r="J64" s="11"/>
      <c r="K64" s="11"/>
      <c r="L64" s="11"/>
      <c r="M64" s="11"/>
      <c r="N64" s="11"/>
      <c r="O64" s="11"/>
      <c r="P64" s="11"/>
      <c r="Q64" s="11"/>
      <c r="R64" s="11"/>
      <c r="S64" s="11"/>
      <c r="T64" s="11"/>
      <c r="V64" s="16"/>
      <c r="W64" s="27"/>
      <c r="AR64" s="756"/>
      <c r="AS64" s="756"/>
      <c r="AT64" s="756"/>
      <c r="AU64" s="756"/>
    </row>
    <row r="65" spans="1:47" hidden="1">
      <c r="A65" s="607" t="str">
        <f t="shared" ca="1" si="7"/>
        <v>D_Python.7.65</v>
      </c>
      <c r="B65" s="607" t="str">
        <f t="shared" ca="1" si="2"/>
        <v>7.65</v>
      </c>
      <c r="C65" s="607" t="str">
        <f t="shared" si="1"/>
        <v xml:space="preserve">[65] </v>
      </c>
      <c r="D65" s="607">
        <f>ROW()</f>
        <v>65</v>
      </c>
      <c r="E65" s="27" t="str">
        <f>'[2]2.'!A22</f>
        <v>BS.2.22</v>
      </c>
      <c r="F65" s="11"/>
      <c r="G65" s="11">
        <f>'[2]2.'!E22</f>
        <v>80523746</v>
      </c>
      <c r="H65" s="11" t="str">
        <f>'[2]2.'!F22</f>
        <v>Einwohner Deutschland am 31.12.2012</v>
      </c>
      <c r="I65" s="11"/>
      <c r="J65" s="11"/>
      <c r="K65" s="11"/>
      <c r="L65" s="11"/>
      <c r="M65" s="11"/>
      <c r="N65" s="11"/>
      <c r="O65" s="11"/>
      <c r="P65" s="11"/>
      <c r="Q65" s="11"/>
      <c r="R65" s="11"/>
      <c r="S65" s="11"/>
      <c r="T65" s="11"/>
      <c r="V65" s="16"/>
      <c r="W65" s="27"/>
      <c r="AR65" s="756"/>
      <c r="AS65" s="756"/>
      <c r="AT65" s="756"/>
      <c r="AU65" s="756"/>
    </row>
    <row r="66" spans="1:47">
      <c r="A66" s="607" t="str">
        <f t="shared" ca="1" si="7"/>
        <v>D_Python.7.66</v>
      </c>
      <c r="B66" s="607" t="str">
        <f t="shared" ca="1" si="2"/>
        <v>7.66</v>
      </c>
      <c r="C66" s="607" t="str">
        <f t="shared" si="1"/>
        <v xml:space="preserve">[66] </v>
      </c>
      <c r="D66" s="607">
        <f>ROW()</f>
        <v>66</v>
      </c>
      <c r="E66" s="27" t="str">
        <f>'[2]2.'!A23</f>
        <v>BS.2.23</v>
      </c>
      <c r="F66" s="11"/>
      <c r="G66" s="11"/>
      <c r="H66" s="11"/>
      <c r="I66" s="11"/>
      <c r="J66" s="11"/>
      <c r="K66" s="11"/>
      <c r="L66" s="701">
        <f>SUM(L52:L60)</f>
        <v>9284.6989487056544</v>
      </c>
      <c r="M66" s="701">
        <f>SUM(M52:M60)</f>
        <v>1604.5915544974378</v>
      </c>
      <c r="N66" s="11"/>
      <c r="O66" s="11"/>
      <c r="P66" s="11"/>
      <c r="Q66" s="11"/>
      <c r="R66" s="11"/>
      <c r="S66" s="11"/>
      <c r="T66" s="11"/>
      <c r="V66" s="16"/>
      <c r="W66" s="27"/>
      <c r="AR66" s="756"/>
      <c r="AS66" s="756"/>
      <c r="AT66" s="756"/>
      <c r="AU66" s="756"/>
    </row>
    <row r="67" spans="1:47" ht="20" thickBot="1">
      <c r="A67" s="607" t="str">
        <f t="shared" ca="1" si="7"/>
        <v>D_Python.7.67</v>
      </c>
      <c r="B67" s="607" t="str">
        <f t="shared" ca="1" si="2"/>
        <v>7.67</v>
      </c>
      <c r="C67" s="607" t="str">
        <f t="shared" si="1"/>
        <v xml:space="preserve">[67] </v>
      </c>
      <c r="D67" s="607">
        <f>ROW()</f>
        <v>67</v>
      </c>
      <c r="E67" s="27" t="str">
        <f>'[2]2.'!A24</f>
        <v>BS.2.24</v>
      </c>
      <c r="F67" s="4" t="str">
        <f>'[2]2.'!D24</f>
        <v>BS.2.b   Wärme-Endverbrauch pro Einwohner nach Quellen</v>
      </c>
      <c r="Q67" s="27"/>
      <c r="R67" s="27"/>
      <c r="S67" s="27"/>
      <c r="T67" s="27"/>
      <c r="U67" s="27"/>
      <c r="V67" s="16"/>
      <c r="W67" s="27"/>
      <c r="AR67" s="756"/>
      <c r="AS67" s="756"/>
      <c r="AT67" s="756"/>
      <c r="AU67" s="756"/>
    </row>
    <row r="68" spans="1:47" ht="15" customHeight="1">
      <c r="A68" s="607" t="str">
        <f t="shared" ca="1" si="7"/>
        <v>D_Python.7.68</v>
      </c>
      <c r="B68" s="607" t="str">
        <f t="shared" ca="1" si="2"/>
        <v>7.68</v>
      </c>
      <c r="C68" s="607" t="str">
        <f t="shared" si="1"/>
        <v xml:space="preserve">[68] </v>
      </c>
      <c r="D68" s="607">
        <f>ROW()</f>
        <v>68</v>
      </c>
      <c r="E68" s="27" t="str">
        <f>'[2]2.'!A25</f>
        <v>BS.2.25</v>
      </c>
      <c r="F68" s="114"/>
      <c r="G68" s="70" t="str">
        <f>'[2]2.'!E25</f>
        <v>Endenergie in kWh</v>
      </c>
      <c r="H68" s="115"/>
      <c r="I68" s="115"/>
      <c r="J68" s="115"/>
      <c r="K68" s="1214" t="str">
        <f>'[2]2.'!I25</f>
        <v>Gebäudewärme</v>
      </c>
      <c r="L68" s="1215"/>
      <c r="M68" s="1216"/>
      <c r="N68" s="1217" t="str">
        <f>'[2]2.'!L25</f>
        <v>Prozesswärme</v>
      </c>
      <c r="O68" s="1218"/>
      <c r="P68" s="1219"/>
      <c r="Q68" s="27"/>
      <c r="R68" s="27"/>
      <c r="S68" s="27"/>
      <c r="T68" s="27"/>
      <c r="U68" s="27"/>
      <c r="V68" s="16"/>
      <c r="W68" s="27"/>
      <c r="AR68" s="756"/>
      <c r="AS68" s="756"/>
      <c r="AT68" s="756"/>
      <c r="AU68" s="756"/>
    </row>
    <row r="69" spans="1:47" ht="16" thickBot="1">
      <c r="A69" s="607" t="str">
        <f t="shared" ca="1" si="7"/>
        <v>D_Python.7.69</v>
      </c>
      <c r="B69" s="607" t="str">
        <f t="shared" ca="1" si="2"/>
        <v>7.69</v>
      </c>
      <c r="C69" s="607" t="str">
        <f t="shared" si="1"/>
        <v xml:space="preserve">[69] </v>
      </c>
      <c r="D69" s="607">
        <f>ROW()</f>
        <v>69</v>
      </c>
      <c r="E69" s="27" t="str">
        <f>'[2]2.'!A26</f>
        <v>BS.2.26</v>
      </c>
      <c r="F69" s="116"/>
      <c r="G69" s="66"/>
      <c r="H69" s="66"/>
      <c r="I69" s="66"/>
      <c r="J69" s="117"/>
      <c r="K69" s="1194" t="str">
        <f>'[2]2.'!I26</f>
        <v>fossil</v>
      </c>
      <c r="L69" s="1195"/>
      <c r="M69" s="30" t="str">
        <f>'[2]2.'!K26</f>
        <v>erneuerb.</v>
      </c>
      <c r="N69" s="118">
        <f>'[2]2.'!L26</f>
        <v>0</v>
      </c>
      <c r="O69" s="119" t="str">
        <f>'[2]2.'!M26</f>
        <v>fossil</v>
      </c>
      <c r="P69" s="120" t="str">
        <f>'[2]2.'!N26</f>
        <v>erneuerb.</v>
      </c>
      <c r="Q69" s="27"/>
      <c r="R69" s="27"/>
      <c r="S69" s="27"/>
      <c r="T69" s="27"/>
      <c r="U69" s="27"/>
      <c r="V69" s="16"/>
      <c r="W69" s="27"/>
      <c r="AR69" s="756"/>
      <c r="AS69" s="756"/>
      <c r="AT69" s="756"/>
      <c r="AU69" s="756"/>
    </row>
    <row r="70" spans="1:47" ht="16" thickTop="1">
      <c r="A70" s="607" t="str">
        <f t="shared" ref="A70:A101" ca="1" si="21">BO$1&amp;B70</f>
        <v>D_Python.7.70</v>
      </c>
      <c r="B70" s="607" t="str">
        <f t="shared" ca="1" si="2"/>
        <v>7.70</v>
      </c>
      <c r="C70" s="607" t="str">
        <f t="shared" si="1"/>
        <v xml:space="preserve">[70] </v>
      </c>
      <c r="D70" s="607">
        <f>ROW()</f>
        <v>70</v>
      </c>
      <c r="E70" s="27" t="str">
        <f>'[2]2.'!A27</f>
        <v>BS.2.27</v>
      </c>
      <c r="F70" s="121"/>
      <c r="G70" s="122" t="str">
        <f>'[2]2.'!E27</f>
        <v>Wärme</v>
      </c>
      <c r="H70" s="67"/>
      <c r="I70" s="67"/>
      <c r="J70" s="67"/>
      <c r="K70" s="1237">
        <f>'[2]2.'!I27</f>
        <v>1843.1666706409831</v>
      </c>
      <c r="L70" s="1238"/>
      <c r="M70" s="1240"/>
      <c r="N70" s="1237">
        <f>'[2]2.'!L27</f>
        <v>709.59054598489354</v>
      </c>
      <c r="O70" s="1238"/>
      <c r="P70" s="1239"/>
      <c r="Q70" s="27"/>
      <c r="R70" s="622" t="str">
        <f>"["&amp;E70&amp;"]"</f>
        <v>[BS.2.27]</v>
      </c>
      <c r="S70" s="27"/>
      <c r="T70" s="27"/>
      <c r="U70" s="27"/>
      <c r="V70" s="16"/>
      <c r="W70" s="27"/>
    </row>
    <row r="71" spans="1:47">
      <c r="A71" s="607" t="str">
        <f t="shared" ca="1" si="21"/>
        <v>D_Python.7.71</v>
      </c>
      <c r="B71" s="607" t="str">
        <f t="shared" ca="1" si="2"/>
        <v>7.71</v>
      </c>
      <c r="C71" s="607" t="str">
        <f t="shared" si="1"/>
        <v xml:space="preserve">[71] </v>
      </c>
      <c r="D71" s="607">
        <f>ROW()</f>
        <v>71</v>
      </c>
      <c r="E71" s="27" t="str">
        <f>'[2]2.'!A28</f>
        <v>BS.2.28</v>
      </c>
      <c r="F71" s="123"/>
      <c r="G71" s="124" t="str">
        <f>'[2]2.'!E28</f>
        <v>Fernheizwerke    fossil</v>
      </c>
      <c r="H71" s="17"/>
      <c r="I71" s="17"/>
      <c r="J71" s="17"/>
      <c r="K71" s="125"/>
      <c r="L71" s="126">
        <f>'[2]2.'!J28</f>
        <v>342.8766320527829</v>
      </c>
      <c r="M71" s="127"/>
      <c r="N71" s="17"/>
      <c r="O71" s="139">
        <f>'[2]2.'!M28</f>
        <v>0</v>
      </c>
      <c r="P71" s="140"/>
      <c r="Q71" s="27"/>
      <c r="R71" s="622" t="str">
        <f>"["&amp;E71&amp;"]"</f>
        <v>[BS.2.28]</v>
      </c>
      <c r="S71" s="27"/>
      <c r="T71" s="27"/>
      <c r="U71" s="27"/>
      <c r="V71" s="16"/>
      <c r="W71" s="27"/>
    </row>
    <row r="72" spans="1:47">
      <c r="A72" s="607" t="str">
        <f t="shared" ca="1" si="21"/>
        <v>D_Python.7.72</v>
      </c>
      <c r="B72" s="607" t="str">
        <f t="shared" ca="1" si="2"/>
        <v>7.72</v>
      </c>
      <c r="C72" s="607" t="str">
        <f t="shared" si="1"/>
        <v xml:space="preserve">[72] </v>
      </c>
      <c r="D72" s="607">
        <f>ROW()</f>
        <v>72</v>
      </c>
      <c r="E72" s="27" t="str">
        <f>'[2]2.'!A29</f>
        <v>BS.2.29</v>
      </c>
      <c r="F72" s="128"/>
      <c r="G72" s="129" t="str">
        <f>'[2]2.'!E29</f>
        <v xml:space="preserve">                              erneuerbar</v>
      </c>
      <c r="H72" s="22"/>
      <c r="I72" s="22"/>
      <c r="J72" s="22"/>
      <c r="K72" s="130"/>
      <c r="L72" s="40"/>
      <c r="M72" s="41">
        <f>'[2]2.'!K29</f>
        <v>80.721530267605786</v>
      </c>
      <c r="N72" s="22"/>
      <c r="O72" s="40"/>
      <c r="P72" s="131">
        <f>'[2]2.'!N29</f>
        <v>0</v>
      </c>
      <c r="Q72" s="27"/>
      <c r="R72" s="622" t="str">
        <f>"["&amp;E72&amp;"]"</f>
        <v>[BS.2.29]</v>
      </c>
      <c r="S72" s="27"/>
      <c r="T72" s="27"/>
      <c r="U72" s="27"/>
      <c r="V72" s="16"/>
      <c r="W72" s="27"/>
    </row>
    <row r="73" spans="1:47">
      <c r="A73" s="607" t="str">
        <f t="shared" ca="1" si="21"/>
        <v>D_Python.7.73</v>
      </c>
      <c r="B73" s="607" t="str">
        <f t="shared" ca="1" si="2"/>
        <v>7.73</v>
      </c>
      <c r="C73" s="607" t="str">
        <f t="shared" si="1"/>
        <v xml:space="preserve">[73] </v>
      </c>
      <c r="D73" s="607">
        <f>ROW()</f>
        <v>73</v>
      </c>
      <c r="E73" s="27" t="str">
        <f>'[2]2.'!A30</f>
        <v>BS.2.30</v>
      </c>
      <c r="F73" s="132"/>
      <c r="G73" s="133" t="str">
        <f>'[2]2.'!E30</f>
        <v>Fern-HeizKRAFTwerke</v>
      </c>
      <c r="H73" s="52"/>
      <c r="I73" s="52"/>
      <c r="J73" s="52"/>
      <c r="K73" s="21"/>
      <c r="L73" s="134">
        <f>'[2]2.'!J30</f>
        <v>951.75619367740853</v>
      </c>
      <c r="M73" s="135">
        <f>'[2]2.'!K30</f>
        <v>301.02921441334831</v>
      </c>
      <c r="N73" s="52"/>
      <c r="O73" s="134">
        <f>'[2]2.'!M30</f>
        <v>403.60765133802892</v>
      </c>
      <c r="P73" s="136">
        <f>'[2]2.'!N30</f>
        <v>0</v>
      </c>
      <c r="Q73" s="27"/>
      <c r="R73" s="622" t="str">
        <f>"["&amp;E73&amp;"]"</f>
        <v>[BS.2.30]</v>
      </c>
      <c r="S73" s="27"/>
      <c r="T73" s="27"/>
      <c r="U73" s="27"/>
      <c r="V73" s="16"/>
      <c r="W73" s="27"/>
    </row>
    <row r="74" spans="1:47" ht="16" thickBot="1">
      <c r="A74" s="607" t="str">
        <f t="shared" ca="1" si="21"/>
        <v>D_Python.7.74</v>
      </c>
      <c r="B74" s="607" t="str">
        <f t="shared" ca="1" si="2"/>
        <v>7.74</v>
      </c>
      <c r="C74" s="607" t="str">
        <f t="shared" si="1"/>
        <v xml:space="preserve">[74] </v>
      </c>
      <c r="D74" s="607">
        <f>ROW()</f>
        <v>74</v>
      </c>
      <c r="E74" s="27" t="str">
        <f>'[2]2.'!A31</f>
        <v>BS.2.31</v>
      </c>
      <c r="F74" s="137"/>
      <c r="G74" s="138" t="str">
        <f>'[2]2.'!E31</f>
        <v xml:space="preserve">Nahwärme Abw./erneuerb. </v>
      </c>
      <c r="H74" s="18"/>
      <c r="I74" s="18"/>
      <c r="J74" s="18"/>
      <c r="K74" s="12"/>
      <c r="L74" s="300" t="str">
        <f>'[2]2.'!J31</f>
        <v>-</v>
      </c>
      <c r="M74" s="301">
        <f>'[2]2.'!K31</f>
        <v>166.78310022983777</v>
      </c>
      <c r="N74" s="18"/>
      <c r="O74" s="300">
        <f>'[2]2.'!M31</f>
        <v>305.98289464686462</v>
      </c>
      <c r="P74" s="302">
        <f>'[2]2.'!N31</f>
        <v>0</v>
      </c>
      <c r="Q74" s="27"/>
      <c r="R74" s="622" t="str">
        <f>"["&amp;E74&amp;"]"</f>
        <v>[BS.2.31]</v>
      </c>
      <c r="S74" s="27"/>
      <c r="T74" s="27"/>
      <c r="U74" s="27"/>
      <c r="V74" s="16"/>
      <c r="W74" s="27"/>
    </row>
    <row r="75" spans="1:47">
      <c r="A75" s="607" t="str">
        <f t="shared" ca="1" si="21"/>
        <v>D_Python.7.75</v>
      </c>
      <c r="B75" s="607" t="str">
        <f t="shared" ca="1" si="2"/>
        <v>7.75</v>
      </c>
      <c r="C75" s="607" t="str">
        <f t="shared" si="1"/>
        <v xml:space="preserve">[75] </v>
      </c>
      <c r="D75" s="607">
        <f>ROW()</f>
        <v>75</v>
      </c>
      <c r="E75" s="27" t="str">
        <f>'[2]2.'!A32</f>
        <v>BS.2.32</v>
      </c>
      <c r="F75" s="11"/>
      <c r="G75" s="11"/>
      <c r="H75" s="11"/>
      <c r="I75" s="11"/>
      <c r="J75" s="11"/>
      <c r="K75" s="11"/>
      <c r="L75" s="11"/>
      <c r="M75" s="11"/>
      <c r="N75" s="11"/>
      <c r="O75" s="11"/>
      <c r="P75" s="11"/>
      <c r="Q75" s="11"/>
      <c r="R75" s="11"/>
      <c r="S75" s="11"/>
      <c r="T75" s="11"/>
      <c r="V75" s="16"/>
    </row>
    <row r="76" spans="1:47">
      <c r="A76" s="607" t="str">
        <f t="shared" ca="1" si="21"/>
        <v>D_Python.7.76</v>
      </c>
      <c r="B76" s="607" t="str">
        <f t="shared" ca="1" si="2"/>
        <v>7.76</v>
      </c>
      <c r="C76" s="607" t="str">
        <f t="shared" si="1"/>
        <v xml:space="preserve">[76] </v>
      </c>
      <c r="D76" s="607">
        <f>ROW()</f>
        <v>76</v>
      </c>
      <c r="E76" s="27" t="str">
        <f>'[2]2.'!A33</f>
        <v>BS.2.33</v>
      </c>
      <c r="F76" s="11"/>
      <c r="G76" s="11"/>
      <c r="H76" s="11"/>
      <c r="I76" s="11"/>
      <c r="J76" s="11"/>
      <c r="K76" s="11"/>
      <c r="L76" s="11"/>
      <c r="M76" s="11"/>
      <c r="N76" s="11"/>
      <c r="O76" s="11"/>
      <c r="P76" s="11"/>
      <c r="Q76" s="11"/>
      <c r="R76" s="11"/>
      <c r="S76" s="11"/>
      <c r="T76" s="11"/>
      <c r="V76" s="16"/>
    </row>
    <row r="77" spans="1:47" ht="20" thickBot="1">
      <c r="A77" s="607" t="str">
        <f t="shared" ca="1" si="21"/>
        <v>D_Python.7.77</v>
      </c>
      <c r="B77" s="607" t="str">
        <f t="shared" ca="1" si="2"/>
        <v>7.77</v>
      </c>
      <c r="C77" s="607" t="str">
        <f t="shared" si="1"/>
        <v xml:space="preserve">[77] </v>
      </c>
      <c r="D77" s="607">
        <f>ROW()</f>
        <v>77</v>
      </c>
      <c r="E77" s="27" t="str">
        <f>'[2]2.'!A34</f>
        <v>BS.2.34</v>
      </c>
      <c r="F77" s="71" t="str">
        <f>'[2]2.'!D34</f>
        <v>BS.2.c   Jahresnutzungsgrade Endenergie-Anwendung im Wärmebereich</v>
      </c>
      <c r="G77" s="23"/>
      <c r="H77" s="17"/>
      <c r="I77" s="17"/>
      <c r="J77" s="17"/>
      <c r="K77" s="50"/>
      <c r="L77" s="50"/>
      <c r="M77" s="51"/>
      <c r="N77" s="50"/>
      <c r="O77" s="50"/>
      <c r="P77" s="50"/>
      <c r="Q77" s="11"/>
      <c r="R77" s="11"/>
      <c r="S77" s="11"/>
      <c r="T77" s="11"/>
      <c r="V77" s="16"/>
    </row>
    <row r="78" spans="1:47">
      <c r="A78" s="607" t="str">
        <f t="shared" ca="1" si="21"/>
        <v>D_Python.7.78</v>
      </c>
      <c r="B78" s="607" t="str">
        <f t="shared" ca="1" si="2"/>
        <v>7.78</v>
      </c>
      <c r="C78" s="607" t="str">
        <f t="shared" si="1"/>
        <v xml:space="preserve">[78] </v>
      </c>
      <c r="D78" s="607">
        <f>ROW()</f>
        <v>78</v>
      </c>
      <c r="E78" s="27" t="str">
        <f>'[2]2.'!A35</f>
        <v>BS.2.35</v>
      </c>
      <c r="F78" s="707"/>
      <c r="G78" s="708" t="str">
        <f>'[2]2.'!E35</f>
        <v>Jahresnutzungsgrad in %</v>
      </c>
      <c r="H78" s="239"/>
      <c r="I78" s="239"/>
      <c r="J78" s="239"/>
      <c r="K78" s="1330" t="str">
        <f>'[2]2.'!I35</f>
        <v>Gebäudewärme</v>
      </c>
      <c r="L78" s="1331"/>
      <c r="M78" s="1332"/>
      <c r="N78" s="1333" t="str">
        <f>'[2]2.'!L35</f>
        <v>Prozesswärme</v>
      </c>
      <c r="O78" s="1333"/>
      <c r="P78" s="1334"/>
      <c r="Q78" s="11"/>
      <c r="R78" s="11"/>
      <c r="S78" s="11"/>
      <c r="T78" s="11"/>
      <c r="V78" s="16"/>
    </row>
    <row r="79" spans="1:47">
      <c r="A79" s="607" t="str">
        <f t="shared" ca="1" si="21"/>
        <v>D_Python.7.79</v>
      </c>
      <c r="B79" s="607" t="str">
        <f t="shared" ca="1" si="2"/>
        <v>7.79</v>
      </c>
      <c r="C79" s="607" t="str">
        <f t="shared" si="1"/>
        <v xml:space="preserve">[79] </v>
      </c>
      <c r="D79" s="607">
        <f>ROW()</f>
        <v>79</v>
      </c>
      <c r="E79" s="27" t="str">
        <f>'[2]2.'!A36</f>
        <v>BS.2.36</v>
      </c>
      <c r="F79" s="132"/>
      <c r="G79" s="53" t="str">
        <f>'[2]2.'!E36</f>
        <v>Strom</v>
      </c>
      <c r="H79" s="52"/>
      <c r="I79" s="52"/>
      <c r="J79" s="52"/>
      <c r="K79" s="1272">
        <f>'[2]2.'!I36</f>
        <v>100</v>
      </c>
      <c r="L79" s="1273"/>
      <c r="M79" s="1274"/>
      <c r="N79" s="1275">
        <f>'[2]2.'!L36</f>
        <v>100</v>
      </c>
      <c r="O79" s="1275"/>
      <c r="P79" s="1276"/>
      <c r="Q79" s="11">
        <f>'[2]2.'!O36</f>
        <v>0</v>
      </c>
      <c r="R79" s="622" t="str">
        <f>"["&amp;E79&amp;"]"</f>
        <v>[BS.2.36]</v>
      </c>
      <c r="S79" s="11"/>
      <c r="T79" s="11"/>
      <c r="V79" s="16"/>
    </row>
    <row r="80" spans="1:47">
      <c r="A80" s="607" t="str">
        <f t="shared" ca="1" si="21"/>
        <v>D_Python.7.80</v>
      </c>
      <c r="B80" s="607" t="str">
        <f t="shared" ca="1" si="2"/>
        <v>7.80</v>
      </c>
      <c r="C80" s="607" t="str">
        <f t="shared" si="1"/>
        <v xml:space="preserve">[80] </v>
      </c>
      <c r="D80" s="607">
        <f>ROW()</f>
        <v>80</v>
      </c>
      <c r="E80" s="27" t="str">
        <f>'[2]2.'!A37</f>
        <v>BS.2.37</v>
      </c>
      <c r="F80" s="132"/>
      <c r="G80" s="53" t="str">
        <f>'[2]2.'!E37</f>
        <v>Brennst.gasförmig</v>
      </c>
      <c r="H80" s="52"/>
      <c r="I80" s="52"/>
      <c r="J80" s="52"/>
      <c r="K80" s="1272">
        <f>'[2]2.'!I37</f>
        <v>85</v>
      </c>
      <c r="L80" s="1273"/>
      <c r="M80" s="1274"/>
      <c r="N80" s="1275">
        <f>'[2]2.'!L37</f>
        <v>90</v>
      </c>
      <c r="O80" s="1275"/>
      <c r="P80" s="1276"/>
      <c r="Q80" s="11">
        <f>'[2]2.'!O37</f>
        <v>0</v>
      </c>
      <c r="R80" s="622" t="str">
        <f>"["&amp;E80&amp;"]"</f>
        <v>[BS.2.37]</v>
      </c>
      <c r="S80" s="11"/>
      <c r="T80" s="11"/>
      <c r="V80" s="16"/>
    </row>
    <row r="81" spans="1:22">
      <c r="A81" s="607" t="str">
        <f t="shared" ca="1" si="21"/>
        <v>D_Python.7.81</v>
      </c>
      <c r="B81" s="607" t="str">
        <f t="shared" ca="1" si="2"/>
        <v>7.81</v>
      </c>
      <c r="C81" s="607" t="str">
        <f t="shared" ref="C81:C83" si="22">"["&amp;D81&amp;"] "</f>
        <v xml:space="preserve">[81] </v>
      </c>
      <c r="D81" s="607">
        <f>ROW()</f>
        <v>81</v>
      </c>
      <c r="E81" s="27" t="str">
        <f>'[2]2.'!A38</f>
        <v>BS.2.38</v>
      </c>
      <c r="F81" s="132"/>
      <c r="G81" s="53" t="str">
        <f>'[2]2.'!E38</f>
        <v>Brennst.flüssig</v>
      </c>
      <c r="H81" s="52"/>
      <c r="I81" s="52"/>
      <c r="J81" s="52"/>
      <c r="K81" s="1272">
        <f>'[2]2.'!I38</f>
        <v>80</v>
      </c>
      <c r="L81" s="1273"/>
      <c r="M81" s="1274"/>
      <c r="N81" s="1275">
        <f>'[2]2.'!L38</f>
        <v>85</v>
      </c>
      <c r="O81" s="1275"/>
      <c r="P81" s="1276"/>
      <c r="Q81" s="11">
        <f>'[2]2.'!O38</f>
        <v>0</v>
      </c>
      <c r="R81" s="622" t="str">
        <f>"["&amp;E81&amp;"]"</f>
        <v>[BS.2.38]</v>
      </c>
      <c r="S81" s="11"/>
      <c r="T81" s="11"/>
      <c r="V81" s="16"/>
    </row>
    <row r="82" spans="1:22">
      <c r="A82" s="607" t="str">
        <f t="shared" ca="1" si="21"/>
        <v>D_Python.7.82</v>
      </c>
      <c r="B82" s="607" t="str">
        <f t="shared" ref="B82:B83" ca="1" si="23">BQ$1&amp;D82</f>
        <v>7.82</v>
      </c>
      <c r="C82" s="607" t="str">
        <f t="shared" si="22"/>
        <v xml:space="preserve">[82] </v>
      </c>
      <c r="D82" s="607">
        <f>ROW()</f>
        <v>82</v>
      </c>
      <c r="E82" s="27" t="str">
        <f>'[2]2.'!A39</f>
        <v>BS.2.39</v>
      </c>
      <c r="F82" s="132"/>
      <c r="G82" s="53" t="str">
        <f>'[2]2.'!E39</f>
        <v>Brennst.fest</v>
      </c>
      <c r="H82" s="52"/>
      <c r="I82" s="52"/>
      <c r="J82" s="52"/>
      <c r="K82" s="1272">
        <f>'[2]2.'!I39</f>
        <v>75</v>
      </c>
      <c r="L82" s="1273"/>
      <c r="M82" s="1274"/>
      <c r="N82" s="1275">
        <f>'[2]2.'!L39</f>
        <v>80</v>
      </c>
      <c r="O82" s="1275"/>
      <c r="P82" s="1276"/>
      <c r="Q82" s="11">
        <f>'[2]2.'!O39</f>
        <v>0</v>
      </c>
      <c r="R82" s="622" t="str">
        <f>"["&amp;E82&amp;"]"</f>
        <v>[BS.2.39]</v>
      </c>
      <c r="S82" s="11"/>
      <c r="T82" s="11"/>
      <c r="V82" s="16"/>
    </row>
    <row r="83" spans="1:22" ht="16" thickBot="1">
      <c r="A83" s="607" t="str">
        <f t="shared" ca="1" si="21"/>
        <v>D_Python.7.83</v>
      </c>
      <c r="B83" s="607" t="str">
        <f t="shared" ca="1" si="23"/>
        <v>7.83</v>
      </c>
      <c r="C83" s="607" t="str">
        <f t="shared" si="22"/>
        <v xml:space="preserve">[83] </v>
      </c>
      <c r="D83" s="607">
        <f>ROW()</f>
        <v>83</v>
      </c>
      <c r="E83" s="27" t="str">
        <f>'[2]2.'!A40</f>
        <v>BS.2.40</v>
      </c>
      <c r="F83" s="641"/>
      <c r="G83" s="709" t="str">
        <f>'[2]2.'!E40</f>
        <v>Wärme-Endverbr.</v>
      </c>
      <c r="H83" s="164"/>
      <c r="I83" s="164"/>
      <c r="J83" s="164"/>
      <c r="K83" s="1325">
        <f>'[2]2.'!I40</f>
        <v>100</v>
      </c>
      <c r="L83" s="1326"/>
      <c r="M83" s="1327"/>
      <c r="N83" s="1328">
        <f>'[2]2.'!L40</f>
        <v>100</v>
      </c>
      <c r="O83" s="1328"/>
      <c r="P83" s="1329"/>
      <c r="Q83" s="11">
        <f>'[2]2.'!O40</f>
        <v>0</v>
      </c>
      <c r="R83" s="622" t="str">
        <f>"["&amp;E83&amp;"]"</f>
        <v>[BS.2.40]</v>
      </c>
      <c r="S83" s="11"/>
      <c r="T83" s="11"/>
      <c r="V83" s="16"/>
    </row>
    <row r="84" spans="1:22">
      <c r="A84" s="607" t="str">
        <f t="shared" ca="1" si="21"/>
        <v>D_Python.7.84</v>
      </c>
      <c r="B84" s="607" t="str">
        <f t="shared" ref="B84:B106" ca="1" si="24">BQ$1&amp;D84</f>
        <v>7.84</v>
      </c>
      <c r="C84" s="607" t="str">
        <f t="shared" ref="C84:C106" si="25">"["&amp;D84&amp;"] "</f>
        <v xml:space="preserve">[84] </v>
      </c>
      <c r="D84" s="607">
        <f>ROW()</f>
        <v>84</v>
      </c>
      <c r="E84" s="27"/>
      <c r="F84" s="17"/>
      <c r="G84" s="629"/>
      <c r="H84" s="17"/>
      <c r="I84" s="17"/>
      <c r="J84" s="17"/>
      <c r="K84" s="50"/>
      <c r="L84" s="50"/>
      <c r="M84" s="50"/>
      <c r="N84" s="50"/>
      <c r="O84" s="50"/>
      <c r="P84" s="50"/>
      <c r="Q84" s="11"/>
      <c r="R84" s="630"/>
      <c r="S84" s="11"/>
      <c r="T84" s="11"/>
      <c r="V84" s="16"/>
    </row>
    <row r="85" spans="1:22">
      <c r="A85" s="607" t="str">
        <f t="shared" ca="1" si="21"/>
        <v>D_Python.7.85</v>
      </c>
      <c r="B85" s="607" t="str">
        <f t="shared" ca="1" si="24"/>
        <v>7.85</v>
      </c>
      <c r="C85" s="607" t="str">
        <f t="shared" si="25"/>
        <v xml:space="preserve">[85] </v>
      </c>
      <c r="D85" s="607">
        <f>ROW()</f>
        <v>85</v>
      </c>
      <c r="E85" s="27"/>
      <c r="F85" s="17"/>
      <c r="G85" s="629"/>
      <c r="H85" s="17"/>
      <c r="I85" s="17"/>
      <c r="J85" s="17"/>
      <c r="K85" s="50"/>
      <c r="L85" s="50"/>
      <c r="M85" s="50"/>
      <c r="N85" s="50"/>
      <c r="O85" s="50"/>
      <c r="P85" s="50"/>
      <c r="Q85" s="11"/>
      <c r="R85" s="630"/>
      <c r="S85" s="11"/>
      <c r="T85" s="11"/>
      <c r="V85" s="16"/>
    </row>
    <row r="86" spans="1:22" ht="20" thickBot="1">
      <c r="A86" s="607" t="str">
        <f t="shared" ca="1" si="21"/>
        <v>D_Python.7.86</v>
      </c>
      <c r="B86" s="607" t="str">
        <f t="shared" ca="1" si="24"/>
        <v>7.86</v>
      </c>
      <c r="C86" s="607" t="str">
        <f t="shared" si="25"/>
        <v xml:space="preserve">[86] </v>
      </c>
      <c r="D86" s="607">
        <f>ROW()</f>
        <v>86</v>
      </c>
      <c r="E86" s="27" t="str">
        <f>'[2]2.'!A43</f>
        <v>BS.2.43</v>
      </c>
      <c r="F86" s="4" t="str">
        <f>'[2]2.'!$D$43</f>
        <v>BS.2.d   Endverbrauch Anteile Sektoren je Anwendungsbereich</v>
      </c>
      <c r="G86" s="23"/>
      <c r="H86" s="17"/>
      <c r="I86" s="17"/>
      <c r="J86" s="17"/>
      <c r="K86" s="50"/>
      <c r="L86" s="50"/>
      <c r="M86" s="51"/>
      <c r="N86" s="50"/>
      <c r="O86" s="50"/>
      <c r="P86" s="50"/>
      <c r="Q86" s="50"/>
      <c r="R86" s="51"/>
      <c r="S86" s="50"/>
      <c r="T86" s="11"/>
      <c r="V86" s="622"/>
    </row>
    <row r="87" spans="1:22">
      <c r="A87" s="607" t="str">
        <f t="shared" ca="1" si="21"/>
        <v>D_Python.7.87</v>
      </c>
      <c r="B87" s="607" t="str">
        <f t="shared" ca="1" si="24"/>
        <v>7.87</v>
      </c>
      <c r="C87" s="607" t="str">
        <f t="shared" si="25"/>
        <v xml:space="preserve">[87] </v>
      </c>
      <c r="D87" s="607">
        <f>ROW()</f>
        <v>87</v>
      </c>
      <c r="E87" s="27" t="str">
        <f>'[2]2.'!A44</f>
        <v>BS.2.44</v>
      </c>
      <c r="F87" s="1305" t="s">
        <v>457</v>
      </c>
      <c r="G87" s="1306"/>
      <c r="H87" s="1171" t="s">
        <v>458</v>
      </c>
      <c r="I87" s="1172"/>
      <c r="J87" s="1172"/>
      <c r="K87" s="1172"/>
      <c r="L87" s="1172"/>
      <c r="M87" s="1172"/>
      <c r="N87" s="1172"/>
      <c r="O87" s="1172"/>
      <c r="P87" s="1172"/>
      <c r="Q87" s="1172"/>
      <c r="R87" s="1172"/>
      <c r="S87" s="1309"/>
      <c r="T87" s="11"/>
      <c r="V87" s="16"/>
    </row>
    <row r="88" spans="1:22">
      <c r="A88" s="607" t="str">
        <f t="shared" ca="1" si="21"/>
        <v>D_Python.7.88</v>
      </c>
      <c r="B88" s="607" t="str">
        <f t="shared" ca="1" si="24"/>
        <v>7.88</v>
      </c>
      <c r="C88" s="607" t="str">
        <f t="shared" si="25"/>
        <v xml:space="preserve">[88] </v>
      </c>
      <c r="D88" s="607">
        <f>ROW()</f>
        <v>88</v>
      </c>
      <c r="E88" s="27" t="str">
        <f>'[2]2.'!A45</f>
        <v>BS.2.45</v>
      </c>
      <c r="F88" s="1307"/>
      <c r="G88" s="1308"/>
      <c r="H88" s="1310" t="s">
        <v>459</v>
      </c>
      <c r="I88" s="1311"/>
      <c r="J88" s="1311"/>
      <c r="K88" s="1314" t="s">
        <v>460</v>
      </c>
      <c r="L88" s="1315"/>
      <c r="M88" s="1315"/>
      <c r="N88" s="1316" t="s">
        <v>461</v>
      </c>
      <c r="O88" s="1317"/>
      <c r="P88" s="1318"/>
      <c r="Q88" s="1322" t="s">
        <v>462</v>
      </c>
      <c r="R88" s="1323"/>
      <c r="S88" s="1324"/>
      <c r="T88" s="11"/>
      <c r="V88" s="16"/>
    </row>
    <row r="89" spans="1:22" ht="16" thickBot="1">
      <c r="A89" s="607" t="str">
        <f t="shared" ca="1" si="21"/>
        <v>D_Python.7.89</v>
      </c>
      <c r="B89" s="607" t="str">
        <f t="shared" ca="1" si="24"/>
        <v>7.89</v>
      </c>
      <c r="C89" s="607" t="str">
        <f t="shared" si="25"/>
        <v xml:space="preserve">[89] </v>
      </c>
      <c r="D89" s="607">
        <f>ROW()</f>
        <v>89</v>
      </c>
      <c r="E89" s="27" t="str">
        <f>'[2]2.'!A46</f>
        <v>BS.2.46</v>
      </c>
      <c r="F89" s="1297" t="s">
        <v>475</v>
      </c>
      <c r="G89" s="1298"/>
      <c r="H89" s="1312"/>
      <c r="I89" s="1313"/>
      <c r="J89" s="1313"/>
      <c r="K89" s="1194" t="s">
        <v>463</v>
      </c>
      <c r="L89" s="1195"/>
      <c r="M89" s="601" t="s">
        <v>464</v>
      </c>
      <c r="N89" s="1319"/>
      <c r="O89" s="1320"/>
      <c r="P89" s="1321"/>
      <c r="Q89" s="1196" t="s">
        <v>465</v>
      </c>
      <c r="R89" s="1197"/>
      <c r="S89" s="631" t="s">
        <v>466</v>
      </c>
      <c r="T89" s="11"/>
      <c r="V89" s="16"/>
    </row>
    <row r="90" spans="1:22" ht="16" thickTop="1">
      <c r="A90" s="607" t="str">
        <f t="shared" ca="1" si="21"/>
        <v>D_Python.7.90</v>
      </c>
      <c r="B90" s="607" t="str">
        <f t="shared" ca="1" si="24"/>
        <v>7.90</v>
      </c>
      <c r="C90" s="607" t="str">
        <f t="shared" si="25"/>
        <v xml:space="preserve">[90] </v>
      </c>
      <c r="D90" s="607">
        <f>ROW()</f>
        <v>90</v>
      </c>
      <c r="E90" s="27" t="str">
        <f>'[2]2.'!A47</f>
        <v>BS.2.47</v>
      </c>
      <c r="F90" s="638" t="str">
        <f>'[2]2.'!D47</f>
        <v>Haushalte</v>
      </c>
      <c r="G90" s="21"/>
      <c r="H90" s="1299">
        <f>'[2]2.'!F47</f>
        <v>17.034934792891409</v>
      </c>
      <c r="I90" s="1300"/>
      <c r="J90" s="1300"/>
      <c r="K90" s="1300">
        <f>'[2]2.'!I47</f>
        <v>67.291728676786718</v>
      </c>
      <c r="L90" s="1300"/>
      <c r="M90" s="1300"/>
      <c r="N90" s="1300">
        <f>'[2]2.'!L47</f>
        <v>7.5243097082835009</v>
      </c>
      <c r="O90" s="1300"/>
      <c r="P90" s="1301"/>
      <c r="Q90" s="1302">
        <f>'[2]2.'!O47</f>
        <v>0</v>
      </c>
      <c r="R90" s="1303"/>
      <c r="S90" s="1304"/>
      <c r="T90" s="11" t="str">
        <f>"["&amp;E90&amp;"]"</f>
        <v>[BS.2.47]</v>
      </c>
      <c r="V90" s="16"/>
    </row>
    <row r="91" spans="1:22">
      <c r="A91" s="607" t="str">
        <f t="shared" ca="1" si="21"/>
        <v>D_Python.7.91</v>
      </c>
      <c r="B91" s="607" t="str">
        <f t="shared" ca="1" si="24"/>
        <v>7.91</v>
      </c>
      <c r="C91" s="607" t="str">
        <f t="shared" si="25"/>
        <v xml:space="preserve">[91] </v>
      </c>
      <c r="D91" s="607">
        <f>ROW()</f>
        <v>91</v>
      </c>
      <c r="E91" s="27" t="str">
        <f>'[2]2.'!A48</f>
        <v>BS.2.48</v>
      </c>
      <c r="F91" s="640" t="str">
        <f>'[2]2.'!D48</f>
        <v>Handel/Dienstl.(ohne Gewerbe)</v>
      </c>
      <c r="G91" s="21"/>
      <c r="H91" s="1284">
        <f>'[2]2.'!F48</f>
        <v>29.610108791134532</v>
      </c>
      <c r="I91" s="1285"/>
      <c r="J91" s="1285"/>
      <c r="K91" s="1285">
        <f>'[2]2.'!I48</f>
        <v>24.380725601084762</v>
      </c>
      <c r="L91" s="1285"/>
      <c r="M91" s="1285"/>
      <c r="N91" s="1285">
        <f>'[2]2.'!L48</f>
        <v>0</v>
      </c>
      <c r="O91" s="1285"/>
      <c r="P91" s="1286"/>
      <c r="Q91" s="1287">
        <f>'[2]2.'!O48</f>
        <v>0</v>
      </c>
      <c r="R91" s="1288"/>
      <c r="S91" s="1289"/>
      <c r="T91" s="11" t="str">
        <f t="shared" ref="T91:T93" si="26">"["&amp;E91&amp;"]"</f>
        <v>[BS.2.48]</v>
      </c>
      <c r="V91" s="16"/>
    </row>
    <row r="92" spans="1:22">
      <c r="A92" s="607" t="str">
        <f t="shared" ca="1" si="21"/>
        <v>D_Python.7.92</v>
      </c>
      <c r="B92" s="607" t="str">
        <f t="shared" ca="1" si="24"/>
        <v>7.92</v>
      </c>
      <c r="C92" s="607" t="str">
        <f t="shared" si="25"/>
        <v xml:space="preserve">[92] </v>
      </c>
      <c r="D92" s="607">
        <f>ROW()</f>
        <v>92</v>
      </c>
      <c r="E92" s="27" t="str">
        <f>'[2]2.'!A49</f>
        <v>BS.2.49</v>
      </c>
      <c r="F92" s="638" t="str">
        <f>'[2]2.'!D49</f>
        <v>Industrie+prod.Gewerbe</v>
      </c>
      <c r="G92" s="21"/>
      <c r="H92" s="1284">
        <f>'[2]2.'!F49</f>
        <v>53.354956415974044</v>
      </c>
      <c r="I92" s="1285"/>
      <c r="J92" s="1285"/>
      <c r="K92" s="1285">
        <f>'[2]2.'!I49</f>
        <v>8.3275457221285176</v>
      </c>
      <c r="L92" s="1285"/>
      <c r="M92" s="1285"/>
      <c r="N92" s="1285">
        <f>'[2]2.'!L49</f>
        <v>92.475690291716504</v>
      </c>
      <c r="O92" s="1285"/>
      <c r="P92" s="1286"/>
      <c r="Q92" s="1287">
        <f>'[2]2.'!O49</f>
        <v>0</v>
      </c>
      <c r="R92" s="1288"/>
      <c r="S92" s="1289"/>
      <c r="T92" s="11" t="str">
        <f t="shared" si="26"/>
        <v>[BS.2.49]</v>
      </c>
      <c r="V92" s="16"/>
    </row>
    <row r="93" spans="1:22" ht="16" thickBot="1">
      <c r="A93" s="607" t="str">
        <f t="shared" ca="1" si="21"/>
        <v>D_Python.7.93</v>
      </c>
      <c r="B93" s="607" t="str">
        <f t="shared" ca="1" si="24"/>
        <v>7.93</v>
      </c>
      <c r="C93" s="607" t="str">
        <f t="shared" si="25"/>
        <v xml:space="preserve">[93] </v>
      </c>
      <c r="D93" s="607">
        <f>ROW()</f>
        <v>93</v>
      </c>
      <c r="E93" s="27" t="str">
        <f>'[2]2.'!A50</f>
        <v>BS.2.50</v>
      </c>
      <c r="F93" s="639" t="str">
        <f>'[2]2.'!D50</f>
        <v>Verkehr</v>
      </c>
      <c r="G93" s="632"/>
      <c r="H93" s="1278">
        <f>'[2]2.'!F50</f>
        <v>0</v>
      </c>
      <c r="I93" s="1279"/>
      <c r="J93" s="1279"/>
      <c r="K93" s="1279">
        <f>'[2]2.'!I50</f>
        <v>0</v>
      </c>
      <c r="L93" s="1279"/>
      <c r="M93" s="1279"/>
      <c r="N93" s="1279">
        <f>'[2]2.'!L50</f>
        <v>0</v>
      </c>
      <c r="O93" s="1279"/>
      <c r="P93" s="1280"/>
      <c r="Q93" s="1281">
        <f>'[2]2.'!O50</f>
        <v>100</v>
      </c>
      <c r="R93" s="1282"/>
      <c r="S93" s="1283"/>
      <c r="T93" s="11" t="str">
        <f t="shared" si="26"/>
        <v>[BS.2.50]</v>
      </c>
      <c r="V93" s="16"/>
    </row>
    <row r="94" spans="1:22">
      <c r="A94" s="607" t="str">
        <f t="shared" ca="1" si="21"/>
        <v>D_Python.7.94</v>
      </c>
      <c r="B94" s="607" t="str">
        <f t="shared" ca="1" si="24"/>
        <v>7.94</v>
      </c>
      <c r="C94" s="607" t="str">
        <f t="shared" si="25"/>
        <v xml:space="preserve">[94] </v>
      </c>
      <c r="D94" s="607">
        <f>ROW()</f>
        <v>94</v>
      </c>
      <c r="E94" s="27"/>
      <c r="F94" s="17"/>
      <c r="G94" s="629"/>
      <c r="H94" s="17"/>
      <c r="I94" s="17"/>
      <c r="J94" s="17"/>
      <c r="K94" s="50"/>
      <c r="L94" s="50"/>
      <c r="M94" s="50"/>
      <c r="N94" s="50"/>
      <c r="O94" s="50"/>
      <c r="P94" s="50"/>
      <c r="Q94" s="11"/>
      <c r="R94" s="630"/>
      <c r="S94" s="11"/>
      <c r="T94" s="11"/>
      <c r="V94" s="16"/>
    </row>
    <row r="95" spans="1:22">
      <c r="A95" s="607" t="str">
        <f t="shared" ca="1" si="21"/>
        <v>D_Python.7.95</v>
      </c>
      <c r="B95" s="607" t="str">
        <f t="shared" ca="1" si="24"/>
        <v>7.95</v>
      </c>
      <c r="C95" s="607" t="str">
        <f t="shared" si="25"/>
        <v xml:space="preserve">[95] </v>
      </c>
      <c r="D95" s="607">
        <f>ROW()</f>
        <v>95</v>
      </c>
      <c r="E95" s="27"/>
      <c r="F95" s="17"/>
      <c r="G95" s="629"/>
      <c r="H95" s="17"/>
      <c r="I95" s="17"/>
      <c r="J95" s="17"/>
      <c r="K95" s="50"/>
      <c r="L95" s="50"/>
      <c r="M95" s="50"/>
      <c r="N95" s="50"/>
      <c r="O95" s="50"/>
      <c r="P95" s="50"/>
      <c r="Q95" s="11"/>
      <c r="R95" s="630"/>
      <c r="S95" s="11"/>
      <c r="T95" s="11"/>
      <c r="V95" s="16"/>
    </row>
    <row r="96" spans="1:22">
      <c r="A96" s="607" t="str">
        <f t="shared" ca="1" si="21"/>
        <v>D_Python.7.96</v>
      </c>
      <c r="B96" s="607" t="str">
        <f t="shared" ca="1" si="24"/>
        <v>7.96</v>
      </c>
      <c r="C96" s="607" t="str">
        <f t="shared" si="25"/>
        <v xml:space="preserve">[96] </v>
      </c>
      <c r="D96" s="607">
        <f>ROW()</f>
        <v>96</v>
      </c>
      <c r="E96" s="27"/>
      <c r="F96" s="17"/>
      <c r="G96" s="629"/>
      <c r="H96" s="17"/>
      <c r="I96" s="17"/>
      <c r="J96" s="17"/>
      <c r="K96" s="50"/>
      <c r="L96" s="50"/>
      <c r="M96" s="50"/>
      <c r="N96" s="50"/>
      <c r="O96" s="50"/>
      <c r="P96" s="50"/>
      <c r="Q96" s="11"/>
      <c r="R96" s="630"/>
      <c r="S96" s="11"/>
      <c r="T96" s="11"/>
      <c r="V96" s="16"/>
    </row>
    <row r="97" spans="1:22">
      <c r="A97" s="607" t="str">
        <f t="shared" ca="1" si="21"/>
        <v>D_Python.7.97</v>
      </c>
      <c r="B97" s="607" t="str">
        <f t="shared" ca="1" si="24"/>
        <v>7.97</v>
      </c>
      <c r="C97" s="607" t="str">
        <f t="shared" si="25"/>
        <v xml:space="preserve">[97] </v>
      </c>
      <c r="D97" s="607">
        <f>ROW()</f>
        <v>97</v>
      </c>
      <c r="E97" s="27"/>
      <c r="F97" s="17"/>
      <c r="G97" s="629"/>
      <c r="H97" s="17"/>
      <c r="I97" s="17"/>
      <c r="J97" s="17"/>
      <c r="K97" s="50"/>
      <c r="L97" s="50"/>
      <c r="M97" s="50"/>
      <c r="N97" s="50"/>
      <c r="O97" s="50"/>
      <c r="P97" s="50"/>
      <c r="Q97" s="11"/>
      <c r="R97" s="630"/>
      <c r="S97" s="11"/>
      <c r="T97" s="11"/>
      <c r="V97" s="16"/>
    </row>
    <row r="98" spans="1:22">
      <c r="A98" s="607" t="str">
        <f t="shared" ca="1" si="21"/>
        <v>D_Python.7.98</v>
      </c>
      <c r="B98" s="607" t="str">
        <f t="shared" ca="1" si="24"/>
        <v>7.98</v>
      </c>
      <c r="C98" s="607" t="str">
        <f t="shared" si="25"/>
        <v xml:space="preserve">[98] </v>
      </c>
      <c r="D98" s="607">
        <f>ROW()</f>
        <v>98</v>
      </c>
      <c r="E98" s="27"/>
      <c r="F98" s="17"/>
      <c r="G98" s="629"/>
      <c r="H98" s="17"/>
      <c r="I98" s="17"/>
      <c r="J98" s="17"/>
      <c r="K98" s="50"/>
      <c r="L98" s="50"/>
      <c r="M98" s="50"/>
      <c r="N98" s="50"/>
      <c r="O98" s="50"/>
      <c r="P98" s="50"/>
      <c r="Q98" s="11"/>
      <c r="R98" s="630"/>
      <c r="S98" s="11"/>
      <c r="T98" s="11"/>
      <c r="V98" s="16"/>
    </row>
    <row r="99" spans="1:22">
      <c r="A99" s="607" t="str">
        <f t="shared" ca="1" si="21"/>
        <v>D_Python.7.99</v>
      </c>
      <c r="B99" s="607" t="str">
        <f t="shared" ca="1" si="24"/>
        <v>7.99</v>
      </c>
      <c r="C99" s="607" t="str">
        <f t="shared" si="25"/>
        <v xml:space="preserve">[99] </v>
      </c>
      <c r="D99" s="607">
        <f>ROW()</f>
        <v>99</v>
      </c>
      <c r="E99" s="27"/>
      <c r="F99" s="17"/>
      <c r="G99" s="629"/>
      <c r="H99" s="17"/>
      <c r="I99" s="17"/>
      <c r="J99" s="17"/>
      <c r="K99" s="50"/>
      <c r="L99" s="50"/>
      <c r="M99" s="50"/>
      <c r="N99" s="50"/>
      <c r="O99" s="50"/>
      <c r="P99" s="50"/>
      <c r="Q99" s="11"/>
      <c r="R99" s="630"/>
      <c r="S99" s="11"/>
      <c r="T99" s="11"/>
      <c r="V99" s="16"/>
    </row>
    <row r="100" spans="1:22">
      <c r="A100" s="607" t="str">
        <f t="shared" ca="1" si="21"/>
        <v>D_Python.7.100</v>
      </c>
      <c r="B100" s="607" t="str">
        <f t="shared" ca="1" si="24"/>
        <v>7.100</v>
      </c>
      <c r="C100" s="607" t="str">
        <f t="shared" si="25"/>
        <v xml:space="preserve">[100] </v>
      </c>
      <c r="D100" s="607">
        <f>ROW()</f>
        <v>100</v>
      </c>
      <c r="E100" s="27"/>
      <c r="F100" s="17"/>
      <c r="G100" s="629"/>
      <c r="H100" s="17"/>
      <c r="I100" s="17"/>
      <c r="J100" s="17"/>
      <c r="K100" s="50"/>
      <c r="L100" s="50"/>
      <c r="M100" s="50"/>
      <c r="N100" s="50"/>
      <c r="O100" s="50"/>
      <c r="P100" s="50"/>
      <c r="Q100" s="11"/>
      <c r="R100" s="630"/>
      <c r="S100" s="11"/>
      <c r="T100" s="11"/>
      <c r="V100" s="16"/>
    </row>
    <row r="101" spans="1:22">
      <c r="A101" s="607" t="str">
        <f t="shared" ca="1" si="21"/>
        <v>D_Python.7.101</v>
      </c>
      <c r="B101" s="607" t="str">
        <f t="shared" ca="1" si="24"/>
        <v>7.101</v>
      </c>
      <c r="C101" s="607" t="str">
        <f t="shared" si="25"/>
        <v xml:space="preserve">[101] </v>
      </c>
      <c r="D101" s="607">
        <f>ROW()</f>
        <v>101</v>
      </c>
      <c r="V101" s="16"/>
    </row>
    <row r="102" spans="1:22">
      <c r="A102" s="607" t="str">
        <f t="shared" ref="A102:A122" ca="1" si="27">BO$1&amp;B102</f>
        <v>D_Python.7.102</v>
      </c>
      <c r="B102" s="607" t="str">
        <f t="shared" ca="1" si="24"/>
        <v>7.102</v>
      </c>
      <c r="C102" s="607" t="str">
        <f t="shared" si="25"/>
        <v xml:space="preserve">[102] </v>
      </c>
      <c r="D102" s="607">
        <f>ROW()</f>
        <v>102</v>
      </c>
      <c r="V102" s="16"/>
    </row>
    <row r="103" spans="1:22">
      <c r="A103" s="607" t="str">
        <f t="shared" ca="1" si="27"/>
        <v>D_Python.7.103</v>
      </c>
      <c r="B103" s="607" t="str">
        <f t="shared" ca="1" si="24"/>
        <v>7.103</v>
      </c>
      <c r="C103" s="607" t="str">
        <f t="shared" si="25"/>
        <v xml:space="preserve">[103] </v>
      </c>
      <c r="D103" s="607">
        <f>ROW()</f>
        <v>103</v>
      </c>
    </row>
    <row r="104" spans="1:22">
      <c r="A104" s="607" t="str">
        <f t="shared" ca="1" si="27"/>
        <v>D_Python.7.104</v>
      </c>
      <c r="B104" s="607" t="str">
        <f t="shared" ca="1" si="24"/>
        <v>7.104</v>
      </c>
      <c r="C104" s="607" t="str">
        <f t="shared" si="25"/>
        <v xml:space="preserve">[104] </v>
      </c>
      <c r="D104" s="607">
        <f>ROW()</f>
        <v>104</v>
      </c>
    </row>
    <row r="105" spans="1:22">
      <c r="A105" s="607" t="str">
        <f t="shared" ca="1" si="27"/>
        <v>D_Python.7.105</v>
      </c>
      <c r="B105" s="607" t="str">
        <f t="shared" ca="1" si="24"/>
        <v>7.105</v>
      </c>
      <c r="C105" s="607" t="str">
        <f t="shared" si="25"/>
        <v xml:space="preserve">[105] </v>
      </c>
      <c r="D105" s="607">
        <f>ROW()</f>
        <v>105</v>
      </c>
    </row>
    <row r="106" spans="1:22" hidden="1">
      <c r="A106" s="607" t="str">
        <f t="shared" ca="1" si="27"/>
        <v>D_Python.7.106</v>
      </c>
      <c r="B106" s="607" t="str">
        <f t="shared" ca="1" si="24"/>
        <v>7.106</v>
      </c>
      <c r="C106" s="607" t="str">
        <f t="shared" si="25"/>
        <v xml:space="preserve">[106] </v>
      </c>
      <c r="D106" s="607">
        <f>ROW()</f>
        <v>106</v>
      </c>
    </row>
    <row r="107" spans="1:22" ht="20" hidden="1" thickBot="1">
      <c r="A107" s="607" t="str">
        <f t="shared" ca="1" si="27"/>
        <v>D_Python.7.107</v>
      </c>
      <c r="B107" s="607" t="str">
        <f t="shared" ref="B107:B122" ca="1" si="28">BQ$1&amp;D107</f>
        <v>7.107</v>
      </c>
      <c r="C107" s="607" t="str">
        <f t="shared" ref="C107:C122" si="29">"["&amp;D107&amp;"] "</f>
        <v xml:space="preserve">[107] </v>
      </c>
      <c r="D107" s="607">
        <f>ROW()</f>
        <v>107</v>
      </c>
      <c r="E107" s="27"/>
      <c r="F107" s="4" t="s">
        <v>20</v>
      </c>
    </row>
    <row r="108" spans="1:22" hidden="1">
      <c r="A108" s="607" t="str">
        <f t="shared" ca="1" si="27"/>
        <v>D_Python.7.108</v>
      </c>
      <c r="B108" s="607" t="str">
        <f t="shared" ca="1" si="28"/>
        <v>7.108</v>
      </c>
      <c r="C108" s="607" t="str">
        <f t="shared" si="29"/>
        <v xml:space="preserve">[108] </v>
      </c>
      <c r="D108" s="607">
        <f>ROW()</f>
        <v>108</v>
      </c>
      <c r="E108" s="27"/>
      <c r="F108" s="24"/>
      <c r="G108" s="70" t="str">
        <f>G8</f>
        <v>Endenergie in GWh</v>
      </c>
      <c r="H108" s="1171" t="str">
        <f>H8</f>
        <v>Anwendung</v>
      </c>
      <c r="I108" s="1172"/>
      <c r="J108" s="1172"/>
      <c r="K108" s="1172"/>
      <c r="L108" s="1172"/>
      <c r="M108" s="1172"/>
      <c r="N108" s="1172"/>
      <c r="O108" s="1172"/>
      <c r="P108" s="1172"/>
      <c r="Q108" s="1172"/>
      <c r="R108" s="1172"/>
      <c r="S108" s="1173"/>
      <c r="T108" s="31"/>
      <c r="U108" s="194"/>
    </row>
    <row r="109" spans="1:22" ht="15" hidden="1" customHeight="1">
      <c r="A109" s="607" t="str">
        <f t="shared" ca="1" si="27"/>
        <v>D_Python.7.109</v>
      </c>
      <c r="B109" s="607" t="str">
        <f t="shared" ca="1" si="28"/>
        <v>7.109</v>
      </c>
      <c r="C109" s="607" t="str">
        <f t="shared" si="29"/>
        <v xml:space="preserve">[109] </v>
      </c>
      <c r="D109" s="607">
        <f>ROW()</f>
        <v>109</v>
      </c>
      <c r="E109" s="27"/>
      <c r="F109" s="28"/>
      <c r="G109" s="17"/>
      <c r="H109" s="1174" t="str">
        <f>H9</f>
        <v>Kraft/Licht/
IKT/Kälte</v>
      </c>
      <c r="I109" s="1175"/>
      <c r="J109" s="1176"/>
      <c r="K109" s="1191" t="str">
        <f>K9</f>
        <v>Gebäudewärme</v>
      </c>
      <c r="L109" s="1192"/>
      <c r="M109" s="1193"/>
      <c r="N109" s="1183" t="str">
        <f>N9</f>
        <v>Prozess-
wärme</v>
      </c>
      <c r="O109" s="1184"/>
      <c r="P109" s="1185"/>
      <c r="Q109" s="1269" t="str">
        <f>Q9</f>
        <v>Mobile Anwend.</v>
      </c>
      <c r="R109" s="1270"/>
      <c r="S109" s="1271"/>
      <c r="T109" s="32" t="str">
        <f>T9</f>
        <v>insgesamt</v>
      </c>
      <c r="U109" s="195" t="str">
        <f>U49</f>
        <v>Nicht-</v>
      </c>
    </row>
    <row r="110" spans="1:22" ht="16" hidden="1" thickBot="1">
      <c r="A110" s="607" t="str">
        <f t="shared" ca="1" si="27"/>
        <v>D_Python.7.110</v>
      </c>
      <c r="B110" s="607" t="str">
        <f t="shared" ca="1" si="28"/>
        <v>7.110</v>
      </c>
      <c r="C110" s="607" t="str">
        <f t="shared" si="29"/>
        <v xml:space="preserve">[110] </v>
      </c>
      <c r="D110" s="607">
        <f>ROW()</f>
        <v>110</v>
      </c>
      <c r="E110" s="27"/>
      <c r="F110" s="25"/>
      <c r="G110" s="29"/>
      <c r="H110" s="1177"/>
      <c r="I110" s="1178"/>
      <c r="J110" s="1179"/>
      <c r="K110" s="1194" t="str">
        <f>K10</f>
        <v>Raumw.</v>
      </c>
      <c r="L110" s="1195"/>
      <c r="M110" s="30" t="str">
        <f>M10</f>
        <v>Warmwas.</v>
      </c>
      <c r="N110" s="1186"/>
      <c r="O110" s="1187"/>
      <c r="P110" s="1188"/>
      <c r="Q110" s="1196" t="str">
        <f>Q10</f>
        <v>Boden+</v>
      </c>
      <c r="R110" s="1277"/>
      <c r="S110" s="147" t="str">
        <f>S10</f>
        <v>Luft</v>
      </c>
      <c r="T110" s="33"/>
      <c r="U110" s="195" t="str">
        <f>U50</f>
        <v>energet.</v>
      </c>
    </row>
    <row r="111" spans="1:22" ht="15.75" hidden="1" customHeight="1" thickTop="1">
      <c r="A111" s="607" t="str">
        <f t="shared" ca="1" si="27"/>
        <v>D_Python.7.111</v>
      </c>
      <c r="B111" s="607" t="str">
        <f t="shared" ca="1" si="28"/>
        <v>7.111</v>
      </c>
      <c r="C111" s="607" t="str">
        <f t="shared" si="29"/>
        <v xml:space="preserve">[111] </v>
      </c>
      <c r="D111" s="607">
        <f>ROW()</f>
        <v>111</v>
      </c>
      <c r="E111" s="27"/>
      <c r="F111" s="1198" t="str">
        <f>F11</f>
        <v>Endenergie-Träger</v>
      </c>
      <c r="G111" s="56" t="str">
        <f>G11</f>
        <v>Strom</v>
      </c>
      <c r="H111" s="1201">
        <f>H11</f>
        <v>385953.0722430899</v>
      </c>
      <c r="I111" s="1202"/>
      <c r="J111" s="1203"/>
      <c r="K111" s="1207" t="e">
        <f>#REF!</f>
        <v>#REF!</v>
      </c>
      <c r="L111" s="1202"/>
      <c r="M111" s="1203"/>
      <c r="N111" s="1207" t="e">
        <f>#REF!</f>
        <v>#REF!</v>
      </c>
      <c r="O111" s="1202"/>
      <c r="P111" s="1203"/>
      <c r="Q111" s="1207">
        <f>Q11</f>
        <v>16838.496137524449</v>
      </c>
      <c r="R111" s="1202"/>
      <c r="S111" s="1290"/>
      <c r="T111" s="57" t="e">
        <f>SUM(H111:S111)</f>
        <v>#REF!</v>
      </c>
      <c r="U111" s="202"/>
    </row>
    <row r="112" spans="1:22" ht="15" hidden="1" customHeight="1">
      <c r="A112" s="607" t="str">
        <f t="shared" ca="1" si="27"/>
        <v>D_Python.7.112</v>
      </c>
      <c r="B112" s="607" t="str">
        <f t="shared" ca="1" si="28"/>
        <v>7.112</v>
      </c>
      <c r="C112" s="607" t="str">
        <f t="shared" si="29"/>
        <v xml:space="preserve">[112] </v>
      </c>
      <c r="D112" s="607">
        <f>ROW()</f>
        <v>112</v>
      </c>
      <c r="E112" s="27"/>
      <c r="F112" s="1199"/>
      <c r="G112" s="37"/>
      <c r="H112" s="151"/>
      <c r="I112" s="152"/>
      <c r="J112" s="109"/>
      <c r="K112" s="39"/>
      <c r="L112" s="40" t="e">
        <f>K111*L12/K11</f>
        <v>#REF!</v>
      </c>
      <c r="M112" s="41" t="e">
        <f>K111*M12/K11</f>
        <v>#REF!</v>
      </c>
      <c r="N112" s="113"/>
      <c r="O112" s="112"/>
      <c r="P112" s="42"/>
      <c r="Q112" s="39"/>
      <c r="R112" s="40">
        <f>Q111*R12/Q11</f>
        <v>16838.496137524449</v>
      </c>
      <c r="S112" s="41">
        <f>Q111*S12/Q11</f>
        <v>0</v>
      </c>
      <c r="T112" s="44"/>
      <c r="U112" s="196"/>
    </row>
    <row r="113" spans="1:34" ht="15" hidden="1" customHeight="1">
      <c r="A113" s="607" t="str">
        <f t="shared" ca="1" si="27"/>
        <v>D_Python.7.113</v>
      </c>
      <c r="B113" s="607" t="str">
        <f t="shared" ca="1" si="28"/>
        <v>7.113</v>
      </c>
      <c r="C113" s="607" t="str">
        <f t="shared" si="29"/>
        <v xml:space="preserve">[113] </v>
      </c>
      <c r="D113" s="607">
        <f>ROW()</f>
        <v>113</v>
      </c>
      <c r="E113" s="27"/>
      <c r="F113" s="1199"/>
      <c r="G113" s="58" t="str">
        <f>G13</f>
        <v>Brennst.gasförm.</v>
      </c>
      <c r="H113" s="1209">
        <f>H13</f>
        <v>0</v>
      </c>
      <c r="I113" s="1210"/>
      <c r="J113" s="1211"/>
      <c r="K113" s="1212" t="e">
        <f>#REF!</f>
        <v>#REF!</v>
      </c>
      <c r="L113" s="1210"/>
      <c r="M113" s="1211"/>
      <c r="N113" s="1212" t="e">
        <f>#REF!</f>
        <v>#REF!</v>
      </c>
      <c r="O113" s="1210"/>
      <c r="P113" s="1211"/>
      <c r="Q113" s="1212">
        <f>Q13</f>
        <v>6622.0079086291453</v>
      </c>
      <c r="R113" s="1210"/>
      <c r="S113" s="1213"/>
      <c r="T113" s="59" t="e">
        <f>SUM(H113:S113)</f>
        <v>#REF!</v>
      </c>
      <c r="U113" s="197">
        <f>U53*$L$5/$AB$4</f>
        <v>26514.961889281978</v>
      </c>
    </row>
    <row r="114" spans="1:34" ht="15" hidden="1" customHeight="1">
      <c r="A114" s="607" t="str">
        <f t="shared" ca="1" si="27"/>
        <v>D_Python.7.114</v>
      </c>
      <c r="B114" s="607" t="str">
        <f t="shared" ca="1" si="28"/>
        <v>7.114</v>
      </c>
      <c r="C114" s="607" t="str">
        <f t="shared" si="29"/>
        <v xml:space="preserve">[114] </v>
      </c>
      <c r="D114" s="607">
        <f>ROW()</f>
        <v>114</v>
      </c>
      <c r="E114" s="27"/>
      <c r="F114" s="1199"/>
      <c r="G114" s="37"/>
      <c r="H114" s="151"/>
      <c r="I114" s="152"/>
      <c r="J114" s="109"/>
      <c r="K114" s="39"/>
      <c r="L114" s="40" t="e">
        <f>K113*L14/K13</f>
        <v>#REF!</v>
      </c>
      <c r="M114" s="41" t="e">
        <f>K113*M14/K13</f>
        <v>#REF!</v>
      </c>
      <c r="N114" s="39"/>
      <c r="O114" s="152"/>
      <c r="P114" s="109"/>
      <c r="Q114" s="39"/>
      <c r="R114" s="40">
        <f>Q113*R14/Q13</f>
        <v>6622.0079086291444</v>
      </c>
      <c r="S114" s="41">
        <f>Q113*S14/Q13</f>
        <v>0</v>
      </c>
      <c r="T114" s="44"/>
      <c r="U114" s="196"/>
    </row>
    <row r="115" spans="1:34" ht="15" hidden="1" customHeight="1">
      <c r="A115" s="607" t="str">
        <f t="shared" ca="1" si="27"/>
        <v>D_Python.7.115</v>
      </c>
      <c r="B115" s="607" t="str">
        <f t="shared" ca="1" si="28"/>
        <v>7.115</v>
      </c>
      <c r="C115" s="607" t="str">
        <f t="shared" si="29"/>
        <v xml:space="preserve">[115] </v>
      </c>
      <c r="D115" s="607">
        <f>ROW()</f>
        <v>115</v>
      </c>
      <c r="E115" s="27"/>
      <c r="F115" s="1199"/>
      <c r="G115" s="60" t="str">
        <f>G15</f>
        <v>Brennst.flüssig</v>
      </c>
      <c r="H115" s="1209">
        <f>H15</f>
        <v>0</v>
      </c>
      <c r="I115" s="1210"/>
      <c r="J115" s="1211"/>
      <c r="K115" s="1212" t="e">
        <f>#REF!</f>
        <v>#REF!</v>
      </c>
      <c r="L115" s="1210"/>
      <c r="M115" s="1211"/>
      <c r="N115" s="1212" t="e">
        <f>#REF!</f>
        <v>#REF!</v>
      </c>
      <c r="O115" s="1210"/>
      <c r="P115" s="1211"/>
      <c r="Q115" s="1212">
        <f>Q15</f>
        <v>771194.73219818773</v>
      </c>
      <c r="R115" s="1210"/>
      <c r="S115" s="1213"/>
      <c r="T115" s="61" t="e">
        <f>SUM(H115:S115)</f>
        <v>#REF!</v>
      </c>
      <c r="U115" s="198">
        <f>U55*$L$5/$AB$4</f>
        <v>243425.69106448564</v>
      </c>
    </row>
    <row r="116" spans="1:34" ht="15" hidden="1" customHeight="1">
      <c r="A116" s="607" t="str">
        <f t="shared" ca="1" si="27"/>
        <v>D_Python.7.116</v>
      </c>
      <c r="B116" s="607" t="str">
        <f t="shared" ca="1" si="28"/>
        <v>7.116</v>
      </c>
      <c r="C116" s="607" t="str">
        <f t="shared" si="29"/>
        <v xml:space="preserve">[116] </v>
      </c>
      <c r="D116" s="607">
        <f>ROW()</f>
        <v>116</v>
      </c>
      <c r="E116" s="27"/>
      <c r="F116" s="1199"/>
      <c r="G116" s="37"/>
      <c r="H116" s="151"/>
      <c r="I116" s="152"/>
      <c r="J116" s="109"/>
      <c r="K116" s="39"/>
      <c r="L116" s="40" t="e">
        <f>K115*L16/K15</f>
        <v>#REF!</v>
      </c>
      <c r="M116" s="41" t="e">
        <f>K115*M16/K15</f>
        <v>#REF!</v>
      </c>
      <c r="N116" s="39"/>
      <c r="O116" s="152"/>
      <c r="P116" s="109"/>
      <c r="Q116" s="39"/>
      <c r="R116" s="40">
        <f>Q115*R16/Q15</f>
        <v>662430.2366335158</v>
      </c>
      <c r="S116" s="41">
        <f>Q115*S16/Q15</f>
        <v>108764.49556467203</v>
      </c>
      <c r="T116" s="44"/>
      <c r="U116" s="196"/>
    </row>
    <row r="117" spans="1:34" ht="15" hidden="1" customHeight="1">
      <c r="A117" s="607" t="str">
        <f t="shared" ca="1" si="27"/>
        <v>D_Python.7.117</v>
      </c>
      <c r="B117" s="607" t="str">
        <f t="shared" ca="1" si="28"/>
        <v>7.117</v>
      </c>
      <c r="C117" s="607" t="str">
        <f t="shared" si="29"/>
        <v xml:space="preserve">[117] </v>
      </c>
      <c r="D117" s="607">
        <f>ROW()</f>
        <v>117</v>
      </c>
      <c r="E117" s="27"/>
      <c r="F117" s="1199"/>
      <c r="G117" s="62" t="str">
        <f>G17</f>
        <v>Brennst.fest</v>
      </c>
      <c r="H117" s="1209">
        <f>H17</f>
        <v>0</v>
      </c>
      <c r="I117" s="1210"/>
      <c r="J117" s="1211"/>
      <c r="K117" s="1212" t="e">
        <f>#REF!</f>
        <v>#REF!</v>
      </c>
      <c r="L117" s="1210"/>
      <c r="M117" s="1211"/>
      <c r="N117" s="1212" t="e">
        <f>#REF!</f>
        <v>#REF!</v>
      </c>
      <c r="O117" s="1210"/>
      <c r="P117" s="1211"/>
      <c r="Q117" s="1212">
        <f>Q17</f>
        <v>0</v>
      </c>
      <c r="R117" s="1210"/>
      <c r="S117" s="1213"/>
      <c r="T117" s="63" t="e">
        <f>SUM(H117:S117)</f>
        <v>#REF!</v>
      </c>
      <c r="U117" s="199">
        <f>U57*$L$5/$AB$4</f>
        <v>6783.0224844896475</v>
      </c>
    </row>
    <row r="118" spans="1:34" ht="15" hidden="1" customHeight="1">
      <c r="A118" s="607" t="str">
        <f t="shared" ca="1" si="27"/>
        <v>D_Python.7.118</v>
      </c>
      <c r="B118" s="607" t="str">
        <f t="shared" ca="1" si="28"/>
        <v>7.118</v>
      </c>
      <c r="C118" s="607" t="str">
        <f t="shared" si="29"/>
        <v xml:space="preserve">[118] </v>
      </c>
      <c r="D118" s="607">
        <f>ROW()</f>
        <v>118</v>
      </c>
      <c r="E118" s="27"/>
      <c r="F118" s="1199"/>
      <c r="G118" s="26"/>
      <c r="H118" s="151"/>
      <c r="I118" s="152"/>
      <c r="J118" s="109"/>
      <c r="K118" s="39"/>
      <c r="L118" s="40" t="e">
        <f>K117*L18/K17</f>
        <v>#REF!</v>
      </c>
      <c r="M118" s="41" t="e">
        <f>K117*M18/K17</f>
        <v>#REF!</v>
      </c>
      <c r="N118" s="39"/>
      <c r="O118" s="152"/>
      <c r="P118" s="109"/>
      <c r="Q118" s="39"/>
      <c r="R118" s="40">
        <v>0</v>
      </c>
      <c r="S118" s="41">
        <v>0</v>
      </c>
      <c r="T118" s="44"/>
      <c r="U118" s="196"/>
    </row>
    <row r="119" spans="1:34" ht="15" hidden="1" customHeight="1">
      <c r="A119" s="607" t="str">
        <f t="shared" ca="1" si="27"/>
        <v>D_Python.7.119</v>
      </c>
      <c r="B119" s="607" t="str">
        <f t="shared" ca="1" si="28"/>
        <v>7.119</v>
      </c>
      <c r="C119" s="607" t="str">
        <f t="shared" si="29"/>
        <v xml:space="preserve">[119] </v>
      </c>
      <c r="D119" s="607">
        <f>ROW()</f>
        <v>119</v>
      </c>
      <c r="E119" s="27"/>
      <c r="F119" s="1199"/>
      <c r="G119" s="64" t="str">
        <f>G19</f>
        <v xml:space="preserve">Wärme </v>
      </c>
      <c r="H119" s="1209">
        <f>H19</f>
        <v>0</v>
      </c>
      <c r="I119" s="1210"/>
      <c r="J119" s="1211"/>
      <c r="K119" s="1212" t="e">
        <f>#REF!</f>
        <v>#REF!</v>
      </c>
      <c r="L119" s="1210"/>
      <c r="M119" s="1211"/>
      <c r="N119" s="1212" t="e">
        <f>#REF!</f>
        <v>#REF!</v>
      </c>
      <c r="O119" s="1210"/>
      <c r="P119" s="1211"/>
      <c r="Q119" s="1212">
        <f>Q19</f>
        <v>0</v>
      </c>
      <c r="R119" s="1210"/>
      <c r="S119" s="1213"/>
      <c r="T119" s="65" t="e">
        <f>SUM(H119:S119)</f>
        <v>#REF!</v>
      </c>
      <c r="U119" s="201"/>
    </row>
    <row r="120" spans="1:34" ht="15.75" hidden="1" customHeight="1" thickBot="1">
      <c r="A120" s="607" t="str">
        <f t="shared" ca="1" si="27"/>
        <v>D_Python.7.120</v>
      </c>
      <c r="B120" s="607" t="str">
        <f t="shared" ca="1" si="28"/>
        <v>7.120</v>
      </c>
      <c r="C120" s="607" t="str">
        <f t="shared" si="29"/>
        <v xml:space="preserve">[120] </v>
      </c>
      <c r="D120" s="607">
        <f>ROW()</f>
        <v>120</v>
      </c>
      <c r="E120" s="27"/>
      <c r="F120" s="1200"/>
      <c r="G120" s="34"/>
      <c r="H120" s="110"/>
      <c r="I120" s="108"/>
      <c r="J120" s="111"/>
      <c r="K120" s="45"/>
      <c r="L120" s="46" t="e">
        <f>K119*L20/K19</f>
        <v>#REF!</v>
      </c>
      <c r="M120" s="47" t="e">
        <f>K119*M20/K19</f>
        <v>#REF!</v>
      </c>
      <c r="N120" s="45"/>
      <c r="O120" s="108"/>
      <c r="P120" s="111"/>
      <c r="Q120" s="45"/>
      <c r="R120" s="46">
        <v>0</v>
      </c>
      <c r="S120" s="46">
        <v>0</v>
      </c>
      <c r="T120" s="48"/>
      <c r="U120" s="200"/>
    </row>
    <row r="121" spans="1:34" ht="17" hidden="1" thickTop="1" thickBot="1">
      <c r="A121" s="607" t="str">
        <f t="shared" ca="1" si="27"/>
        <v>D_Python.7.121</v>
      </c>
      <c r="B121" s="607" t="str">
        <f t="shared" ca="1" si="28"/>
        <v>7.121</v>
      </c>
      <c r="C121" s="607" t="str">
        <f t="shared" si="29"/>
        <v xml:space="preserve">[121] </v>
      </c>
      <c r="D121" s="607">
        <f>ROW()</f>
        <v>121</v>
      </c>
      <c r="E121" s="27"/>
      <c r="F121" s="36"/>
      <c r="G121" s="35" t="str">
        <f>G31</f>
        <v xml:space="preserve">Nahwärme Abw./erneuerb. </v>
      </c>
      <c r="H121" s="1220">
        <f>SUM(H111:H119)</f>
        <v>385953.0722430899</v>
      </c>
      <c r="I121" s="1221"/>
      <c r="J121" s="1222"/>
      <c r="K121" s="1291" t="e">
        <f>SUM(K111:K119)</f>
        <v>#REF!</v>
      </c>
      <c r="L121" s="1292"/>
      <c r="M121" s="1293"/>
      <c r="N121" s="1226" t="e">
        <f>SUM(N111:N119)</f>
        <v>#REF!</v>
      </c>
      <c r="O121" s="1227"/>
      <c r="P121" s="1228"/>
      <c r="Q121" s="1294">
        <f>SUM(Q111:Q119)</f>
        <v>794655.23624434136</v>
      </c>
      <c r="R121" s="1295"/>
      <c r="S121" s="1296"/>
      <c r="T121" s="49" t="e">
        <f>SUM(T111:T119)</f>
        <v>#REF!</v>
      </c>
      <c r="U121" s="196">
        <f>SUM(U113:U118)</f>
        <v>276723.67543825728</v>
      </c>
      <c r="V121" s="5"/>
      <c r="AA121" s="16" t="e">
        <f>T121*3.6/1000</f>
        <v>#REF!</v>
      </c>
    </row>
    <row r="122" spans="1:34" hidden="1">
      <c r="A122" s="607" t="str">
        <f t="shared" ca="1" si="27"/>
        <v>D_Python.7.122</v>
      </c>
      <c r="B122" s="607" t="str">
        <f t="shared" ca="1" si="28"/>
        <v>7.122</v>
      </c>
      <c r="C122" s="607" t="str">
        <f t="shared" si="29"/>
        <v xml:space="preserve">[122] </v>
      </c>
      <c r="D122" s="607">
        <f>ROW()</f>
        <v>122</v>
      </c>
      <c r="E122" s="27"/>
      <c r="F122" s="6"/>
      <c r="G122" s="6"/>
      <c r="H122" s="6"/>
      <c r="I122" s="6"/>
      <c r="J122" s="6"/>
      <c r="L122" s="19" t="e">
        <f>SUM(L112:L120)</f>
        <v>#REF!</v>
      </c>
      <c r="M122" s="19" t="e">
        <f>SUM(M112:M120)</f>
        <v>#REF!</v>
      </c>
      <c r="R122" s="19">
        <f>SUM(R112:R120)</f>
        <v>685890.74067966943</v>
      </c>
      <c r="S122" s="19">
        <f>SUM(S112:S120)</f>
        <v>108764.49556467203</v>
      </c>
      <c r="Y122" s="19"/>
      <c r="Z122" s="19"/>
      <c r="AH122" s="16" t="e">
        <f>M122/(L122+M122)%</f>
        <v>#REF!</v>
      </c>
    </row>
  </sheetData>
  <sheetProtection algorithmName="SHA-512" hashValue="6zzasT4tKrSmc4d2B7WbNFvy3/6rsbqzBDmn//LhucFqKE7q/I3+fDXbZUR1oP44pQ3gixHSgBm+xhHvODf5SA==" saltValue="dbU0D/gJi++Wg2ByBs6EAA==" spinCount="100000" sheet="1" objects="1" scenarios="1" formatRows="0"/>
  <mergeCells count="188">
    <mergeCell ref="Q36:R36"/>
    <mergeCell ref="F36:G36"/>
    <mergeCell ref="H43:J43"/>
    <mergeCell ref="K43:M43"/>
    <mergeCell ref="N43:P43"/>
    <mergeCell ref="Q43:S43"/>
    <mergeCell ref="H34:S34"/>
    <mergeCell ref="H35:J36"/>
    <mergeCell ref="K35:M35"/>
    <mergeCell ref="N35:P36"/>
    <mergeCell ref="Q35:S35"/>
    <mergeCell ref="K36:L36"/>
    <mergeCell ref="K41:M41"/>
    <mergeCell ref="N41:P41"/>
    <mergeCell ref="Q41:S41"/>
    <mergeCell ref="K39:M39"/>
    <mergeCell ref="N39:P39"/>
    <mergeCell ref="Q39:S39"/>
    <mergeCell ref="H37:J37"/>
    <mergeCell ref="H41:J41"/>
    <mergeCell ref="H39:J39"/>
    <mergeCell ref="K37:M37"/>
    <mergeCell ref="N37:P37"/>
    <mergeCell ref="Q37:S37"/>
    <mergeCell ref="Q91:S91"/>
    <mergeCell ref="K82:M82"/>
    <mergeCell ref="N82:P82"/>
    <mergeCell ref="K83:M83"/>
    <mergeCell ref="N83:P83"/>
    <mergeCell ref="K68:M68"/>
    <mergeCell ref="N68:P68"/>
    <mergeCell ref="K69:L69"/>
    <mergeCell ref="K70:M70"/>
    <mergeCell ref="N70:P70"/>
    <mergeCell ref="K78:M78"/>
    <mergeCell ref="N78:P78"/>
    <mergeCell ref="F89:G89"/>
    <mergeCell ref="K89:L89"/>
    <mergeCell ref="Q89:R89"/>
    <mergeCell ref="H90:J90"/>
    <mergeCell ref="K90:M90"/>
    <mergeCell ref="N90:P90"/>
    <mergeCell ref="Q90:S90"/>
    <mergeCell ref="F87:G88"/>
    <mergeCell ref="H87:S87"/>
    <mergeCell ref="H88:J89"/>
    <mergeCell ref="K88:M88"/>
    <mergeCell ref="N88:P89"/>
    <mergeCell ref="Q88:S88"/>
    <mergeCell ref="H121:J121"/>
    <mergeCell ref="K121:M121"/>
    <mergeCell ref="N121:P121"/>
    <mergeCell ref="Q121:S121"/>
    <mergeCell ref="H115:J115"/>
    <mergeCell ref="K115:M115"/>
    <mergeCell ref="N115:P115"/>
    <mergeCell ref="Q115:S115"/>
    <mergeCell ref="H117:J117"/>
    <mergeCell ref="K117:M117"/>
    <mergeCell ref="N117:P117"/>
    <mergeCell ref="Q117:S117"/>
    <mergeCell ref="F111:F120"/>
    <mergeCell ref="H111:J111"/>
    <mergeCell ref="K111:M111"/>
    <mergeCell ref="N111:P111"/>
    <mergeCell ref="Q111:S111"/>
    <mergeCell ref="H113:J113"/>
    <mergeCell ref="K113:M113"/>
    <mergeCell ref="N113:P113"/>
    <mergeCell ref="Q113:S113"/>
    <mergeCell ref="H119:J119"/>
    <mergeCell ref="K119:M119"/>
    <mergeCell ref="N119:P119"/>
    <mergeCell ref="Q119:S119"/>
    <mergeCell ref="H108:S108"/>
    <mergeCell ref="H109:J110"/>
    <mergeCell ref="K109:M109"/>
    <mergeCell ref="N109:P110"/>
    <mergeCell ref="Q109:S109"/>
    <mergeCell ref="K110:L110"/>
    <mergeCell ref="K79:M79"/>
    <mergeCell ref="N79:P79"/>
    <mergeCell ref="K80:M80"/>
    <mergeCell ref="N80:P80"/>
    <mergeCell ref="K81:M81"/>
    <mergeCell ref="N81:P81"/>
    <mergeCell ref="Q110:R110"/>
    <mergeCell ref="H93:J93"/>
    <mergeCell ref="K93:M93"/>
    <mergeCell ref="N93:P93"/>
    <mergeCell ref="Q93:S93"/>
    <mergeCell ref="H92:J92"/>
    <mergeCell ref="K92:M92"/>
    <mergeCell ref="N92:P92"/>
    <mergeCell ref="Q92:S92"/>
    <mergeCell ref="H91:J91"/>
    <mergeCell ref="K91:M91"/>
    <mergeCell ref="N91:P91"/>
    <mergeCell ref="H61:J61"/>
    <mergeCell ref="K61:M61"/>
    <mergeCell ref="N61:P61"/>
    <mergeCell ref="Q61:S61"/>
    <mergeCell ref="H48:S48"/>
    <mergeCell ref="H49:J50"/>
    <mergeCell ref="K49:M49"/>
    <mergeCell ref="N49:P50"/>
    <mergeCell ref="Q49:S49"/>
    <mergeCell ref="K50:L50"/>
    <mergeCell ref="Q50:R50"/>
    <mergeCell ref="F51:F60"/>
    <mergeCell ref="H51:J51"/>
    <mergeCell ref="K51:M51"/>
    <mergeCell ref="N51:P51"/>
    <mergeCell ref="Q51:S51"/>
    <mergeCell ref="H53:J53"/>
    <mergeCell ref="K53:M53"/>
    <mergeCell ref="N53:P53"/>
    <mergeCell ref="Q53:S53"/>
    <mergeCell ref="H55:J55"/>
    <mergeCell ref="K55:M55"/>
    <mergeCell ref="N55:P55"/>
    <mergeCell ref="Q55:S55"/>
    <mergeCell ref="H57:J57"/>
    <mergeCell ref="K57:M57"/>
    <mergeCell ref="N57:P57"/>
    <mergeCell ref="Q57:S57"/>
    <mergeCell ref="H59:J59"/>
    <mergeCell ref="K59:M59"/>
    <mergeCell ref="N59:P59"/>
    <mergeCell ref="Q59:S59"/>
    <mergeCell ref="K26:L26"/>
    <mergeCell ref="AJ26:AK26"/>
    <mergeCell ref="H21:J21"/>
    <mergeCell ref="K21:M21"/>
    <mergeCell ref="N21:P21"/>
    <mergeCell ref="Q21:S21"/>
    <mergeCell ref="AJ21:AL21"/>
    <mergeCell ref="AM21:AO21"/>
    <mergeCell ref="K27:M27"/>
    <mergeCell ref="N27:P27"/>
    <mergeCell ref="AJ27:AL27"/>
    <mergeCell ref="AM27:AO27"/>
    <mergeCell ref="AJ19:AL19"/>
    <mergeCell ref="AM19:AO19"/>
    <mergeCell ref="H17:J17"/>
    <mergeCell ref="K17:M17"/>
    <mergeCell ref="N17:P17"/>
    <mergeCell ref="Q17:S17"/>
    <mergeCell ref="AJ17:AL17"/>
    <mergeCell ref="AM17:AO17"/>
    <mergeCell ref="K25:M25"/>
    <mergeCell ref="N25:P25"/>
    <mergeCell ref="AJ25:AL25"/>
    <mergeCell ref="AM25:AO25"/>
    <mergeCell ref="AJ15:AL15"/>
    <mergeCell ref="AM15:AO15"/>
    <mergeCell ref="AJ11:AL11"/>
    <mergeCell ref="AM11:AO11"/>
    <mergeCell ref="H13:J13"/>
    <mergeCell ref="K13:M13"/>
    <mergeCell ref="N13:P13"/>
    <mergeCell ref="Q13:S13"/>
    <mergeCell ref="AJ13:AL13"/>
    <mergeCell ref="AM13:AO13"/>
    <mergeCell ref="F11:F20"/>
    <mergeCell ref="H11:J11"/>
    <mergeCell ref="K11:M11"/>
    <mergeCell ref="N11:P11"/>
    <mergeCell ref="Q11:S11"/>
    <mergeCell ref="H15:J15"/>
    <mergeCell ref="K15:M15"/>
    <mergeCell ref="N15:P15"/>
    <mergeCell ref="Q15:S15"/>
    <mergeCell ref="H19:J19"/>
    <mergeCell ref="K19:M19"/>
    <mergeCell ref="N19:P19"/>
    <mergeCell ref="Q19:S19"/>
    <mergeCell ref="L5:M5"/>
    <mergeCell ref="H8:S8"/>
    <mergeCell ref="H9:J10"/>
    <mergeCell ref="K9:M9"/>
    <mergeCell ref="N9:P10"/>
    <mergeCell ref="Q9:S9"/>
    <mergeCell ref="AJ9:AL9"/>
    <mergeCell ref="AM9:AO10"/>
    <mergeCell ref="K10:L10"/>
    <mergeCell ref="Q10:R10"/>
    <mergeCell ref="AJ10:AK10"/>
  </mergeCells>
  <pageMargins left="0.70866141732283472" right="0.51181102362204722" top="0.74803149606299213" bottom="0.74803149606299213" header="0.31496062992125984" footer="0.31496062992125984"/>
  <pageSetup paperSize="9" scale="70" orientation="portrait" horizontalDpi="1200" verticalDpi="1200" r:id="rId1"/>
  <headerFooter>
    <oddFooter>&amp;R&amp;P / &amp;N</oddFooter>
  </headerFooter>
  <legacyDrawing r:id="rId2"/>
  <extLst>
    <ext xmlns:x14="http://schemas.microsoft.com/office/spreadsheetml/2009/9/main" uri="{78C0D931-6437-407d-A8EE-F0AAD7539E65}">
      <x14:conditionalFormattings>
        <x14:conditionalFormatting xmlns:xm="http://schemas.microsoft.com/office/excel/2006/main">
          <x14:cfRule type="expression" priority="1" id="{BD24D586-89FB-424F-81A4-ACDFD1BA5B33}">
            <xm:f>Stempel!$B$4=0</xm:f>
            <x14:dxf>
              <font>
                <color rgb="FFFF0000"/>
              </font>
            </x14:dxf>
          </x14:cfRule>
          <xm:sqref>V2</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tabColor theme="6" tint="0.39997558519241921"/>
  </sheetPr>
  <dimension ref="A1:CR148"/>
  <sheetViews>
    <sheetView showGridLines="0" showRowColHeaders="0" topLeftCell="D1" zoomScale="120" zoomScaleNormal="120" zoomScaleSheetLayoutView="100" workbookViewId="0">
      <selection activeCell="N2" sqref="N2"/>
    </sheetView>
  </sheetViews>
  <sheetFormatPr baseColWidth="10" defaultColWidth="11.5" defaultRowHeight="15"/>
  <cols>
    <col min="1" max="3" width="4.83203125" style="705" hidden="1" customWidth="1"/>
    <col min="4" max="4" width="4.33203125" style="705" customWidth="1"/>
    <col min="5" max="5" width="7.5" style="710" hidden="1" customWidth="1"/>
    <col min="6" max="12" width="10" style="705" customWidth="1"/>
    <col min="13" max="13" width="18.83203125" style="54" customWidth="1"/>
    <col min="14" max="15" width="4.5" style="705" customWidth="1"/>
    <col min="16" max="16384" width="11.5" style="705"/>
  </cols>
  <sheetData>
    <row r="1" spans="1:96">
      <c r="A1" s="943" t="s">
        <v>1883</v>
      </c>
      <c r="D1" s="607"/>
      <c r="E1" s="654"/>
      <c r="M1" s="705"/>
      <c r="U1" s="2"/>
      <c r="V1" s="2"/>
      <c r="AB1" s="452" t="str">
        <f ca="1">"'"&amp;MID(AF1,FIND("]",AF1)+1,255)&amp;"'"</f>
        <v>'8.Kennzahlen'</v>
      </c>
      <c r="AE1" s="452" t="str">
        <f ca="1">MID(AF1,FIND("]",AF1)+1,255)</f>
        <v>8.Kennzahlen</v>
      </c>
      <c r="AF1" s="350" t="str">
        <f ca="1">CELL("dateiname",AF1)</f>
        <v>/Users/izzetkilicarslan/PycharmProjects/Masterarbeit_100prosim/Excel_import/Python_Modell/[D_Python.xlsx]8.Kennzahlen</v>
      </c>
      <c r="AG1" s="656"/>
      <c r="AH1" s="656"/>
      <c r="AI1" s="656"/>
      <c r="BM1" s="494" t="s">
        <v>209</v>
      </c>
      <c r="BN1" s="705" t="str">
        <f ca="1">BO1&amp;BQ1</f>
        <v>D_Python.8.</v>
      </c>
      <c r="BO1" s="656" t="str">
        <f ca="1">BP1</f>
        <v>D_Python.</v>
      </c>
      <c r="BP1" s="452" t="str">
        <f ca="1">MID(BS1,FIND("[",BS1)+1,FIND("xls",BS1)-FIND("[",BS1)-1)</f>
        <v>D_Python.</v>
      </c>
      <c r="BQ1" s="452" t="str">
        <f ca="1">LEFT(BR1,FIND(".",BR1))</f>
        <v>8.</v>
      </c>
      <c r="BR1" s="452" t="str">
        <f ca="1">MID(BS1,FIND("]",BS1)+1,255)</f>
        <v>8.Kennzahlen</v>
      </c>
      <c r="BS1" s="350" t="str">
        <f ca="1">CELL("dateiname",BS1)</f>
        <v>/Users/izzetkilicarslan/PycharmProjects/Masterarbeit_100prosim/Excel_import/Python_Modell/[D_Python.xlsx]8.Kennzahlen</v>
      </c>
      <c r="BT1" s="656"/>
      <c r="BU1" s="656"/>
      <c r="BV1" s="656"/>
      <c r="BW1" s="656"/>
      <c r="BX1" s="656"/>
      <c r="BY1" s="656" t="s">
        <v>197</v>
      </c>
      <c r="BZ1" s="656" t="s">
        <v>198</v>
      </c>
      <c r="CC1" s="13" t="str">
        <f ca="1">"["&amp;BP1&amp;"xlsx]"</f>
        <v>[D_Python.xlsx]</v>
      </c>
      <c r="CD1" s="13"/>
      <c r="CE1" s="13" t="str">
        <f ca="1">BP1&amp;BR1&amp;" Deutschland zum  "</f>
        <v xml:space="preserve">D_Python.8.Kennzahlen Deutschland zum  </v>
      </c>
      <c r="CF1" s="13" t="str">
        <f>"Szenario '"&amp;[1]I_!K4&amp;"' ("&amp;[1]I_!S6&amp;")"</f>
        <v>Szenario 'Deutschland 100%EE' (200822)</v>
      </c>
      <c r="CG1" s="13"/>
      <c r="CH1" s="13"/>
      <c r="CI1" s="608" t="e">
        <f>#REF!</f>
        <v>#REF!</v>
      </c>
      <c r="CJ1" s="350" t="str">
        <f ca="1">TEXT(TODAY(),"tt.MM.jjjj")</f>
        <v>23.03.2021</v>
      </c>
      <c r="CK1" s="656" t="str">
        <f ca="1">TEXT(NOW(),"hh:mm")</f>
        <v>10:34</v>
      </c>
      <c r="CL1" s="656" t="e">
        <f ca="1">"100prosim ("&amp;BP1&amp;".xlsx, V."&amp;CI1&amp;")   -   "&amp;CJ1&amp;"  "&amp;CK1</f>
        <v>#REF!</v>
      </c>
      <c r="CM1" s="656"/>
      <c r="CN1" s="656"/>
      <c r="CO1" s="656"/>
      <c r="CP1" s="13"/>
      <c r="CQ1" s="705" t="s">
        <v>453</v>
      </c>
      <c r="CR1" s="13" t="s">
        <v>454</v>
      </c>
    </row>
    <row r="2" spans="1:96">
      <c r="D2" s="609"/>
      <c r="E2" s="13"/>
      <c r="F2" s="13"/>
      <c r="G2" s="13"/>
      <c r="H2" s="610"/>
      <c r="I2" s="450"/>
      <c r="J2" s="450"/>
      <c r="K2" s="610"/>
      <c r="L2" s="450"/>
      <c r="M2" s="950" t="str">
        <f ca="1">Stempel!$A$11&amp;" - "&amp;Stempel!$B$13&amp;" "&amp;Stempel!$B$14</f>
        <v>100prosim (D_Python.xlsx, 200818.2120_hsk) - 23.03.2021 10:34</v>
      </c>
      <c r="N2" s="898"/>
      <c r="O2" s="450"/>
      <c r="U2" s="54"/>
    </row>
    <row r="3" spans="1:96">
      <c r="D3" s="781" t="str">
        <f ca="1">CE1&amp;CF1</f>
        <v>D_Python.8.Kennzahlen Deutschland zum  Szenario 'Deutschland 100%EE' (200822)</v>
      </c>
      <c r="E3" s="553"/>
      <c r="F3" s="553"/>
      <c r="G3" s="553"/>
      <c r="H3" s="554"/>
      <c r="I3" s="555"/>
      <c r="J3" s="555"/>
      <c r="K3" s="555"/>
      <c r="L3" s="611"/>
      <c r="M3" s="612"/>
      <c r="N3" s="613"/>
      <c r="O3" s="555"/>
      <c r="P3" s="555"/>
      <c r="Q3" s="555"/>
      <c r="R3" s="555"/>
      <c r="S3" s="555"/>
      <c r="T3" s="555"/>
      <c r="U3" s="555"/>
      <c r="V3" s="555"/>
    </row>
    <row r="4" spans="1:96">
      <c r="A4" s="607" t="str">
        <f t="shared" ref="A4:A67" ca="1" si="0">BO$1&amp;B4</f>
        <v>D_Python.5</v>
      </c>
      <c r="B4" s="607">
        <v>5</v>
      </c>
      <c r="C4" s="607" t="str">
        <f t="shared" ref="C4:C76" si="1">"["&amp;D4&amp;"] "</f>
        <v xml:space="preserve">[4] </v>
      </c>
      <c r="D4" s="607">
        <f>ROW()</f>
        <v>4</v>
      </c>
      <c r="E4" s="616"/>
      <c r="F4" s="615"/>
      <c r="G4" s="616"/>
      <c r="H4" s="616"/>
      <c r="I4" s="616"/>
      <c r="J4" s="616"/>
      <c r="K4" s="616"/>
      <c r="L4" s="616"/>
      <c r="M4" s="616"/>
      <c r="N4" s="617"/>
      <c r="O4" s="616"/>
      <c r="U4" s="2"/>
      <c r="V4" s="2"/>
      <c r="AB4" s="126">
        <v>1000000</v>
      </c>
      <c r="AC4" s="705" t="s">
        <v>2</v>
      </c>
    </row>
    <row r="5" spans="1:96">
      <c r="A5" s="607" t="str">
        <f t="shared" ca="1" si="0"/>
        <v>D_Python.8.5</v>
      </c>
      <c r="B5" s="607" t="str">
        <f t="shared" ref="B5:B77" ca="1" si="2">BQ$1&amp;D5</f>
        <v>8.5</v>
      </c>
      <c r="C5" s="607" t="str">
        <f t="shared" si="1"/>
        <v xml:space="preserve">[5] </v>
      </c>
      <c r="D5" s="607">
        <f>ROW()</f>
        <v>5</v>
      </c>
      <c r="F5" s="450" t="s">
        <v>660</v>
      </c>
      <c r="M5" s="705"/>
      <c r="AD5" s="452"/>
      <c r="AE5" s="452"/>
      <c r="AF5" s="452"/>
      <c r="AG5" s="350"/>
    </row>
    <row r="6" spans="1:96">
      <c r="A6" s="607" t="str">
        <f t="shared" ca="1" si="0"/>
        <v>D_Python.8.6</v>
      </c>
      <c r="B6" s="607" t="str">
        <f t="shared" ca="1" si="2"/>
        <v>8.6</v>
      </c>
      <c r="C6" s="607" t="str">
        <f t="shared" si="1"/>
        <v xml:space="preserve">[6] </v>
      </c>
      <c r="D6" s="607">
        <f>ROW()</f>
        <v>6</v>
      </c>
      <c r="E6" s="654" t="str">
        <f>'[2]3.'!A2</f>
        <v>BS.3.2</v>
      </c>
      <c r="F6" s="450" t="str">
        <f>'[2]3.'!C2</f>
        <v>BS.3.   Kennzahlen Energieversorgung Deutschland 2012</v>
      </c>
      <c r="M6" s="705"/>
    </row>
    <row r="7" spans="1:96">
      <c r="A7" s="607" t="str">
        <f t="shared" ca="1" si="0"/>
        <v>D_Python.8.7</v>
      </c>
      <c r="B7" s="607" t="str">
        <f t="shared" ca="1" si="2"/>
        <v>8.7</v>
      </c>
      <c r="C7" s="607" t="str">
        <f t="shared" si="1"/>
        <v xml:space="preserve">[7] </v>
      </c>
      <c r="D7" s="607">
        <f>ROW()</f>
        <v>7</v>
      </c>
      <c r="E7" s="654">
        <f>'[2]3.'!A3</f>
        <v>0</v>
      </c>
    </row>
    <row r="8" spans="1:96" ht="20" thickBot="1">
      <c r="A8" s="607" t="str">
        <f t="shared" ca="1" si="0"/>
        <v>D_Python.8.8</v>
      </c>
      <c r="B8" s="607" t="str">
        <f t="shared" ca="1" si="2"/>
        <v>8.8</v>
      </c>
      <c r="C8" s="607" t="str">
        <f t="shared" si="1"/>
        <v xml:space="preserve">[8] </v>
      </c>
      <c r="D8" s="607">
        <f>ROW()</f>
        <v>8</v>
      </c>
      <c r="E8" s="654" t="str">
        <f>'[2]3.'!A4</f>
        <v>BS.3.4</v>
      </c>
      <c r="F8" s="4" t="str">
        <f>'[2]3.'!D4</f>
        <v>BS.3.a   Strommix und Jahresnutzungsgrad (JNG) Kraftwerke</v>
      </c>
    </row>
    <row r="9" spans="1:96" ht="32">
      <c r="A9" s="607" t="str">
        <f t="shared" ca="1" si="0"/>
        <v>D_Python.8.9</v>
      </c>
      <c r="B9" s="607" t="str">
        <f t="shared" ca="1" si="2"/>
        <v>8.9</v>
      </c>
      <c r="C9" s="607" t="str">
        <f t="shared" si="1"/>
        <v xml:space="preserve">[9] </v>
      </c>
      <c r="D9" s="607">
        <f>ROW()</f>
        <v>9</v>
      </c>
      <c r="E9" s="654" t="str">
        <f>'[2]3.'!A5</f>
        <v>BS.3.5</v>
      </c>
      <c r="F9" s="158"/>
      <c r="G9" s="115"/>
      <c r="H9" s="115"/>
      <c r="I9" s="115"/>
      <c r="J9" s="711" t="str">
        <f>'[2]3.'!H5</f>
        <v>Mix-
Anteil</v>
      </c>
      <c r="K9" s="712" t="str">
        <f>'[2]3.'!I5</f>
        <v>JNG
(NV+/UE)</v>
      </c>
      <c r="L9" s="681" t="str">
        <f t="shared" ref="L9:L10" si="3">"["&amp;E9&amp;"]"</f>
        <v>[BS.3.5]</v>
      </c>
      <c r="M9" s="705"/>
    </row>
    <row r="10" spans="1:96" ht="16" thickBot="1">
      <c r="A10" s="607" t="str">
        <f t="shared" ca="1" si="0"/>
        <v>D_Python.8.10</v>
      </c>
      <c r="B10" s="607" t="str">
        <f t="shared" ca="1" si="2"/>
        <v>8.10</v>
      </c>
      <c r="C10" s="607" t="str">
        <f t="shared" si="1"/>
        <v xml:space="preserve">[10] </v>
      </c>
      <c r="D10" s="607">
        <f>ROW()</f>
        <v>10</v>
      </c>
      <c r="E10" s="654" t="str">
        <f>'[2]3.'!A6</f>
        <v>BS.3.6</v>
      </c>
      <c r="F10" s="116"/>
      <c r="G10" s="66"/>
      <c r="H10" s="66"/>
      <c r="I10" s="66"/>
      <c r="J10" s="713" t="str">
        <f>'[2]3.'!H6</f>
        <v>(%)</v>
      </c>
      <c r="K10" s="714" t="str">
        <f>'[2]3.'!I6</f>
        <v>(%)</v>
      </c>
      <c r="L10" s="681" t="str">
        <f t="shared" si="3"/>
        <v>[BS.3.6]</v>
      </c>
      <c r="M10" s="705"/>
    </row>
    <row r="11" spans="1:96" ht="16" thickTop="1">
      <c r="A11" s="607" t="str">
        <f t="shared" ca="1" si="0"/>
        <v>D_Python.8.11</v>
      </c>
      <c r="B11" s="607" t="str">
        <f t="shared" ca="1" si="2"/>
        <v>8.11</v>
      </c>
      <c r="C11" s="607" t="str">
        <f t="shared" si="1"/>
        <v xml:space="preserve">[11] </v>
      </c>
      <c r="D11" s="607">
        <f>ROW()</f>
        <v>11</v>
      </c>
      <c r="E11" s="654" t="str">
        <f>'[2]3.'!A7</f>
        <v>BS.3.7</v>
      </c>
      <c r="F11" s="161" t="str">
        <f>'[2]3.'!D7</f>
        <v>Fossil/atomar</v>
      </c>
      <c r="G11" s="67"/>
      <c r="H11" s="67"/>
      <c r="I11" s="67"/>
      <c r="J11" s="308">
        <f>'[2]3.'!H7</f>
        <v>100</v>
      </c>
      <c r="K11" s="715"/>
      <c r="L11" s="681" t="str">
        <f>"["&amp;E11&amp;"]"</f>
        <v>[BS.3.7]</v>
      </c>
      <c r="M11" s="705"/>
    </row>
    <row r="12" spans="1:96">
      <c r="A12" s="607" t="str">
        <f t="shared" ca="1" si="0"/>
        <v>D_Python.8.12</v>
      </c>
      <c r="B12" s="607" t="str">
        <f t="shared" ca="1" si="2"/>
        <v>8.12</v>
      </c>
      <c r="C12" s="607" t="str">
        <f t="shared" si="1"/>
        <v xml:space="preserve">[12] </v>
      </c>
      <c r="D12" s="607">
        <f>ROW()</f>
        <v>12</v>
      </c>
      <c r="E12" s="654" t="str">
        <f>'[2]3.'!A8</f>
        <v>BS.3.8</v>
      </c>
      <c r="F12" s="162" t="str">
        <f>'[2]3.'!D8</f>
        <v>Braunkohle</v>
      </c>
      <c r="G12" s="52"/>
      <c r="H12" s="52"/>
      <c r="I12" s="52"/>
      <c r="J12" s="716">
        <f>'[2]3.'!H8</f>
        <v>33.38305129813746</v>
      </c>
      <c r="K12" s="290">
        <f>'[2]3.'!I8</f>
        <v>34.830877011037032</v>
      </c>
      <c r="L12" s="681" t="str">
        <f t="shared" ref="L12:L16" si="4">"["&amp;E12&amp;"]"</f>
        <v>[BS.3.8]</v>
      </c>
      <c r="M12" s="705"/>
    </row>
    <row r="13" spans="1:96">
      <c r="A13" s="607" t="str">
        <f t="shared" ca="1" si="0"/>
        <v>D_Python.8.13</v>
      </c>
      <c r="B13" s="607" t="str">
        <f t="shared" ca="1" si="2"/>
        <v>8.13</v>
      </c>
      <c r="C13" s="607" t="str">
        <f t="shared" si="1"/>
        <v xml:space="preserve">[13] </v>
      </c>
      <c r="D13" s="607">
        <f>ROW()</f>
        <v>13</v>
      </c>
      <c r="E13" s="654" t="str">
        <f>'[2]3.'!A9</f>
        <v>BS.3.9</v>
      </c>
      <c r="F13" s="162" t="str">
        <f>'[2]3.'!D9</f>
        <v>Steinkohle</v>
      </c>
      <c r="G13" s="52"/>
      <c r="H13" s="52"/>
      <c r="I13" s="52"/>
      <c r="J13" s="716">
        <f>'[2]3.'!H9</f>
        <v>24.180380654033602</v>
      </c>
      <c r="K13" s="290">
        <f>'[2]3.'!I9</f>
        <v>34.854930032269486</v>
      </c>
      <c r="L13" s="681" t="str">
        <f t="shared" si="4"/>
        <v>[BS.3.9]</v>
      </c>
      <c r="M13" s="705"/>
    </row>
    <row r="14" spans="1:96">
      <c r="A14" s="607" t="str">
        <f t="shared" ca="1" si="0"/>
        <v>D_Python.8.14</v>
      </c>
      <c r="B14" s="607" t="str">
        <f t="shared" ca="1" si="2"/>
        <v>8.14</v>
      </c>
      <c r="C14" s="607" t="str">
        <f t="shared" si="1"/>
        <v xml:space="preserve">[14] </v>
      </c>
      <c r="D14" s="607">
        <f>ROW()</f>
        <v>14</v>
      </c>
      <c r="E14" s="654" t="str">
        <f>'[2]3.'!A10</f>
        <v>BS.3.10</v>
      </c>
      <c r="F14" s="162" t="str">
        <f>'[2]3.'!D10</f>
        <v>Kernenergie</v>
      </c>
      <c r="G14" s="52"/>
      <c r="H14" s="52"/>
      <c r="I14" s="52"/>
      <c r="J14" s="716">
        <f>'[2]3.'!H10</f>
        <v>20.669655284161017</v>
      </c>
      <c r="K14" s="290">
        <f>'[2]3.'!I10</f>
        <v>30.471815117070005</v>
      </c>
      <c r="L14" s="681" t="str">
        <f t="shared" si="4"/>
        <v>[BS.3.10]</v>
      </c>
      <c r="M14" s="705"/>
    </row>
    <row r="15" spans="1:96">
      <c r="A15" s="607" t="str">
        <f t="shared" ca="1" si="0"/>
        <v>D_Python.8.15</v>
      </c>
      <c r="B15" s="607" t="str">
        <f t="shared" ca="1" si="2"/>
        <v>8.15</v>
      </c>
      <c r="C15" s="607" t="str">
        <f t="shared" si="1"/>
        <v xml:space="preserve">[15] </v>
      </c>
      <c r="D15" s="607">
        <f>ROW()</f>
        <v>15</v>
      </c>
      <c r="E15" s="654" t="str">
        <f>'[2]3.'!A11</f>
        <v>BS.3.11</v>
      </c>
      <c r="F15" s="162" t="str">
        <f>'[2]3.'!D11</f>
        <v>Naturgase</v>
      </c>
      <c r="G15" s="52"/>
      <c r="H15" s="52"/>
      <c r="I15" s="52"/>
      <c r="J15" s="716">
        <f>'[2]3.'!H11</f>
        <v>15.870971494571881</v>
      </c>
      <c r="K15" s="290">
        <f>'[2]3.'!I11</f>
        <v>37.053652723570224</v>
      </c>
      <c r="L15" s="681" t="str">
        <f t="shared" si="4"/>
        <v>[BS.3.11]</v>
      </c>
      <c r="M15" s="705"/>
    </row>
    <row r="16" spans="1:96">
      <c r="A16" s="607" t="str">
        <f t="shared" ca="1" si="0"/>
        <v>D_Python.8.16</v>
      </c>
      <c r="B16" s="607" t="str">
        <f t="shared" ca="1" si="2"/>
        <v>8.16</v>
      </c>
      <c r="C16" s="607" t="str">
        <f t="shared" si="1"/>
        <v xml:space="preserve">[16] </v>
      </c>
      <c r="D16" s="607">
        <f>ROW()</f>
        <v>16</v>
      </c>
      <c r="E16" s="654" t="str">
        <f>'[2]3.'!A12</f>
        <v>BS.3.12</v>
      </c>
      <c r="F16" s="162" t="str">
        <f>'[2]3.'!D12</f>
        <v>Erdöl</v>
      </c>
      <c r="G16" s="52"/>
      <c r="H16" s="52"/>
      <c r="I16" s="52"/>
      <c r="J16" s="716">
        <f>'[2]3.'!H12</f>
        <v>1.5787877402977262</v>
      </c>
      <c r="K16" s="290">
        <f>'[2]3.'!I12</f>
        <v>44.448010062121185</v>
      </c>
      <c r="L16" s="681" t="str">
        <f t="shared" si="4"/>
        <v>[BS.3.12]</v>
      </c>
      <c r="M16" s="705"/>
    </row>
    <row r="17" spans="1:13" ht="16" thickBot="1">
      <c r="A17" s="607" t="str">
        <f t="shared" ca="1" si="0"/>
        <v>D_Python.8.17</v>
      </c>
      <c r="B17" s="607" t="str">
        <f t="shared" ca="1" si="2"/>
        <v>8.17</v>
      </c>
      <c r="C17" s="607" t="str">
        <f t="shared" si="1"/>
        <v xml:space="preserve">[17] </v>
      </c>
      <c r="D17" s="607">
        <f>ROW()</f>
        <v>17</v>
      </c>
      <c r="E17" s="654" t="str">
        <f>'[2]3.'!A13</f>
        <v>BS.3.13</v>
      </c>
      <c r="F17" s="163" t="str">
        <f>'[2]3.'!D13</f>
        <v>Abfall u.sonst.</v>
      </c>
      <c r="G17" s="164"/>
      <c r="H17" s="164"/>
      <c r="I17" s="164"/>
      <c r="J17" s="717">
        <f>'[2]3.'!H13</f>
        <v>4.3171535287983298</v>
      </c>
      <c r="K17" s="291">
        <f>'[2]3.'!I13</f>
        <v>27.690330479051283</v>
      </c>
      <c r="L17" s="681" t="str">
        <f>"["&amp;$E17&amp;"]"</f>
        <v>[BS.3.13]</v>
      </c>
      <c r="M17" s="705"/>
    </row>
    <row r="18" spans="1:13">
      <c r="A18" s="607" t="str">
        <f t="shared" ca="1" si="0"/>
        <v>D_Python.8.18</v>
      </c>
      <c r="B18" s="607" t="str">
        <f t="shared" ca="1" si="2"/>
        <v>8.18</v>
      </c>
      <c r="C18" s="607" t="str">
        <f t="shared" si="1"/>
        <v xml:space="preserve">[18] </v>
      </c>
      <c r="D18" s="607">
        <f>ROW()</f>
        <v>18</v>
      </c>
      <c r="E18" s="654"/>
      <c r="F18" s="718"/>
      <c r="M18" s="705"/>
    </row>
    <row r="19" spans="1:13">
      <c r="A19" s="607" t="str">
        <f t="shared" ca="1" si="0"/>
        <v>D_Python.8.19</v>
      </c>
      <c r="B19" s="607" t="str">
        <f t="shared" ca="1" si="2"/>
        <v>8.19</v>
      </c>
      <c r="C19" s="607" t="str">
        <f t="shared" si="1"/>
        <v xml:space="preserve">[19] </v>
      </c>
      <c r="D19" s="607">
        <f>ROW()</f>
        <v>19</v>
      </c>
      <c r="E19" s="654" t="str">
        <f>'[2]3.'!A15</f>
        <v>BS.3.15</v>
      </c>
      <c r="F19" s="718"/>
    </row>
    <row r="20" spans="1:13" ht="20" thickBot="1">
      <c r="A20" s="607" t="str">
        <f t="shared" ca="1" si="0"/>
        <v>D_Python.8.20</v>
      </c>
      <c r="B20" s="607" t="str">
        <f t="shared" ca="1" si="2"/>
        <v>8.20</v>
      </c>
      <c r="C20" s="607" t="str">
        <f t="shared" si="1"/>
        <v xml:space="preserve">[20] </v>
      </c>
      <c r="D20" s="607">
        <f>ROW()</f>
        <v>20</v>
      </c>
      <c r="E20" s="654" t="str">
        <f>'[2]3.'!A16</f>
        <v>BS.3.16</v>
      </c>
      <c r="F20" s="4" t="str">
        <f>'[2]3.'!D16</f>
        <v>BS.3.b   Strom: Leitungsverluste / Verbrauch im Umwandlungsbereich</v>
      </c>
    </row>
    <row r="21" spans="1:13" ht="16" thickBot="1">
      <c r="A21" s="607" t="str">
        <f t="shared" ca="1" si="0"/>
        <v>D_Python.8.21</v>
      </c>
      <c r="B21" s="607" t="str">
        <f t="shared" ca="1" si="2"/>
        <v>8.21</v>
      </c>
      <c r="C21" s="607" t="str">
        <f t="shared" si="1"/>
        <v xml:space="preserve">[21] </v>
      </c>
      <c r="D21" s="607">
        <f>ROW()</f>
        <v>21</v>
      </c>
      <c r="E21" s="654" t="str">
        <f>'[2]3.'!A17</f>
        <v>BS.3.17</v>
      </c>
      <c r="F21" s="153"/>
      <c r="G21" s="154"/>
      <c r="H21" s="154"/>
      <c r="I21" s="154"/>
      <c r="J21" s="719" t="str">
        <f>'[2]3.'!H17</f>
        <v>(%)</v>
      </c>
      <c r="K21" s="681" t="str">
        <f>"["&amp;$E21&amp;"]"</f>
        <v>[BS.3.17]</v>
      </c>
    </row>
    <row r="22" spans="1:13" ht="16" thickTop="1">
      <c r="A22" s="607" t="str">
        <f t="shared" ca="1" si="0"/>
        <v>D_Python.8.22</v>
      </c>
      <c r="B22" s="607" t="str">
        <f t="shared" ca="1" si="2"/>
        <v>8.22</v>
      </c>
      <c r="C22" s="607" t="str">
        <f t="shared" si="1"/>
        <v xml:space="preserve">[22] </v>
      </c>
      <c r="D22" s="607">
        <f>ROW()</f>
        <v>22</v>
      </c>
      <c r="E22" s="654" t="str">
        <f>'[2]3.'!A18</f>
        <v>BS.3.18</v>
      </c>
      <c r="F22" s="161" t="str">
        <f>'[2]3.'!D18</f>
        <v xml:space="preserve">Leitungsverluste </v>
      </c>
      <c r="G22" s="720"/>
      <c r="H22" s="720"/>
      <c r="I22" s="721" t="str">
        <f>'[2]3.'!G18</f>
        <v>LV/EV</v>
      </c>
      <c r="J22" s="722">
        <f>'[2]3.'!H18</f>
        <v>5.4902915217972756</v>
      </c>
      <c r="K22" s="681" t="str">
        <f t="shared" ref="K22:K23" si="5">"["&amp;$E22&amp;"]"</f>
        <v>[BS.3.18]</v>
      </c>
    </row>
    <row r="23" spans="1:13" ht="16" thickBot="1">
      <c r="A23" s="607" t="str">
        <f t="shared" ca="1" si="0"/>
        <v>D_Python.8.23</v>
      </c>
      <c r="B23" s="607" t="str">
        <f t="shared" ca="1" si="2"/>
        <v>8.23</v>
      </c>
      <c r="C23" s="607" t="str">
        <f t="shared" si="1"/>
        <v xml:space="preserve">[23] </v>
      </c>
      <c r="D23" s="607">
        <f>ROW()</f>
        <v>23</v>
      </c>
      <c r="E23" s="654" t="str">
        <f>'[2]3.'!A19</f>
        <v>BS.3.19</v>
      </c>
      <c r="F23" s="723" t="str">
        <f>'[2]3.'!D19</f>
        <v>Verbr.im Umwandlungsbereich (VU/NV)</v>
      </c>
      <c r="G23" s="204"/>
      <c r="H23" s="204"/>
      <c r="I23" s="724" t="str">
        <f>'[2]3.'!G19</f>
        <v>VU/NV</v>
      </c>
      <c r="J23" s="725">
        <f>'[2]3.'!H19</f>
        <v>2.5009875054572666</v>
      </c>
      <c r="K23" s="681" t="str">
        <f t="shared" si="5"/>
        <v>[BS.3.19]</v>
      </c>
    </row>
    <row r="24" spans="1:13">
      <c r="A24" s="607" t="str">
        <f t="shared" ca="1" si="0"/>
        <v>D_Python.8.24</v>
      </c>
      <c r="B24" s="607" t="str">
        <f t="shared" ca="1" si="2"/>
        <v>8.24</v>
      </c>
      <c r="C24" s="607" t="str">
        <f t="shared" si="1"/>
        <v xml:space="preserve">[24] </v>
      </c>
      <c r="D24" s="607">
        <f>ROW()</f>
        <v>24</v>
      </c>
      <c r="E24" s="654"/>
      <c r="F24" s="718"/>
      <c r="K24" s="718"/>
    </row>
    <row r="25" spans="1:13">
      <c r="A25" s="607" t="str">
        <f t="shared" ca="1" si="0"/>
        <v>D_Python.8.25</v>
      </c>
      <c r="B25" s="607" t="str">
        <f t="shared" ca="1" si="2"/>
        <v>8.25</v>
      </c>
      <c r="C25" s="607" t="str">
        <f t="shared" si="1"/>
        <v xml:space="preserve">[25] </v>
      </c>
      <c r="D25" s="607">
        <f>ROW()</f>
        <v>25</v>
      </c>
      <c r="E25" s="654" t="str">
        <f>'[2]3.'!A21</f>
        <v>BS.3.21</v>
      </c>
    </row>
    <row r="26" spans="1:13" ht="20" thickBot="1">
      <c r="A26" s="607" t="str">
        <f t="shared" ca="1" si="0"/>
        <v>D_Python.8.26</v>
      </c>
      <c r="B26" s="607" t="str">
        <f t="shared" ca="1" si="2"/>
        <v>8.26</v>
      </c>
      <c r="C26" s="607" t="str">
        <f t="shared" si="1"/>
        <v xml:space="preserve">[26] </v>
      </c>
      <c r="D26" s="607">
        <f>ROW()</f>
        <v>26</v>
      </c>
      <c r="E26" s="654" t="str">
        <f>'[2]3.'!A22</f>
        <v>BS.3.22</v>
      </c>
      <c r="F26" s="4" t="str">
        <f>'[2]3.'!D22</f>
        <v>BS.3.d   Gasversorgung</v>
      </c>
    </row>
    <row r="27" spans="1:13" ht="16" thickBot="1">
      <c r="A27" s="607" t="str">
        <f t="shared" ca="1" si="0"/>
        <v>D_Python.8.27</v>
      </c>
      <c r="B27" s="607" t="str">
        <f t="shared" ca="1" si="2"/>
        <v>8.27</v>
      </c>
      <c r="C27" s="607" t="str">
        <f t="shared" si="1"/>
        <v xml:space="preserve">[27] </v>
      </c>
      <c r="D27" s="607">
        <f>ROW()</f>
        <v>27</v>
      </c>
      <c r="E27" s="654" t="str">
        <f>'[2]3.'!A23</f>
        <v>BS.3.23</v>
      </c>
      <c r="F27" s="153"/>
      <c r="G27" s="154"/>
      <c r="H27" s="154"/>
      <c r="I27" s="726"/>
      <c r="J27" s="719" t="str">
        <f>'[2]3.'!H23</f>
        <v>(%)</v>
      </c>
      <c r="K27" s="681" t="str">
        <f t="shared" ref="K27:K31" si="6">"["&amp;$E27&amp;"]"</f>
        <v>[BS.3.23]</v>
      </c>
    </row>
    <row r="28" spans="1:13" ht="16" thickTop="1">
      <c r="A28" s="607" t="str">
        <f t="shared" ca="1" si="0"/>
        <v>D_Python.8.28</v>
      </c>
      <c r="B28" s="607" t="str">
        <f t="shared" ca="1" si="2"/>
        <v>8.28</v>
      </c>
      <c r="C28" s="607" t="str">
        <f t="shared" si="1"/>
        <v xml:space="preserve">[28] </v>
      </c>
      <c r="D28" s="607">
        <f>ROW()</f>
        <v>28</v>
      </c>
      <c r="E28" s="654" t="str">
        <f>'[2]3.'!A24</f>
        <v>BS.3.24</v>
      </c>
      <c r="F28" s="351" t="str">
        <f>'[2]3.'!D24</f>
        <v xml:space="preserve">Leitungsverluste </v>
      </c>
      <c r="G28" s="257"/>
      <c r="H28" s="257"/>
      <c r="I28" s="721" t="str">
        <f>'[2]3.'!G24</f>
        <v>LV/EV+</v>
      </c>
      <c r="J28" s="727">
        <f>'[2]3.'!H24</f>
        <v>0</v>
      </c>
      <c r="K28" s="681" t="str">
        <f t="shared" si="6"/>
        <v>[BS.3.24]</v>
      </c>
    </row>
    <row r="29" spans="1:13">
      <c r="A29" s="607" t="str">
        <f t="shared" ca="1" si="0"/>
        <v>D_Python.8.29</v>
      </c>
      <c r="B29" s="607" t="str">
        <f t="shared" ca="1" si="2"/>
        <v>8.29</v>
      </c>
      <c r="C29" s="607" t="str">
        <f t="shared" si="1"/>
        <v xml:space="preserve">[29] </v>
      </c>
      <c r="D29" s="607">
        <f>ROW()</f>
        <v>29</v>
      </c>
      <c r="E29" s="654" t="str">
        <f>'[2]3.'!A25</f>
        <v>BS.3.25</v>
      </c>
      <c r="F29" s="269" t="str">
        <f>'[2]3.'!D25</f>
        <v>Fackelverluste</v>
      </c>
      <c r="G29" s="270"/>
      <c r="H29" s="270"/>
      <c r="I29" s="728" t="str">
        <f>'[2]3.'!G25</f>
        <v>FV/NV.fos</v>
      </c>
      <c r="J29" s="729">
        <f>'[2]3.'!H25</f>
        <v>0.88273805160108509</v>
      </c>
      <c r="K29" s="681" t="str">
        <f t="shared" si="6"/>
        <v>[BS.3.25]</v>
      </c>
    </row>
    <row r="30" spans="1:13">
      <c r="A30" s="607" t="str">
        <f t="shared" ca="1" si="0"/>
        <v>D_Python.8.30</v>
      </c>
      <c r="B30" s="607" t="str">
        <f t="shared" ca="1" si="2"/>
        <v>8.30</v>
      </c>
      <c r="C30" s="607" t="str">
        <f t="shared" si="1"/>
        <v xml:space="preserve">[30] </v>
      </c>
      <c r="D30" s="607">
        <f>ROW()</f>
        <v>30</v>
      </c>
      <c r="E30" s="654" t="str">
        <f>'[2]3.'!A26</f>
        <v>BS.3.26</v>
      </c>
      <c r="F30" s="269" t="str">
        <f>'[2]3.'!D26</f>
        <v>Verbr.im Umwandlungsbereich</v>
      </c>
      <c r="G30" s="270"/>
      <c r="H30" s="270"/>
      <c r="I30" s="728" t="str">
        <f>'[2]3.'!G26</f>
        <v>VU/NV.fos</v>
      </c>
      <c r="J30" s="729">
        <f>'[2]3.'!H26</f>
        <v>3.7822483581768225</v>
      </c>
      <c r="K30" s="681" t="str">
        <f t="shared" si="6"/>
        <v>[BS.3.26]</v>
      </c>
    </row>
    <row r="31" spans="1:13" ht="16" thickBot="1">
      <c r="A31" s="607" t="str">
        <f t="shared" ca="1" si="0"/>
        <v>D_Python.8.31</v>
      </c>
      <c r="B31" s="607" t="str">
        <f t="shared" ca="1" si="2"/>
        <v>8.31</v>
      </c>
      <c r="C31" s="607" t="str">
        <f t="shared" si="1"/>
        <v xml:space="preserve">[31] </v>
      </c>
      <c r="D31" s="607">
        <f>ROW()</f>
        <v>31</v>
      </c>
      <c r="E31" s="654" t="str">
        <f>'[2]3.'!A27</f>
        <v>BS.3.27</v>
      </c>
      <c r="F31" s="203" t="str">
        <f>'[2]3.'!D27</f>
        <v>Jahresnutzungsgrad Umwandl.</v>
      </c>
      <c r="G31" s="204"/>
      <c r="H31" s="204"/>
      <c r="I31" s="724" t="str">
        <f>'[2]3.'!G27</f>
        <v>NV+/PEV</v>
      </c>
      <c r="J31" s="730">
        <f>'[2]3.'!H27</f>
        <v>100</v>
      </c>
      <c r="K31" s="681" t="str">
        <f t="shared" si="6"/>
        <v>[BS.3.27]</v>
      </c>
    </row>
    <row r="32" spans="1:13">
      <c r="A32" s="607" t="str">
        <f t="shared" ca="1" si="0"/>
        <v>D_Python.8.32</v>
      </c>
      <c r="B32" s="607" t="str">
        <f t="shared" ca="1" si="2"/>
        <v>8.32</v>
      </c>
      <c r="C32" s="607" t="str">
        <f t="shared" si="1"/>
        <v xml:space="preserve">[32] </v>
      </c>
      <c r="D32" s="607">
        <f>ROW()</f>
        <v>32</v>
      </c>
      <c r="E32" s="654"/>
      <c r="F32" s="718"/>
    </row>
    <row r="33" spans="1:13">
      <c r="A33" s="607" t="str">
        <f t="shared" ca="1" si="0"/>
        <v>D_Python.8.33</v>
      </c>
      <c r="B33" s="607" t="str">
        <f t="shared" ca="1" si="2"/>
        <v>8.33</v>
      </c>
      <c r="C33" s="607" t="str">
        <f t="shared" si="1"/>
        <v xml:space="preserve">[33] </v>
      </c>
      <c r="D33" s="607">
        <f>ROW()</f>
        <v>33</v>
      </c>
      <c r="E33" s="654"/>
      <c r="F33" s="718"/>
    </row>
    <row r="34" spans="1:13">
      <c r="A34" s="607" t="str">
        <f t="shared" ca="1" si="0"/>
        <v>D_Python.8.34</v>
      </c>
      <c r="B34" s="607" t="str">
        <f t="shared" ca="1" si="2"/>
        <v>8.34</v>
      </c>
      <c r="C34" s="607" t="str">
        <f t="shared" si="1"/>
        <v xml:space="preserve">[34] </v>
      </c>
      <c r="D34" s="607">
        <f>ROW()</f>
        <v>34</v>
      </c>
      <c r="E34" s="654" t="str">
        <f>'[2]3.'!A30</f>
        <v>BS.3.30</v>
      </c>
      <c r="F34" s="718"/>
      <c r="M34" s="705"/>
    </row>
    <row r="35" spans="1:13" ht="20" thickBot="1">
      <c r="A35" s="607" t="str">
        <f t="shared" ca="1" si="0"/>
        <v>D_Python.8.35</v>
      </c>
      <c r="B35" s="607" t="str">
        <f t="shared" ca="1" si="2"/>
        <v>8.35</v>
      </c>
      <c r="C35" s="607" t="str">
        <f t="shared" si="1"/>
        <v xml:space="preserve">[35] </v>
      </c>
      <c r="D35" s="607">
        <f>ROW()</f>
        <v>35</v>
      </c>
      <c r="E35" s="654" t="str">
        <f>'[2]3.'!A31</f>
        <v>BS.3.31</v>
      </c>
      <c r="F35" s="4" t="str">
        <f>'[2]3.'!D31</f>
        <v>BS.3.e   Mineralölversorgung</v>
      </c>
    </row>
    <row r="36" spans="1:13" ht="16" thickBot="1">
      <c r="A36" s="607" t="str">
        <f t="shared" ca="1" si="0"/>
        <v>D_Python.8.36</v>
      </c>
      <c r="B36" s="607" t="str">
        <f t="shared" ca="1" si="2"/>
        <v>8.36</v>
      </c>
      <c r="C36" s="607" t="str">
        <f t="shared" si="1"/>
        <v xml:space="preserve">[36] </v>
      </c>
      <c r="D36" s="607">
        <f>ROW()</f>
        <v>36</v>
      </c>
      <c r="E36" s="654" t="str">
        <f>'[2]3.'!A32</f>
        <v>BS.3.32</v>
      </c>
      <c r="F36" s="153"/>
      <c r="G36" s="154"/>
      <c r="H36" s="154"/>
      <c r="I36" s="154"/>
      <c r="J36" s="719" t="str">
        <f>'[2]3.'!H32</f>
        <v>(%)</v>
      </c>
      <c r="K36" s="681" t="str">
        <f t="shared" ref="K36:K40" si="7">"["&amp;$E36&amp;"]"</f>
        <v>[BS.3.32]</v>
      </c>
    </row>
    <row r="37" spans="1:13" ht="16" thickTop="1">
      <c r="A37" s="607" t="str">
        <f t="shared" ca="1" si="0"/>
        <v>D_Python.8.37</v>
      </c>
      <c r="B37" s="607" t="str">
        <f t="shared" ca="1" si="2"/>
        <v>8.37</v>
      </c>
      <c r="C37" s="607" t="str">
        <f t="shared" si="1"/>
        <v xml:space="preserve">[37] </v>
      </c>
      <c r="D37" s="607">
        <f>ROW()</f>
        <v>37</v>
      </c>
      <c r="E37" s="654" t="str">
        <f>'[2]3.'!A33</f>
        <v>BS.3.33</v>
      </c>
      <c r="F37" s="351" t="str">
        <f>'[2]3.'!D33</f>
        <v xml:space="preserve">Leitungsverluste </v>
      </c>
      <c r="G37" s="352"/>
      <c r="H37" s="352"/>
      <c r="I37" s="731" t="str">
        <f>'[2]3.'!G33</f>
        <v>LV/EV+</v>
      </c>
      <c r="J37" s="727">
        <f>'[2]3.'!H33</f>
        <v>0</v>
      </c>
      <c r="K37" s="681" t="str">
        <f t="shared" si="7"/>
        <v>[BS.3.33]</v>
      </c>
    </row>
    <row r="38" spans="1:13">
      <c r="A38" s="607" t="str">
        <f t="shared" ca="1" si="0"/>
        <v>D_Python.8.38</v>
      </c>
      <c r="B38" s="607" t="str">
        <f t="shared" ca="1" si="2"/>
        <v>8.38</v>
      </c>
      <c r="C38" s="607" t="str">
        <f t="shared" si="1"/>
        <v xml:space="preserve">[38] </v>
      </c>
      <c r="D38" s="607">
        <f>ROW()</f>
        <v>38</v>
      </c>
      <c r="E38" s="654" t="str">
        <f>'[2]3.'!A34</f>
        <v>BS.3.34</v>
      </c>
      <c r="F38" s="354" t="str">
        <f>'[2]3.'!D34</f>
        <v>Fackelverluste</v>
      </c>
      <c r="G38" s="355"/>
      <c r="H38" s="355"/>
      <c r="I38" s="732" t="str">
        <f>'[2]3.'!G34</f>
        <v>FV/NV.fos</v>
      </c>
      <c r="J38" s="733">
        <f>'[2]3.'!H34</f>
        <v>0</v>
      </c>
      <c r="K38" s="681" t="str">
        <f t="shared" si="7"/>
        <v>[BS.3.34]</v>
      </c>
    </row>
    <row r="39" spans="1:13">
      <c r="A39" s="607" t="str">
        <f t="shared" ca="1" si="0"/>
        <v>D_Python.8.39</v>
      </c>
      <c r="B39" s="607" t="str">
        <f ca="1">BQ$1&amp;D39</f>
        <v>8.39</v>
      </c>
      <c r="C39" s="607" t="str">
        <f>"["&amp;D39&amp;"] "</f>
        <v xml:space="preserve">[39] </v>
      </c>
      <c r="D39" s="607">
        <f>ROW()</f>
        <v>39</v>
      </c>
      <c r="E39" s="654" t="str">
        <f>'[2]3.'!A35</f>
        <v>BS.3.35</v>
      </c>
      <c r="F39" s="269" t="str">
        <f>'[2]3.'!D35</f>
        <v>Verbr.im Umwandlungsbereich</v>
      </c>
      <c r="G39" s="270"/>
      <c r="H39" s="270"/>
      <c r="I39" s="732" t="str">
        <f>'[2]3.'!G35</f>
        <v>VU/NV.fos</v>
      </c>
      <c r="J39" s="729">
        <f>'[2]3.'!H35</f>
        <v>2.8453107541523628</v>
      </c>
      <c r="K39" s="681" t="str">
        <f t="shared" si="7"/>
        <v>[BS.3.35]</v>
      </c>
    </row>
    <row r="40" spans="1:13" ht="16" thickBot="1">
      <c r="A40" s="607" t="str">
        <f t="shared" ca="1" si="0"/>
        <v>D_Python.8.40</v>
      </c>
      <c r="B40" s="607" t="str">
        <f t="shared" ca="1" si="2"/>
        <v>8.40</v>
      </c>
      <c r="C40" s="607" t="str">
        <f t="shared" si="1"/>
        <v xml:space="preserve">[40] </v>
      </c>
      <c r="D40" s="607">
        <f>ROW()</f>
        <v>40</v>
      </c>
      <c r="E40" s="654" t="str">
        <f>'[2]3.'!A36</f>
        <v>BS.3.36</v>
      </c>
      <c r="F40" s="203" t="str">
        <f>'[2]3.'!D36</f>
        <v>Jahresnutzungsgrad Umwandl.</v>
      </c>
      <c r="G40" s="204"/>
      <c r="H40" s="204"/>
      <c r="I40" s="752" t="str">
        <f>'[2]3.'!G36</f>
        <v>NE/UE</v>
      </c>
      <c r="J40" s="730">
        <f>'[2]3.'!H36</f>
        <v>82.832498087589286</v>
      </c>
      <c r="K40" s="681" t="str">
        <f t="shared" si="7"/>
        <v>[BS.3.36]</v>
      </c>
    </row>
    <row r="41" spans="1:13">
      <c r="A41" s="607" t="str">
        <f t="shared" ca="1" si="0"/>
        <v>D_Python.8.41</v>
      </c>
      <c r="B41" s="607" t="str">
        <f t="shared" ca="1" si="2"/>
        <v>8.41</v>
      </c>
      <c r="C41" s="607" t="str">
        <f t="shared" si="1"/>
        <v xml:space="preserve">[41] </v>
      </c>
      <c r="D41" s="607">
        <f>ROW()</f>
        <v>41</v>
      </c>
      <c r="E41" s="654"/>
      <c r="F41" s="718"/>
      <c r="M41" s="705"/>
    </row>
    <row r="42" spans="1:13">
      <c r="A42" s="607" t="str">
        <f t="shared" ca="1" si="0"/>
        <v>D_Python.8.42</v>
      </c>
      <c r="B42" s="607" t="str">
        <f t="shared" ca="1" si="2"/>
        <v>8.42</v>
      </c>
      <c r="C42" s="607" t="str">
        <f t="shared" si="1"/>
        <v xml:space="preserve">[42] </v>
      </c>
      <c r="D42" s="607">
        <f>ROW()</f>
        <v>42</v>
      </c>
      <c r="E42" s="654" t="str">
        <f>'[2]3.'!A38</f>
        <v>BS.3.38</v>
      </c>
      <c r="F42" s="718"/>
    </row>
    <row r="43" spans="1:13" ht="20" thickBot="1">
      <c r="A43" s="607" t="str">
        <f t="shared" ca="1" si="0"/>
        <v>D_Python.8.43</v>
      </c>
      <c r="B43" s="607" t="str">
        <f t="shared" ca="1" si="2"/>
        <v>8.43</v>
      </c>
      <c r="C43" s="607" t="str">
        <f t="shared" si="1"/>
        <v xml:space="preserve">[43] </v>
      </c>
      <c r="D43" s="607">
        <f>ROW()</f>
        <v>43</v>
      </c>
      <c r="E43" s="654" t="str">
        <f>'[2]3.'!A39</f>
        <v>BS.3.39</v>
      </c>
      <c r="F43" s="4" t="str">
        <f>'[2]3.'!D39</f>
        <v>BS.3.c   Braun-/Steinkohleversorgung</v>
      </c>
    </row>
    <row r="44" spans="1:13" ht="16" thickBot="1">
      <c r="A44" s="607" t="str">
        <f t="shared" ca="1" si="0"/>
        <v>D_Python.8.44</v>
      </c>
      <c r="B44" s="607" t="str">
        <f t="shared" ca="1" si="2"/>
        <v>8.44</v>
      </c>
      <c r="C44" s="607" t="str">
        <f t="shared" si="1"/>
        <v xml:space="preserve">[44] </v>
      </c>
      <c r="D44" s="607">
        <f>ROW()</f>
        <v>44</v>
      </c>
      <c r="E44" s="654" t="str">
        <f>'[2]3.'!A40</f>
        <v>BS.3.40</v>
      </c>
      <c r="F44" s="286" t="str">
        <f>'[2]3.'!D40</f>
        <v>Kohle-Mix</v>
      </c>
      <c r="G44" s="154"/>
      <c r="H44" s="154"/>
      <c r="I44" s="154"/>
      <c r="J44" s="328" t="str">
        <f>'[2]3.'!H40</f>
        <v>Braunk.</v>
      </c>
      <c r="K44" s="329" t="str">
        <f>'[2]3.'!I40</f>
        <v>Steink.</v>
      </c>
      <c r="L44" s="681" t="str">
        <f t="shared" ref="L44:L52" si="8">"["&amp;$E44&amp;"]"</f>
        <v>[BS.3.40]</v>
      </c>
    </row>
    <row r="45" spans="1:13" ht="17" thickTop="1" thickBot="1">
      <c r="A45" s="607" t="str">
        <f t="shared" ca="1" si="0"/>
        <v>D_Python.8.45</v>
      </c>
      <c r="B45" s="607" t="str">
        <f t="shared" ca="1" si="2"/>
        <v>8.45</v>
      </c>
      <c r="C45" s="607" t="str">
        <f t="shared" si="1"/>
        <v xml:space="preserve">[45] </v>
      </c>
      <c r="D45" s="607">
        <f>ROW()</f>
        <v>45</v>
      </c>
      <c r="E45" s="654" t="str">
        <f>'[2]3.'!A41</f>
        <v>BS.3.41</v>
      </c>
      <c r="F45" s="734" t="str">
        <f>'[2]3.'!D41</f>
        <v>Gebäudewärme (%)</v>
      </c>
      <c r="G45" s="735"/>
      <c r="H45" s="735"/>
      <c r="I45" s="735"/>
      <c r="J45" s="736">
        <f>'[2]3.'!H41</f>
        <v>57.767910173374439</v>
      </c>
      <c r="K45" s="737">
        <f>'[2]3.'!I41</f>
        <v>42.232089826625561</v>
      </c>
      <c r="L45" s="681" t="str">
        <f t="shared" si="8"/>
        <v>[BS.3.41]</v>
      </c>
    </row>
    <row r="46" spans="1:13" ht="17" thickTop="1" thickBot="1">
      <c r="A46" s="607" t="str">
        <f t="shared" ca="1" si="0"/>
        <v>D_Python.8.46</v>
      </c>
      <c r="B46" s="607" t="str">
        <f t="shared" ca="1" si="2"/>
        <v>8.46</v>
      </c>
      <c r="C46" s="607" t="str">
        <f t="shared" si="1"/>
        <v xml:space="preserve">[46] </v>
      </c>
      <c r="D46" s="607">
        <f>ROW()</f>
        <v>46</v>
      </c>
      <c r="E46" s="654" t="str">
        <f>'[2]3.'!A42</f>
        <v>BS.3.42</v>
      </c>
      <c r="F46" s="738" t="str">
        <f>'[2]3.'!D42</f>
        <v>Prozesswärme (%)</v>
      </c>
      <c r="G46" s="18"/>
      <c r="H46" s="18"/>
      <c r="I46" s="18"/>
      <c r="J46" s="333">
        <f>'[2]3.'!H42</f>
        <v>18.092959362357345</v>
      </c>
      <c r="K46" s="334">
        <f>'[2]3.'!I42</f>
        <v>81.907040637642652</v>
      </c>
      <c r="L46" s="681" t="str">
        <f t="shared" si="8"/>
        <v>[BS.3.42]</v>
      </c>
    </row>
    <row r="47" spans="1:13" ht="16" thickBot="1">
      <c r="A47" s="607" t="str">
        <f t="shared" ca="1" si="0"/>
        <v>D_Python.8.47</v>
      </c>
      <c r="B47" s="607" t="str">
        <f t="shared" ca="1" si="2"/>
        <v>8.47</v>
      </c>
      <c r="C47" s="607" t="str">
        <f t="shared" si="1"/>
        <v xml:space="preserve">[47] </v>
      </c>
      <c r="D47" s="607">
        <f>ROW()</f>
        <v>47</v>
      </c>
      <c r="E47" s="654"/>
      <c r="F47" s="718"/>
    </row>
    <row r="48" spans="1:13" ht="16" thickBot="1">
      <c r="A48" s="607" t="str">
        <f t="shared" ca="1" si="0"/>
        <v>D_Python.8.48</v>
      </c>
      <c r="B48" s="607" t="str">
        <f t="shared" ca="1" si="2"/>
        <v>8.48</v>
      </c>
      <c r="C48" s="607" t="str">
        <f t="shared" si="1"/>
        <v xml:space="preserve">[48] </v>
      </c>
      <c r="D48" s="607">
        <f>ROW()</f>
        <v>48</v>
      </c>
      <c r="E48" s="654" t="str">
        <f>'[2]3.'!A44</f>
        <v>BS.3.44</v>
      </c>
      <c r="F48" s="286" t="str">
        <f>'[2]3.'!D44</f>
        <v>Umwandlung (%):</v>
      </c>
      <c r="G48" s="154"/>
      <c r="H48" s="154"/>
      <c r="I48" s="154"/>
      <c r="J48" s="328" t="str">
        <f>'[2]3.'!H44</f>
        <v>Braunk.</v>
      </c>
      <c r="K48" s="335" t="str">
        <f>'[2]3.'!I44</f>
        <v>Steink.</v>
      </c>
      <c r="L48" s="681" t="str">
        <f t="shared" si="8"/>
        <v>[BS.3.44]</v>
      </c>
      <c r="M48" s="705"/>
    </row>
    <row r="49" spans="1:13" ht="16" thickTop="1">
      <c r="A49" s="607" t="str">
        <f t="shared" ca="1" si="0"/>
        <v>D_Python.8.49</v>
      </c>
      <c r="B49" s="607" t="str">
        <f t="shared" ca="1" si="2"/>
        <v>8.49</v>
      </c>
      <c r="C49" s="607" t="str">
        <f t="shared" si="1"/>
        <v xml:space="preserve">[49] </v>
      </c>
      <c r="D49" s="607">
        <f>ROW()</f>
        <v>49</v>
      </c>
      <c r="E49" s="654" t="str">
        <f>'[2]3.'!A45</f>
        <v>BS.3.45</v>
      </c>
      <c r="F49" s="351" t="str">
        <f>'[2]3.'!D45</f>
        <v xml:space="preserve">Leitungsverluste </v>
      </c>
      <c r="G49" s="257"/>
      <c r="H49" s="257"/>
      <c r="I49" s="731" t="str">
        <f>'[2]3.'!G45</f>
        <v>LV/EV+</v>
      </c>
      <c r="J49" s="438">
        <f>'[2]3.'!H45</f>
        <v>0</v>
      </c>
      <c r="K49" s="353">
        <f>'[2]3.'!I45</f>
        <v>0</v>
      </c>
      <c r="L49" s="681" t="str">
        <f t="shared" si="8"/>
        <v>[BS.3.45]</v>
      </c>
    </row>
    <row r="50" spans="1:13">
      <c r="A50" s="607" t="str">
        <f t="shared" ca="1" si="0"/>
        <v>D_Python.8.50</v>
      </c>
      <c r="B50" s="607" t="str">
        <f t="shared" ca="1" si="2"/>
        <v>8.50</v>
      </c>
      <c r="C50" s="607" t="str">
        <f t="shared" si="1"/>
        <v xml:space="preserve">[50] </v>
      </c>
      <c r="D50" s="607">
        <f>ROW()</f>
        <v>50</v>
      </c>
      <c r="E50" s="654" t="str">
        <f>'[2]3.'!A46</f>
        <v>BS.3.46</v>
      </c>
      <c r="F50" s="354" t="str">
        <f>'[2]3.'!D46</f>
        <v>Fackelverluste</v>
      </c>
      <c r="G50" s="355"/>
      <c r="H50" s="355"/>
      <c r="I50" s="732" t="str">
        <f>'[2]3.'!G46</f>
        <v>FV/NV.fos</v>
      </c>
      <c r="J50" s="439">
        <f>'[2]3.'!H46</f>
        <v>0</v>
      </c>
      <c r="K50" s="356">
        <f>'[2]3.'!I46</f>
        <v>0</v>
      </c>
      <c r="L50" s="681" t="str">
        <f t="shared" si="8"/>
        <v>[BS.3.46]</v>
      </c>
    </row>
    <row r="51" spans="1:13">
      <c r="A51" s="607" t="str">
        <f t="shared" ca="1" si="0"/>
        <v>D_Python.8.51</v>
      </c>
      <c r="B51" s="607" t="str">
        <f t="shared" ca="1" si="2"/>
        <v>8.51</v>
      </c>
      <c r="C51" s="607" t="str">
        <f t="shared" si="1"/>
        <v xml:space="preserve">[51] </v>
      </c>
      <c r="D51" s="607">
        <f>ROW()</f>
        <v>51</v>
      </c>
      <c r="E51" s="654" t="str">
        <f>'[2]3.'!A47</f>
        <v>BS.3.47</v>
      </c>
      <c r="F51" s="269" t="str">
        <f>'[2]3.'!D47</f>
        <v>Verbr.im Umwandlungsbereich</v>
      </c>
      <c r="G51" s="270"/>
      <c r="H51" s="270"/>
      <c r="I51" s="728" t="str">
        <f>'[2]3.'!G47</f>
        <v>VU/NV.fos</v>
      </c>
      <c r="J51" s="440">
        <f>'[2]3.'!H47</f>
        <v>11.180662349195348</v>
      </c>
      <c r="K51" s="273">
        <f>'[2]3.'!I47</f>
        <v>0.7327825471462599</v>
      </c>
      <c r="L51" s="681" t="str">
        <f t="shared" si="8"/>
        <v>[BS.3.47]</v>
      </c>
    </row>
    <row r="52" spans="1:13" ht="16" thickBot="1">
      <c r="A52" s="607" t="str">
        <f t="shared" ca="1" si="0"/>
        <v>D_Python.8.52</v>
      </c>
      <c r="B52" s="607" t="str">
        <f t="shared" ca="1" si="2"/>
        <v>8.52</v>
      </c>
      <c r="C52" s="607" t="str">
        <f t="shared" si="1"/>
        <v xml:space="preserve">[52] </v>
      </c>
      <c r="D52" s="607">
        <f>ROW()</f>
        <v>52</v>
      </c>
      <c r="E52" s="654" t="str">
        <f>'[2]3.'!A48</f>
        <v>BS.3.48</v>
      </c>
      <c r="F52" s="203" t="str">
        <f>'[2]3.'!D48</f>
        <v>Jahresnutzungsgrad Umwandl.</v>
      </c>
      <c r="G52" s="204"/>
      <c r="H52" s="204"/>
      <c r="I52" s="724" t="str">
        <f>'[2]3.'!G48</f>
        <v>NV+/PEV</v>
      </c>
      <c r="J52" s="333">
        <f>'[2]3.'!H48</f>
        <v>100</v>
      </c>
      <c r="K52" s="205">
        <f>'[2]3.'!I48</f>
        <v>97.720252047452846</v>
      </c>
      <c r="L52" s="681" t="str">
        <f t="shared" si="8"/>
        <v>[BS.3.48]</v>
      </c>
    </row>
    <row r="53" spans="1:13">
      <c r="A53" s="607" t="str">
        <f t="shared" ca="1" si="0"/>
        <v>D_Python.8.53</v>
      </c>
      <c r="B53" s="607" t="str">
        <f t="shared" ca="1" si="2"/>
        <v>8.53</v>
      </c>
      <c r="C53" s="607" t="str">
        <f t="shared" si="1"/>
        <v xml:space="preserve">[53] </v>
      </c>
      <c r="D53" s="607">
        <f>ROW()</f>
        <v>53</v>
      </c>
      <c r="E53" s="654"/>
      <c r="F53" s="718"/>
    </row>
    <row r="54" spans="1:13">
      <c r="A54" s="607" t="str">
        <f t="shared" ca="1" si="0"/>
        <v>D_Python.8.54</v>
      </c>
      <c r="B54" s="607" t="str">
        <f t="shared" ca="1" si="2"/>
        <v>8.54</v>
      </c>
      <c r="C54" s="607" t="str">
        <f t="shared" si="1"/>
        <v xml:space="preserve">[54] </v>
      </c>
      <c r="D54" s="607">
        <f>ROW()</f>
        <v>54</v>
      </c>
      <c r="E54" s="654" t="str">
        <f>'[2]3.'!A50</f>
        <v>BS.3.50</v>
      </c>
      <c r="F54" s="718"/>
    </row>
    <row r="55" spans="1:13" ht="20" thickBot="1">
      <c r="A55" s="607" t="str">
        <f t="shared" ca="1" si="0"/>
        <v>D_Python.8.55</v>
      </c>
      <c r="B55" s="607" t="str">
        <f t="shared" ca="1" si="2"/>
        <v>8.55</v>
      </c>
      <c r="C55" s="607" t="str">
        <f t="shared" si="1"/>
        <v xml:space="preserve">[55] </v>
      </c>
      <c r="D55" s="607">
        <f>ROW()</f>
        <v>55</v>
      </c>
      <c r="E55" s="654" t="str">
        <f>'[2]3.'!A51</f>
        <v>BS.3.51</v>
      </c>
      <c r="F55" s="4" t="str">
        <f>'[2]3.'!D51</f>
        <v>BS.3.f   Fernheizwerke: Fossiler Brennstoffmix</v>
      </c>
    </row>
    <row r="56" spans="1:13" ht="16" thickBot="1">
      <c r="A56" s="607" t="str">
        <f t="shared" ca="1" si="0"/>
        <v>D_Python.8.56</v>
      </c>
      <c r="B56" s="607" t="str">
        <f t="shared" ca="1" si="2"/>
        <v>8.56</v>
      </c>
      <c r="C56" s="607" t="str">
        <f t="shared" si="1"/>
        <v xml:space="preserve">[56] </v>
      </c>
      <c r="D56" s="607">
        <f>ROW()</f>
        <v>56</v>
      </c>
      <c r="E56" s="654" t="str">
        <f>'[2]3.'!A52</f>
        <v>BS.3.52</v>
      </c>
      <c r="F56" s="286" t="str">
        <f>'[2]3.'!D52</f>
        <v>Mix fossiler Brennstoffe:</v>
      </c>
      <c r="G56" s="154"/>
      <c r="H56" s="154"/>
      <c r="I56" s="154"/>
      <c r="J56" s="739" t="str">
        <f>'[2]3.'!H52</f>
        <v>(%)</v>
      </c>
      <c r="K56" s="681" t="str">
        <f t="shared" ref="K56:K67" si="9">"["&amp;$E56&amp;"]"</f>
        <v>[BS.3.52]</v>
      </c>
      <c r="M56" s="705"/>
    </row>
    <row r="57" spans="1:13" ht="16" thickTop="1">
      <c r="A57" s="607" t="str">
        <f t="shared" ca="1" si="0"/>
        <v>D_Python.8.57</v>
      </c>
      <c r="B57" s="607" t="str">
        <f t="shared" ca="1" si="2"/>
        <v>8.57</v>
      </c>
      <c r="C57" s="607" t="str">
        <f t="shared" si="1"/>
        <v xml:space="preserve">[57] </v>
      </c>
      <c r="D57" s="607">
        <f>ROW()</f>
        <v>57</v>
      </c>
      <c r="E57" s="654" t="str">
        <f>'[2]3.'!A53</f>
        <v>BS.3.53</v>
      </c>
      <c r="F57" s="288" t="str">
        <f>'[2]3.'!D53</f>
        <v>Fossile</v>
      </c>
      <c r="G57" s="22"/>
      <c r="H57" s="22"/>
      <c r="I57" s="22"/>
      <c r="J57" s="740">
        <f>'[2]3.'!H53</f>
        <v>100</v>
      </c>
      <c r="K57" s="681" t="str">
        <f t="shared" si="9"/>
        <v>[BS.3.53]</v>
      </c>
      <c r="M57" s="705"/>
    </row>
    <row r="58" spans="1:13">
      <c r="A58" s="607" t="str">
        <f t="shared" ca="1" si="0"/>
        <v>D_Python.8.58</v>
      </c>
      <c r="B58" s="607" t="str">
        <f t="shared" ca="1" si="2"/>
        <v>8.58</v>
      </c>
      <c r="C58" s="607" t="str">
        <f t="shared" si="1"/>
        <v xml:space="preserve">[58] </v>
      </c>
      <c r="D58" s="607">
        <f>ROW()</f>
        <v>58</v>
      </c>
      <c r="E58" s="654" t="str">
        <f>'[2]3.'!A54</f>
        <v>BS.3.54</v>
      </c>
      <c r="F58" s="162" t="str">
        <f>'[2]3.'!D54</f>
        <v>Braunkohle</v>
      </c>
      <c r="G58" s="52"/>
      <c r="H58" s="52"/>
      <c r="I58" s="52"/>
      <c r="J58" s="741">
        <f>'[2]3.'!H54</f>
        <v>1.8174723660063772</v>
      </c>
      <c r="K58" s="681" t="str">
        <f t="shared" si="9"/>
        <v>[BS.3.54]</v>
      </c>
      <c r="M58" s="705"/>
    </row>
    <row r="59" spans="1:13">
      <c r="A59" s="607" t="str">
        <f t="shared" ca="1" si="0"/>
        <v>D_Python.8.59</v>
      </c>
      <c r="B59" s="607" t="str">
        <f t="shared" ca="1" si="2"/>
        <v>8.59</v>
      </c>
      <c r="C59" s="607" t="str">
        <f t="shared" si="1"/>
        <v xml:space="preserve">[59] </v>
      </c>
      <c r="D59" s="607">
        <f>ROW()</f>
        <v>59</v>
      </c>
      <c r="E59" s="654" t="str">
        <f>'[2]3.'!A55</f>
        <v>BS.3.55</v>
      </c>
      <c r="F59" s="162" t="str">
        <f>'[2]3.'!D55</f>
        <v>Steinkohle</v>
      </c>
      <c r="G59" s="52"/>
      <c r="H59" s="52"/>
      <c r="I59" s="52"/>
      <c r="J59" s="741">
        <f>'[2]3.'!H55</f>
        <v>20.737841347648743</v>
      </c>
      <c r="K59" s="681" t="str">
        <f t="shared" si="9"/>
        <v>[BS.3.55]</v>
      </c>
      <c r="M59" s="705"/>
    </row>
    <row r="60" spans="1:13">
      <c r="A60" s="607" t="str">
        <f t="shared" ca="1" si="0"/>
        <v>D_Python.8.60</v>
      </c>
      <c r="B60" s="607" t="str">
        <f t="shared" ca="1" si="2"/>
        <v>8.60</v>
      </c>
      <c r="C60" s="607" t="str">
        <f t="shared" si="1"/>
        <v xml:space="preserve">[60] </v>
      </c>
      <c r="D60" s="607">
        <f>ROW()</f>
        <v>60</v>
      </c>
      <c r="E60" s="654" t="str">
        <f>'[2]3.'!A56</f>
        <v>BS.3.56</v>
      </c>
      <c r="F60" s="162" t="str">
        <f>'[2]3.'!D56</f>
        <v>Erdgas</v>
      </c>
      <c r="G60" s="52"/>
      <c r="H60" s="52"/>
      <c r="I60" s="52"/>
      <c r="J60" s="741">
        <f>'[2]3.'!H56</f>
        <v>55.499058035959251</v>
      </c>
      <c r="K60" s="681" t="str">
        <f t="shared" si="9"/>
        <v>[BS.3.56]</v>
      </c>
      <c r="M60" s="705"/>
    </row>
    <row r="61" spans="1:13">
      <c r="A61" s="607" t="str">
        <f t="shared" ca="1" si="0"/>
        <v>D_Python.8.61</v>
      </c>
      <c r="B61" s="607" t="str">
        <f t="shared" ca="1" si="2"/>
        <v>8.61</v>
      </c>
      <c r="C61" s="607" t="str">
        <f t="shared" si="1"/>
        <v xml:space="preserve">[61] </v>
      </c>
      <c r="D61" s="607">
        <f>ROW()</f>
        <v>61</v>
      </c>
      <c r="E61" s="654" t="str">
        <f>'[2]3.'!A57</f>
        <v>BS.3.57</v>
      </c>
      <c r="F61" s="162" t="str">
        <f>'[2]3.'!D57</f>
        <v>Mineralölprodukte</v>
      </c>
      <c r="G61" s="52"/>
      <c r="H61" s="52"/>
      <c r="I61" s="52"/>
      <c r="J61" s="741">
        <f>'[2]3.'!H57</f>
        <v>4.4202196087038699</v>
      </c>
      <c r="K61" s="681" t="str">
        <f t="shared" si="9"/>
        <v>[BS.3.57]</v>
      </c>
      <c r="M61" s="705"/>
    </row>
    <row r="62" spans="1:13" ht="16" thickBot="1">
      <c r="A62" s="607" t="str">
        <f t="shared" ca="1" si="0"/>
        <v>D_Python.8.62</v>
      </c>
      <c r="B62" s="607" t="str">
        <f t="shared" ca="1" si="2"/>
        <v>8.62</v>
      </c>
      <c r="C62" s="607" t="str">
        <f t="shared" si="1"/>
        <v xml:space="preserve">[62] </v>
      </c>
      <c r="D62" s="607">
        <f>ROW()</f>
        <v>62</v>
      </c>
      <c r="E62" s="654" t="str">
        <f>'[2]3.'!A58</f>
        <v>BS.3.58</v>
      </c>
      <c r="F62" s="163" t="str">
        <f>'[2]3.'!D58</f>
        <v>nicht erneuerb.Abfälle</v>
      </c>
      <c r="G62" s="164"/>
      <c r="H62" s="164"/>
      <c r="I62" s="164"/>
      <c r="J62" s="742">
        <f>'[2]3.'!H58</f>
        <v>17.525408641681757</v>
      </c>
      <c r="K62" s="681" t="str">
        <f t="shared" si="9"/>
        <v>[BS.3.58]</v>
      </c>
      <c r="M62" s="705"/>
    </row>
    <row r="63" spans="1:13" ht="16" thickBot="1">
      <c r="A63" s="607" t="str">
        <f t="shared" ca="1" si="0"/>
        <v>D_Python.8.63</v>
      </c>
      <c r="B63" s="607" t="str">
        <f t="shared" ca="1" si="2"/>
        <v>8.63</v>
      </c>
      <c r="C63" s="607" t="str">
        <f t="shared" si="1"/>
        <v xml:space="preserve">[63] </v>
      </c>
      <c r="D63" s="607">
        <f>ROW()</f>
        <v>63</v>
      </c>
      <c r="E63" s="654"/>
      <c r="F63" s="718"/>
    </row>
    <row r="64" spans="1:13" ht="16" thickBot="1">
      <c r="A64" s="607" t="str">
        <f t="shared" ca="1" si="0"/>
        <v>D_Python.8.64</v>
      </c>
      <c r="B64" s="607" t="str">
        <f t="shared" ca="1" si="2"/>
        <v>8.64</v>
      </c>
      <c r="C64" s="607" t="str">
        <f t="shared" si="1"/>
        <v xml:space="preserve">[64] </v>
      </c>
      <c r="D64" s="607">
        <f>ROW()</f>
        <v>64</v>
      </c>
      <c r="E64" s="654" t="str">
        <f>'[2]3.'!A60</f>
        <v>BS.3.60</v>
      </c>
      <c r="F64" s="286" t="str">
        <f>'[2]3.'!D60</f>
        <v>Umwandlung:</v>
      </c>
      <c r="G64" s="154"/>
      <c r="H64" s="154"/>
      <c r="I64" s="154"/>
      <c r="J64" s="743" t="str">
        <f>'[2]3.'!H60</f>
        <v>(%)</v>
      </c>
      <c r="K64" s="681" t="str">
        <f t="shared" si="9"/>
        <v>[BS.3.60]</v>
      </c>
      <c r="M64" s="705"/>
    </row>
    <row r="65" spans="1:13" ht="16" thickTop="1">
      <c r="A65" s="607" t="str">
        <f t="shared" ca="1" si="0"/>
        <v>D_Python.8.65</v>
      </c>
      <c r="B65" s="607" t="str">
        <f t="shared" ca="1" si="2"/>
        <v>8.65</v>
      </c>
      <c r="C65" s="607" t="str">
        <f t="shared" si="1"/>
        <v xml:space="preserve">[65] </v>
      </c>
      <c r="D65" s="607">
        <f>ROW()</f>
        <v>65</v>
      </c>
      <c r="E65" s="654" t="str">
        <f>'[2]3.'!A61</f>
        <v>BS.3.61</v>
      </c>
      <c r="F65" s="161" t="str">
        <f>'[2]3.'!D61</f>
        <v xml:space="preserve">Leitungsverluste </v>
      </c>
      <c r="G65" s="293"/>
      <c r="H65" s="225"/>
      <c r="I65" s="731" t="str">
        <f>'[2]3.'!G61</f>
        <v>LV/EV</v>
      </c>
      <c r="J65" s="744">
        <f>'[2]3.'!H61</f>
        <v>9.4469735680772988</v>
      </c>
      <c r="K65" s="681" t="str">
        <f t="shared" si="9"/>
        <v>[BS.3.61]</v>
      </c>
      <c r="M65" s="705"/>
    </row>
    <row r="66" spans="1:13">
      <c r="A66" s="607" t="str">
        <f t="shared" ca="1" si="0"/>
        <v>D_Python.8.66</v>
      </c>
      <c r="B66" s="607" t="str">
        <f t="shared" ca="1" si="2"/>
        <v>8.66</v>
      </c>
      <c r="C66" s="607" t="str">
        <f t="shared" si="1"/>
        <v xml:space="preserve">[66] </v>
      </c>
      <c r="D66" s="607">
        <f>ROW()</f>
        <v>66</v>
      </c>
      <c r="E66" s="654" t="str">
        <f>'[2]3.'!A62</f>
        <v>BS.3.62</v>
      </c>
      <c r="F66" s="269" t="str">
        <f>'[2]3.'!D62</f>
        <v>Verbr.im Umwandlungsbereich</v>
      </c>
      <c r="G66" s="270"/>
      <c r="H66" s="270"/>
      <c r="I66" s="728" t="str">
        <f>'[2]3.'!G62</f>
        <v>VU/NV.fos</v>
      </c>
      <c r="J66" s="729">
        <f>'[2]3.'!H62</f>
        <v>9.8987779069519242</v>
      </c>
      <c r="K66" s="681" t="str">
        <f t="shared" si="9"/>
        <v>[BS.3.62]</v>
      </c>
      <c r="M66" s="705"/>
    </row>
    <row r="67" spans="1:13" ht="16" thickBot="1">
      <c r="A67" s="607" t="str">
        <f t="shared" ca="1" si="0"/>
        <v>D_Python.8.67</v>
      </c>
      <c r="B67" s="607" t="str">
        <f t="shared" ca="1" si="2"/>
        <v>8.67</v>
      </c>
      <c r="C67" s="607" t="str">
        <f t="shared" si="1"/>
        <v xml:space="preserve">[67] </v>
      </c>
      <c r="D67" s="607">
        <f>ROW()</f>
        <v>67</v>
      </c>
      <c r="E67" s="654" t="str">
        <f>'[2]3.'!A63</f>
        <v>BS.3.63</v>
      </c>
      <c r="F67" s="203" t="str">
        <f>'[2]3.'!D63</f>
        <v>Jahresnutzungsgrad Umwandl.</v>
      </c>
      <c r="G67" s="204"/>
      <c r="H67" s="298"/>
      <c r="I67" s="745" t="str">
        <f>'[2]3.'!G63</f>
        <v>NV+.fos/UE.fos</v>
      </c>
      <c r="J67" s="746">
        <f>'[2]3.'!H63</f>
        <v>71.410358904386044</v>
      </c>
      <c r="K67" s="681" t="str">
        <f t="shared" si="9"/>
        <v>[BS.3.63]</v>
      </c>
      <c r="M67" s="705"/>
    </row>
    <row r="68" spans="1:13">
      <c r="A68" s="607" t="str">
        <f t="shared" ref="A68:A118" ca="1" si="10">BO$1&amp;B68</f>
        <v>D_Python.8.68</v>
      </c>
      <c r="B68" s="607" t="str">
        <f t="shared" ca="1" si="2"/>
        <v>8.68</v>
      </c>
      <c r="C68" s="607" t="str">
        <f t="shared" si="1"/>
        <v xml:space="preserve">[68] </v>
      </c>
      <c r="D68" s="607">
        <f>ROW()</f>
        <v>68</v>
      </c>
      <c r="E68" s="654"/>
      <c r="F68" s="718"/>
    </row>
    <row r="69" spans="1:13">
      <c r="A69" s="607" t="str">
        <f t="shared" ca="1" si="10"/>
        <v>D_Python.8.69</v>
      </c>
      <c r="B69" s="607" t="str">
        <f t="shared" ca="1" si="2"/>
        <v>8.69</v>
      </c>
      <c r="C69" s="607" t="str">
        <f t="shared" si="1"/>
        <v xml:space="preserve">[69] </v>
      </c>
      <c r="D69" s="607">
        <f>ROW()</f>
        <v>69</v>
      </c>
      <c r="E69" s="654" t="str">
        <f>'[2]3.'!A65</f>
        <v>BS.3.65</v>
      </c>
      <c r="M69" s="705"/>
    </row>
    <row r="70" spans="1:13" ht="20" thickBot="1">
      <c r="A70" s="607" t="str">
        <f t="shared" ca="1" si="10"/>
        <v>D_Python.8.70</v>
      </c>
      <c r="B70" s="607" t="str">
        <f t="shared" ca="1" si="2"/>
        <v>8.70</v>
      </c>
      <c r="C70" s="607" t="str">
        <f t="shared" si="1"/>
        <v xml:space="preserve">[70] </v>
      </c>
      <c r="D70" s="607">
        <f>ROW()</f>
        <v>70</v>
      </c>
      <c r="E70" s="654" t="str">
        <f>'[2]3.'!A66</f>
        <v>BS.3.66</v>
      </c>
      <c r="F70" s="4" t="str">
        <f>'[2]3.'!D66</f>
        <v>BS.3.g   Brennstoff-Endverbrauch: Fossiler Brennstoffmix</v>
      </c>
      <c r="M70" s="705"/>
    </row>
    <row r="71" spans="1:13" ht="16" thickBot="1">
      <c r="A71" s="607" t="str">
        <f t="shared" ca="1" si="10"/>
        <v>D_Python.8.71</v>
      </c>
      <c r="B71" s="607" t="str">
        <f t="shared" ca="1" si="2"/>
        <v>8.71</v>
      </c>
      <c r="C71" s="607" t="str">
        <f t="shared" si="1"/>
        <v xml:space="preserve">[71] </v>
      </c>
      <c r="D71" s="607">
        <f>ROW()</f>
        <v>71</v>
      </c>
      <c r="E71" s="654" t="str">
        <f>'[2]3.'!A67</f>
        <v>BS.3.67</v>
      </c>
      <c r="F71" s="286" t="str">
        <f>'[2]3.'!D67</f>
        <v>Mix fossiler Brennstoffe (%):</v>
      </c>
      <c r="G71" s="154"/>
      <c r="H71" s="154"/>
      <c r="I71" s="154"/>
      <c r="J71" s="747" t="str">
        <f>'[2]3.'!H67</f>
        <v>GW</v>
      </c>
      <c r="K71" s="739" t="str">
        <f>'[2]3.'!I67</f>
        <v>PW</v>
      </c>
      <c r="L71" s="681" t="str">
        <f t="shared" ref="L71:L76" si="11">"["&amp;$E71&amp;"]"</f>
        <v>[BS.3.67]</v>
      </c>
      <c r="M71" s="705"/>
    </row>
    <row r="72" spans="1:13" ht="16" thickTop="1">
      <c r="A72" s="607" t="str">
        <f t="shared" ca="1" si="10"/>
        <v>D_Python.8.72</v>
      </c>
      <c r="B72" s="607" t="str">
        <f t="shared" ca="1" si="2"/>
        <v>8.72</v>
      </c>
      <c r="C72" s="607" t="str">
        <f t="shared" si="1"/>
        <v xml:space="preserve">[72] </v>
      </c>
      <c r="D72" s="607">
        <f>ROW()</f>
        <v>72</v>
      </c>
      <c r="E72" s="654" t="str">
        <f>'[2]3.'!A68</f>
        <v>BS.3.68</v>
      </c>
      <c r="F72" s="288" t="str">
        <f>'[2]3.'!D68</f>
        <v>Fossile</v>
      </c>
      <c r="G72" s="22"/>
      <c r="H72" s="22"/>
      <c r="I72" s="22"/>
      <c r="J72" s="748">
        <f>'[2]3.'!H68</f>
        <v>100</v>
      </c>
      <c r="K72" s="740">
        <f>'[2]3.'!I68</f>
        <v>99.999999999999986</v>
      </c>
      <c r="L72" s="681" t="str">
        <f t="shared" si="11"/>
        <v>[BS.3.68]</v>
      </c>
      <c r="M72" s="705"/>
    </row>
    <row r="73" spans="1:13">
      <c r="A73" s="607" t="str">
        <f t="shared" ca="1" si="10"/>
        <v>D_Python.8.73</v>
      </c>
      <c r="B73" s="607" t="str">
        <f t="shared" ca="1" si="2"/>
        <v>8.73</v>
      </c>
      <c r="C73" s="607" t="str">
        <f t="shared" si="1"/>
        <v xml:space="preserve">[73] </v>
      </c>
      <c r="D73" s="607">
        <f>ROW()</f>
        <v>73</v>
      </c>
      <c r="E73" s="654" t="str">
        <f>'[2]3.'!A69</f>
        <v>BS.3.69</v>
      </c>
      <c r="F73" s="162" t="str">
        <f>'[2]3.'!D69</f>
        <v xml:space="preserve">     Braunkohle</v>
      </c>
      <c r="G73" s="52"/>
      <c r="H73" s="52"/>
      <c r="I73" s="52"/>
      <c r="J73" s="716">
        <f>'[2]3.'!H69</f>
        <v>2.0137929530981458</v>
      </c>
      <c r="K73" s="741">
        <f>'[2]3.'!I69</f>
        <v>5.0388313458865142</v>
      </c>
      <c r="L73" s="681" t="str">
        <f t="shared" si="11"/>
        <v>[BS.3.69]</v>
      </c>
      <c r="M73" s="705"/>
    </row>
    <row r="74" spans="1:13">
      <c r="A74" s="607" t="str">
        <f t="shared" ca="1" si="10"/>
        <v>D_Python.8.74</v>
      </c>
      <c r="B74" s="607" t="str">
        <f t="shared" ca="1" si="2"/>
        <v>8.74</v>
      </c>
      <c r="C74" s="607" t="str">
        <f t="shared" si="1"/>
        <v xml:space="preserve">[74] </v>
      </c>
      <c r="D74" s="607">
        <f>ROW()</f>
        <v>74</v>
      </c>
      <c r="E74" s="654" t="str">
        <f>'[2]3.'!A70</f>
        <v>BS.3.70</v>
      </c>
      <c r="F74" s="162" t="str">
        <f>'[2]3.'!D70</f>
        <v xml:space="preserve">     Steinkohle</v>
      </c>
      <c r="G74" s="52"/>
      <c r="H74" s="52"/>
      <c r="I74" s="52"/>
      <c r="J74" s="716">
        <f>'[2]3.'!H70</f>
        <v>1.4722132864460962</v>
      </c>
      <c r="K74" s="741">
        <f>'[2]3.'!I70</f>
        <v>22.810848990929323</v>
      </c>
      <c r="L74" s="681" t="str">
        <f t="shared" si="11"/>
        <v>[BS.3.70]</v>
      </c>
      <c r="M74" s="705"/>
    </row>
    <row r="75" spans="1:13">
      <c r="A75" s="607" t="str">
        <f t="shared" ca="1" si="10"/>
        <v>D_Python.8.75</v>
      </c>
      <c r="B75" s="607" t="str">
        <f t="shared" ca="1" si="2"/>
        <v>8.75</v>
      </c>
      <c r="C75" s="607" t="str">
        <f t="shared" si="1"/>
        <v xml:space="preserve">[75] </v>
      </c>
      <c r="D75" s="607">
        <f>ROW()</f>
        <v>75</v>
      </c>
      <c r="E75" s="654" t="str">
        <f>'[2]3.'!A71</f>
        <v>BS.3.71</v>
      </c>
      <c r="F75" s="162" t="str">
        <f>'[2]3.'!D71</f>
        <v xml:space="preserve">   Erdgas</v>
      </c>
      <c r="G75" s="52"/>
      <c r="H75" s="52"/>
      <c r="I75" s="52"/>
      <c r="J75" s="716">
        <f>'[2]3.'!H71</f>
        <v>65.198715919880641</v>
      </c>
      <c r="K75" s="741">
        <f>'[2]3.'!I71</f>
        <v>64.610946514891623</v>
      </c>
      <c r="L75" s="681" t="str">
        <f t="shared" si="11"/>
        <v>[BS.3.71]</v>
      </c>
      <c r="M75" s="705"/>
    </row>
    <row r="76" spans="1:13" ht="16" thickBot="1">
      <c r="A76" s="607" t="str">
        <f t="shared" ca="1" si="10"/>
        <v>D_Python.8.76</v>
      </c>
      <c r="B76" s="607" t="str">
        <f t="shared" ca="1" si="2"/>
        <v>8.76</v>
      </c>
      <c r="C76" s="607" t="str">
        <f t="shared" si="1"/>
        <v xml:space="preserve">[76] </v>
      </c>
      <c r="D76" s="607">
        <f>ROW()</f>
        <v>76</v>
      </c>
      <c r="E76" s="654" t="str">
        <f>'[2]3.'!A72</f>
        <v>BS.3.72</v>
      </c>
      <c r="F76" s="163" t="str">
        <f>'[2]3.'!D72</f>
        <v xml:space="preserve">   Mineralölprodukte</v>
      </c>
      <c r="G76" s="164"/>
      <c r="H76" s="164"/>
      <c r="I76" s="164"/>
      <c r="J76" s="717">
        <f>'[2]3.'!H72</f>
        <v>31.315277840575128</v>
      </c>
      <c r="K76" s="742">
        <f>'[2]3.'!I72</f>
        <v>7.5393731482925306</v>
      </c>
      <c r="L76" s="681" t="str">
        <f t="shared" si="11"/>
        <v>[BS.3.72]</v>
      </c>
      <c r="M76" s="705"/>
    </row>
    <row r="77" spans="1:13">
      <c r="A77" s="607" t="str">
        <f t="shared" ca="1" si="10"/>
        <v>D_Python.8.77</v>
      </c>
      <c r="B77" s="607" t="str">
        <f t="shared" ca="1" si="2"/>
        <v>8.77</v>
      </c>
      <c r="C77" s="607" t="str">
        <f t="shared" ref="C77:C118" si="12">"["&amp;D77&amp;"] "</f>
        <v xml:space="preserve">[77] </v>
      </c>
      <c r="D77" s="607">
        <f>ROW()</f>
        <v>77</v>
      </c>
      <c r="E77" s="654"/>
      <c r="F77" s="718"/>
      <c r="M77" s="705"/>
    </row>
    <row r="78" spans="1:13">
      <c r="A78" s="607" t="str">
        <f t="shared" ca="1" si="10"/>
        <v>D_Python.8.78</v>
      </c>
      <c r="B78" s="607" t="str">
        <f t="shared" ref="B78:B118" ca="1" si="13">BQ$1&amp;D78</f>
        <v>8.78</v>
      </c>
      <c r="C78" s="607" t="str">
        <f t="shared" si="12"/>
        <v xml:space="preserve">[78] </v>
      </c>
      <c r="D78" s="607">
        <f>ROW()</f>
        <v>78</v>
      </c>
      <c r="E78" s="654" t="str">
        <f>'[2]3.'!A74</f>
        <v>BS.3.74</v>
      </c>
      <c r="L78" s="749">
        <f>'[2]3.'!J74</f>
        <v>0</v>
      </c>
      <c r="M78" s="750">
        <f>'[2]3.'!K74</f>
        <v>0</v>
      </c>
    </row>
    <row r="79" spans="1:13">
      <c r="A79" s="607" t="str">
        <f t="shared" ca="1" si="10"/>
        <v>D_Python.8.79</v>
      </c>
      <c r="B79" s="607" t="str">
        <f t="shared" ca="1" si="13"/>
        <v>8.79</v>
      </c>
      <c r="C79" s="607" t="str">
        <f t="shared" si="12"/>
        <v xml:space="preserve">[79] </v>
      </c>
      <c r="D79" s="607">
        <f>ROW()</f>
        <v>79</v>
      </c>
      <c r="E79" s="654"/>
    </row>
    <row r="80" spans="1:13">
      <c r="A80" s="607" t="str">
        <f t="shared" ca="1" si="10"/>
        <v>D_Python.8.80</v>
      </c>
      <c r="B80" s="607" t="str">
        <f t="shared" ca="1" si="13"/>
        <v>8.80</v>
      </c>
      <c r="C80" s="607" t="str">
        <f t="shared" si="12"/>
        <v xml:space="preserve">[80] </v>
      </c>
      <c r="D80" s="607">
        <f>ROW()</f>
        <v>80</v>
      </c>
      <c r="E80" s="654"/>
      <c r="M80" s="705"/>
    </row>
    <row r="81" spans="1:13">
      <c r="A81" s="607" t="str">
        <f t="shared" ca="1" si="10"/>
        <v>D_Python.8.81</v>
      </c>
      <c r="B81" s="607" t="str">
        <f t="shared" ca="1" si="13"/>
        <v>8.81</v>
      </c>
      <c r="C81" s="607" t="str">
        <f t="shared" si="12"/>
        <v xml:space="preserve">[81] </v>
      </c>
      <c r="D81" s="607">
        <f>ROW()</f>
        <v>81</v>
      </c>
      <c r="E81" s="654"/>
      <c r="M81" s="705"/>
    </row>
    <row r="82" spans="1:13">
      <c r="A82" s="607" t="str">
        <f t="shared" ca="1" si="10"/>
        <v>D_Python.8.82</v>
      </c>
      <c r="B82" s="607" t="str">
        <f t="shared" ca="1" si="13"/>
        <v>8.82</v>
      </c>
      <c r="C82" s="607" t="str">
        <f t="shared" si="12"/>
        <v xml:space="preserve">[82] </v>
      </c>
      <c r="D82" s="607">
        <f>ROW()</f>
        <v>82</v>
      </c>
      <c r="E82" s="654"/>
      <c r="M82" s="705"/>
    </row>
    <row r="83" spans="1:13">
      <c r="A83" s="607" t="str">
        <f t="shared" ca="1" si="10"/>
        <v>D_Python.8.83</v>
      </c>
      <c r="B83" s="607" t="str">
        <f t="shared" ca="1" si="13"/>
        <v>8.83</v>
      </c>
      <c r="C83" s="607" t="str">
        <f t="shared" si="12"/>
        <v xml:space="preserve">[83] </v>
      </c>
      <c r="D83" s="607">
        <f>ROW()</f>
        <v>83</v>
      </c>
      <c r="M83" s="705"/>
    </row>
    <row r="84" spans="1:13">
      <c r="A84" s="607" t="str">
        <f t="shared" ca="1" si="10"/>
        <v>D_Python.8.84</v>
      </c>
      <c r="B84" s="607" t="str">
        <f t="shared" ca="1" si="13"/>
        <v>8.84</v>
      </c>
      <c r="C84" s="607" t="str">
        <f t="shared" si="12"/>
        <v xml:space="preserve">[84] </v>
      </c>
      <c r="D84" s="607">
        <f>ROW()</f>
        <v>84</v>
      </c>
      <c r="M84" s="705"/>
    </row>
    <row r="85" spans="1:13">
      <c r="A85" s="607" t="str">
        <f t="shared" ca="1" si="10"/>
        <v>D_Python.8.85</v>
      </c>
      <c r="B85" s="607" t="str">
        <f t="shared" ca="1" si="13"/>
        <v>8.85</v>
      </c>
      <c r="C85" s="607" t="str">
        <f t="shared" si="12"/>
        <v xml:space="preserve">[85] </v>
      </c>
      <c r="D85" s="607">
        <f>ROW()</f>
        <v>85</v>
      </c>
      <c r="M85" s="705"/>
    </row>
    <row r="86" spans="1:13">
      <c r="A86" s="607" t="str">
        <f t="shared" ca="1" si="10"/>
        <v>D_Python.8.86</v>
      </c>
      <c r="B86" s="607" t="str">
        <f t="shared" ca="1" si="13"/>
        <v>8.86</v>
      </c>
      <c r="C86" s="607" t="str">
        <f t="shared" si="12"/>
        <v xml:space="preserve">[86] </v>
      </c>
      <c r="D86" s="607">
        <f>ROW()</f>
        <v>86</v>
      </c>
      <c r="M86" s="705"/>
    </row>
    <row r="87" spans="1:13">
      <c r="A87" s="607" t="str">
        <f t="shared" ca="1" si="10"/>
        <v>D_Python.8.87</v>
      </c>
      <c r="B87" s="607" t="str">
        <f t="shared" ca="1" si="13"/>
        <v>8.87</v>
      </c>
      <c r="C87" s="607" t="str">
        <f t="shared" si="12"/>
        <v xml:space="preserve">[87] </v>
      </c>
      <c r="D87" s="607">
        <f>ROW()</f>
        <v>87</v>
      </c>
      <c r="M87" s="705"/>
    </row>
    <row r="88" spans="1:13">
      <c r="A88" s="607" t="str">
        <f t="shared" ca="1" si="10"/>
        <v>D_Python.8.88</v>
      </c>
      <c r="B88" s="607" t="str">
        <f t="shared" ca="1" si="13"/>
        <v>8.88</v>
      </c>
      <c r="C88" s="607" t="str">
        <f t="shared" si="12"/>
        <v xml:space="preserve">[88] </v>
      </c>
      <c r="D88" s="607">
        <f>ROW()</f>
        <v>88</v>
      </c>
    </row>
    <row r="89" spans="1:13">
      <c r="A89" s="607" t="str">
        <f t="shared" ca="1" si="10"/>
        <v>D_Python.8.89</v>
      </c>
      <c r="B89" s="607" t="str">
        <f t="shared" ca="1" si="13"/>
        <v>8.89</v>
      </c>
      <c r="C89" s="607" t="str">
        <f t="shared" si="12"/>
        <v xml:space="preserve">[89] </v>
      </c>
      <c r="D89" s="607">
        <f>ROW()</f>
        <v>89</v>
      </c>
    </row>
    <row r="90" spans="1:13">
      <c r="A90" s="607" t="str">
        <f t="shared" ca="1" si="10"/>
        <v>D_Python.8.90</v>
      </c>
      <c r="B90" s="607" t="str">
        <f t="shared" ca="1" si="13"/>
        <v>8.90</v>
      </c>
      <c r="C90" s="607" t="str">
        <f t="shared" si="12"/>
        <v xml:space="preserve">[90] </v>
      </c>
      <c r="D90" s="607">
        <f>ROW()</f>
        <v>90</v>
      </c>
    </row>
    <row r="91" spans="1:13">
      <c r="A91" s="607" t="str">
        <f t="shared" ca="1" si="10"/>
        <v>D_Python.8.91</v>
      </c>
      <c r="B91" s="607" t="str">
        <f t="shared" ca="1" si="13"/>
        <v>8.91</v>
      </c>
      <c r="C91" s="607" t="str">
        <f t="shared" si="12"/>
        <v xml:space="preserve">[91] </v>
      </c>
      <c r="D91" s="607">
        <f>ROW()</f>
        <v>91</v>
      </c>
    </row>
    <row r="92" spans="1:13">
      <c r="A92" s="607" t="str">
        <f t="shared" ca="1" si="10"/>
        <v>D_Python.8.92</v>
      </c>
      <c r="B92" s="607" t="str">
        <f t="shared" ca="1" si="13"/>
        <v>8.92</v>
      </c>
      <c r="C92" s="607" t="str">
        <f t="shared" si="12"/>
        <v xml:space="preserve">[92] </v>
      </c>
      <c r="D92" s="607">
        <f>ROW()</f>
        <v>92</v>
      </c>
    </row>
    <row r="93" spans="1:13">
      <c r="A93" s="607" t="str">
        <f t="shared" ca="1" si="10"/>
        <v>D_Python.8.93</v>
      </c>
      <c r="B93" s="607" t="str">
        <f t="shared" ca="1" si="13"/>
        <v>8.93</v>
      </c>
      <c r="C93" s="607" t="str">
        <f t="shared" si="12"/>
        <v xml:space="preserve">[93] </v>
      </c>
      <c r="D93" s="607">
        <f>ROW()</f>
        <v>93</v>
      </c>
    </row>
    <row r="94" spans="1:13">
      <c r="A94" s="607" t="str">
        <f t="shared" ca="1" si="10"/>
        <v>D_Python.8.94</v>
      </c>
      <c r="B94" s="607" t="str">
        <f t="shared" ca="1" si="13"/>
        <v>8.94</v>
      </c>
      <c r="C94" s="607" t="str">
        <f t="shared" si="12"/>
        <v xml:space="preserve">[94] </v>
      </c>
      <c r="D94" s="607">
        <f>ROW()</f>
        <v>94</v>
      </c>
    </row>
    <row r="95" spans="1:13">
      <c r="A95" s="607" t="str">
        <f t="shared" ca="1" si="10"/>
        <v>D_Python.8.95</v>
      </c>
      <c r="B95" s="607" t="str">
        <f t="shared" ca="1" si="13"/>
        <v>8.95</v>
      </c>
      <c r="C95" s="607" t="str">
        <f t="shared" si="12"/>
        <v xml:space="preserve">[95] </v>
      </c>
      <c r="D95" s="607">
        <f>ROW()</f>
        <v>95</v>
      </c>
    </row>
    <row r="96" spans="1:13">
      <c r="A96" s="607" t="str">
        <f t="shared" ca="1" si="10"/>
        <v>D_Python.8.96</v>
      </c>
      <c r="B96" s="607" t="str">
        <f t="shared" ca="1" si="13"/>
        <v>8.96</v>
      </c>
      <c r="C96" s="607" t="str">
        <f t="shared" si="12"/>
        <v xml:space="preserve">[96] </v>
      </c>
      <c r="D96" s="607">
        <f>ROW()</f>
        <v>96</v>
      </c>
    </row>
    <row r="97" spans="1:13">
      <c r="A97" s="607" t="str">
        <f t="shared" ca="1" si="10"/>
        <v>D_Python.8.97</v>
      </c>
      <c r="B97" s="607" t="str">
        <f t="shared" ca="1" si="13"/>
        <v>8.97</v>
      </c>
      <c r="C97" s="607" t="str">
        <f t="shared" si="12"/>
        <v xml:space="preserve">[97] </v>
      </c>
      <c r="D97" s="607">
        <f>ROW()</f>
        <v>97</v>
      </c>
    </row>
    <row r="98" spans="1:13">
      <c r="A98" s="607" t="str">
        <f t="shared" ca="1" si="10"/>
        <v>D_Python.8.98</v>
      </c>
      <c r="B98" s="607" t="str">
        <f t="shared" ca="1" si="13"/>
        <v>8.98</v>
      </c>
      <c r="C98" s="607" t="str">
        <f t="shared" si="12"/>
        <v xml:space="preserve">[98] </v>
      </c>
      <c r="D98" s="607">
        <f>ROW()</f>
        <v>98</v>
      </c>
    </row>
    <row r="99" spans="1:13">
      <c r="A99" s="607" t="str">
        <f t="shared" ca="1" si="10"/>
        <v>D_Python.8.99</v>
      </c>
      <c r="B99" s="607" t="str">
        <f t="shared" ca="1" si="13"/>
        <v>8.99</v>
      </c>
      <c r="C99" s="607" t="str">
        <f t="shared" si="12"/>
        <v xml:space="preserve">[99] </v>
      </c>
      <c r="D99" s="607">
        <f>ROW()</f>
        <v>99</v>
      </c>
    </row>
    <row r="100" spans="1:13">
      <c r="A100" s="607" t="str">
        <f t="shared" ca="1" si="10"/>
        <v>D_Python.8.100</v>
      </c>
      <c r="B100" s="607" t="str">
        <f t="shared" ca="1" si="13"/>
        <v>8.100</v>
      </c>
      <c r="C100" s="607" t="str">
        <f t="shared" si="12"/>
        <v xml:space="preserve">[100] </v>
      </c>
      <c r="D100" s="607">
        <f>ROW()</f>
        <v>100</v>
      </c>
    </row>
    <row r="101" spans="1:13">
      <c r="A101" s="607" t="str">
        <f t="shared" ca="1" si="10"/>
        <v>D_Python.8.101</v>
      </c>
      <c r="B101" s="607" t="str">
        <f t="shared" ca="1" si="13"/>
        <v>8.101</v>
      </c>
      <c r="C101" s="607" t="str">
        <f t="shared" si="12"/>
        <v xml:space="preserve">[101] </v>
      </c>
      <c r="D101" s="607">
        <f>ROW()</f>
        <v>101</v>
      </c>
      <c r="E101" s="705"/>
      <c r="M101" s="705"/>
    </row>
    <row r="102" spans="1:13">
      <c r="A102" s="607" t="str">
        <f t="shared" ca="1" si="10"/>
        <v>D_Python.8.102</v>
      </c>
      <c r="B102" s="607" t="str">
        <f t="shared" ca="1" si="13"/>
        <v>8.102</v>
      </c>
      <c r="C102" s="607" t="str">
        <f t="shared" si="12"/>
        <v xml:space="preserve">[102] </v>
      </c>
      <c r="D102" s="607">
        <f>ROW()</f>
        <v>102</v>
      </c>
      <c r="E102" s="705"/>
      <c r="M102" s="705"/>
    </row>
    <row r="103" spans="1:13">
      <c r="A103" s="607" t="str">
        <f t="shared" ca="1" si="10"/>
        <v>D_Python.8.103</v>
      </c>
      <c r="B103" s="607" t="str">
        <f t="shared" ca="1" si="13"/>
        <v>8.103</v>
      </c>
      <c r="C103" s="607" t="str">
        <f t="shared" si="12"/>
        <v xml:space="preserve">[103] </v>
      </c>
      <c r="D103" s="607">
        <f>ROW()</f>
        <v>103</v>
      </c>
      <c r="E103" s="705"/>
      <c r="M103" s="705"/>
    </row>
    <row r="104" spans="1:13">
      <c r="A104" s="607" t="str">
        <f t="shared" ca="1" si="10"/>
        <v>D_Python.8.104</v>
      </c>
      <c r="B104" s="607" t="str">
        <f t="shared" ca="1" si="13"/>
        <v>8.104</v>
      </c>
      <c r="C104" s="607" t="str">
        <f t="shared" si="12"/>
        <v xml:space="preserve">[104] </v>
      </c>
      <c r="D104" s="607">
        <f>ROW()</f>
        <v>104</v>
      </c>
      <c r="E104" s="705"/>
      <c r="M104" s="705"/>
    </row>
    <row r="105" spans="1:13">
      <c r="A105" s="607" t="str">
        <f t="shared" ca="1" si="10"/>
        <v>D_Python.8.105</v>
      </c>
      <c r="B105" s="607" t="str">
        <f t="shared" ca="1" si="13"/>
        <v>8.105</v>
      </c>
      <c r="C105" s="607" t="str">
        <f t="shared" si="12"/>
        <v xml:space="preserve">[105] </v>
      </c>
      <c r="D105" s="607">
        <f>ROW()</f>
        <v>105</v>
      </c>
      <c r="E105" s="705"/>
      <c r="M105" s="705"/>
    </row>
    <row r="106" spans="1:13">
      <c r="A106" s="607" t="str">
        <f t="shared" ca="1" si="10"/>
        <v>D_Python.8.106</v>
      </c>
      <c r="B106" s="607" t="str">
        <f t="shared" ca="1" si="13"/>
        <v>8.106</v>
      </c>
      <c r="C106" s="607" t="str">
        <f t="shared" si="12"/>
        <v xml:space="preserve">[106] </v>
      </c>
      <c r="D106" s="607">
        <f>ROW()</f>
        <v>106</v>
      </c>
      <c r="E106" s="705"/>
      <c r="M106" s="705"/>
    </row>
    <row r="107" spans="1:13">
      <c r="A107" s="607" t="str">
        <f t="shared" ca="1" si="10"/>
        <v>D_Python.8.107</v>
      </c>
      <c r="B107" s="607" t="str">
        <f t="shared" ca="1" si="13"/>
        <v>8.107</v>
      </c>
      <c r="C107" s="607" t="str">
        <f t="shared" si="12"/>
        <v xml:space="preserve">[107] </v>
      </c>
      <c r="D107" s="607">
        <f>ROW()</f>
        <v>107</v>
      </c>
      <c r="E107" s="705"/>
      <c r="M107" s="705"/>
    </row>
    <row r="108" spans="1:13">
      <c r="A108" s="607" t="str">
        <f t="shared" ca="1" si="10"/>
        <v>D_Python.8.108</v>
      </c>
      <c r="B108" s="607" t="str">
        <f t="shared" ca="1" si="13"/>
        <v>8.108</v>
      </c>
      <c r="C108" s="607" t="str">
        <f t="shared" si="12"/>
        <v xml:space="preserve">[108] </v>
      </c>
      <c r="D108" s="607">
        <f>ROW()</f>
        <v>108</v>
      </c>
      <c r="E108" s="705"/>
      <c r="M108" s="705"/>
    </row>
    <row r="109" spans="1:13">
      <c r="A109" s="607" t="str">
        <f t="shared" ca="1" si="10"/>
        <v>D_Python.8.109</v>
      </c>
      <c r="B109" s="607" t="str">
        <f t="shared" ca="1" si="13"/>
        <v>8.109</v>
      </c>
      <c r="C109" s="607" t="str">
        <f t="shared" si="12"/>
        <v xml:space="preserve">[109] </v>
      </c>
      <c r="D109" s="607">
        <f>ROW()</f>
        <v>109</v>
      </c>
      <c r="E109" s="705"/>
      <c r="M109" s="705"/>
    </row>
    <row r="110" spans="1:13">
      <c r="A110" s="607" t="str">
        <f t="shared" ca="1" si="10"/>
        <v>D_Python.8.110</v>
      </c>
      <c r="B110" s="607" t="str">
        <f t="shared" ca="1" si="13"/>
        <v>8.110</v>
      </c>
      <c r="C110" s="607" t="str">
        <f t="shared" si="12"/>
        <v xml:space="preserve">[110] </v>
      </c>
      <c r="D110" s="607">
        <f>ROW()</f>
        <v>110</v>
      </c>
      <c r="E110" s="705"/>
      <c r="M110" s="705"/>
    </row>
    <row r="111" spans="1:13">
      <c r="A111" s="607" t="str">
        <f t="shared" ca="1" si="10"/>
        <v>D_Python.8.111</v>
      </c>
      <c r="B111" s="607" t="str">
        <f t="shared" ca="1" si="13"/>
        <v>8.111</v>
      </c>
      <c r="C111" s="607" t="str">
        <f t="shared" si="12"/>
        <v xml:space="preserve">[111] </v>
      </c>
      <c r="D111" s="607">
        <f>ROW()</f>
        <v>111</v>
      </c>
      <c r="E111" s="705"/>
      <c r="M111" s="705"/>
    </row>
    <row r="112" spans="1:13">
      <c r="A112" s="607" t="str">
        <f t="shared" ca="1" si="10"/>
        <v>D_Python.8.112</v>
      </c>
      <c r="B112" s="607" t="str">
        <f t="shared" ca="1" si="13"/>
        <v>8.112</v>
      </c>
      <c r="C112" s="607" t="str">
        <f t="shared" si="12"/>
        <v xml:space="preserve">[112] </v>
      </c>
      <c r="D112" s="607">
        <f>ROW()</f>
        <v>112</v>
      </c>
      <c r="E112" s="705"/>
      <c r="M112" s="705"/>
    </row>
    <row r="113" spans="1:13">
      <c r="A113" s="607" t="str">
        <f t="shared" ca="1" si="10"/>
        <v>D_Python.8.113</v>
      </c>
      <c r="B113" s="607" t="str">
        <f t="shared" ca="1" si="13"/>
        <v>8.113</v>
      </c>
      <c r="C113" s="607" t="str">
        <f t="shared" si="12"/>
        <v xml:space="preserve">[113] </v>
      </c>
      <c r="D113" s="607">
        <f>ROW()</f>
        <v>113</v>
      </c>
      <c r="E113" s="705"/>
      <c r="M113" s="705"/>
    </row>
    <row r="114" spans="1:13">
      <c r="A114" s="607" t="str">
        <f t="shared" ca="1" si="10"/>
        <v>D_Python.8.114</v>
      </c>
      <c r="B114" s="607" t="str">
        <f t="shared" ca="1" si="13"/>
        <v>8.114</v>
      </c>
      <c r="C114" s="607" t="str">
        <f t="shared" si="12"/>
        <v xml:space="preserve">[114] </v>
      </c>
      <c r="D114" s="607">
        <f>ROW()</f>
        <v>114</v>
      </c>
      <c r="E114" s="705"/>
      <c r="M114" s="705"/>
    </row>
    <row r="115" spans="1:13">
      <c r="A115" s="607" t="str">
        <f t="shared" ca="1" si="10"/>
        <v>D_Python.8.115</v>
      </c>
      <c r="B115" s="607" t="str">
        <f t="shared" ca="1" si="13"/>
        <v>8.115</v>
      </c>
      <c r="C115" s="607" t="str">
        <f t="shared" si="12"/>
        <v xml:space="preserve">[115] </v>
      </c>
      <c r="D115" s="607">
        <f>ROW()</f>
        <v>115</v>
      </c>
      <c r="E115" s="705"/>
      <c r="M115" s="705"/>
    </row>
    <row r="116" spans="1:13">
      <c r="A116" s="607" t="str">
        <f t="shared" ca="1" si="10"/>
        <v>D_Python.8.116</v>
      </c>
      <c r="B116" s="607" t="str">
        <f t="shared" ca="1" si="13"/>
        <v>8.116</v>
      </c>
      <c r="C116" s="607" t="str">
        <f t="shared" si="12"/>
        <v xml:space="preserve">[116] </v>
      </c>
      <c r="D116" s="607">
        <f>ROW()</f>
        <v>116</v>
      </c>
      <c r="E116" s="705"/>
      <c r="M116" s="705"/>
    </row>
    <row r="117" spans="1:13">
      <c r="A117" s="607" t="str">
        <f t="shared" ca="1" si="10"/>
        <v>D_Python.8.117</v>
      </c>
      <c r="B117" s="607" t="str">
        <f t="shared" ca="1" si="13"/>
        <v>8.117</v>
      </c>
      <c r="C117" s="607" t="str">
        <f t="shared" si="12"/>
        <v xml:space="preserve">[117] </v>
      </c>
      <c r="D117" s="607">
        <f>ROW()</f>
        <v>117</v>
      </c>
      <c r="E117" s="705"/>
      <c r="M117" s="705"/>
    </row>
    <row r="118" spans="1:13">
      <c r="A118" s="607" t="str">
        <f t="shared" ca="1" si="10"/>
        <v>D_Python.8.118</v>
      </c>
      <c r="B118" s="607" t="str">
        <f t="shared" ca="1" si="13"/>
        <v>8.118</v>
      </c>
      <c r="C118" s="607" t="str">
        <f t="shared" si="12"/>
        <v xml:space="preserve">[118] </v>
      </c>
      <c r="D118" s="607">
        <f>ROW()</f>
        <v>118</v>
      </c>
      <c r="E118" s="705"/>
      <c r="M118" s="705"/>
    </row>
    <row r="119" spans="1:13">
      <c r="E119" s="705"/>
      <c r="M119" s="705"/>
    </row>
    <row r="120" spans="1:13">
      <c r="E120" s="705"/>
      <c r="M120" s="705"/>
    </row>
    <row r="121" spans="1:13">
      <c r="E121" s="705"/>
      <c r="M121" s="705"/>
    </row>
    <row r="122" spans="1:13">
      <c r="E122" s="705"/>
      <c r="M122" s="705"/>
    </row>
    <row r="123" spans="1:13">
      <c r="E123" s="705"/>
      <c r="M123" s="705"/>
    </row>
    <row r="124" spans="1:13">
      <c r="E124" s="705"/>
      <c r="M124" s="705"/>
    </row>
    <row r="125" spans="1:13">
      <c r="E125" s="705"/>
      <c r="M125" s="705"/>
    </row>
    <row r="126" spans="1:13">
      <c r="E126" s="705"/>
      <c r="M126" s="705"/>
    </row>
    <row r="127" spans="1:13">
      <c r="E127" s="705"/>
      <c r="M127" s="705"/>
    </row>
    <row r="128" spans="1:13">
      <c r="E128" s="705"/>
      <c r="M128" s="705"/>
    </row>
    <row r="129" spans="5:13">
      <c r="E129" s="705"/>
      <c r="M129" s="705"/>
    </row>
    <row r="130" spans="5:13">
      <c r="E130" s="705"/>
      <c r="M130" s="705"/>
    </row>
    <row r="131" spans="5:13">
      <c r="E131" s="705"/>
      <c r="M131" s="705"/>
    </row>
    <row r="132" spans="5:13">
      <c r="E132" s="705"/>
      <c r="M132" s="705"/>
    </row>
    <row r="133" spans="5:13">
      <c r="E133" s="705"/>
      <c r="M133" s="705"/>
    </row>
    <row r="134" spans="5:13">
      <c r="E134" s="705"/>
      <c r="M134" s="705"/>
    </row>
    <row r="135" spans="5:13">
      <c r="E135" s="705"/>
      <c r="M135" s="705"/>
    </row>
    <row r="136" spans="5:13">
      <c r="E136" s="705"/>
      <c r="M136" s="705"/>
    </row>
    <row r="137" spans="5:13">
      <c r="E137" s="705"/>
      <c r="M137" s="705"/>
    </row>
    <row r="138" spans="5:13">
      <c r="E138" s="705"/>
      <c r="M138" s="705"/>
    </row>
    <row r="139" spans="5:13">
      <c r="E139" s="705"/>
      <c r="M139" s="705"/>
    </row>
    <row r="140" spans="5:13">
      <c r="E140" s="705"/>
      <c r="M140" s="705"/>
    </row>
    <row r="141" spans="5:13">
      <c r="E141" s="705"/>
      <c r="M141" s="705"/>
    </row>
    <row r="142" spans="5:13">
      <c r="E142" s="705"/>
      <c r="M142" s="705"/>
    </row>
    <row r="143" spans="5:13">
      <c r="E143" s="705"/>
      <c r="M143" s="705"/>
    </row>
    <row r="144" spans="5:13">
      <c r="E144" s="705"/>
      <c r="M144" s="705"/>
    </row>
    <row r="145" spans="5:13">
      <c r="E145" s="705"/>
      <c r="M145" s="705"/>
    </row>
    <row r="146" spans="5:13">
      <c r="E146" s="705"/>
      <c r="M146" s="705"/>
    </row>
    <row r="147" spans="5:13">
      <c r="E147" s="705"/>
      <c r="M147" s="705"/>
    </row>
    <row r="148" spans="5:13">
      <c r="E148" s="705"/>
      <c r="M148" s="705"/>
    </row>
  </sheetData>
  <sheetProtection algorithmName="SHA-512" hashValue="qBz0Rxwq/PDluSUPLLFCeR8SDdJLqG391Rk/+TzitrSDulDeV3wQCT7b18G5SwSZcp7wdMX2MbY52XOF1teZSw==" saltValue="7PGf2oUpElo/9N4DKucBtw==" spinCount="100000" sheet="1" objects="1" scenarios="1" formatRows="0"/>
  <pageMargins left="0.70866141732283472" right="0.51181102362204722" top="0.74803149606299213" bottom="0.74803149606299213" header="0.31496062992125984" footer="0.31496062992125984"/>
  <pageSetup paperSize="9" scale="95" orientation="portrait" horizontalDpi="1200" verticalDpi="1200" r:id="rId1"/>
  <headerFooter>
    <oddFooter>&amp;R&amp;P / &amp;N</oddFooter>
  </headerFooter>
  <rowBreaks count="1" manualBreakCount="1">
    <brk id="42" max="12" man="1"/>
  </rowBreaks>
  <legacyDrawing r:id="rId2"/>
  <extLst>
    <ext xmlns:x14="http://schemas.microsoft.com/office/spreadsheetml/2009/9/main" uri="{78C0D931-6437-407d-A8EE-F0AAD7539E65}">
      <x14:conditionalFormattings>
        <x14:conditionalFormatting xmlns:xm="http://schemas.microsoft.com/office/excel/2006/main">
          <x14:cfRule type="expression" priority="1" id="{13CA897F-706B-4387-851A-FBE396F1EEAD}">
            <xm:f>Stempel!$B$4=0</xm:f>
            <x14:dxf>
              <font>
                <color rgb="FFFF0000"/>
              </font>
            </x14:dxf>
          </x14:cfRule>
          <xm:sqref>M2</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tabColor theme="6" tint="0.39997558519241921"/>
    <outlinePr summaryRight="0"/>
  </sheetPr>
  <dimension ref="A1:AG271"/>
  <sheetViews>
    <sheetView showRowColHeaders="0" topLeftCell="C1" zoomScale="120" zoomScaleNormal="120" zoomScaleSheetLayoutView="100" workbookViewId="0">
      <pane ySplit="3" topLeftCell="A4" activePane="bottomLeft" state="frozen"/>
      <selection activeCell="N2" sqref="N2"/>
      <selection pane="bottomLeft" activeCell="D3" sqref="D3"/>
    </sheetView>
  </sheetViews>
  <sheetFormatPr baseColWidth="10" defaultColWidth="11.5" defaultRowHeight="14" outlineLevelCol="1"/>
  <cols>
    <col min="1" max="2" width="4.1640625" style="495" hidden="1" customWidth="1"/>
    <col min="3" max="3" width="4" style="586" customWidth="1"/>
    <col min="4" max="4" width="83.83203125" style="1107" customWidth="1"/>
    <col min="5" max="5" width="11.5" style="633"/>
    <col min="6" max="6" width="3.33203125" style="633" customWidth="1" collapsed="1"/>
    <col min="7" max="7" width="74.6640625" style="451" hidden="1" customWidth="1" outlineLevel="1"/>
    <col min="8" max="13" width="11.5" style="451"/>
    <col min="14" max="15" width="11.5" style="634"/>
    <col min="16" max="16384" width="11.5" style="451"/>
  </cols>
  <sheetData>
    <row r="1" spans="1:33">
      <c r="A1" s="1017" t="s">
        <v>1883</v>
      </c>
      <c r="B1" s="471" t="str">
        <f t="shared" ref="B1:B209" ca="1" si="0">AE$1&amp;ROW()</f>
        <v>9.1</v>
      </c>
      <c r="C1" s="584"/>
      <c r="D1" s="950" t="str">
        <f ca="1">Stempel!$A$11&amp;" - "&amp;Stempel!$B$13&amp;" "&amp;Stempel!$B$14</f>
        <v>100prosim (D_Python.xlsx, 200818.2120_hsk) - 23.03.2021 10:34</v>
      </c>
      <c r="AA1" s="494" t="s">
        <v>209</v>
      </c>
      <c r="AB1" s="451" t="str">
        <f ca="1">AC1&amp;AE1</f>
        <v>D.9.</v>
      </c>
      <c r="AC1" s="472" t="str">
        <f ca="1">LEFT(AD1,1)&amp;"."</f>
        <v>D.</v>
      </c>
      <c r="AD1" s="472" t="str">
        <f ca="1">MID(AG1,FIND("[",AG1)+1,FIND("xls",AG1)-FIND("[",AG1)-1)</f>
        <v>D_Python.</v>
      </c>
      <c r="AE1" s="472" t="str">
        <f ca="1">LEFT(AF1,FIND(".",AF1))</f>
        <v>9.</v>
      </c>
      <c r="AF1" s="472" t="str">
        <f ca="1">MID(AG1,FIND("]",AG1)+1,255)</f>
        <v>9.Quellen</v>
      </c>
      <c r="AG1" s="451" t="str">
        <f ca="1">CELL("dateiname",AG1)</f>
        <v>/Users/izzetkilicarslan/PycharmProjects/Masterarbeit_100prosim/Excel_import/Python_Modell/[D_Python.xlsx]9.Quellen</v>
      </c>
    </row>
    <row r="2" spans="1:33">
      <c r="A2" s="635" t="str">
        <f t="shared" ref="A2:A209" ca="1" si="1">AB$1&amp;ROW()</f>
        <v>D.9.2</v>
      </c>
      <c r="B2" s="635" t="str">
        <f t="shared" ca="1" si="0"/>
        <v>9.2</v>
      </c>
      <c r="C2" s="783" t="str">
        <f ca="1">AF2</f>
        <v>D.9. Datenmodell Deutschland 100%EE' (200822)  -  Quellen</v>
      </c>
      <c r="D2" s="1106"/>
      <c r="G2" s="587" t="s">
        <v>343</v>
      </c>
      <c r="N2" s="896"/>
      <c r="AB2" s="451" t="str">
        <f>'1.'!BP3</f>
        <v>Datenmodell</v>
      </c>
      <c r="AC2" s="451" t="str">
        <f>'1.'!W7</f>
        <v>Deutschland 100%EE</v>
      </c>
      <c r="AD2" s="451" t="str">
        <f>'1.'!W14</f>
        <v>200822</v>
      </c>
      <c r="AE2" s="451" t="s">
        <v>213</v>
      </c>
      <c r="AF2" s="451" t="str">
        <f ca="1">AB1&amp;" "&amp;AB2&amp;" "&amp;AC2&amp;"' ("&amp;AD2&amp;")  -  "&amp;AE2</f>
        <v>D.9. Datenmodell Deutschland 100%EE' (200822)  -  Quellen</v>
      </c>
    </row>
    <row r="3" spans="1:33">
      <c r="A3" s="477" t="str">
        <f t="shared" ca="1" si="1"/>
        <v>D.9.3</v>
      </c>
      <c r="B3" s="477" t="str">
        <f t="shared" ca="1" si="0"/>
        <v>9.3</v>
      </c>
      <c r="C3" s="585"/>
    </row>
    <row r="4" spans="1:33">
      <c r="A4" s="27" t="str">
        <f t="shared" ref="A4:A256" ca="1" si="2">AB$1&amp;ROW()</f>
        <v>D.9.4</v>
      </c>
      <c r="B4" s="27">
        <v>6</v>
      </c>
      <c r="C4" s="585">
        <f>ROW()</f>
        <v>4</v>
      </c>
      <c r="D4" s="1108" t="s">
        <v>533</v>
      </c>
      <c r="E4" s="633" t="s">
        <v>532</v>
      </c>
      <c r="G4" s="811"/>
    </row>
    <row r="5" spans="1:33">
      <c r="A5" s="27" t="str">
        <f t="shared" ca="1" si="2"/>
        <v>D.9.5</v>
      </c>
      <c r="B5" s="27" t="str">
        <f t="shared" ref="B5:B256" ca="1" si="3">AE$1&amp;ROW()</f>
        <v>9.5</v>
      </c>
      <c r="C5" s="585">
        <f>ROW()</f>
        <v>5</v>
      </c>
      <c r="D5" s="1109" t="s">
        <v>534</v>
      </c>
      <c r="G5" s="811"/>
    </row>
    <row r="6" spans="1:33">
      <c r="A6" s="660" t="str">
        <f t="shared" ca="1" si="2"/>
        <v>D.9.6</v>
      </c>
      <c r="B6" s="660" t="str">
        <f t="shared" ca="1" si="3"/>
        <v>9.6</v>
      </c>
      <c r="C6" s="585"/>
      <c r="G6" s="811"/>
    </row>
    <row r="7" spans="1:33">
      <c r="A7" s="654" t="str">
        <f t="shared" ref="A7:A8" ca="1" si="4">AB$1&amp;ROW()</f>
        <v>D.9.7</v>
      </c>
      <c r="B7" s="654" t="str">
        <f t="shared" ref="B7:B8" ca="1" si="5">AE$1&amp;ROW()</f>
        <v>9.7</v>
      </c>
      <c r="C7" s="585">
        <f>ROW()</f>
        <v>7</v>
      </c>
      <c r="D7" s="1108" t="s">
        <v>873</v>
      </c>
      <c r="E7" s="633" t="s">
        <v>532</v>
      </c>
      <c r="G7" s="811"/>
    </row>
    <row r="8" spans="1:33">
      <c r="A8" s="654" t="str">
        <f t="shared" ca="1" si="4"/>
        <v>D.9.8</v>
      </c>
      <c r="B8" s="654" t="str">
        <f t="shared" ca="1" si="5"/>
        <v>9.8</v>
      </c>
      <c r="C8" s="585">
        <f>ROW()</f>
        <v>8</v>
      </c>
      <c r="D8" s="1109" t="s">
        <v>874</v>
      </c>
      <c r="G8" s="811"/>
    </row>
    <row r="9" spans="1:33">
      <c r="A9" s="660" t="str">
        <f t="shared" ref="A9:A222" ca="1" si="6">AB$1&amp;ROW()</f>
        <v>D.9.9</v>
      </c>
      <c r="B9" s="660" t="str">
        <f t="shared" ref="B9:B222" ca="1" si="7">AE$1&amp;ROW()</f>
        <v>9.9</v>
      </c>
      <c r="C9" s="585"/>
      <c r="G9" s="811"/>
    </row>
    <row r="10" spans="1:33" ht="26">
      <c r="A10" s="654" t="str">
        <f t="shared" ca="1" si="6"/>
        <v>D.9.10</v>
      </c>
      <c r="B10" s="654" t="str">
        <f t="shared" ca="1" si="7"/>
        <v>9.10</v>
      </c>
      <c r="C10" s="585">
        <f>ROW()</f>
        <v>10</v>
      </c>
      <c r="D10" s="1108" t="s">
        <v>1006</v>
      </c>
      <c r="E10" s="633" t="s">
        <v>286</v>
      </c>
      <c r="G10" s="811"/>
    </row>
    <row r="11" spans="1:33">
      <c r="A11" s="654" t="str">
        <f t="shared" ca="1" si="6"/>
        <v>D.9.11</v>
      </c>
      <c r="B11" s="654" t="str">
        <f t="shared" ca="1" si="7"/>
        <v>9.11</v>
      </c>
      <c r="C11" s="585">
        <f>ROW()</f>
        <v>11</v>
      </c>
      <c r="D11" s="1110" t="s">
        <v>1005</v>
      </c>
      <c r="G11" s="811"/>
    </row>
    <row r="12" spans="1:33">
      <c r="A12" s="660" t="str">
        <f t="shared" ref="A12:A14" ca="1" si="8">AB$1&amp;ROW()</f>
        <v>D.9.12</v>
      </c>
      <c r="B12" s="660" t="str">
        <f t="shared" ref="B12:B14" ca="1" si="9">AE$1&amp;ROW()</f>
        <v>9.12</v>
      </c>
      <c r="C12" s="585"/>
      <c r="G12" s="811"/>
    </row>
    <row r="13" spans="1:33" ht="26">
      <c r="A13" s="654" t="str">
        <f t="shared" ca="1" si="8"/>
        <v>D.9.13</v>
      </c>
      <c r="B13" s="654" t="str">
        <f t="shared" ca="1" si="9"/>
        <v>9.13</v>
      </c>
      <c r="C13" s="585">
        <f>ROW()</f>
        <v>13</v>
      </c>
      <c r="D13" s="1108" t="s">
        <v>616</v>
      </c>
      <c r="E13" s="633" t="s">
        <v>286</v>
      </c>
      <c r="G13" s="811"/>
    </row>
    <row r="14" spans="1:33">
      <c r="A14" s="654" t="str">
        <f t="shared" ca="1" si="8"/>
        <v>D.9.14</v>
      </c>
      <c r="B14" s="654" t="str">
        <f t="shared" ca="1" si="9"/>
        <v>9.14</v>
      </c>
      <c r="C14" s="585">
        <f>ROW()</f>
        <v>14</v>
      </c>
      <c r="D14" s="1110" t="s">
        <v>617</v>
      </c>
      <c r="G14" s="811"/>
    </row>
    <row r="15" spans="1:33">
      <c r="A15" s="477" t="str">
        <f t="shared" ca="1" si="1"/>
        <v>D.9.15</v>
      </c>
      <c r="B15" s="477" t="str">
        <f t="shared" ca="1" si="0"/>
        <v>9.15</v>
      </c>
      <c r="C15" s="585"/>
      <c r="G15" s="811"/>
    </row>
    <row r="16" spans="1:33">
      <c r="A16" s="27" t="str">
        <f t="shared" ref="A16:A24" ca="1" si="10">AB$1&amp;ROW()</f>
        <v>D.9.16</v>
      </c>
      <c r="B16" s="27" t="str">
        <f t="shared" ref="B16:B24" ca="1" si="11">AE$1&amp;ROW()</f>
        <v>9.16</v>
      </c>
      <c r="C16" s="585">
        <f>ROW()</f>
        <v>16</v>
      </c>
      <c r="D16" s="1108" t="s">
        <v>974</v>
      </c>
      <c r="E16" s="633" t="s">
        <v>286</v>
      </c>
      <c r="G16" s="811"/>
    </row>
    <row r="17" spans="1:21">
      <c r="A17" s="27" t="str">
        <f t="shared" ca="1" si="10"/>
        <v>D.9.17</v>
      </c>
      <c r="B17" s="27" t="str">
        <f t="shared" ca="1" si="11"/>
        <v>9.17</v>
      </c>
      <c r="C17" s="585">
        <f>ROW()</f>
        <v>17</v>
      </c>
      <c r="D17" s="1110" t="s">
        <v>973</v>
      </c>
      <c r="G17" s="811"/>
    </row>
    <row r="18" spans="1:21">
      <c r="A18" s="477" t="str">
        <f t="shared" ref="A18:A20" ca="1" si="12">AB$1&amp;ROW()</f>
        <v>D.9.18</v>
      </c>
      <c r="B18" s="477" t="str">
        <f t="shared" ref="B18:B20" ca="1" si="13">AE$1&amp;ROW()</f>
        <v>9.18</v>
      </c>
      <c r="C18" s="585"/>
      <c r="G18" s="811"/>
    </row>
    <row r="19" spans="1:21" ht="26">
      <c r="A19" s="27" t="str">
        <f t="shared" ca="1" si="12"/>
        <v>D.9.19</v>
      </c>
      <c r="B19" s="27" t="str">
        <f t="shared" ca="1" si="13"/>
        <v>9.19</v>
      </c>
      <c r="C19" s="585">
        <f>ROW()</f>
        <v>19</v>
      </c>
      <c r="D19" s="1108" t="s">
        <v>998</v>
      </c>
      <c r="E19" s="633" t="s">
        <v>286</v>
      </c>
      <c r="G19" s="811"/>
    </row>
    <row r="20" spans="1:21">
      <c r="A20" s="27" t="str">
        <f t="shared" ca="1" si="12"/>
        <v>D.9.20</v>
      </c>
      <c r="B20" s="27" t="str">
        <f t="shared" ca="1" si="13"/>
        <v>9.20</v>
      </c>
      <c r="C20" s="585">
        <f>ROW()</f>
        <v>20</v>
      </c>
      <c r="D20" s="1110" t="s">
        <v>1000</v>
      </c>
      <c r="G20" s="811"/>
    </row>
    <row r="21" spans="1:21">
      <c r="A21" s="477" t="str">
        <f t="shared" ca="1" si="10"/>
        <v>D.9.21</v>
      </c>
      <c r="B21" s="477" t="str">
        <f t="shared" ca="1" si="11"/>
        <v>9.21</v>
      </c>
      <c r="C21" s="585"/>
      <c r="G21" s="811"/>
    </row>
    <row r="22" spans="1:21">
      <c r="A22" s="27" t="str">
        <f t="shared" ref="A22:A23" ca="1" si="14">AB$1&amp;ROW()</f>
        <v>D.9.22</v>
      </c>
      <c r="B22" s="27" t="str">
        <f t="shared" ref="B22:B23" ca="1" si="15">AE$1&amp;ROW()</f>
        <v>9.22</v>
      </c>
      <c r="C22" s="585">
        <f>ROW()</f>
        <v>22</v>
      </c>
      <c r="D22" s="1108" t="s">
        <v>988</v>
      </c>
      <c r="E22" s="633" t="s">
        <v>286</v>
      </c>
      <c r="G22" s="811"/>
    </row>
    <row r="23" spans="1:21">
      <c r="A23" s="27" t="str">
        <f t="shared" ca="1" si="14"/>
        <v>D.9.23</v>
      </c>
      <c r="B23" s="27" t="str">
        <f t="shared" ca="1" si="15"/>
        <v>9.23</v>
      </c>
      <c r="C23" s="585">
        <f>ROW()</f>
        <v>23</v>
      </c>
      <c r="D23" s="1110" t="s">
        <v>999</v>
      </c>
      <c r="G23" s="811"/>
    </row>
    <row r="24" spans="1:21">
      <c r="A24" s="477" t="str">
        <f t="shared" ca="1" si="10"/>
        <v>D.9.24</v>
      </c>
      <c r="B24" s="477" t="str">
        <f t="shared" ca="1" si="11"/>
        <v>9.24</v>
      </c>
      <c r="C24" s="585"/>
      <c r="G24" s="811"/>
    </row>
    <row r="25" spans="1:21" ht="26">
      <c r="A25" s="27" t="str">
        <f t="shared" ref="A25:A26" ca="1" si="16">AB$1&amp;ROW()</f>
        <v>D.9.25</v>
      </c>
      <c r="B25" s="27" t="str">
        <f t="shared" ref="B25:B26" ca="1" si="17">AE$1&amp;ROW()</f>
        <v>9.25</v>
      </c>
      <c r="C25" s="585">
        <f>ROW()</f>
        <v>25</v>
      </c>
      <c r="D25" s="1108" t="s">
        <v>338</v>
      </c>
      <c r="E25" s="633" t="s">
        <v>286</v>
      </c>
      <c r="G25" s="811"/>
    </row>
    <row r="26" spans="1:21">
      <c r="A26" s="27" t="str">
        <f t="shared" ca="1" si="16"/>
        <v>D.9.26</v>
      </c>
      <c r="B26" s="27" t="str">
        <f t="shared" ca="1" si="17"/>
        <v>9.26</v>
      </c>
      <c r="C26" s="585">
        <f>ROW()</f>
        <v>26</v>
      </c>
      <c r="D26" s="1110" t="s">
        <v>339</v>
      </c>
      <c r="G26" s="811"/>
    </row>
    <row r="27" spans="1:21">
      <c r="A27" s="654" t="str">
        <f t="shared" ref="A27:A30" ca="1" si="18">AB$1&amp;ROW()</f>
        <v>D.9.27</v>
      </c>
      <c r="B27" s="654" t="str">
        <f t="shared" ref="B27:B30" ca="1" si="19">AE$1&amp;ROW()</f>
        <v>9.27</v>
      </c>
      <c r="C27" s="585">
        <f>ROW()</f>
        <v>27</v>
      </c>
      <c r="D27" s="1110"/>
      <c r="G27" s="811"/>
    </row>
    <row r="28" spans="1:21" ht="24.75" customHeight="1">
      <c r="A28" s="654" t="str">
        <f t="shared" ca="1" si="18"/>
        <v>D.9.28</v>
      </c>
      <c r="B28" s="654" t="str">
        <f t="shared" ca="1" si="19"/>
        <v>9.28</v>
      </c>
      <c r="C28" s="585">
        <f>ROW()</f>
        <v>28</v>
      </c>
      <c r="D28" s="1108" t="s">
        <v>663</v>
      </c>
      <c r="E28" s="633" t="s">
        <v>287</v>
      </c>
      <c r="G28" s="811"/>
      <c r="I28" s="496"/>
      <c r="J28" s="496"/>
      <c r="K28" s="496"/>
      <c r="L28" s="496"/>
      <c r="M28" s="496"/>
      <c r="N28" s="496"/>
      <c r="O28" s="496"/>
      <c r="P28" s="496"/>
      <c r="Q28" s="496"/>
      <c r="R28" s="496"/>
      <c r="S28" s="496"/>
      <c r="T28" s="496"/>
      <c r="U28" s="496"/>
    </row>
    <row r="29" spans="1:21" ht="15">
      <c r="A29" s="654" t="str">
        <f t="shared" ca="1" si="18"/>
        <v>D.9.29</v>
      </c>
      <c r="B29" s="654" t="str">
        <f t="shared" ca="1" si="19"/>
        <v>9.29</v>
      </c>
      <c r="C29" s="585">
        <f>ROW()</f>
        <v>29</v>
      </c>
      <c r="D29" s="1111" t="s">
        <v>467</v>
      </c>
      <c r="G29" s="811"/>
      <c r="I29" s="636"/>
      <c r="J29" s="350"/>
      <c r="K29" s="350"/>
      <c r="L29" s="350"/>
      <c r="M29" s="350"/>
      <c r="N29" s="350"/>
      <c r="O29" s="350"/>
      <c r="P29" s="350"/>
      <c r="Q29" s="350"/>
      <c r="R29" s="350"/>
      <c r="S29" s="350"/>
      <c r="T29" s="350"/>
      <c r="U29" s="350"/>
    </row>
    <row r="30" spans="1:21">
      <c r="A30" s="654" t="str">
        <f t="shared" ca="1" si="18"/>
        <v>D.9.30</v>
      </c>
      <c r="B30" s="654" t="str">
        <f t="shared" ca="1" si="19"/>
        <v>9.30</v>
      </c>
      <c r="C30" s="585">
        <f>ROW()</f>
        <v>30</v>
      </c>
      <c r="D30" s="1108"/>
      <c r="G30" s="811"/>
    </row>
    <row r="31" spans="1:21" ht="26">
      <c r="A31" s="27" t="str">
        <f t="shared" ca="1" si="1"/>
        <v>D.9.31</v>
      </c>
      <c r="B31" s="27" t="str">
        <f t="shared" ca="1" si="0"/>
        <v>9.31</v>
      </c>
      <c r="C31" s="585">
        <f>ROW()</f>
        <v>31</v>
      </c>
      <c r="D31" s="1108" t="s">
        <v>662</v>
      </c>
      <c r="E31" s="633" t="s">
        <v>287</v>
      </c>
      <c r="G31" s="811"/>
    </row>
    <row r="32" spans="1:21">
      <c r="A32" s="27" t="str">
        <f t="shared" ca="1" si="1"/>
        <v>D.9.32</v>
      </c>
      <c r="B32" s="27" t="str">
        <f t="shared" ca="1" si="0"/>
        <v>9.32</v>
      </c>
      <c r="C32" s="585">
        <f>ROW()</f>
        <v>32</v>
      </c>
      <c r="D32" s="1110" t="s">
        <v>661</v>
      </c>
      <c r="E32" s="637"/>
      <c r="G32" s="811"/>
    </row>
    <row r="33" spans="1:7">
      <c r="A33" s="654" t="str">
        <f t="shared" ca="1" si="1"/>
        <v>D.9.33</v>
      </c>
      <c r="B33" s="654" t="str">
        <f t="shared" ca="1" si="0"/>
        <v>9.33</v>
      </c>
      <c r="C33" s="585">
        <f>ROW()</f>
        <v>33</v>
      </c>
      <c r="D33" s="1108"/>
      <c r="G33" s="811"/>
    </row>
    <row r="34" spans="1:7" ht="26">
      <c r="A34" s="654" t="str">
        <f t="shared" ca="1" si="1"/>
        <v>D.9.34</v>
      </c>
      <c r="B34" s="654" t="str">
        <f t="shared" ca="1" si="0"/>
        <v>9.34</v>
      </c>
      <c r="C34" s="585">
        <f>ROW()</f>
        <v>34</v>
      </c>
      <c r="D34" s="1108" t="s">
        <v>844</v>
      </c>
      <c r="E34" s="633" t="s">
        <v>126</v>
      </c>
      <c r="G34" s="811"/>
    </row>
    <row r="35" spans="1:7">
      <c r="A35" s="654" t="str">
        <f t="shared" ca="1" si="1"/>
        <v>D.9.35</v>
      </c>
      <c r="B35" s="654" t="str">
        <f t="shared" ca="1" si="0"/>
        <v>9.35</v>
      </c>
      <c r="C35" s="585">
        <f>ROW()</f>
        <v>35</v>
      </c>
      <c r="D35" s="1109" t="s">
        <v>845</v>
      </c>
      <c r="G35" s="811"/>
    </row>
    <row r="36" spans="1:7">
      <c r="A36" s="654" t="str">
        <f t="shared" ref="A36:A250" ca="1" si="20">AB$1&amp;ROW()</f>
        <v>D.9.36</v>
      </c>
      <c r="B36" s="654" t="str">
        <f t="shared" ref="B36:B250" ca="1" si="21">AE$1&amp;ROW()</f>
        <v>9.36</v>
      </c>
      <c r="C36" s="585">
        <f>ROW()</f>
        <v>36</v>
      </c>
      <c r="D36" s="1108"/>
      <c r="G36" s="811"/>
    </row>
    <row r="37" spans="1:7" ht="39">
      <c r="A37" s="654" t="str">
        <f t="shared" ca="1" si="20"/>
        <v>D.9.37</v>
      </c>
      <c r="B37" s="654" t="str">
        <f t="shared" ca="1" si="21"/>
        <v>9.37</v>
      </c>
      <c r="C37" s="585">
        <f>ROW()</f>
        <v>37</v>
      </c>
      <c r="D37" s="1108" t="s">
        <v>565</v>
      </c>
      <c r="G37" s="811"/>
    </row>
    <row r="38" spans="1:7">
      <c r="A38" s="654" t="str">
        <f t="shared" ca="1" si="20"/>
        <v>D.9.38</v>
      </c>
      <c r="B38" s="654" t="str">
        <f t="shared" ca="1" si="21"/>
        <v>9.38</v>
      </c>
      <c r="C38" s="585">
        <f>ROW()</f>
        <v>38</v>
      </c>
      <c r="D38" s="1108"/>
      <c r="G38" s="811"/>
    </row>
    <row r="39" spans="1:7">
      <c r="A39" s="654" t="str">
        <f t="shared" ca="1" si="20"/>
        <v>D.9.39</v>
      </c>
      <c r="B39" s="654" t="str">
        <f t="shared" ca="1" si="21"/>
        <v>9.39</v>
      </c>
      <c r="C39" s="585">
        <f>ROW()</f>
        <v>39</v>
      </c>
      <c r="D39" s="1108" t="s">
        <v>902</v>
      </c>
      <c r="G39" s="811"/>
    </row>
    <row r="40" spans="1:7">
      <c r="A40" s="654" t="str">
        <f t="shared" ca="1" si="20"/>
        <v>D.9.40</v>
      </c>
      <c r="B40" s="654" t="str">
        <f t="shared" ca="1" si="21"/>
        <v>9.40</v>
      </c>
      <c r="C40" s="585">
        <f>ROW()</f>
        <v>40</v>
      </c>
      <c r="D40" s="1110" t="s">
        <v>901</v>
      </c>
      <c r="G40" s="811"/>
    </row>
    <row r="41" spans="1:7">
      <c r="A41" s="654" t="str">
        <f t="shared" ref="A41:A191" ca="1" si="22">AB$1&amp;ROW()</f>
        <v>D.9.41</v>
      </c>
      <c r="B41" s="654" t="str">
        <f t="shared" ref="B41:B191" ca="1" si="23">AE$1&amp;ROW()</f>
        <v>9.41</v>
      </c>
      <c r="C41" s="585">
        <f>ROW()</f>
        <v>41</v>
      </c>
      <c r="D41" s="1108"/>
      <c r="G41" s="811"/>
    </row>
    <row r="42" spans="1:7" ht="26">
      <c r="A42" s="654" t="str">
        <f t="shared" ca="1" si="22"/>
        <v>D.9.42</v>
      </c>
      <c r="B42" s="654" t="str">
        <f t="shared" ca="1" si="23"/>
        <v>9.42</v>
      </c>
      <c r="C42" s="585">
        <f>ROW()</f>
        <v>42</v>
      </c>
      <c r="D42" s="1108" t="s">
        <v>587</v>
      </c>
      <c r="E42" s="633" t="s">
        <v>588</v>
      </c>
      <c r="G42" s="811"/>
    </row>
    <row r="43" spans="1:7">
      <c r="A43" s="654" t="str">
        <f t="shared" ca="1" si="22"/>
        <v>D.9.43</v>
      </c>
      <c r="B43" s="654" t="str">
        <f t="shared" ca="1" si="23"/>
        <v>9.43</v>
      </c>
      <c r="C43" s="585">
        <f>ROW()</f>
        <v>43</v>
      </c>
      <c r="D43" s="1110" t="s">
        <v>586</v>
      </c>
      <c r="G43" s="811"/>
    </row>
    <row r="44" spans="1:7">
      <c r="A44" s="654" t="str">
        <f t="shared" ca="1" si="20"/>
        <v>D.9.44</v>
      </c>
      <c r="B44" s="654" t="str">
        <f t="shared" ca="1" si="21"/>
        <v>9.44</v>
      </c>
      <c r="C44" s="585">
        <f>ROW()</f>
        <v>44</v>
      </c>
      <c r="D44" s="1108"/>
      <c r="G44" s="811"/>
    </row>
    <row r="45" spans="1:7" ht="26">
      <c r="A45" s="654" t="str">
        <f t="shared" ca="1" si="20"/>
        <v>D.9.45</v>
      </c>
      <c r="B45" s="654" t="str">
        <f t="shared" ca="1" si="21"/>
        <v>9.45</v>
      </c>
      <c r="C45" s="585">
        <f>ROW()</f>
        <v>45</v>
      </c>
      <c r="D45" s="1108" t="s">
        <v>543</v>
      </c>
      <c r="G45" s="811"/>
    </row>
    <row r="46" spans="1:7">
      <c r="A46" s="654" t="str">
        <f t="shared" ca="1" si="20"/>
        <v>D.9.46</v>
      </c>
      <c r="B46" s="654" t="str">
        <f t="shared" ca="1" si="21"/>
        <v>9.46</v>
      </c>
      <c r="C46" s="585">
        <f>ROW()</f>
        <v>46</v>
      </c>
      <c r="D46" s="1109" t="s">
        <v>544</v>
      </c>
      <c r="G46" s="811"/>
    </row>
    <row r="47" spans="1:7">
      <c r="A47" s="654" t="str">
        <f t="shared" ref="A47:A215" ca="1" si="24">AB$1&amp;ROW()</f>
        <v>D.9.47</v>
      </c>
      <c r="B47" s="654" t="str">
        <f t="shared" ref="B47:B215" ca="1" si="25">AE$1&amp;ROW()</f>
        <v>9.47</v>
      </c>
      <c r="C47" s="585">
        <f>ROW()</f>
        <v>47</v>
      </c>
    </row>
    <row r="48" spans="1:7">
      <c r="A48" s="654" t="str">
        <f t="shared" ca="1" si="24"/>
        <v>D.9.48</v>
      </c>
      <c r="B48" s="654" t="str">
        <f t="shared" ca="1" si="25"/>
        <v>9.48</v>
      </c>
      <c r="C48" s="585">
        <f>ROW()</f>
        <v>48</v>
      </c>
      <c r="D48" s="1108" t="s">
        <v>1008</v>
      </c>
    </row>
    <row r="49" spans="1:15" ht="16">
      <c r="A49" s="654" t="str">
        <f t="shared" ca="1" si="24"/>
        <v>D.9.49</v>
      </c>
      <c r="B49" s="654" t="str">
        <f t="shared" ca="1" si="25"/>
        <v>9.49</v>
      </c>
      <c r="C49" s="585">
        <f>ROW()</f>
        <v>49</v>
      </c>
      <c r="D49" s="1112" t="s">
        <v>1007</v>
      </c>
    </row>
    <row r="50" spans="1:15">
      <c r="A50" s="654" t="str">
        <f t="shared" ref="A50:A52" ca="1" si="26">AB$1&amp;ROW()</f>
        <v>D.9.50</v>
      </c>
      <c r="B50" s="654" t="str">
        <f t="shared" ref="B50:B52" ca="1" si="27">AE$1&amp;ROW()</f>
        <v>9.50</v>
      </c>
      <c r="C50" s="654">
        <f>ROW()</f>
        <v>50</v>
      </c>
      <c r="D50" s="1108"/>
      <c r="E50" s="1103"/>
      <c r="F50" s="451"/>
      <c r="G50" s="811"/>
      <c r="I50" s="1104"/>
      <c r="N50" s="451"/>
      <c r="O50" s="451"/>
    </row>
    <row r="51" spans="1:15" ht="26">
      <c r="A51" s="654" t="str">
        <f t="shared" ca="1" si="26"/>
        <v>D.9.51</v>
      </c>
      <c r="B51" s="654" t="str">
        <f t="shared" ca="1" si="27"/>
        <v>9.51</v>
      </c>
      <c r="C51" s="654">
        <f>ROW()</f>
        <v>51</v>
      </c>
      <c r="D51" s="1108" t="s">
        <v>1270</v>
      </c>
      <c r="E51" s="1103"/>
      <c r="F51" s="451"/>
      <c r="G51" s="811"/>
      <c r="I51" s="1104"/>
      <c r="N51" s="451"/>
      <c r="O51" s="451"/>
    </row>
    <row r="52" spans="1:15">
      <c r="A52" s="654" t="str">
        <f t="shared" ca="1" si="26"/>
        <v>D.9.52</v>
      </c>
      <c r="B52" s="654" t="str">
        <f t="shared" ca="1" si="27"/>
        <v>9.52</v>
      </c>
      <c r="C52" s="654">
        <f>ROW()</f>
        <v>52</v>
      </c>
      <c r="D52" s="1110" t="s">
        <v>1271</v>
      </c>
      <c r="E52" s="1103"/>
      <c r="F52" s="451"/>
      <c r="I52" s="1104"/>
      <c r="N52" s="451"/>
      <c r="O52" s="451"/>
    </row>
    <row r="53" spans="1:15">
      <c r="A53" s="654" t="str">
        <f t="shared" ref="A53:A271" ca="1" si="28">AB$1&amp;ROW()</f>
        <v>D.9.53</v>
      </c>
      <c r="B53" s="654" t="str">
        <f t="shared" ref="B53:B271" ca="1" si="29">AE$1&amp;ROW()</f>
        <v>9.53</v>
      </c>
      <c r="C53" s="585">
        <f>ROW()</f>
        <v>53</v>
      </c>
    </row>
    <row r="54" spans="1:15" ht="26">
      <c r="A54" s="654" t="str">
        <f t="shared" ca="1" si="28"/>
        <v>D.9.54</v>
      </c>
      <c r="B54" s="654" t="str">
        <f t="shared" ca="1" si="29"/>
        <v>9.54</v>
      </c>
      <c r="C54" s="585">
        <f>ROW()</f>
        <v>54</v>
      </c>
      <c r="D54" s="1108" t="s">
        <v>968</v>
      </c>
    </row>
    <row r="55" spans="1:15" ht="16">
      <c r="A55" s="654" t="str">
        <f t="shared" ca="1" si="28"/>
        <v>D.9.55</v>
      </c>
      <c r="B55" s="654" t="str">
        <f t="shared" ca="1" si="29"/>
        <v>9.55</v>
      </c>
      <c r="C55" s="585">
        <f>ROW()</f>
        <v>55</v>
      </c>
      <c r="D55" s="1112" t="s">
        <v>969</v>
      </c>
    </row>
    <row r="56" spans="1:15">
      <c r="A56" s="27" t="str">
        <f t="shared" ref="A56:A268" ca="1" si="30">AB$1&amp;ROW()</f>
        <v>D.9.56</v>
      </c>
      <c r="B56" s="27" t="str">
        <f t="shared" ref="B56:B268" ca="1" si="31">AE$1&amp;ROW()</f>
        <v>9.56</v>
      </c>
      <c r="C56" s="585">
        <f>ROW()</f>
        <v>56</v>
      </c>
      <c r="D56" s="1108"/>
      <c r="G56" s="811"/>
    </row>
    <row r="57" spans="1:15" ht="26">
      <c r="A57" s="654" t="str">
        <f t="shared" ref="A57:A58" ca="1" si="32">AB$1&amp;ROW()</f>
        <v>D.9.57</v>
      </c>
      <c r="B57" s="654" t="str">
        <f t="shared" ref="B57:B58" ca="1" si="33">AE$1&amp;ROW()</f>
        <v>9.57</v>
      </c>
      <c r="C57" s="585">
        <f>ROW()</f>
        <v>57</v>
      </c>
      <c r="D57" s="1108" t="s">
        <v>870</v>
      </c>
      <c r="E57" s="633" t="s">
        <v>871</v>
      </c>
      <c r="G57" s="811"/>
    </row>
    <row r="58" spans="1:15">
      <c r="A58" s="654" t="str">
        <f t="shared" ca="1" si="32"/>
        <v>D.9.58</v>
      </c>
      <c r="B58" s="654" t="str">
        <f t="shared" ca="1" si="33"/>
        <v>9.58</v>
      </c>
      <c r="C58" s="585">
        <f>ROW()</f>
        <v>58</v>
      </c>
      <c r="D58" s="1110" t="s">
        <v>872</v>
      </c>
      <c r="G58" s="811"/>
    </row>
    <row r="59" spans="1:15">
      <c r="A59" s="654" t="str">
        <f t="shared" ca="1" si="22"/>
        <v>D.9.59</v>
      </c>
      <c r="B59" s="654" t="str">
        <f t="shared" ca="1" si="23"/>
        <v>9.59</v>
      </c>
      <c r="C59" s="585">
        <f>ROW()</f>
        <v>59</v>
      </c>
      <c r="D59" s="1108"/>
      <c r="G59" s="811"/>
    </row>
    <row r="60" spans="1:15" ht="52">
      <c r="A60" s="654" t="str">
        <f t="shared" ca="1" si="22"/>
        <v>D.9.60</v>
      </c>
      <c r="B60" s="654" t="str">
        <f t="shared" ca="1" si="23"/>
        <v>9.60</v>
      </c>
      <c r="C60" s="585">
        <f>ROW()</f>
        <v>60</v>
      </c>
      <c r="D60" s="1108" t="s">
        <v>763</v>
      </c>
      <c r="E60" s="633" t="s">
        <v>751</v>
      </c>
      <c r="G60" s="811"/>
    </row>
    <row r="61" spans="1:15">
      <c r="A61" s="654" t="str">
        <f t="shared" ca="1" si="22"/>
        <v>D.9.61</v>
      </c>
      <c r="B61" s="654" t="str">
        <f t="shared" ca="1" si="23"/>
        <v>9.61</v>
      </c>
      <c r="C61" s="585">
        <f>ROW()</f>
        <v>61</v>
      </c>
      <c r="D61" s="1110" t="s">
        <v>668</v>
      </c>
      <c r="G61" s="811"/>
    </row>
    <row r="62" spans="1:15">
      <c r="A62" s="654" t="str">
        <f t="shared" ca="1" si="30"/>
        <v>D.9.62</v>
      </c>
      <c r="B62" s="654" t="str">
        <f t="shared" ca="1" si="31"/>
        <v>9.62</v>
      </c>
      <c r="C62" s="585">
        <f>ROW()</f>
        <v>62</v>
      </c>
      <c r="D62" s="1108"/>
      <c r="G62" s="811"/>
    </row>
    <row r="63" spans="1:15" ht="26">
      <c r="A63" s="654" t="str">
        <f t="shared" ca="1" si="30"/>
        <v>D.9.63</v>
      </c>
      <c r="B63" s="654" t="str">
        <f t="shared" ca="1" si="31"/>
        <v>9.63</v>
      </c>
      <c r="C63" s="585">
        <f>ROW()</f>
        <v>63</v>
      </c>
      <c r="D63" s="1108" t="s">
        <v>749</v>
      </c>
      <c r="E63" s="633" t="s">
        <v>751</v>
      </c>
      <c r="G63" s="811"/>
    </row>
    <row r="64" spans="1:15">
      <c r="A64" s="654" t="str">
        <f t="shared" ca="1" si="30"/>
        <v>D.9.64</v>
      </c>
      <c r="B64" s="654" t="str">
        <f t="shared" ca="1" si="31"/>
        <v>9.64</v>
      </c>
      <c r="C64" s="585">
        <f>ROW()</f>
        <v>64</v>
      </c>
      <c r="D64" s="1110" t="s">
        <v>750</v>
      </c>
      <c r="G64" s="811"/>
    </row>
    <row r="65" spans="1:7">
      <c r="A65" s="27" t="str">
        <f t="shared" ca="1" si="30"/>
        <v>D.9.65</v>
      </c>
      <c r="B65" s="27" t="str">
        <f t="shared" ca="1" si="31"/>
        <v>9.65</v>
      </c>
      <c r="C65" s="585">
        <f>ROW()</f>
        <v>65</v>
      </c>
      <c r="D65" s="1108"/>
      <c r="G65" s="811"/>
    </row>
    <row r="66" spans="1:7" ht="26.25" customHeight="1">
      <c r="A66" s="27" t="str">
        <f t="shared" ca="1" si="30"/>
        <v>D.9.66</v>
      </c>
      <c r="B66" s="27" t="str">
        <f t="shared" ca="1" si="31"/>
        <v>9.66</v>
      </c>
      <c r="C66" s="585">
        <f>ROW()</f>
        <v>66</v>
      </c>
      <c r="D66" s="1108" t="s">
        <v>322</v>
      </c>
      <c r="E66" s="633" t="s">
        <v>323</v>
      </c>
      <c r="G66" s="811"/>
    </row>
    <row r="67" spans="1:7">
      <c r="A67" s="27" t="str">
        <f t="shared" ca="1" si="30"/>
        <v>D.9.67</v>
      </c>
      <c r="B67" s="27" t="str">
        <f t="shared" ca="1" si="31"/>
        <v>9.67</v>
      </c>
      <c r="C67" s="585">
        <f>ROW()</f>
        <v>67</v>
      </c>
      <c r="D67" s="1111" t="s">
        <v>321</v>
      </c>
      <c r="G67" s="811"/>
    </row>
    <row r="68" spans="1:7">
      <c r="A68" s="654" t="str">
        <f t="shared" ca="1" si="24"/>
        <v>D.9.68</v>
      </c>
      <c r="B68" s="654" t="str">
        <f t="shared" ca="1" si="25"/>
        <v>9.68</v>
      </c>
      <c r="C68" s="585">
        <f>ROW()</f>
        <v>68</v>
      </c>
    </row>
    <row r="69" spans="1:7" ht="39">
      <c r="A69" s="654" t="str">
        <f t="shared" ca="1" si="24"/>
        <v>D.9.69</v>
      </c>
      <c r="B69" s="654" t="str">
        <f t="shared" ca="1" si="25"/>
        <v>9.69</v>
      </c>
      <c r="C69" s="585">
        <f>ROW()</f>
        <v>69</v>
      </c>
      <c r="D69" s="1108" t="s">
        <v>1031</v>
      </c>
    </row>
    <row r="70" spans="1:7">
      <c r="A70" s="654" t="str">
        <f t="shared" ref="A70:A205" ca="1" si="34">AB$1&amp;ROW()</f>
        <v>D.9.70</v>
      </c>
      <c r="B70" s="654" t="str">
        <f t="shared" ref="B70:B205" ca="1" si="35">AE$1&amp;ROW()</f>
        <v>9.70</v>
      </c>
      <c r="C70" s="585">
        <f>ROW()</f>
        <v>70</v>
      </c>
      <c r="D70" s="1111" t="s">
        <v>1032</v>
      </c>
    </row>
    <row r="71" spans="1:7">
      <c r="A71" s="654" t="str">
        <f t="shared" ref="A71:A73" ca="1" si="36">AB$1&amp;ROW()</f>
        <v>D.9.71</v>
      </c>
      <c r="B71" s="654" t="str">
        <f t="shared" ref="B71:B73" ca="1" si="37">AE$1&amp;ROW()</f>
        <v>9.71</v>
      </c>
      <c r="C71" s="585">
        <f>ROW()</f>
        <v>71</v>
      </c>
      <c r="D71" s="1108"/>
      <c r="G71" s="811"/>
    </row>
    <row r="72" spans="1:7" ht="26.25" customHeight="1">
      <c r="A72" s="654" t="str">
        <f t="shared" ca="1" si="36"/>
        <v>D.9.72</v>
      </c>
      <c r="B72" s="654" t="str">
        <f t="shared" ca="1" si="37"/>
        <v>9.72</v>
      </c>
      <c r="C72" s="585">
        <f>ROW()</f>
        <v>72</v>
      </c>
      <c r="D72" s="1108" t="s">
        <v>1014</v>
      </c>
      <c r="E72" s="633" t="s">
        <v>323</v>
      </c>
      <c r="G72" s="811"/>
    </row>
    <row r="73" spans="1:7">
      <c r="A73" s="654" t="str">
        <f t="shared" ca="1" si="36"/>
        <v>D.9.73</v>
      </c>
      <c r="B73" s="654" t="str">
        <f t="shared" ca="1" si="37"/>
        <v>9.73</v>
      </c>
      <c r="C73" s="585">
        <f>ROW()</f>
        <v>73</v>
      </c>
      <c r="D73" s="1111" t="s">
        <v>1011</v>
      </c>
      <c r="G73" s="811"/>
    </row>
    <row r="74" spans="1:7">
      <c r="A74" s="654" t="str">
        <f t="shared" ca="1" si="28"/>
        <v>D.9.74</v>
      </c>
      <c r="B74" s="654" t="str">
        <f t="shared" ca="1" si="29"/>
        <v>9.74</v>
      </c>
      <c r="C74" s="585">
        <f>ROW()</f>
        <v>74</v>
      </c>
    </row>
    <row r="75" spans="1:7" ht="26">
      <c r="A75" s="654" t="str">
        <f t="shared" ca="1" si="28"/>
        <v>D.9.75</v>
      </c>
      <c r="B75" s="654" t="str">
        <f t="shared" ca="1" si="29"/>
        <v>9.75</v>
      </c>
      <c r="C75" s="585">
        <f>ROW()</f>
        <v>75</v>
      </c>
      <c r="D75" s="1108" t="s">
        <v>978</v>
      </c>
    </row>
    <row r="76" spans="1:7" ht="15">
      <c r="A76" s="654" t="str">
        <f t="shared" ca="1" si="28"/>
        <v>D.9.76</v>
      </c>
      <c r="B76" s="654" t="str">
        <f t="shared" ca="1" si="29"/>
        <v>9.76</v>
      </c>
      <c r="C76" s="585">
        <f>ROW()</f>
        <v>76</v>
      </c>
      <c r="D76" s="1113" t="s">
        <v>979</v>
      </c>
    </row>
    <row r="77" spans="1:7">
      <c r="A77" s="654" t="str">
        <f t="shared" ref="A77:A206" ca="1" si="38">AB$1&amp;ROW()</f>
        <v>D.9.77</v>
      </c>
      <c r="B77" s="654" t="str">
        <f t="shared" ref="B77:B206" ca="1" si="39">AE$1&amp;ROW()</f>
        <v>9.77</v>
      </c>
      <c r="C77" s="585">
        <f>ROW()</f>
        <v>77</v>
      </c>
    </row>
    <row r="78" spans="1:7" ht="26">
      <c r="A78" s="654" t="str">
        <f t="shared" ca="1" si="38"/>
        <v>D.9.78</v>
      </c>
      <c r="B78" s="654" t="str">
        <f t="shared" ca="1" si="39"/>
        <v>9.78</v>
      </c>
      <c r="C78" s="585">
        <f>ROW()</f>
        <v>78</v>
      </c>
      <c r="D78" s="1108" t="s">
        <v>1268</v>
      </c>
    </row>
    <row r="79" spans="1:7">
      <c r="A79" s="654" t="str">
        <f t="shared" ca="1" si="38"/>
        <v>D.9.79</v>
      </c>
      <c r="B79" s="654" t="str">
        <f t="shared" ca="1" si="39"/>
        <v>9.79</v>
      </c>
      <c r="C79" s="585">
        <f>ROW()</f>
        <v>79</v>
      </c>
      <c r="D79" s="1110" t="s">
        <v>1269</v>
      </c>
    </row>
    <row r="80" spans="1:7">
      <c r="A80" s="27" t="str">
        <f t="shared" ca="1" si="30"/>
        <v>D.9.80</v>
      </c>
      <c r="B80" s="27" t="str">
        <f t="shared" ca="1" si="31"/>
        <v>9.80</v>
      </c>
      <c r="C80" s="585">
        <f>ROW()</f>
        <v>80</v>
      </c>
      <c r="D80" s="1108"/>
      <c r="G80" s="811"/>
    </row>
    <row r="81" spans="1:7" ht="26">
      <c r="A81" s="654" t="str">
        <f t="shared" ca="1" si="22"/>
        <v>D.9.81</v>
      </c>
      <c r="B81" s="654" t="str">
        <f t="shared" ca="1" si="23"/>
        <v>9.81</v>
      </c>
      <c r="C81" s="585">
        <f>ROW()</f>
        <v>81</v>
      </c>
      <c r="D81" s="1114" t="s">
        <v>599</v>
      </c>
      <c r="G81" s="811"/>
    </row>
    <row r="82" spans="1:7">
      <c r="A82" s="654" t="str">
        <f t="shared" ca="1" si="22"/>
        <v>D.9.82</v>
      </c>
      <c r="B82" s="654" t="str">
        <f t="shared" ca="1" si="23"/>
        <v>9.82</v>
      </c>
      <c r="C82" s="585">
        <f>ROW()</f>
        <v>82</v>
      </c>
      <c r="D82" s="1109" t="s">
        <v>600</v>
      </c>
      <c r="G82" s="811"/>
    </row>
    <row r="83" spans="1:7">
      <c r="A83" s="27" t="str">
        <f t="shared" ca="1" si="30"/>
        <v>D.9.83</v>
      </c>
      <c r="B83" s="27" t="str">
        <f t="shared" ca="1" si="31"/>
        <v>9.83</v>
      </c>
      <c r="C83" s="585">
        <f>ROW()</f>
        <v>83</v>
      </c>
      <c r="D83" s="1108"/>
      <c r="G83" s="811"/>
    </row>
    <row r="84" spans="1:7" ht="26">
      <c r="A84" s="27" t="str">
        <f t="shared" ca="1" si="30"/>
        <v>D.9.84</v>
      </c>
      <c r="B84" s="27" t="str">
        <f t="shared" ca="1" si="31"/>
        <v>9.84</v>
      </c>
      <c r="C84" s="585">
        <f>ROW()</f>
        <v>84</v>
      </c>
      <c r="D84" s="1108" t="s">
        <v>351</v>
      </c>
      <c r="E84" s="633" t="s">
        <v>353</v>
      </c>
      <c r="G84" s="811"/>
    </row>
    <row r="85" spans="1:7">
      <c r="A85" s="27" t="str">
        <f t="shared" ca="1" si="30"/>
        <v>D.9.85</v>
      </c>
      <c r="B85" s="27" t="str">
        <f t="shared" ca="1" si="31"/>
        <v>9.85</v>
      </c>
      <c r="C85" s="585">
        <f>ROW()</f>
        <v>85</v>
      </c>
      <c r="D85" s="1110" t="s">
        <v>350</v>
      </c>
      <c r="G85" s="811"/>
    </row>
    <row r="86" spans="1:7">
      <c r="A86" s="654" t="str">
        <f t="shared" ca="1" si="28"/>
        <v>D.9.86</v>
      </c>
      <c r="B86" s="654" t="str">
        <f t="shared" ca="1" si="29"/>
        <v>9.86</v>
      </c>
      <c r="C86" s="585">
        <f>ROW()</f>
        <v>86</v>
      </c>
    </row>
    <row r="87" spans="1:7" ht="26">
      <c r="A87" s="654" t="str">
        <f t="shared" ca="1" si="24"/>
        <v>D.9.87</v>
      </c>
      <c r="B87" s="654" t="str">
        <f t="shared" ca="1" si="25"/>
        <v>9.87</v>
      </c>
      <c r="C87" s="585">
        <f>ROW()</f>
        <v>87</v>
      </c>
      <c r="D87" s="1108" t="s">
        <v>994</v>
      </c>
    </row>
    <row r="88" spans="1:7">
      <c r="A88" s="654" t="str">
        <f t="shared" ca="1" si="24"/>
        <v>D.9.88</v>
      </c>
      <c r="B88" s="654" t="str">
        <f t="shared" ca="1" si="25"/>
        <v>9.88</v>
      </c>
      <c r="C88" s="585">
        <f>ROW()</f>
        <v>88</v>
      </c>
      <c r="D88" s="1111" t="s">
        <v>995</v>
      </c>
    </row>
    <row r="89" spans="1:7">
      <c r="A89" s="27" t="str">
        <f t="shared" ca="1" si="2"/>
        <v>D.9.89</v>
      </c>
      <c r="B89" s="27" t="str">
        <f t="shared" ca="1" si="3"/>
        <v>9.89</v>
      </c>
      <c r="C89" s="585">
        <f>ROW()</f>
        <v>89</v>
      </c>
      <c r="D89" s="1108"/>
      <c r="G89" s="811"/>
    </row>
    <row r="90" spans="1:7" ht="26">
      <c r="A90" s="27" t="str">
        <f t="shared" ca="1" si="2"/>
        <v>D.9.90</v>
      </c>
      <c r="B90" s="27" t="str">
        <f t="shared" ca="1" si="3"/>
        <v>9.90</v>
      </c>
      <c r="C90" s="585">
        <f>ROW()</f>
        <v>90</v>
      </c>
      <c r="D90" s="1108" t="s">
        <v>537</v>
      </c>
      <c r="E90" s="633" t="s">
        <v>539</v>
      </c>
      <c r="G90" s="811"/>
    </row>
    <row r="91" spans="1:7">
      <c r="A91" s="654" t="str">
        <f t="shared" ca="1" si="20"/>
        <v>D.9.91</v>
      </c>
      <c r="B91" s="654" t="str">
        <f t="shared" ca="1" si="21"/>
        <v>9.91</v>
      </c>
      <c r="C91" s="585">
        <f>ROW()</f>
        <v>91</v>
      </c>
      <c r="D91" s="1110" t="s">
        <v>538</v>
      </c>
      <c r="G91" s="811"/>
    </row>
    <row r="92" spans="1:7">
      <c r="A92" s="27" t="str">
        <f t="shared" ca="1" si="30"/>
        <v>D.9.92</v>
      </c>
      <c r="B92" s="27" t="str">
        <f t="shared" ca="1" si="31"/>
        <v>9.92</v>
      </c>
      <c r="C92" s="585">
        <f>ROW()</f>
        <v>92</v>
      </c>
      <c r="D92" s="1108"/>
      <c r="G92" s="811"/>
    </row>
    <row r="93" spans="1:7" ht="26">
      <c r="A93" s="27" t="str">
        <f t="shared" ca="1" si="30"/>
        <v>D.9.93</v>
      </c>
      <c r="B93" s="27" t="str">
        <f t="shared" ca="1" si="31"/>
        <v>9.93</v>
      </c>
      <c r="C93" s="585">
        <f>ROW()</f>
        <v>93</v>
      </c>
      <c r="D93" s="1115" t="s">
        <v>330</v>
      </c>
      <c r="G93" s="811"/>
    </row>
    <row r="94" spans="1:7">
      <c r="A94" s="27" t="str">
        <f t="shared" ca="1" si="30"/>
        <v>D.9.94</v>
      </c>
      <c r="B94" s="27" t="str">
        <f t="shared" ca="1" si="31"/>
        <v>9.94</v>
      </c>
      <c r="C94" s="585">
        <f>ROW()</f>
        <v>94</v>
      </c>
      <c r="D94" s="1116" t="s">
        <v>331</v>
      </c>
      <c r="G94" s="811"/>
    </row>
    <row r="95" spans="1:7">
      <c r="A95" s="27" t="str">
        <f t="shared" ca="1" si="30"/>
        <v>D.9.95</v>
      </c>
      <c r="B95" s="27" t="str">
        <f t="shared" ca="1" si="31"/>
        <v>9.95</v>
      </c>
      <c r="C95" s="585">
        <f>ROW()</f>
        <v>95</v>
      </c>
      <c r="D95" s="1108"/>
      <c r="G95" s="811"/>
    </row>
    <row r="96" spans="1:7">
      <c r="A96" s="27" t="str">
        <f t="shared" ca="1" si="30"/>
        <v>D.9.96</v>
      </c>
      <c r="B96" s="27" t="str">
        <f t="shared" ca="1" si="31"/>
        <v>9.96</v>
      </c>
      <c r="C96" s="585">
        <f>ROW()</f>
        <v>96</v>
      </c>
      <c r="D96" s="1108" t="s">
        <v>290</v>
      </c>
      <c r="G96" s="811"/>
    </row>
    <row r="97" spans="1:7">
      <c r="A97" s="27" t="str">
        <f t="shared" ca="1" si="30"/>
        <v>D.9.97</v>
      </c>
      <c r="B97" s="27" t="str">
        <f t="shared" ca="1" si="31"/>
        <v>9.97</v>
      </c>
      <c r="C97" s="585">
        <f>ROW()</f>
        <v>97</v>
      </c>
      <c r="D97" s="1110" t="s">
        <v>291</v>
      </c>
      <c r="G97" s="811"/>
    </row>
    <row r="98" spans="1:7">
      <c r="A98" s="27" t="str">
        <f t="shared" ca="1" si="30"/>
        <v>D.9.98</v>
      </c>
      <c r="B98" s="27" t="str">
        <f t="shared" ca="1" si="31"/>
        <v>9.98</v>
      </c>
      <c r="C98" s="585">
        <f>ROW()</f>
        <v>98</v>
      </c>
      <c r="D98" s="1108"/>
      <c r="G98" s="811"/>
    </row>
    <row r="99" spans="1:7" ht="26">
      <c r="A99" s="27" t="str">
        <f t="shared" ca="1" si="30"/>
        <v>D.9.99</v>
      </c>
      <c r="B99" s="27" t="str">
        <f t="shared" ca="1" si="31"/>
        <v>9.99</v>
      </c>
      <c r="C99" s="585">
        <f>ROW()</f>
        <v>99</v>
      </c>
      <c r="D99" s="1108" t="s">
        <v>421</v>
      </c>
      <c r="E99" s="633" t="s">
        <v>420</v>
      </c>
      <c r="G99" s="811"/>
    </row>
    <row r="100" spans="1:7">
      <c r="A100" s="27" t="str">
        <f t="shared" ca="1" si="30"/>
        <v>D.9.100</v>
      </c>
      <c r="B100" s="27" t="str">
        <f t="shared" ca="1" si="31"/>
        <v>9.100</v>
      </c>
      <c r="C100" s="585">
        <f>ROW()</f>
        <v>100</v>
      </c>
      <c r="D100" s="1110" t="s">
        <v>419</v>
      </c>
      <c r="G100" s="811"/>
    </row>
    <row r="101" spans="1:7">
      <c r="A101" s="654" t="str">
        <f t="shared" ref="A101:A103" ca="1" si="40">AB$1&amp;ROW()</f>
        <v>D.9.101</v>
      </c>
      <c r="B101" s="654" t="str">
        <f t="shared" ref="B101:B103" ca="1" si="41">AE$1&amp;ROW()</f>
        <v>9.101</v>
      </c>
      <c r="C101" s="585">
        <f>ROW()</f>
        <v>101</v>
      </c>
      <c r="D101" s="1108"/>
      <c r="G101" s="811"/>
    </row>
    <row r="102" spans="1:7" ht="26">
      <c r="A102" s="654" t="str">
        <f t="shared" ca="1" si="40"/>
        <v>D.9.102</v>
      </c>
      <c r="B102" s="654" t="str">
        <f t="shared" ca="1" si="41"/>
        <v>9.102</v>
      </c>
      <c r="C102" s="585">
        <f>ROW()</f>
        <v>102</v>
      </c>
      <c r="D102" s="1108" t="s">
        <v>1012</v>
      </c>
      <c r="E102" s="633" t="s">
        <v>420</v>
      </c>
      <c r="G102" s="811"/>
    </row>
    <row r="103" spans="1:7">
      <c r="A103" s="654" t="str">
        <f t="shared" ca="1" si="40"/>
        <v>D.9.103</v>
      </c>
      <c r="B103" s="654" t="str">
        <f t="shared" ca="1" si="41"/>
        <v>9.103</v>
      </c>
      <c r="C103" s="585">
        <f>ROW()</f>
        <v>103</v>
      </c>
      <c r="D103" s="1110" t="s">
        <v>1013</v>
      </c>
      <c r="G103" s="811"/>
    </row>
    <row r="104" spans="1:7">
      <c r="A104" s="654" t="str">
        <f t="shared" ca="1" si="30"/>
        <v>D.9.104</v>
      </c>
      <c r="B104" s="654" t="str">
        <f t="shared" ca="1" si="31"/>
        <v>9.104</v>
      </c>
      <c r="C104" s="585">
        <f>ROW()</f>
        <v>104</v>
      </c>
    </row>
    <row r="105" spans="1:7" ht="39">
      <c r="A105" s="654" t="str">
        <f t="shared" ca="1" si="30"/>
        <v>D.9.105</v>
      </c>
      <c r="B105" s="654" t="str">
        <f t="shared" ca="1" si="31"/>
        <v>9.105</v>
      </c>
      <c r="C105" s="585">
        <f>ROW()</f>
        <v>105</v>
      </c>
      <c r="D105" s="1108" t="s">
        <v>924</v>
      </c>
    </row>
    <row r="106" spans="1:7">
      <c r="A106" s="654" t="str">
        <f t="shared" ca="1" si="30"/>
        <v>D.9.106</v>
      </c>
      <c r="B106" s="654" t="str">
        <f t="shared" ca="1" si="31"/>
        <v>9.106</v>
      </c>
      <c r="C106" s="585">
        <f>ROW()</f>
        <v>106</v>
      </c>
      <c r="D106" s="1110" t="s">
        <v>923</v>
      </c>
    </row>
    <row r="107" spans="1:7">
      <c r="A107" s="654" t="str">
        <f t="shared" ref="A107:A115" ca="1" si="42">AB$1&amp;ROW()</f>
        <v>D.9.107</v>
      </c>
      <c r="B107" s="654" t="str">
        <f t="shared" ref="B107:B115" ca="1" si="43">AE$1&amp;ROW()</f>
        <v>9.107</v>
      </c>
      <c r="C107" s="585">
        <f>ROW()</f>
        <v>107</v>
      </c>
      <c r="D107" s="1108"/>
      <c r="G107" s="811"/>
    </row>
    <row r="108" spans="1:7" ht="26">
      <c r="A108" s="654" t="str">
        <f t="shared" ca="1" si="42"/>
        <v>D.9.108</v>
      </c>
      <c r="B108" s="654" t="str">
        <f t="shared" ca="1" si="43"/>
        <v>9.108</v>
      </c>
      <c r="C108" s="585">
        <f>ROW()</f>
        <v>108</v>
      </c>
      <c r="D108" s="1108" t="s">
        <v>830</v>
      </c>
      <c r="E108" s="633" t="s">
        <v>832</v>
      </c>
      <c r="G108" s="811"/>
    </row>
    <row r="109" spans="1:7">
      <c r="A109" s="654" t="str">
        <f t="shared" ca="1" si="42"/>
        <v>D.9.109</v>
      </c>
      <c r="B109" s="654" t="str">
        <f t="shared" ca="1" si="43"/>
        <v>9.109</v>
      </c>
      <c r="C109" s="585">
        <f>ROW()</f>
        <v>109</v>
      </c>
      <c r="D109" s="1110" t="s">
        <v>831</v>
      </c>
      <c r="G109" s="811"/>
    </row>
    <row r="110" spans="1:7">
      <c r="A110" s="654" t="str">
        <f t="shared" ca="1" si="42"/>
        <v>D.9.110</v>
      </c>
      <c r="B110" s="654" t="str">
        <f t="shared" ca="1" si="43"/>
        <v>9.110</v>
      </c>
      <c r="C110" s="585">
        <f>ROW()</f>
        <v>110</v>
      </c>
      <c r="D110" s="1108"/>
      <c r="G110" s="811"/>
    </row>
    <row r="111" spans="1:7" ht="39">
      <c r="A111" s="654" t="str">
        <f t="shared" ca="1" si="42"/>
        <v>D.9.111</v>
      </c>
      <c r="B111" s="654" t="str">
        <f t="shared" ca="1" si="43"/>
        <v>9.111</v>
      </c>
      <c r="C111" s="585">
        <f>ROW()</f>
        <v>111</v>
      </c>
      <c r="D111" s="1108" t="s">
        <v>846</v>
      </c>
      <c r="E111" s="633" t="s">
        <v>848</v>
      </c>
      <c r="G111" s="811"/>
    </row>
    <row r="112" spans="1:7">
      <c r="A112" s="654" t="str">
        <f t="shared" ca="1" si="42"/>
        <v>D.9.112</v>
      </c>
      <c r="B112" s="654" t="str">
        <f t="shared" ca="1" si="43"/>
        <v>9.112</v>
      </c>
      <c r="C112" s="585">
        <f>ROW()</f>
        <v>112</v>
      </c>
      <c r="D112" s="1109" t="s">
        <v>847</v>
      </c>
      <c r="G112" s="811"/>
    </row>
    <row r="113" spans="1:7">
      <c r="A113" s="654" t="str">
        <f t="shared" ca="1" si="42"/>
        <v>D.9.113</v>
      </c>
      <c r="B113" s="654" t="str">
        <f t="shared" ca="1" si="43"/>
        <v>9.113</v>
      </c>
      <c r="C113" s="585">
        <f>ROW()</f>
        <v>113</v>
      </c>
      <c r="D113" s="1108"/>
      <c r="G113" s="811"/>
    </row>
    <row r="114" spans="1:7" ht="26">
      <c r="A114" s="654" t="str">
        <f t="shared" ca="1" si="42"/>
        <v>D.9.114</v>
      </c>
      <c r="B114" s="654" t="str">
        <f t="shared" ca="1" si="43"/>
        <v>9.114</v>
      </c>
      <c r="C114" s="585">
        <f>ROW()</f>
        <v>114</v>
      </c>
      <c r="D114" s="1108" t="s">
        <v>890</v>
      </c>
      <c r="E114" s="633" t="s">
        <v>335</v>
      </c>
      <c r="G114" s="811"/>
    </row>
    <row r="115" spans="1:7">
      <c r="A115" s="654" t="str">
        <f t="shared" ca="1" si="42"/>
        <v>D.9.115</v>
      </c>
      <c r="B115" s="654" t="str">
        <f t="shared" ca="1" si="43"/>
        <v>9.115</v>
      </c>
      <c r="C115" s="585">
        <f>ROW()</f>
        <v>115</v>
      </c>
      <c r="D115" s="1110" t="s">
        <v>891</v>
      </c>
      <c r="G115" s="811"/>
    </row>
    <row r="116" spans="1:7">
      <c r="A116" s="27" t="str">
        <f t="shared" ca="1" si="30"/>
        <v>D.9.116</v>
      </c>
      <c r="B116" s="27" t="str">
        <f t="shared" ca="1" si="31"/>
        <v>9.116</v>
      </c>
      <c r="C116" s="585">
        <f>ROW()</f>
        <v>116</v>
      </c>
      <c r="D116" s="1108"/>
      <c r="G116" s="811"/>
    </row>
    <row r="117" spans="1:7">
      <c r="A117" s="27" t="str">
        <f t="shared" ca="1" si="30"/>
        <v>D.9.117</v>
      </c>
      <c r="B117" s="27" t="str">
        <f t="shared" ca="1" si="31"/>
        <v>9.117</v>
      </c>
      <c r="C117" s="585">
        <f>ROW()</f>
        <v>117</v>
      </c>
      <c r="D117" s="1108" t="s">
        <v>742</v>
      </c>
      <c r="E117" s="633" t="s">
        <v>335</v>
      </c>
      <c r="G117" s="811"/>
    </row>
    <row r="118" spans="1:7">
      <c r="A118" s="27" t="str">
        <f t="shared" ca="1" si="30"/>
        <v>D.9.118</v>
      </c>
      <c r="B118" s="27" t="str">
        <f t="shared" ca="1" si="31"/>
        <v>9.118</v>
      </c>
      <c r="C118" s="585">
        <f>ROW()</f>
        <v>118</v>
      </c>
      <c r="D118" s="1111" t="s">
        <v>334</v>
      </c>
      <c r="G118" s="811"/>
    </row>
    <row r="119" spans="1:7">
      <c r="A119" s="654" t="str">
        <f t="shared" ref="A119:A124" ca="1" si="44">AB$1&amp;ROW()</f>
        <v>D.9.119</v>
      </c>
      <c r="B119" s="654" t="str">
        <f t="shared" ref="B119:B124" ca="1" si="45">AE$1&amp;ROW()</f>
        <v>9.119</v>
      </c>
      <c r="C119" s="585">
        <f>ROW()</f>
        <v>119</v>
      </c>
      <c r="D119" s="1108"/>
      <c r="G119" s="811"/>
    </row>
    <row r="120" spans="1:7">
      <c r="A120" s="654" t="str">
        <f t="shared" ca="1" si="44"/>
        <v>D.9.120</v>
      </c>
      <c r="B120" s="654" t="str">
        <f t="shared" ca="1" si="45"/>
        <v>9.120</v>
      </c>
      <c r="C120" s="585">
        <f>ROW()</f>
        <v>120</v>
      </c>
      <c r="D120" s="1108" t="s">
        <v>772</v>
      </c>
      <c r="E120" s="633" t="s">
        <v>335</v>
      </c>
      <c r="G120" s="811"/>
    </row>
    <row r="121" spans="1:7">
      <c r="A121" s="654" t="str">
        <f t="shared" ca="1" si="44"/>
        <v>D.9.121</v>
      </c>
      <c r="B121" s="654" t="str">
        <f t="shared" ca="1" si="45"/>
        <v>9.121</v>
      </c>
      <c r="C121" s="585">
        <f>ROW()</f>
        <v>121</v>
      </c>
      <c r="D121" s="1110" t="s">
        <v>771</v>
      </c>
      <c r="G121" s="811"/>
    </row>
    <row r="122" spans="1:7">
      <c r="A122" s="654" t="str">
        <f t="shared" ca="1" si="44"/>
        <v>D.9.122</v>
      </c>
      <c r="B122" s="654" t="str">
        <f t="shared" ca="1" si="45"/>
        <v>9.122</v>
      </c>
      <c r="C122" s="585">
        <f>ROW()</f>
        <v>122</v>
      </c>
      <c r="D122" s="1108"/>
      <c r="G122" s="811"/>
    </row>
    <row r="123" spans="1:7" ht="52">
      <c r="A123" s="654" t="str">
        <f t="shared" ca="1" si="44"/>
        <v>D.9.123</v>
      </c>
      <c r="B123" s="654" t="str">
        <f t="shared" ca="1" si="45"/>
        <v>9.123</v>
      </c>
      <c r="C123" s="585">
        <f>ROW()</f>
        <v>123</v>
      </c>
      <c r="D123" s="1108" t="s">
        <v>803</v>
      </c>
      <c r="E123" s="633" t="s">
        <v>126</v>
      </c>
      <c r="G123" s="811"/>
    </row>
    <row r="124" spans="1:7">
      <c r="A124" s="654" t="str">
        <f t="shared" ca="1" si="44"/>
        <v>D.9.124</v>
      </c>
      <c r="B124" s="654" t="str">
        <f t="shared" ca="1" si="45"/>
        <v>9.124</v>
      </c>
      <c r="C124" s="585">
        <f>ROW()</f>
        <v>124</v>
      </c>
      <c r="D124" s="1110" t="s">
        <v>802</v>
      </c>
      <c r="G124" s="811"/>
    </row>
    <row r="125" spans="1:7">
      <c r="A125" s="654" t="str">
        <f t="shared" ref="A125:A127" ca="1" si="46">AB$1&amp;ROW()</f>
        <v>D.9.125</v>
      </c>
      <c r="B125" s="654" t="str">
        <f t="shared" ref="B125:B127" ca="1" si="47">AE$1&amp;ROW()</f>
        <v>9.125</v>
      </c>
      <c r="C125" s="585">
        <f>ROW()</f>
        <v>125</v>
      </c>
    </row>
    <row r="126" spans="1:7" ht="26">
      <c r="A126" s="654" t="str">
        <f t="shared" ca="1" si="46"/>
        <v>D.9.126</v>
      </c>
      <c r="B126" s="654" t="str">
        <f t="shared" ca="1" si="47"/>
        <v>9.126</v>
      </c>
      <c r="C126" s="585">
        <f>ROW()</f>
        <v>126</v>
      </c>
      <c r="D126" s="1108" t="s">
        <v>1876</v>
      </c>
    </row>
    <row r="127" spans="1:7">
      <c r="A127" s="654" t="str">
        <f t="shared" ca="1" si="46"/>
        <v>D.9.127</v>
      </c>
      <c r="B127" s="654" t="str">
        <f t="shared" ca="1" si="47"/>
        <v>9.127</v>
      </c>
      <c r="C127" s="585">
        <f>ROW()</f>
        <v>127</v>
      </c>
      <c r="D127" s="1124" t="s">
        <v>1877</v>
      </c>
    </row>
    <row r="128" spans="1:7">
      <c r="A128" s="27" t="str">
        <f t="shared" ca="1" si="30"/>
        <v>D.9.128</v>
      </c>
      <c r="B128" s="27" t="str">
        <f t="shared" ca="1" si="31"/>
        <v>9.128</v>
      </c>
      <c r="C128" s="585">
        <f>ROW()</f>
        <v>128</v>
      </c>
      <c r="D128" s="1108"/>
      <c r="G128" s="811"/>
    </row>
    <row r="129" spans="1:7" ht="24" customHeight="1">
      <c r="A129" s="27" t="str">
        <f t="shared" ca="1" si="30"/>
        <v>D.9.129</v>
      </c>
      <c r="B129" s="27" t="str">
        <f t="shared" ca="1" si="31"/>
        <v>9.129</v>
      </c>
      <c r="C129" s="585">
        <f>ROW()</f>
        <v>129</v>
      </c>
      <c r="D129" s="1108" t="s">
        <v>429</v>
      </c>
      <c r="G129" s="811"/>
    </row>
    <row r="130" spans="1:7">
      <c r="A130" s="27" t="str">
        <f t="shared" ca="1" si="30"/>
        <v>D.9.130</v>
      </c>
      <c r="B130" s="27" t="str">
        <f t="shared" ca="1" si="31"/>
        <v>9.130</v>
      </c>
      <c r="C130" s="585">
        <f>ROW()</f>
        <v>130</v>
      </c>
      <c r="D130" s="1117" t="s">
        <v>1003</v>
      </c>
      <c r="G130" s="811"/>
    </row>
    <row r="131" spans="1:7">
      <c r="A131" s="27" t="str">
        <f t="shared" ca="1" si="30"/>
        <v>D.9.131</v>
      </c>
      <c r="B131" s="27" t="str">
        <f t="shared" ca="1" si="31"/>
        <v>9.131</v>
      </c>
      <c r="C131" s="585">
        <f>ROW()</f>
        <v>131</v>
      </c>
      <c r="D131" s="1108"/>
      <c r="G131" s="811"/>
    </row>
    <row r="132" spans="1:7" ht="26">
      <c r="A132" s="27" t="str">
        <f t="shared" ca="1" si="30"/>
        <v>D.9.132</v>
      </c>
      <c r="B132" s="27" t="str">
        <f t="shared" ca="1" si="31"/>
        <v>9.132</v>
      </c>
      <c r="C132" s="585">
        <f>ROW()</f>
        <v>132</v>
      </c>
      <c r="D132" s="1108" t="s">
        <v>432</v>
      </c>
      <c r="E132" s="633" t="s">
        <v>433</v>
      </c>
      <c r="G132" s="811"/>
    </row>
    <row r="133" spans="1:7">
      <c r="A133" s="27" t="str">
        <f t="shared" ca="1" si="30"/>
        <v>D.9.133</v>
      </c>
      <c r="B133" s="27" t="str">
        <f t="shared" ca="1" si="31"/>
        <v>9.133</v>
      </c>
      <c r="C133" s="585">
        <f>ROW()</f>
        <v>133</v>
      </c>
      <c r="D133" s="1110" t="s">
        <v>431</v>
      </c>
      <c r="G133" s="811"/>
    </row>
    <row r="134" spans="1:7">
      <c r="A134" s="654" t="str">
        <f t="shared" ref="A134:A135" ca="1" si="48">AB$1&amp;ROW()</f>
        <v>D.9.134</v>
      </c>
      <c r="B134" s="654" t="str">
        <f t="shared" ref="B134:B135" ca="1" si="49">AE$1&amp;ROW()</f>
        <v>9.134</v>
      </c>
      <c r="C134" s="585">
        <f>ROW()</f>
        <v>134</v>
      </c>
      <c r="D134" s="1108"/>
      <c r="G134" s="811"/>
    </row>
    <row r="135" spans="1:7" ht="26">
      <c r="A135" s="654" t="str">
        <f t="shared" ca="1" si="48"/>
        <v>D.9.135</v>
      </c>
      <c r="B135" s="654" t="str">
        <f t="shared" ca="1" si="49"/>
        <v>9.135</v>
      </c>
      <c r="C135" s="585">
        <f>ROW()</f>
        <v>135</v>
      </c>
      <c r="D135" s="1108" t="s">
        <v>794</v>
      </c>
      <c r="E135" s="633" t="s">
        <v>126</v>
      </c>
      <c r="G135" s="811"/>
    </row>
    <row r="136" spans="1:7">
      <c r="A136" s="654" t="str">
        <f t="shared" ref="A136:A139" ca="1" si="50">AB$1&amp;ROW()</f>
        <v>D.9.136</v>
      </c>
      <c r="B136" s="654" t="str">
        <f t="shared" ref="B136:B139" ca="1" si="51">AE$1&amp;ROW()</f>
        <v>9.136</v>
      </c>
      <c r="C136" s="585">
        <f>ROW()</f>
        <v>136</v>
      </c>
      <c r="D136" s="1118" t="s">
        <v>893</v>
      </c>
      <c r="G136" s="811"/>
    </row>
    <row r="137" spans="1:7">
      <c r="A137" s="654" t="str">
        <f t="shared" ca="1" si="50"/>
        <v>D.9.137</v>
      </c>
      <c r="B137" s="654" t="str">
        <f t="shared" ca="1" si="51"/>
        <v>9.137</v>
      </c>
      <c r="C137" s="585">
        <f>ROW()</f>
        <v>137</v>
      </c>
      <c r="D137" s="1108"/>
      <c r="G137" s="811"/>
    </row>
    <row r="138" spans="1:7" ht="26">
      <c r="A138" s="654" t="str">
        <f t="shared" ca="1" si="50"/>
        <v>D.9.138</v>
      </c>
      <c r="B138" s="654" t="str">
        <f t="shared" ca="1" si="51"/>
        <v>9.138</v>
      </c>
      <c r="C138" s="585">
        <f>ROW()</f>
        <v>138</v>
      </c>
      <c r="D138" s="1108" t="s">
        <v>895</v>
      </c>
      <c r="E138" s="633" t="s">
        <v>126</v>
      </c>
      <c r="G138" s="811"/>
    </row>
    <row r="139" spans="1:7">
      <c r="A139" s="654" t="str">
        <f t="shared" ca="1" si="50"/>
        <v>D.9.139</v>
      </c>
      <c r="B139" s="654" t="str">
        <f t="shared" ca="1" si="51"/>
        <v>9.139</v>
      </c>
      <c r="C139" s="585">
        <f>ROW()</f>
        <v>139</v>
      </c>
      <c r="D139" s="1110" t="s">
        <v>894</v>
      </c>
      <c r="G139" s="811"/>
    </row>
    <row r="140" spans="1:7">
      <c r="A140" s="654" t="str">
        <f t="shared" ca="1" si="22"/>
        <v>D.9.140</v>
      </c>
      <c r="B140" s="654" t="str">
        <f t="shared" ca="1" si="23"/>
        <v>9.140</v>
      </c>
      <c r="C140" s="585">
        <f>ROW()</f>
        <v>140</v>
      </c>
      <c r="D140" s="1108"/>
      <c r="G140" s="811"/>
    </row>
    <row r="141" spans="1:7">
      <c r="A141" s="654" t="str">
        <f t="shared" ca="1" si="22"/>
        <v>D.9.141</v>
      </c>
      <c r="B141" s="654" t="str">
        <f t="shared" ca="1" si="23"/>
        <v>9.141</v>
      </c>
      <c r="C141" s="585">
        <f>ROW()</f>
        <v>141</v>
      </c>
      <c r="D141" s="1108" t="s">
        <v>689</v>
      </c>
      <c r="G141" s="811"/>
    </row>
    <row r="142" spans="1:7">
      <c r="A142" s="654" t="str">
        <f t="shared" ca="1" si="22"/>
        <v>D.9.142</v>
      </c>
      <c r="B142" s="654" t="str">
        <f t="shared" ca="1" si="23"/>
        <v>9.142</v>
      </c>
      <c r="C142" s="585">
        <f>ROW()</f>
        <v>142</v>
      </c>
      <c r="D142" s="1110" t="s">
        <v>690</v>
      </c>
      <c r="G142" s="811"/>
    </row>
    <row r="143" spans="1:7">
      <c r="A143" s="27" t="str">
        <f t="shared" ca="1" si="30"/>
        <v>D.9.143</v>
      </c>
      <c r="B143" s="27" t="str">
        <f t="shared" ca="1" si="31"/>
        <v>9.143</v>
      </c>
      <c r="C143" s="585">
        <f>ROW()</f>
        <v>143</v>
      </c>
      <c r="D143" s="1108"/>
      <c r="G143" s="811"/>
    </row>
    <row r="144" spans="1:7" ht="26">
      <c r="A144" s="27" t="str">
        <f t="shared" ca="1" si="30"/>
        <v>D.9.144</v>
      </c>
      <c r="B144" s="27" t="str">
        <f t="shared" ca="1" si="31"/>
        <v>9.144</v>
      </c>
      <c r="C144" s="585">
        <f>ROW()</f>
        <v>144</v>
      </c>
      <c r="D144" s="1108" t="s">
        <v>427</v>
      </c>
      <c r="E144" s="633" t="s">
        <v>486</v>
      </c>
      <c r="G144" s="811"/>
    </row>
    <row r="145" spans="1:7">
      <c r="A145" s="27" t="str">
        <f t="shared" ca="1" si="30"/>
        <v>D.9.145</v>
      </c>
      <c r="B145" s="27" t="str">
        <f t="shared" ca="1" si="31"/>
        <v>9.145</v>
      </c>
      <c r="C145" s="585">
        <f>ROW()</f>
        <v>145</v>
      </c>
      <c r="D145" s="1110" t="s">
        <v>428</v>
      </c>
      <c r="G145" s="811"/>
    </row>
    <row r="146" spans="1:7">
      <c r="A146" s="27" t="str">
        <f t="shared" ca="1" si="2"/>
        <v>D.9.146</v>
      </c>
      <c r="B146" s="27" t="str">
        <f t="shared" ca="1" si="3"/>
        <v>9.146</v>
      </c>
      <c r="C146" s="585">
        <f>ROW()</f>
        <v>146</v>
      </c>
      <c r="D146" s="1108"/>
      <c r="G146" s="811"/>
    </row>
    <row r="147" spans="1:7" ht="26">
      <c r="A147" s="27" t="str">
        <f t="shared" ca="1" si="2"/>
        <v>D.9.147</v>
      </c>
      <c r="B147" s="27" t="str">
        <f t="shared" ca="1" si="3"/>
        <v>9.147</v>
      </c>
      <c r="C147" s="585">
        <f>ROW()</f>
        <v>147</v>
      </c>
      <c r="D147" s="1108" t="s">
        <v>484</v>
      </c>
      <c r="E147" s="633" t="s">
        <v>486</v>
      </c>
      <c r="G147" s="811"/>
    </row>
    <row r="148" spans="1:7">
      <c r="A148" s="27" t="str">
        <f t="shared" ca="1" si="2"/>
        <v>D.9.148</v>
      </c>
      <c r="B148" s="27" t="str">
        <f t="shared" ca="1" si="3"/>
        <v>9.148</v>
      </c>
      <c r="C148" s="585">
        <f>ROW()</f>
        <v>148</v>
      </c>
      <c r="D148" s="1110" t="s">
        <v>485</v>
      </c>
      <c r="G148" s="811"/>
    </row>
    <row r="149" spans="1:7">
      <c r="A149" s="654" t="str">
        <f t="shared" ca="1" si="28"/>
        <v>D.9.149</v>
      </c>
      <c r="B149" s="654" t="str">
        <f t="shared" ca="1" si="29"/>
        <v>9.149</v>
      </c>
      <c r="C149" s="585">
        <f>ROW()</f>
        <v>149</v>
      </c>
    </row>
    <row r="150" spans="1:7">
      <c r="A150" s="654" t="str">
        <f t="shared" ca="1" si="28"/>
        <v>D.9.150</v>
      </c>
      <c r="B150" s="654" t="str">
        <f t="shared" ca="1" si="29"/>
        <v>9.150</v>
      </c>
      <c r="C150" s="585">
        <f>ROW()</f>
        <v>150</v>
      </c>
      <c r="D150" s="1108" t="s">
        <v>958</v>
      </c>
    </row>
    <row r="151" spans="1:7" ht="16">
      <c r="A151" s="654" t="str">
        <f t="shared" ca="1" si="28"/>
        <v>D.9.151</v>
      </c>
      <c r="B151" s="654" t="str">
        <f t="shared" ca="1" si="29"/>
        <v>9.151</v>
      </c>
      <c r="C151" s="585">
        <f>ROW()</f>
        <v>151</v>
      </c>
      <c r="D151" s="1112" t="s">
        <v>959</v>
      </c>
    </row>
    <row r="152" spans="1:7">
      <c r="A152" s="654" t="str">
        <f t="shared" ca="1" si="22"/>
        <v>D.9.152</v>
      </c>
      <c r="B152" s="654" t="str">
        <f t="shared" ca="1" si="23"/>
        <v>9.152</v>
      </c>
      <c r="C152" s="585">
        <f>ROW()</f>
        <v>152</v>
      </c>
      <c r="D152" s="1108"/>
      <c r="G152" s="811"/>
    </row>
    <row r="153" spans="1:7" ht="26">
      <c r="A153" s="654" t="str">
        <f t="shared" ca="1" si="22"/>
        <v>D.9.153</v>
      </c>
      <c r="B153" s="654" t="str">
        <f t="shared" ca="1" si="23"/>
        <v>9.153</v>
      </c>
      <c r="C153" s="585">
        <f>ROW()</f>
        <v>153</v>
      </c>
      <c r="D153" s="1108" t="s">
        <v>602</v>
      </c>
      <c r="G153" s="811"/>
    </row>
    <row r="154" spans="1:7">
      <c r="A154" s="654" t="str">
        <f t="shared" ref="A154:A156" ca="1" si="52">AB$1&amp;ROW()</f>
        <v>D.9.154</v>
      </c>
      <c r="B154" s="654" t="str">
        <f t="shared" ref="B154:B156" ca="1" si="53">AE$1&amp;ROW()</f>
        <v>9.154</v>
      </c>
      <c r="C154" s="585">
        <f>ROW()</f>
        <v>154</v>
      </c>
    </row>
    <row r="155" spans="1:7" ht="39">
      <c r="A155" s="654" t="str">
        <f t="shared" ca="1" si="52"/>
        <v>D.9.155</v>
      </c>
      <c r="B155" s="654" t="str">
        <f t="shared" ca="1" si="53"/>
        <v>9.155</v>
      </c>
      <c r="C155" s="585">
        <f>ROW()</f>
        <v>155</v>
      </c>
      <c r="D155" s="1108" t="s">
        <v>1275</v>
      </c>
    </row>
    <row r="156" spans="1:7">
      <c r="A156" s="654" t="str">
        <f t="shared" ca="1" si="52"/>
        <v>D.9.156</v>
      </c>
      <c r="B156" s="654" t="str">
        <f t="shared" ca="1" si="53"/>
        <v>9.156</v>
      </c>
      <c r="C156" s="585">
        <f>ROW()</f>
        <v>156</v>
      </c>
      <c r="D156" s="1110" t="s">
        <v>1274</v>
      </c>
    </row>
    <row r="157" spans="1:7">
      <c r="A157" s="654" t="str">
        <f t="shared" ca="1" si="28"/>
        <v>D.9.157</v>
      </c>
      <c r="B157" s="654" t="str">
        <f t="shared" ca="1" si="29"/>
        <v>9.157</v>
      </c>
      <c r="C157" s="585">
        <f>ROW()</f>
        <v>157</v>
      </c>
    </row>
    <row r="158" spans="1:7" ht="26">
      <c r="A158" s="654" t="str">
        <f t="shared" ca="1" si="28"/>
        <v>D.9.158</v>
      </c>
      <c r="B158" s="654" t="str">
        <f t="shared" ca="1" si="29"/>
        <v>9.158</v>
      </c>
      <c r="C158" s="585">
        <f>ROW()</f>
        <v>158</v>
      </c>
      <c r="D158" s="1108" t="s">
        <v>971</v>
      </c>
    </row>
    <row r="159" spans="1:7" ht="16">
      <c r="A159" s="654" t="str">
        <f t="shared" ca="1" si="28"/>
        <v>D.9.159</v>
      </c>
      <c r="B159" s="654" t="str">
        <f t="shared" ca="1" si="29"/>
        <v>9.159</v>
      </c>
      <c r="C159" s="585">
        <f>ROW()</f>
        <v>159</v>
      </c>
      <c r="D159" s="1112" t="s">
        <v>970</v>
      </c>
    </row>
    <row r="160" spans="1:7">
      <c r="A160" s="27" t="str">
        <f t="shared" ca="1" si="30"/>
        <v>D.9.160</v>
      </c>
      <c r="B160" s="27" t="str">
        <f t="shared" ca="1" si="31"/>
        <v>9.160</v>
      </c>
      <c r="C160" s="585">
        <f>ROW()</f>
        <v>160</v>
      </c>
      <c r="D160" s="1108"/>
      <c r="G160" s="811"/>
    </row>
    <row r="161" spans="1:7">
      <c r="A161" s="27" t="str">
        <f t="shared" ca="1" si="30"/>
        <v>D.9.161</v>
      </c>
      <c r="B161" s="27" t="str">
        <f t="shared" ca="1" si="31"/>
        <v>9.161</v>
      </c>
      <c r="C161" s="585">
        <f>ROW()</f>
        <v>161</v>
      </c>
      <c r="D161" s="1108" t="s">
        <v>304</v>
      </c>
      <c r="G161" s="811"/>
    </row>
    <row r="162" spans="1:7">
      <c r="A162" s="27" t="str">
        <f t="shared" ca="1" si="30"/>
        <v>D.9.162</v>
      </c>
      <c r="B162" s="27" t="str">
        <f t="shared" ca="1" si="31"/>
        <v>9.162</v>
      </c>
      <c r="C162" s="585">
        <f>ROW()</f>
        <v>162</v>
      </c>
      <c r="D162" s="1110" t="s">
        <v>303</v>
      </c>
      <c r="G162" s="811"/>
    </row>
    <row r="163" spans="1:7">
      <c r="A163" s="654" t="str">
        <f t="shared" ca="1" si="34"/>
        <v>D.9.163</v>
      </c>
      <c r="B163" s="654" t="str">
        <f t="shared" ca="1" si="35"/>
        <v>9.163</v>
      </c>
      <c r="C163" s="585">
        <f>ROW()</f>
        <v>163</v>
      </c>
    </row>
    <row r="164" spans="1:7" ht="26">
      <c r="A164" s="654" t="str">
        <f t="shared" ca="1" si="34"/>
        <v>D.9.164</v>
      </c>
      <c r="B164" s="654" t="str">
        <f t="shared" ca="1" si="35"/>
        <v>9.164</v>
      </c>
      <c r="C164" s="585">
        <f>ROW()</f>
        <v>164</v>
      </c>
      <c r="D164" s="1108" t="s">
        <v>1033</v>
      </c>
    </row>
    <row r="165" spans="1:7" ht="16">
      <c r="A165" s="654" t="str">
        <f t="shared" ca="1" si="34"/>
        <v>D.9.165</v>
      </c>
      <c r="B165" s="654" t="str">
        <f t="shared" ca="1" si="35"/>
        <v>9.165</v>
      </c>
      <c r="C165" s="585">
        <f>ROW()</f>
        <v>165</v>
      </c>
      <c r="D165" s="1112" t="s">
        <v>1034</v>
      </c>
    </row>
    <row r="166" spans="1:7">
      <c r="A166" s="654" t="str">
        <f t="shared" ca="1" si="2"/>
        <v>D.9.166</v>
      </c>
      <c r="B166" s="654" t="str">
        <f t="shared" ca="1" si="3"/>
        <v>9.166</v>
      </c>
      <c r="C166" s="585">
        <f>ROW()</f>
        <v>166</v>
      </c>
      <c r="D166" s="1108"/>
      <c r="G166" s="811"/>
    </row>
    <row r="167" spans="1:7" ht="39">
      <c r="A167" s="654" t="str">
        <f t="shared" ca="1" si="2"/>
        <v>D.9.167</v>
      </c>
      <c r="B167" s="654" t="str">
        <f t="shared" ca="1" si="3"/>
        <v>9.167</v>
      </c>
      <c r="C167" s="585">
        <f>ROW()</f>
        <v>167</v>
      </c>
      <c r="D167" s="1108" t="s">
        <v>809</v>
      </c>
      <c r="E167" s="633" t="s">
        <v>126</v>
      </c>
      <c r="G167" s="811"/>
    </row>
    <row r="168" spans="1:7">
      <c r="A168" s="654" t="str">
        <f t="shared" ca="1" si="2"/>
        <v>D.9.168</v>
      </c>
      <c r="B168" s="654" t="str">
        <f t="shared" ca="1" si="3"/>
        <v>9.168</v>
      </c>
      <c r="C168" s="585">
        <f>ROW()</f>
        <v>168</v>
      </c>
      <c r="D168" s="1110" t="s">
        <v>810</v>
      </c>
      <c r="G168" s="811"/>
    </row>
    <row r="169" spans="1:7">
      <c r="A169" s="654" t="str">
        <f t="shared" ca="1" si="30"/>
        <v>D.9.169</v>
      </c>
      <c r="B169" s="654" t="str">
        <f t="shared" ca="1" si="31"/>
        <v>9.169</v>
      </c>
      <c r="C169" s="585">
        <f>ROW()</f>
        <v>169</v>
      </c>
      <c r="D169" s="1108"/>
      <c r="G169" s="811"/>
    </row>
    <row r="170" spans="1:7" ht="26">
      <c r="A170" s="654" t="str">
        <f t="shared" ca="1" si="30"/>
        <v>D.9.170</v>
      </c>
      <c r="B170" s="654" t="str">
        <f t="shared" ca="1" si="31"/>
        <v>9.170</v>
      </c>
      <c r="C170" s="585">
        <f>ROW()</f>
        <v>170</v>
      </c>
      <c r="D170" s="1108" t="s">
        <v>754</v>
      </c>
      <c r="G170" s="811"/>
    </row>
    <row r="171" spans="1:7">
      <c r="A171" s="654" t="str">
        <f t="shared" ca="1" si="30"/>
        <v>D.9.171</v>
      </c>
      <c r="B171" s="654" t="str">
        <f t="shared" ca="1" si="31"/>
        <v>9.171</v>
      </c>
      <c r="C171" s="585">
        <f>ROW()</f>
        <v>171</v>
      </c>
      <c r="D171" s="1110" t="s">
        <v>755</v>
      </c>
      <c r="G171" s="811"/>
    </row>
    <row r="172" spans="1:7">
      <c r="A172" s="654" t="str">
        <f t="shared" ca="1" si="30"/>
        <v>D.9.172</v>
      </c>
      <c r="B172" s="654" t="str">
        <f t="shared" ca="1" si="31"/>
        <v>9.172</v>
      </c>
      <c r="C172" s="585">
        <f>ROW()</f>
        <v>172</v>
      </c>
      <c r="D172" s="1108"/>
      <c r="G172" s="811"/>
    </row>
    <row r="173" spans="1:7" ht="26">
      <c r="A173" s="654" t="str">
        <f t="shared" ca="1" si="30"/>
        <v>D.9.173</v>
      </c>
      <c r="B173" s="654" t="str">
        <f t="shared" ca="1" si="31"/>
        <v>9.173</v>
      </c>
      <c r="C173" s="585">
        <f>ROW()</f>
        <v>173</v>
      </c>
      <c r="D173" s="1108" t="s">
        <v>756</v>
      </c>
      <c r="E173" s="633" t="s">
        <v>311</v>
      </c>
      <c r="G173" s="811"/>
    </row>
    <row r="174" spans="1:7">
      <c r="A174" s="654" t="str">
        <f t="shared" ca="1" si="30"/>
        <v>D.9.174</v>
      </c>
      <c r="B174" s="654" t="str">
        <f t="shared" ca="1" si="31"/>
        <v>9.174</v>
      </c>
      <c r="C174" s="585">
        <f>ROW()</f>
        <v>174</v>
      </c>
      <c r="D174" s="1110" t="s">
        <v>757</v>
      </c>
      <c r="G174" s="811"/>
    </row>
    <row r="175" spans="1:7">
      <c r="A175" s="654" t="str">
        <f t="shared" ref="A175" ca="1" si="54">AB$1&amp;ROW()</f>
        <v>D.9.175</v>
      </c>
      <c r="B175" s="654" t="str">
        <f t="shared" ref="B175" ca="1" si="55">AE$1&amp;ROW()</f>
        <v>9.175</v>
      </c>
      <c r="C175" s="585">
        <f>ROW()</f>
        <v>175</v>
      </c>
      <c r="D175" s="1108"/>
      <c r="G175" s="811"/>
    </row>
    <row r="176" spans="1:7" ht="26">
      <c r="A176" s="27" t="str">
        <f t="shared" ref="A176:A180" ca="1" si="56">AB$1&amp;ROW()</f>
        <v>D.9.176</v>
      </c>
      <c r="B176" s="27" t="str">
        <f t="shared" ref="B176:B180" ca="1" si="57">AE$1&amp;ROW()</f>
        <v>9.176</v>
      </c>
      <c r="C176" s="585">
        <f>ROW()</f>
        <v>176</v>
      </c>
      <c r="D176" s="1108" t="s">
        <v>867</v>
      </c>
      <c r="G176" s="811"/>
    </row>
    <row r="177" spans="1:7">
      <c r="A177" s="654" t="str">
        <f t="shared" ca="1" si="56"/>
        <v>D.9.177</v>
      </c>
      <c r="B177" s="654" t="str">
        <f t="shared" ca="1" si="57"/>
        <v>9.177</v>
      </c>
      <c r="C177" s="585">
        <f>ROW()</f>
        <v>177</v>
      </c>
      <c r="D177" s="1118" t="s">
        <v>868</v>
      </c>
      <c r="G177" s="811"/>
    </row>
    <row r="178" spans="1:7">
      <c r="A178" s="654" t="str">
        <f t="shared" ca="1" si="56"/>
        <v>D.9.178</v>
      </c>
      <c r="B178" s="654" t="str">
        <f t="shared" ca="1" si="57"/>
        <v>9.178</v>
      </c>
      <c r="C178" s="585">
        <f>ROW()</f>
        <v>178</v>
      </c>
      <c r="D178" s="1108"/>
      <c r="G178" s="811"/>
    </row>
    <row r="179" spans="1:7" ht="26">
      <c r="A179" s="27" t="str">
        <f t="shared" ca="1" si="56"/>
        <v>D.9.179</v>
      </c>
      <c r="B179" s="27" t="str">
        <f t="shared" ca="1" si="57"/>
        <v>9.179</v>
      </c>
      <c r="C179" s="585">
        <f>ROW()</f>
        <v>179</v>
      </c>
      <c r="D179" s="1108" t="s">
        <v>498</v>
      </c>
      <c r="E179" s="633" t="s">
        <v>311</v>
      </c>
      <c r="G179" s="811"/>
    </row>
    <row r="180" spans="1:7">
      <c r="A180" s="27" t="str">
        <f t="shared" ca="1" si="56"/>
        <v>D.9.180</v>
      </c>
      <c r="B180" s="27" t="str">
        <f t="shared" ca="1" si="57"/>
        <v>9.180</v>
      </c>
      <c r="C180" s="585">
        <f>ROW()</f>
        <v>180</v>
      </c>
      <c r="D180" s="1109" t="s">
        <v>497</v>
      </c>
      <c r="G180" s="811"/>
    </row>
    <row r="181" spans="1:7">
      <c r="A181" s="27" t="str">
        <f t="shared" ca="1" si="30"/>
        <v>D.9.181</v>
      </c>
      <c r="B181" s="27" t="str">
        <f t="shared" ca="1" si="31"/>
        <v>9.181</v>
      </c>
      <c r="C181" s="585">
        <f>ROW()</f>
        <v>181</v>
      </c>
      <c r="D181" s="1108"/>
      <c r="G181" s="811"/>
    </row>
    <row r="182" spans="1:7" ht="26">
      <c r="A182" s="654" t="str">
        <f t="shared" ref="A182" ca="1" si="58">AB$1&amp;ROW()</f>
        <v>D.9.182</v>
      </c>
      <c r="B182" s="654" t="str">
        <f t="shared" ref="B182" ca="1" si="59">AE$1&amp;ROW()</f>
        <v>9.182</v>
      </c>
      <c r="C182" s="585">
        <f>ROW()</f>
        <v>182</v>
      </c>
      <c r="D182" s="1108" t="s">
        <v>887</v>
      </c>
      <c r="E182" s="633" t="s">
        <v>311</v>
      </c>
      <c r="G182" s="811"/>
    </row>
    <row r="183" spans="1:7">
      <c r="A183" s="654" t="str">
        <f t="shared" ref="A183" ca="1" si="60">AB$1&amp;ROW()</f>
        <v>D.9.183</v>
      </c>
      <c r="B183" s="654" t="str">
        <f t="shared" ref="B183" ca="1" si="61">AE$1&amp;ROW()</f>
        <v>9.183</v>
      </c>
      <c r="C183" s="585">
        <f>ROW()</f>
        <v>183</v>
      </c>
      <c r="D183" s="1108"/>
      <c r="G183" s="811"/>
    </row>
    <row r="184" spans="1:7" ht="32">
      <c r="A184" s="654" t="str">
        <f t="shared" ca="1" si="22"/>
        <v>D.9.184</v>
      </c>
      <c r="B184" s="654" t="str">
        <f t="shared" ca="1" si="23"/>
        <v>9.184</v>
      </c>
      <c r="C184" s="585">
        <f>ROW()</f>
        <v>184</v>
      </c>
      <c r="D184" s="1119" t="s">
        <v>595</v>
      </c>
      <c r="E184" s="633" t="s">
        <v>597</v>
      </c>
      <c r="G184" s="811"/>
    </row>
    <row r="185" spans="1:7">
      <c r="A185" s="654" t="str">
        <f t="shared" ca="1" si="22"/>
        <v>D.9.185</v>
      </c>
      <c r="B185" s="654" t="str">
        <f t="shared" ca="1" si="23"/>
        <v>9.185</v>
      </c>
      <c r="C185" s="585">
        <f>ROW()</f>
        <v>185</v>
      </c>
      <c r="D185" s="1118" t="s">
        <v>596</v>
      </c>
      <c r="G185" s="811"/>
    </row>
    <row r="186" spans="1:7">
      <c r="A186" s="654" t="str">
        <f t="shared" ca="1" si="22"/>
        <v>D.9.186</v>
      </c>
      <c r="B186" s="654" t="str">
        <f t="shared" ca="1" si="23"/>
        <v>9.186</v>
      </c>
      <c r="C186" s="585">
        <f>ROW()</f>
        <v>186</v>
      </c>
      <c r="D186" s="1108"/>
      <c r="G186" s="811"/>
    </row>
    <row r="187" spans="1:7" ht="39">
      <c r="A187" s="654" t="str">
        <f t="shared" ca="1" si="22"/>
        <v>D.9.187</v>
      </c>
      <c r="B187" s="654" t="str">
        <f t="shared" ca="1" si="23"/>
        <v>9.187</v>
      </c>
      <c r="C187" s="585">
        <f>ROW()</f>
        <v>187</v>
      </c>
      <c r="D187" s="1108" t="s">
        <v>863</v>
      </c>
      <c r="G187" s="811"/>
    </row>
    <row r="188" spans="1:7">
      <c r="A188" s="654" t="str">
        <f t="shared" ca="1" si="22"/>
        <v>D.9.188</v>
      </c>
      <c r="B188" s="654" t="str">
        <f t="shared" ca="1" si="23"/>
        <v>9.188</v>
      </c>
      <c r="C188" s="585">
        <f>ROW()</f>
        <v>188</v>
      </c>
      <c r="D188" s="1109" t="s">
        <v>864</v>
      </c>
      <c r="G188" s="811"/>
    </row>
    <row r="189" spans="1:7">
      <c r="A189" s="654" t="str">
        <f t="shared" ca="1" si="22"/>
        <v>D.9.189</v>
      </c>
      <c r="B189" s="654" t="str">
        <f t="shared" ca="1" si="23"/>
        <v>9.189</v>
      </c>
      <c r="C189" s="585">
        <f>ROW()</f>
        <v>189</v>
      </c>
      <c r="D189" s="1108"/>
      <c r="G189" s="811"/>
    </row>
    <row r="190" spans="1:7" ht="26">
      <c r="A190" s="654" t="str">
        <f t="shared" ca="1" si="22"/>
        <v>D.9.190</v>
      </c>
      <c r="B190" s="654" t="str">
        <f t="shared" ca="1" si="23"/>
        <v>9.190</v>
      </c>
      <c r="C190" s="585">
        <f>ROW()</f>
        <v>190</v>
      </c>
      <c r="D190" s="1108" t="s">
        <v>731</v>
      </c>
      <c r="E190" s="633" t="s">
        <v>597</v>
      </c>
      <c r="G190" s="811" t="s">
        <v>941</v>
      </c>
    </row>
    <row r="191" spans="1:7">
      <c r="A191" s="654" t="str">
        <f t="shared" ca="1" si="22"/>
        <v>D.9.191</v>
      </c>
      <c r="B191" s="654" t="str">
        <f t="shared" ca="1" si="23"/>
        <v>9.191</v>
      </c>
      <c r="C191" s="585">
        <f>ROW()</f>
        <v>191</v>
      </c>
      <c r="D191" s="1109" t="s">
        <v>732</v>
      </c>
      <c r="G191" s="811"/>
    </row>
    <row r="192" spans="1:7">
      <c r="A192" s="654" t="str">
        <f t="shared" ca="1" si="30"/>
        <v>D.9.192</v>
      </c>
      <c r="B192" s="654" t="str">
        <f t="shared" ca="1" si="31"/>
        <v>9.192</v>
      </c>
      <c r="C192" s="585">
        <f>ROW()</f>
        <v>192</v>
      </c>
      <c r="D192" s="1108"/>
      <c r="G192" s="811"/>
    </row>
    <row r="193" spans="1:7" ht="36.75" customHeight="1">
      <c r="A193" s="27" t="str">
        <f t="shared" ca="1" si="30"/>
        <v>D.9.193</v>
      </c>
      <c r="B193" s="27" t="str">
        <f t="shared" ca="1" si="31"/>
        <v>9.193</v>
      </c>
      <c r="C193" s="585">
        <f>ROW()</f>
        <v>193</v>
      </c>
      <c r="D193" s="1120" t="s">
        <v>470</v>
      </c>
      <c r="G193" s="811"/>
    </row>
    <row r="194" spans="1:7">
      <c r="A194" s="27" t="str">
        <f t="shared" ca="1" si="30"/>
        <v>D.9.194</v>
      </c>
      <c r="B194" s="27" t="str">
        <f t="shared" ca="1" si="31"/>
        <v>9.194</v>
      </c>
      <c r="C194" s="585">
        <f>ROW()</f>
        <v>194</v>
      </c>
      <c r="D194" s="1121" t="s">
        <v>469</v>
      </c>
      <c r="G194" s="811"/>
    </row>
    <row r="195" spans="1:7">
      <c r="A195" s="654" t="str">
        <f t="shared" ref="A195:A221" ca="1" si="62">AB$1&amp;ROW()</f>
        <v>D.9.195</v>
      </c>
      <c r="B195" s="654" t="str">
        <f t="shared" ref="B195:B221" ca="1" si="63">AE$1&amp;ROW()</f>
        <v>9.195</v>
      </c>
      <c r="C195" s="585">
        <f>ROW()</f>
        <v>195</v>
      </c>
    </row>
    <row r="196" spans="1:7" ht="26">
      <c r="A196" s="654" t="str">
        <f t="shared" ca="1" si="62"/>
        <v>D.9.196</v>
      </c>
      <c r="B196" s="654" t="str">
        <f t="shared" ca="1" si="63"/>
        <v>9.196</v>
      </c>
      <c r="C196" s="585">
        <f>ROW()</f>
        <v>196</v>
      </c>
      <c r="D196" s="1108" t="s">
        <v>1887</v>
      </c>
    </row>
    <row r="197" spans="1:7">
      <c r="A197" s="654" t="str">
        <f t="shared" ca="1" si="62"/>
        <v>D.9.197</v>
      </c>
      <c r="B197" s="654" t="str">
        <f t="shared" ca="1" si="63"/>
        <v>9.197</v>
      </c>
      <c r="C197" s="585">
        <f>ROW()</f>
        <v>197</v>
      </c>
      <c r="D197" s="1124" t="s">
        <v>1886</v>
      </c>
    </row>
    <row r="198" spans="1:7">
      <c r="A198" s="654" t="str">
        <f t="shared" ref="A198" ca="1" si="64">AB$1&amp;ROW()</f>
        <v>D.9.198</v>
      </c>
      <c r="B198" s="654" t="str">
        <f t="shared" ref="B198" ca="1" si="65">AE$1&amp;ROW()</f>
        <v>9.198</v>
      </c>
      <c r="C198" s="585">
        <f>ROW()</f>
        <v>198</v>
      </c>
      <c r="D198" s="1108"/>
      <c r="G198" s="811"/>
    </row>
    <row r="199" spans="1:7" ht="26">
      <c r="A199" s="27" t="str">
        <f t="shared" ca="1" si="30"/>
        <v>D.9.199</v>
      </c>
      <c r="B199" s="27" t="str">
        <f t="shared" ca="1" si="31"/>
        <v>9.199</v>
      </c>
      <c r="C199" s="585">
        <f>ROW()</f>
        <v>199</v>
      </c>
      <c r="D199" s="1108" t="s">
        <v>899</v>
      </c>
      <c r="G199" s="811"/>
    </row>
    <row r="200" spans="1:7">
      <c r="A200" s="654" t="str">
        <f t="shared" ref="A200:A201" ca="1" si="66">AB$1&amp;ROW()</f>
        <v>D.9.200</v>
      </c>
      <c r="B200" s="654" t="str">
        <f t="shared" ref="B200:B201" ca="1" si="67">AE$1&amp;ROW()</f>
        <v>9.200</v>
      </c>
      <c r="C200" s="585">
        <f>ROW()</f>
        <v>200</v>
      </c>
      <c r="D200" s="1110" t="s">
        <v>898</v>
      </c>
      <c r="G200" s="811"/>
    </row>
    <row r="201" spans="1:7">
      <c r="A201" s="654" t="str">
        <f t="shared" ca="1" si="66"/>
        <v>D.9.201</v>
      </c>
      <c r="B201" s="654" t="str">
        <f t="shared" ca="1" si="67"/>
        <v>9.201</v>
      </c>
      <c r="C201" s="585">
        <f>ROW()</f>
        <v>201</v>
      </c>
      <c r="D201" s="1108"/>
      <c r="G201" s="811"/>
    </row>
    <row r="202" spans="1:7" ht="26">
      <c r="A202" s="27" t="str">
        <f t="shared" ca="1" si="30"/>
        <v>D.9.202</v>
      </c>
      <c r="B202" s="27" t="str">
        <f t="shared" ca="1" si="31"/>
        <v>9.202</v>
      </c>
      <c r="C202" s="585">
        <f>ROW()</f>
        <v>202</v>
      </c>
      <c r="D202" s="1108" t="s">
        <v>424</v>
      </c>
      <c r="G202" s="811"/>
    </row>
    <row r="203" spans="1:7">
      <c r="A203" s="27" t="str">
        <f t="shared" ca="1" si="30"/>
        <v>D.9.203</v>
      </c>
      <c r="B203" s="27" t="str">
        <f t="shared" ca="1" si="31"/>
        <v>9.203</v>
      </c>
      <c r="C203" s="585">
        <f>ROW()</f>
        <v>203</v>
      </c>
      <c r="D203" s="1110" t="s">
        <v>425</v>
      </c>
      <c r="G203" s="811"/>
    </row>
    <row r="204" spans="1:7">
      <c r="A204" s="654" t="str">
        <f t="shared" ca="1" si="34"/>
        <v>D.9.204</v>
      </c>
      <c r="B204" s="654" t="str">
        <f t="shared" ca="1" si="35"/>
        <v>9.204</v>
      </c>
      <c r="C204" s="585">
        <f>ROW()</f>
        <v>204</v>
      </c>
    </row>
    <row r="205" spans="1:7" ht="26">
      <c r="A205" s="654" t="str">
        <f t="shared" ca="1" si="34"/>
        <v>D.9.205</v>
      </c>
      <c r="B205" s="654" t="str">
        <f t="shared" ca="1" si="35"/>
        <v>9.205</v>
      </c>
      <c r="C205" s="585">
        <f>ROW()</f>
        <v>205</v>
      </c>
      <c r="D205" s="1108" t="s">
        <v>1056</v>
      </c>
    </row>
    <row r="206" spans="1:7">
      <c r="A206" s="654" t="str">
        <f t="shared" ca="1" si="38"/>
        <v>D.9.206</v>
      </c>
      <c r="B206" s="654" t="str">
        <f t="shared" ca="1" si="39"/>
        <v>9.206</v>
      </c>
      <c r="C206" s="585">
        <f>ROW()</f>
        <v>206</v>
      </c>
      <c r="D206" s="1110" t="s">
        <v>1057</v>
      </c>
    </row>
    <row r="207" spans="1:7">
      <c r="A207" s="27" t="str">
        <f t="shared" ca="1" si="30"/>
        <v>D.9.207</v>
      </c>
      <c r="B207" s="27" t="str">
        <f t="shared" ca="1" si="31"/>
        <v>9.207</v>
      </c>
      <c r="C207" s="585">
        <f>ROW()</f>
        <v>207</v>
      </c>
      <c r="D207" s="1108"/>
      <c r="G207" s="811"/>
    </row>
    <row r="208" spans="1:7">
      <c r="A208" s="27" t="str">
        <f t="shared" ca="1" si="1"/>
        <v>D.9.208</v>
      </c>
      <c r="B208" s="27" t="str">
        <f t="shared" ca="1" si="0"/>
        <v>9.208</v>
      </c>
      <c r="C208" s="585">
        <f>ROW()</f>
        <v>208</v>
      </c>
      <c r="D208" s="1108" t="s">
        <v>824</v>
      </c>
      <c r="E208" s="633" t="s">
        <v>478</v>
      </c>
      <c r="G208" s="811"/>
    </row>
    <row r="209" spans="1:7">
      <c r="A209" s="27" t="str">
        <f t="shared" ca="1" si="1"/>
        <v>D.9.209</v>
      </c>
      <c r="B209" s="27" t="str">
        <f t="shared" ca="1" si="0"/>
        <v>9.209</v>
      </c>
      <c r="C209" s="585">
        <f>ROW()</f>
        <v>209</v>
      </c>
      <c r="D209" s="1110" t="s">
        <v>471</v>
      </c>
      <c r="G209" s="811"/>
    </row>
    <row r="210" spans="1:7">
      <c r="A210" s="27" t="str">
        <f t="shared" ca="1" si="30"/>
        <v>D.9.210</v>
      </c>
      <c r="B210" s="27" t="str">
        <f t="shared" ca="1" si="31"/>
        <v>9.210</v>
      </c>
      <c r="C210" s="585">
        <f>ROW()</f>
        <v>210</v>
      </c>
      <c r="G210" s="811"/>
    </row>
    <row r="211" spans="1:7">
      <c r="A211" s="27" t="str">
        <f t="shared" ca="1" si="30"/>
        <v>D.9.211</v>
      </c>
      <c r="B211" s="27" t="str">
        <f t="shared" ca="1" si="31"/>
        <v>9.211</v>
      </c>
      <c r="C211" s="585">
        <f>ROW()</f>
        <v>211</v>
      </c>
      <c r="D211" s="1108" t="s">
        <v>275</v>
      </c>
      <c r="G211" s="811"/>
    </row>
    <row r="212" spans="1:7">
      <c r="A212" s="27" t="str">
        <f t="shared" ca="1" si="30"/>
        <v>D.9.212</v>
      </c>
      <c r="B212" s="27" t="str">
        <f t="shared" ca="1" si="31"/>
        <v>9.212</v>
      </c>
      <c r="C212" s="585">
        <f>ROW()</f>
        <v>212</v>
      </c>
      <c r="D212" s="1110" t="s">
        <v>219</v>
      </c>
      <c r="G212" s="811"/>
    </row>
    <row r="213" spans="1:7">
      <c r="A213" s="654" t="str">
        <f t="shared" ca="1" si="24"/>
        <v>D.9.213</v>
      </c>
      <c r="B213" s="654" t="str">
        <f t="shared" ca="1" si="25"/>
        <v>9.213</v>
      </c>
      <c r="C213" s="585">
        <f>ROW()</f>
        <v>213</v>
      </c>
    </row>
    <row r="214" spans="1:7">
      <c r="A214" s="654" t="str">
        <f t="shared" ca="1" si="24"/>
        <v>D.9.214</v>
      </c>
      <c r="B214" s="654" t="str">
        <f t="shared" ca="1" si="25"/>
        <v>9.214</v>
      </c>
      <c r="C214" s="585">
        <f>ROW()</f>
        <v>214</v>
      </c>
      <c r="D214" s="1108" t="s">
        <v>1069</v>
      </c>
    </row>
    <row r="215" spans="1:7">
      <c r="A215" s="654" t="str">
        <f t="shared" ca="1" si="24"/>
        <v>D.9.215</v>
      </c>
      <c r="B215" s="654" t="str">
        <f t="shared" ca="1" si="25"/>
        <v>9.215</v>
      </c>
      <c r="C215" s="585">
        <f>ROW()</f>
        <v>215</v>
      </c>
      <c r="D215" s="1124" t="s">
        <v>987</v>
      </c>
    </row>
    <row r="216" spans="1:7">
      <c r="A216" s="654" t="str">
        <f t="shared" ca="1" si="28"/>
        <v>D.9.216</v>
      </c>
      <c r="B216" s="654" t="str">
        <f t="shared" ca="1" si="29"/>
        <v>9.216</v>
      </c>
      <c r="C216" s="585">
        <f>ROW()</f>
        <v>216</v>
      </c>
    </row>
    <row r="217" spans="1:7">
      <c r="A217" s="654" t="str">
        <f t="shared" ca="1" si="28"/>
        <v>D.9.217</v>
      </c>
      <c r="B217" s="654" t="str">
        <f t="shared" ca="1" si="29"/>
        <v>9.217</v>
      </c>
      <c r="C217" s="585">
        <f>ROW()</f>
        <v>217</v>
      </c>
      <c r="D217" s="1108" t="s">
        <v>986</v>
      </c>
    </row>
    <row r="218" spans="1:7">
      <c r="A218" s="654" t="str">
        <f t="shared" ca="1" si="28"/>
        <v>D.9.218</v>
      </c>
      <c r="B218" s="654" t="str">
        <f t="shared" ca="1" si="29"/>
        <v>9.218</v>
      </c>
      <c r="C218" s="585">
        <f>ROW()</f>
        <v>218</v>
      </c>
      <c r="D218" s="1124" t="s">
        <v>987</v>
      </c>
    </row>
    <row r="219" spans="1:7">
      <c r="A219" s="654" t="str">
        <f t="shared" ca="1" si="62"/>
        <v>D.9.219</v>
      </c>
      <c r="B219" s="654" t="str">
        <f t="shared" ca="1" si="63"/>
        <v>9.219</v>
      </c>
      <c r="C219" s="585">
        <f>ROW()</f>
        <v>219</v>
      </c>
      <c r="D219" s="1108"/>
    </row>
    <row r="220" spans="1:7">
      <c r="A220" s="654" t="str">
        <f t="shared" ca="1" si="62"/>
        <v>D.9.220</v>
      </c>
      <c r="B220" s="654" t="str">
        <f t="shared" ca="1" si="63"/>
        <v>9.220</v>
      </c>
      <c r="C220" s="585">
        <f>ROW()</f>
        <v>220</v>
      </c>
      <c r="D220" s="1108" t="s">
        <v>1885</v>
      </c>
    </row>
    <row r="221" spans="1:7">
      <c r="A221" s="654" t="str">
        <f t="shared" ca="1" si="62"/>
        <v>D.9.221</v>
      </c>
      <c r="B221" s="654" t="str">
        <f t="shared" ca="1" si="63"/>
        <v>9.221</v>
      </c>
      <c r="C221" s="585">
        <f>ROW()</f>
        <v>221</v>
      </c>
      <c r="D221" s="1124" t="s">
        <v>1891</v>
      </c>
    </row>
    <row r="222" spans="1:7">
      <c r="A222" s="477" t="str">
        <f t="shared" ca="1" si="6"/>
        <v>D.9.222</v>
      </c>
      <c r="B222" s="477" t="str">
        <f t="shared" ca="1" si="7"/>
        <v>9.222</v>
      </c>
      <c r="C222" s="585"/>
      <c r="G222" s="816"/>
    </row>
    <row r="223" spans="1:7" ht="26">
      <c r="A223" s="27" t="str">
        <f t="shared" ca="1" si="30"/>
        <v>D.9.223</v>
      </c>
      <c r="B223" s="27" t="str">
        <f t="shared" ca="1" si="31"/>
        <v>9.223</v>
      </c>
      <c r="C223" s="585">
        <f>ROW()</f>
        <v>223</v>
      </c>
      <c r="D223" s="1108" t="s">
        <v>438</v>
      </c>
      <c r="G223" s="811"/>
    </row>
    <row r="224" spans="1:7">
      <c r="A224" s="27" t="str">
        <f t="shared" ca="1" si="30"/>
        <v>D.9.224</v>
      </c>
      <c r="B224" s="27" t="str">
        <f t="shared" ca="1" si="31"/>
        <v>9.224</v>
      </c>
      <c r="C224" s="585">
        <f>ROW()</f>
        <v>224</v>
      </c>
      <c r="D224" s="1110" t="s">
        <v>436</v>
      </c>
      <c r="G224" s="811"/>
    </row>
    <row r="225" spans="1:7">
      <c r="A225" s="27" t="str">
        <f t="shared" ca="1" si="2"/>
        <v>D.9.225</v>
      </c>
      <c r="B225" s="27" t="str">
        <f t="shared" ca="1" si="3"/>
        <v>9.225</v>
      </c>
      <c r="C225" s="585">
        <f>ROW()</f>
        <v>225</v>
      </c>
      <c r="D225" s="1108"/>
      <c r="G225" s="811"/>
    </row>
    <row r="226" spans="1:7" ht="26">
      <c r="A226" s="27" t="str">
        <f t="shared" ca="1" si="2"/>
        <v>D.9.226</v>
      </c>
      <c r="B226" s="27" t="str">
        <f t="shared" ca="1" si="3"/>
        <v>9.226</v>
      </c>
      <c r="C226" s="585">
        <f>ROW()</f>
        <v>226</v>
      </c>
      <c r="D226" s="1108" t="s">
        <v>513</v>
      </c>
      <c r="E226" s="633" t="s">
        <v>515</v>
      </c>
      <c r="G226" s="811"/>
    </row>
    <row r="227" spans="1:7">
      <c r="A227" s="27" t="str">
        <f t="shared" ca="1" si="2"/>
        <v>D.9.227</v>
      </c>
      <c r="B227" s="27" t="str">
        <f t="shared" ca="1" si="3"/>
        <v>9.227</v>
      </c>
      <c r="C227" s="585">
        <f>ROW()</f>
        <v>227</v>
      </c>
      <c r="D227" s="1109" t="s">
        <v>514</v>
      </c>
      <c r="G227" s="811"/>
    </row>
    <row r="228" spans="1:7">
      <c r="A228" s="27" t="str">
        <f t="shared" ca="1" si="2"/>
        <v>D.9.228</v>
      </c>
      <c r="B228" s="27" t="str">
        <f t="shared" ca="1" si="3"/>
        <v>9.228</v>
      </c>
      <c r="C228" s="585">
        <f>ROW()</f>
        <v>228</v>
      </c>
      <c r="D228" s="1108"/>
      <c r="G228" s="811"/>
    </row>
    <row r="229" spans="1:7" ht="26">
      <c r="A229" s="27" t="str">
        <f t="shared" ca="1" si="2"/>
        <v>D.9.229</v>
      </c>
      <c r="B229" s="27" t="str">
        <f t="shared" ca="1" si="3"/>
        <v>9.229</v>
      </c>
      <c r="C229" s="585">
        <f>ROW()</f>
        <v>229</v>
      </c>
      <c r="D229" s="1108" t="s">
        <v>512</v>
      </c>
      <c r="E229" s="633" t="s">
        <v>515</v>
      </c>
      <c r="G229" s="811"/>
    </row>
    <row r="230" spans="1:7">
      <c r="A230" s="27" t="str">
        <f t="shared" ca="1" si="2"/>
        <v>D.9.230</v>
      </c>
      <c r="B230" s="27" t="str">
        <f t="shared" ca="1" si="3"/>
        <v>9.230</v>
      </c>
      <c r="C230" s="585">
        <f>ROW()</f>
        <v>230</v>
      </c>
      <c r="D230" s="1109" t="s">
        <v>511</v>
      </c>
      <c r="G230" s="811"/>
    </row>
    <row r="231" spans="1:7">
      <c r="A231" s="27" t="str">
        <f t="shared" ca="1" si="30"/>
        <v>D.9.231</v>
      </c>
      <c r="B231" s="27" t="str">
        <f t="shared" ca="1" si="31"/>
        <v>9.231</v>
      </c>
      <c r="C231" s="585">
        <f>ROW()</f>
        <v>231</v>
      </c>
      <c r="D231" s="1108"/>
      <c r="G231" s="811"/>
    </row>
    <row r="232" spans="1:7" ht="26">
      <c r="A232" s="27" t="str">
        <f t="shared" ca="1" si="30"/>
        <v>D.9.232</v>
      </c>
      <c r="B232" s="27" t="str">
        <f t="shared" ca="1" si="31"/>
        <v>9.232</v>
      </c>
      <c r="C232" s="585">
        <f>ROW()</f>
        <v>232</v>
      </c>
      <c r="D232" s="1108" t="s">
        <v>274</v>
      </c>
      <c r="E232" s="633" t="s">
        <v>569</v>
      </c>
      <c r="G232" s="811"/>
    </row>
    <row r="233" spans="1:7">
      <c r="A233" s="27" t="str">
        <f t="shared" ca="1" si="30"/>
        <v>D.9.233</v>
      </c>
      <c r="B233" s="27" t="str">
        <f t="shared" ca="1" si="31"/>
        <v>9.233</v>
      </c>
      <c r="C233" s="585">
        <f>ROW()</f>
        <v>233</v>
      </c>
      <c r="D233" s="1110" t="s">
        <v>265</v>
      </c>
      <c r="G233" s="811"/>
    </row>
    <row r="234" spans="1:7">
      <c r="A234" s="654" t="str">
        <f t="shared" ca="1" si="28"/>
        <v>D.9.234</v>
      </c>
      <c r="B234" s="654" t="str">
        <f t="shared" ca="1" si="29"/>
        <v>9.234</v>
      </c>
      <c r="C234" s="585">
        <f>ROW()</f>
        <v>234</v>
      </c>
    </row>
    <row r="235" spans="1:7" ht="26">
      <c r="A235" s="654" t="str">
        <f t="shared" ca="1" si="28"/>
        <v>D.9.235</v>
      </c>
      <c r="B235" s="654" t="str">
        <f t="shared" ca="1" si="29"/>
        <v>9.235</v>
      </c>
      <c r="C235" s="585">
        <f>ROW()</f>
        <v>235</v>
      </c>
      <c r="D235" s="1108" t="s">
        <v>948</v>
      </c>
    </row>
    <row r="236" spans="1:7">
      <c r="A236" s="654" t="str">
        <f t="shared" ca="1" si="28"/>
        <v>D.9.236</v>
      </c>
      <c r="B236" s="654" t="str">
        <f t="shared" ca="1" si="29"/>
        <v>9.236</v>
      </c>
      <c r="C236" s="585">
        <f>ROW()</f>
        <v>236</v>
      </c>
      <c r="D236" s="1111" t="s">
        <v>947</v>
      </c>
    </row>
    <row r="237" spans="1:7">
      <c r="A237" s="654" t="str">
        <f t="shared" ca="1" si="20"/>
        <v>D.9.237</v>
      </c>
      <c r="B237" s="654" t="str">
        <f t="shared" ca="1" si="21"/>
        <v>9.237</v>
      </c>
      <c r="C237" s="585">
        <f>ROW()</f>
        <v>237</v>
      </c>
      <c r="D237" s="1108"/>
      <c r="G237" s="811"/>
    </row>
    <row r="238" spans="1:7" ht="26">
      <c r="A238" s="654" t="str">
        <f t="shared" ca="1" si="20"/>
        <v>D.9.238</v>
      </c>
      <c r="B238" s="654" t="str">
        <f t="shared" ca="1" si="21"/>
        <v>9.238</v>
      </c>
      <c r="C238" s="585">
        <f>ROW()</f>
        <v>238</v>
      </c>
      <c r="D238" s="1122" t="s">
        <v>857</v>
      </c>
      <c r="E238" s="637" t="s">
        <v>568</v>
      </c>
      <c r="G238" s="811"/>
    </row>
    <row r="239" spans="1:7">
      <c r="A239" s="654" t="str">
        <f t="shared" ca="1" si="20"/>
        <v>D.9.239</v>
      </c>
      <c r="B239" s="654" t="str">
        <f t="shared" ca="1" si="21"/>
        <v>9.239</v>
      </c>
      <c r="C239" s="585">
        <f>ROW()</f>
        <v>239</v>
      </c>
      <c r="D239" s="1118" t="s">
        <v>567</v>
      </c>
      <c r="G239" s="811"/>
    </row>
    <row r="240" spans="1:7">
      <c r="A240" s="654" t="str">
        <f t="shared" ca="1" si="30"/>
        <v>D.9.240</v>
      </c>
      <c r="B240" s="654" t="str">
        <f t="shared" ca="1" si="31"/>
        <v>9.240</v>
      </c>
      <c r="C240" s="585">
        <f>ROW()</f>
        <v>240</v>
      </c>
      <c r="D240" s="1108"/>
      <c r="G240" s="811"/>
    </row>
    <row r="241" spans="1:7" ht="39">
      <c r="A241" s="654" t="str">
        <f t="shared" ca="1" si="30"/>
        <v>D.9.241</v>
      </c>
      <c r="B241" s="654" t="str">
        <f t="shared" ca="1" si="31"/>
        <v>9.241</v>
      </c>
      <c r="C241" s="585">
        <f>ROW()</f>
        <v>241</v>
      </c>
      <c r="D241" s="1108" t="s">
        <v>931</v>
      </c>
      <c r="E241" s="633" t="s">
        <v>568</v>
      </c>
      <c r="G241" s="811"/>
    </row>
    <row r="242" spans="1:7">
      <c r="A242" s="654" t="str">
        <f t="shared" ca="1" si="30"/>
        <v>D.9.242</v>
      </c>
      <c r="B242" s="654" t="str">
        <f t="shared" ca="1" si="31"/>
        <v>9.242</v>
      </c>
      <c r="C242" s="585">
        <f>ROW()</f>
        <v>242</v>
      </c>
      <c r="D242" s="1118" t="s">
        <v>932</v>
      </c>
      <c r="G242" s="811"/>
    </row>
    <row r="243" spans="1:7">
      <c r="A243" s="654" t="str">
        <f t="shared" ref="A243" ca="1" si="68">AB$1&amp;ROW()</f>
        <v>D.9.243</v>
      </c>
      <c r="B243" s="654" t="str">
        <f t="shared" ref="B243" ca="1" si="69">AE$1&amp;ROW()</f>
        <v>9.243</v>
      </c>
      <c r="C243" s="585">
        <f>ROW()</f>
        <v>243</v>
      </c>
      <c r="D243" s="1108"/>
      <c r="G243" s="811"/>
    </row>
    <row r="244" spans="1:7" ht="39">
      <c r="A244" s="654" t="str">
        <f t="shared" ca="1" si="30"/>
        <v>D.9.244</v>
      </c>
      <c r="B244" s="654" t="str">
        <f t="shared" ca="1" si="31"/>
        <v>9.244</v>
      </c>
      <c r="C244" s="585">
        <f>ROW()</f>
        <v>244</v>
      </c>
      <c r="D244" s="1108" t="s">
        <v>619</v>
      </c>
      <c r="E244" s="633" t="s">
        <v>620</v>
      </c>
      <c r="G244" s="811"/>
    </row>
    <row r="245" spans="1:7">
      <c r="A245" s="654" t="str">
        <f t="shared" ca="1" si="30"/>
        <v>D.9.245</v>
      </c>
      <c r="B245" s="654" t="str">
        <f t="shared" ca="1" si="31"/>
        <v>9.245</v>
      </c>
      <c r="C245" s="585">
        <f>ROW()</f>
        <v>245</v>
      </c>
      <c r="D245" s="1110" t="s">
        <v>618</v>
      </c>
      <c r="G245" s="811"/>
    </row>
    <row r="246" spans="1:7">
      <c r="A246" s="654" t="str">
        <f t="shared" ca="1" si="20"/>
        <v>D.9.246</v>
      </c>
      <c r="B246" s="654" t="str">
        <f t="shared" ca="1" si="21"/>
        <v>9.246</v>
      </c>
      <c r="C246" s="585">
        <f>ROW()</f>
        <v>246</v>
      </c>
      <c r="D246" s="1108"/>
      <c r="G246" s="811"/>
    </row>
    <row r="247" spans="1:7" ht="26">
      <c r="A247" s="654" t="str">
        <f t="shared" ca="1" si="20"/>
        <v>D.9.247</v>
      </c>
      <c r="B247" s="654" t="str">
        <f t="shared" ca="1" si="21"/>
        <v>9.247</v>
      </c>
      <c r="C247" s="585">
        <f>ROW()</f>
        <v>247</v>
      </c>
      <c r="D247" s="1108" t="s">
        <v>542</v>
      </c>
      <c r="G247" s="811"/>
    </row>
    <row r="248" spans="1:7">
      <c r="A248" s="654" t="str">
        <f t="shared" ca="1" si="20"/>
        <v>D.9.248</v>
      </c>
      <c r="B248" s="654" t="str">
        <f t="shared" ca="1" si="21"/>
        <v>9.248</v>
      </c>
      <c r="C248" s="585">
        <f>ROW()</f>
        <v>248</v>
      </c>
      <c r="D248" s="1108"/>
      <c r="G248" s="811"/>
    </row>
    <row r="249" spans="1:7">
      <c r="A249" s="654" t="str">
        <f t="shared" ca="1" si="20"/>
        <v>D.9.249</v>
      </c>
      <c r="B249" s="654" t="str">
        <f t="shared" ca="1" si="21"/>
        <v>9.249</v>
      </c>
      <c r="C249" s="585">
        <f>ROW()</f>
        <v>249</v>
      </c>
      <c r="D249" s="1108" t="s">
        <v>738</v>
      </c>
      <c r="E249" s="633" t="s">
        <v>739</v>
      </c>
      <c r="G249" s="811"/>
    </row>
    <row r="250" spans="1:7">
      <c r="A250" s="654" t="str">
        <f t="shared" ca="1" si="20"/>
        <v>D.9.250</v>
      </c>
      <c r="B250" s="654" t="str">
        <f t="shared" ca="1" si="21"/>
        <v>9.250</v>
      </c>
      <c r="C250" s="585">
        <f>ROW()</f>
        <v>250</v>
      </c>
      <c r="D250" s="1110" t="s">
        <v>737</v>
      </c>
      <c r="G250" s="811"/>
    </row>
    <row r="251" spans="1:7">
      <c r="A251" s="654" t="str">
        <f t="shared" ref="A251:A253" ca="1" si="70">AB$1&amp;ROW()</f>
        <v>D.9.251</v>
      </c>
      <c r="B251" s="654" t="str">
        <f t="shared" ref="B251:B253" ca="1" si="71">AE$1&amp;ROW()</f>
        <v>9.251</v>
      </c>
      <c r="C251" s="585">
        <f>ROW()</f>
        <v>251</v>
      </c>
      <c r="D251" s="1108"/>
      <c r="G251" s="811"/>
    </row>
    <row r="252" spans="1:7" ht="27" customHeight="1">
      <c r="A252" s="654" t="str">
        <f t="shared" ca="1" si="70"/>
        <v>D.9.252</v>
      </c>
      <c r="B252" s="654" t="str">
        <f t="shared" ca="1" si="71"/>
        <v>9.252</v>
      </c>
      <c r="C252" s="585">
        <f>ROW()</f>
        <v>252</v>
      </c>
      <c r="D252" s="1108" t="s">
        <v>856</v>
      </c>
      <c r="G252" s="811"/>
    </row>
    <row r="253" spans="1:7">
      <c r="A253" s="654" t="str">
        <f t="shared" ca="1" si="70"/>
        <v>D.9.253</v>
      </c>
      <c r="B253" s="654" t="str">
        <f t="shared" ca="1" si="71"/>
        <v>9.253</v>
      </c>
      <c r="C253" s="585">
        <f>ROW()</f>
        <v>253</v>
      </c>
      <c r="D253" s="1109" t="s">
        <v>570</v>
      </c>
      <c r="G253" s="811"/>
    </row>
    <row r="254" spans="1:7">
      <c r="A254" s="27" t="str">
        <f t="shared" ca="1" si="2"/>
        <v>D.9.254</v>
      </c>
      <c r="B254" s="27" t="str">
        <f t="shared" ca="1" si="3"/>
        <v>9.254</v>
      </c>
      <c r="C254" s="585">
        <f>ROW()</f>
        <v>254</v>
      </c>
      <c r="D254" s="1108"/>
      <c r="G254" s="811"/>
    </row>
    <row r="255" spans="1:7">
      <c r="A255" s="27" t="str">
        <f t="shared" ca="1" si="2"/>
        <v>D.9.255</v>
      </c>
      <c r="B255" s="27" t="str">
        <f t="shared" ca="1" si="3"/>
        <v>9.255</v>
      </c>
      <c r="C255" s="585">
        <f>ROW()</f>
        <v>255</v>
      </c>
      <c r="D255" s="1108" t="s">
        <v>517</v>
      </c>
      <c r="E255" s="633" t="s">
        <v>518</v>
      </c>
      <c r="G255" s="811"/>
    </row>
    <row r="256" spans="1:7">
      <c r="A256" s="27" t="str">
        <f t="shared" ca="1" si="2"/>
        <v>D.9.256</v>
      </c>
      <c r="B256" s="27" t="str">
        <f t="shared" ca="1" si="3"/>
        <v>9.256</v>
      </c>
      <c r="C256" s="585">
        <f>ROW()</f>
        <v>256</v>
      </c>
      <c r="D256" s="1123" t="s">
        <v>516</v>
      </c>
      <c r="G256" s="811"/>
    </row>
    <row r="257" spans="1:7">
      <c r="A257" s="654" t="str">
        <f t="shared" ref="A257:A262" ca="1" si="72">AB$1&amp;ROW()</f>
        <v>D.9.257</v>
      </c>
      <c r="B257" s="654" t="str">
        <f t="shared" ref="B257:B262" ca="1" si="73">AE$1&amp;ROW()</f>
        <v>9.257</v>
      </c>
      <c r="C257" s="585">
        <f>ROW()</f>
        <v>257</v>
      </c>
      <c r="D257" s="1108"/>
      <c r="G257" s="811"/>
    </row>
    <row r="258" spans="1:7">
      <c r="A258" s="654" t="str">
        <f t="shared" ca="1" si="72"/>
        <v>D.9.258</v>
      </c>
      <c r="B258" s="654" t="str">
        <f t="shared" ca="1" si="73"/>
        <v>9.258</v>
      </c>
      <c r="C258" s="585">
        <f>ROW()</f>
        <v>258</v>
      </c>
      <c r="D258" s="1108" t="s">
        <v>786</v>
      </c>
      <c r="E258" s="633" t="s">
        <v>126</v>
      </c>
      <c r="G258" s="811"/>
    </row>
    <row r="259" spans="1:7">
      <c r="A259" s="654" t="str">
        <f t="shared" ca="1" si="72"/>
        <v>D.9.259</v>
      </c>
      <c r="B259" s="654" t="str">
        <f t="shared" ca="1" si="73"/>
        <v>9.259</v>
      </c>
      <c r="C259" s="585">
        <f>ROW()</f>
        <v>259</v>
      </c>
      <c r="D259" s="1110" t="s">
        <v>787</v>
      </c>
      <c r="G259" s="811"/>
    </row>
    <row r="260" spans="1:7">
      <c r="A260" s="654" t="str">
        <f t="shared" ca="1" si="72"/>
        <v>D.9.260</v>
      </c>
      <c r="B260" s="654" t="str">
        <f t="shared" ca="1" si="73"/>
        <v>9.260</v>
      </c>
      <c r="C260" s="585">
        <f>ROW()</f>
        <v>260</v>
      </c>
      <c r="D260" s="1108"/>
      <c r="G260" s="811"/>
    </row>
    <row r="261" spans="1:7" ht="26">
      <c r="A261" s="654" t="str">
        <f t="shared" ca="1" si="72"/>
        <v>D.9.261</v>
      </c>
      <c r="B261" s="654" t="str">
        <f t="shared" ca="1" si="73"/>
        <v>9.261</v>
      </c>
      <c r="C261" s="585">
        <f>ROW()</f>
        <v>261</v>
      </c>
      <c r="D261" s="1108" t="s">
        <v>807</v>
      </c>
      <c r="E261" s="633" t="s">
        <v>126</v>
      </c>
      <c r="G261" s="811"/>
    </row>
    <row r="262" spans="1:7" ht="24">
      <c r="A262" s="654" t="str">
        <f t="shared" ca="1" si="72"/>
        <v>D.9.262</v>
      </c>
      <c r="B262" s="654" t="str">
        <f t="shared" ca="1" si="73"/>
        <v>9.262</v>
      </c>
      <c r="C262" s="585">
        <f>ROW()</f>
        <v>262</v>
      </c>
      <c r="D262" s="1110" t="s">
        <v>806</v>
      </c>
      <c r="G262" s="811"/>
    </row>
    <row r="263" spans="1:7">
      <c r="A263" s="27" t="str">
        <f t="shared" ca="1" si="30"/>
        <v>D.9.263</v>
      </c>
      <c r="B263" s="27" t="str">
        <f t="shared" ca="1" si="31"/>
        <v>9.263</v>
      </c>
      <c r="C263" s="585">
        <f>ROW()</f>
        <v>263</v>
      </c>
      <c r="D263" s="1108"/>
      <c r="G263" s="811"/>
    </row>
    <row r="264" spans="1:7">
      <c r="A264" s="27" t="str">
        <f t="shared" ca="1" si="30"/>
        <v>D.9.264</v>
      </c>
      <c r="B264" s="27" t="str">
        <f t="shared" ca="1" si="31"/>
        <v>9.264</v>
      </c>
      <c r="C264" s="585">
        <f>ROW()</f>
        <v>264</v>
      </c>
      <c r="D264" s="1108" t="s">
        <v>295</v>
      </c>
      <c r="E264" s="633" t="s">
        <v>297</v>
      </c>
      <c r="G264" s="811"/>
    </row>
    <row r="265" spans="1:7">
      <c r="A265" s="27" t="str">
        <f t="shared" ca="1" si="30"/>
        <v>D.9.265</v>
      </c>
      <c r="B265" s="27" t="str">
        <f t="shared" ca="1" si="31"/>
        <v>9.265</v>
      </c>
      <c r="C265" s="585">
        <f>ROW()</f>
        <v>265</v>
      </c>
      <c r="D265" s="1110" t="s">
        <v>296</v>
      </c>
      <c r="G265" s="811"/>
    </row>
    <row r="266" spans="1:7">
      <c r="A266" s="654" t="str">
        <f t="shared" ca="1" si="30"/>
        <v>D.9.266</v>
      </c>
      <c r="B266" s="654" t="str">
        <f t="shared" ca="1" si="31"/>
        <v>9.266</v>
      </c>
      <c r="C266" s="585">
        <f>ROW()</f>
        <v>266</v>
      </c>
      <c r="D266" s="1108"/>
      <c r="G266" s="811"/>
    </row>
    <row r="267" spans="1:7">
      <c r="A267" s="654" t="str">
        <f t="shared" ca="1" si="30"/>
        <v>D.9.267</v>
      </c>
      <c r="B267" s="654" t="str">
        <f t="shared" ca="1" si="31"/>
        <v>9.267</v>
      </c>
      <c r="C267" s="585">
        <f>ROW()</f>
        <v>267</v>
      </c>
      <c r="D267" s="1108" t="s">
        <v>579</v>
      </c>
      <c r="G267" s="811"/>
    </row>
    <row r="268" spans="1:7">
      <c r="A268" s="654" t="str">
        <f t="shared" ca="1" si="30"/>
        <v>D.9.268</v>
      </c>
      <c r="B268" s="654" t="str">
        <f t="shared" ca="1" si="31"/>
        <v>9.268</v>
      </c>
      <c r="C268" s="585">
        <f>ROW()</f>
        <v>268</v>
      </c>
      <c r="D268" s="1110" t="s">
        <v>580</v>
      </c>
      <c r="G268" s="811"/>
    </row>
    <row r="269" spans="1:7">
      <c r="A269" s="654" t="str">
        <f t="shared" ref="A269:A270" ca="1" si="74">AB$1&amp;ROW()</f>
        <v>D.9.269</v>
      </c>
      <c r="B269" s="654" t="str">
        <f t="shared" ref="B269:B270" ca="1" si="75">AE$1&amp;ROW()</f>
        <v>9.269</v>
      </c>
      <c r="C269" s="585">
        <f>ROW()</f>
        <v>269</v>
      </c>
      <c r="D269" s="1108"/>
      <c r="G269" s="811"/>
    </row>
    <row r="270" spans="1:7" ht="26">
      <c r="A270" s="654" t="str">
        <f t="shared" ca="1" si="74"/>
        <v>D.9.270</v>
      </c>
      <c r="B270" s="654" t="str">
        <f t="shared" ca="1" si="75"/>
        <v>9.270</v>
      </c>
      <c r="C270" s="585">
        <f>ROW()</f>
        <v>270</v>
      </c>
      <c r="D270" s="1108" t="s">
        <v>760</v>
      </c>
      <c r="E270" s="633" t="s">
        <v>761</v>
      </c>
      <c r="G270" s="811"/>
    </row>
    <row r="271" spans="1:7">
      <c r="A271" s="654" t="str">
        <f t="shared" ca="1" si="28"/>
        <v>D.9.271</v>
      </c>
      <c r="B271" s="654" t="str">
        <f t="shared" ca="1" si="29"/>
        <v>9.271</v>
      </c>
      <c r="C271" s="585">
        <f>ROW()</f>
        <v>271</v>
      </c>
      <c r="D271" s="1110" t="s">
        <v>762</v>
      </c>
      <c r="G271" s="811"/>
    </row>
  </sheetData>
  <sheetProtection algorithmName="SHA-512" hashValue="qMr9EyfxTuFc5FZoGqPAal+nKCWCjOLNVyhLIZ3KlIALsaKVz+x3wcHRFA/pAguExjoiht0chYEXzwjbCV30TA==" saltValue="ZMHMq3QD+YDbGp9v4gSNfA==" spinCount="100000" sheet="1" objects="1" scenarios="1" formatRows="0"/>
  <hyperlinks>
    <hyperlink ref="D212" r:id="rId1" xr:uid="{00000000-0004-0000-0300-000000000000}"/>
    <hyperlink ref="D233" r:id="rId2" xr:uid="{00000000-0004-0000-0300-000001000000}"/>
    <hyperlink ref="D97" r:id="rId3" xr:uid="{00000000-0004-0000-0300-000002000000}"/>
    <hyperlink ref="D265" r:id="rId4" xr:uid="{00000000-0004-0000-0300-000003000000}"/>
    <hyperlink ref="D162" r:id="rId5" location="!menubar/stats.html " xr:uid="{00000000-0004-0000-0300-000004000000}"/>
    <hyperlink ref="D67" r:id="rId6" xr:uid="{00000000-0004-0000-0300-000005000000}"/>
    <hyperlink ref="D94" r:id="rId7" xr:uid="{00000000-0004-0000-0300-000006000000}"/>
    <hyperlink ref="D118" r:id="rId8" xr:uid="{00000000-0004-0000-0300-000007000000}"/>
    <hyperlink ref="D26" r:id="rId9" xr:uid="{00000000-0004-0000-0300-000008000000}"/>
    <hyperlink ref="D85" r:id="rId10" xr:uid="{00000000-0004-0000-0300-000009000000}"/>
    <hyperlink ref="D130" r:id="rId11" xr:uid="{00000000-0004-0000-0300-00000A000000}"/>
    <hyperlink ref="D100" r:id="rId12" xr:uid="{00000000-0004-0000-0300-00000B000000}"/>
    <hyperlink ref="D203" r:id="rId13" xr:uid="{00000000-0004-0000-0300-00000C000000}"/>
    <hyperlink ref="D145" r:id="rId14" xr:uid="{00000000-0004-0000-0300-00000D000000}"/>
    <hyperlink ref="D133" r:id="rId15" xr:uid="{00000000-0004-0000-0300-00000E000000}"/>
    <hyperlink ref="D224" r:id="rId16" xr:uid="{00000000-0004-0000-0300-00000F000000}"/>
    <hyperlink ref="D194" r:id="rId17" xr:uid="{00000000-0004-0000-0300-000010000000}"/>
    <hyperlink ref="D209" r:id="rId18" xr:uid="{00000000-0004-0000-0300-000011000000}"/>
    <hyperlink ref="D148" r:id="rId19" xr:uid="{00000000-0004-0000-0300-000012000000}"/>
    <hyperlink ref="D180" r:id="rId20" xr:uid="{00000000-0004-0000-0300-000013000000}"/>
    <hyperlink ref="D230" r:id="rId21" xr:uid="{00000000-0004-0000-0300-000014000000}"/>
    <hyperlink ref="D227" r:id="rId22" xr:uid="{00000000-0004-0000-0300-000015000000}"/>
    <hyperlink ref="D256" r:id="rId23" xr:uid="{00000000-0004-0000-0300-000016000000}"/>
    <hyperlink ref="D5" r:id="rId24" xr:uid="{00000000-0004-0000-0300-000017000000}"/>
    <hyperlink ref="D91" r:id="rId25" xr:uid="{00000000-0004-0000-0300-000018000000}"/>
    <hyperlink ref="D46" r:id="rId26" xr:uid="{00000000-0004-0000-0300-000019000000}"/>
    <hyperlink ref="D239" r:id="rId27" xr:uid="{00000000-0004-0000-0300-00001A000000}"/>
    <hyperlink ref="D253" r:id="rId28" xr:uid="{00000000-0004-0000-0300-00001B000000}"/>
    <hyperlink ref="D268" r:id="rId29" xr:uid="{00000000-0004-0000-0300-00001C000000}"/>
    <hyperlink ref="D43" r:id="rId30" xr:uid="{00000000-0004-0000-0300-00001D000000}"/>
    <hyperlink ref="D82" r:id="rId31" xr:uid="{00000000-0004-0000-0300-00001E000000}"/>
    <hyperlink ref="D14" r:id="rId32" xr:uid="{00000000-0004-0000-0300-00001F000000}"/>
    <hyperlink ref="D23" r:id="rId33" xr:uid="{00000000-0004-0000-0300-000020000000}"/>
    <hyperlink ref="D17" r:id="rId34" xr:uid="{00000000-0004-0000-0300-000021000000}"/>
    <hyperlink ref="D20" r:id="rId35" xr:uid="{00000000-0004-0000-0300-000022000000}"/>
    <hyperlink ref="D11" r:id="rId36" xr:uid="{00000000-0004-0000-0300-000023000000}"/>
    <hyperlink ref="D245" r:id="rId37" xr:uid="{00000000-0004-0000-0300-000024000000}"/>
    <hyperlink ref="D32" r:id="rId38" display="http://www.ag-energiebilanzen.de/index.php?article_id=29&amp;fileName=druck_eb2011_23042013.xlsx " xr:uid="{00000000-0004-0000-0300-000025000000}"/>
    <hyperlink ref="D61" r:id="rId39" xr:uid="{00000000-0004-0000-0300-000026000000}"/>
    <hyperlink ref="D142" r:id="rId40" xr:uid="{00000000-0004-0000-0300-000027000000}"/>
    <hyperlink ref="D191" r:id="rId41" xr:uid="{00000000-0004-0000-0300-000028000000}"/>
    <hyperlink ref="D250" r:id="rId42" xr:uid="{00000000-0004-0000-0300-000029000000}"/>
    <hyperlink ref="D64" r:id="rId43" xr:uid="{00000000-0004-0000-0300-00002A000000}"/>
    <hyperlink ref="D171" r:id="rId44" xr:uid="{00000000-0004-0000-0300-00002B000000}"/>
    <hyperlink ref="D174" r:id="rId45" xr:uid="{00000000-0004-0000-0300-00002C000000}"/>
    <hyperlink ref="D271" r:id="rId46" xr:uid="{00000000-0004-0000-0300-00002D000000}"/>
    <hyperlink ref="D259" r:id="rId47" xr:uid="{00000000-0004-0000-0300-00002E000000}"/>
    <hyperlink ref="D124" r:id="rId48" xr:uid="{00000000-0004-0000-0300-00002F000000}"/>
    <hyperlink ref="D262" r:id="rId49" xr:uid="{00000000-0004-0000-0300-000030000000}"/>
    <hyperlink ref="D168" r:id="rId50" xr:uid="{00000000-0004-0000-0300-000031000000}"/>
    <hyperlink ref="D109" r:id="rId51" xr:uid="{00000000-0004-0000-0300-000032000000}"/>
    <hyperlink ref="D35" r:id="rId52" xr:uid="{00000000-0004-0000-0300-000033000000}"/>
    <hyperlink ref="D177" r:id="rId53" xr:uid="{00000000-0004-0000-0300-000034000000}"/>
    <hyperlink ref="D58" r:id="rId54" xr:uid="{00000000-0004-0000-0300-000035000000}"/>
    <hyperlink ref="D8" r:id="rId55" xr:uid="{00000000-0004-0000-0300-000036000000}"/>
    <hyperlink ref="D115" r:id="rId56" xr:uid="{00000000-0004-0000-0300-000037000000}"/>
    <hyperlink ref="D136" r:id="rId57" xr:uid="{00000000-0004-0000-0300-000038000000}"/>
    <hyperlink ref="D139" r:id="rId58" xr:uid="{00000000-0004-0000-0300-000039000000}"/>
    <hyperlink ref="D200" r:id="rId59" xr:uid="{00000000-0004-0000-0300-00003A000000}"/>
    <hyperlink ref="D40" r:id="rId60" xr:uid="{00000000-0004-0000-0300-00003B000000}"/>
    <hyperlink ref="D106" r:id="rId61" xr:uid="{00000000-0004-0000-0300-00003C000000}"/>
    <hyperlink ref="D236" r:id="rId62" location="Tabellen " xr:uid="{00000000-0004-0000-0300-00003D000000}"/>
    <hyperlink ref="D151" r:id="rId63" xr:uid="{00000000-0004-0000-0300-00003E000000}"/>
    <hyperlink ref="D55" r:id="rId64" xr:uid="{00000000-0004-0000-0300-00003F000000}"/>
    <hyperlink ref="D159" r:id="rId65" xr:uid="{00000000-0004-0000-0300-000040000000}"/>
    <hyperlink ref="D76" r:id="rId66" xr:uid="{00000000-0004-0000-0300-000041000000}"/>
    <hyperlink ref="D218" r:id="rId67" xr:uid="{00000000-0004-0000-0300-000042000000}"/>
    <hyperlink ref="D88" r:id="rId68" xr:uid="{00000000-0004-0000-0300-000043000000}"/>
    <hyperlink ref="D49" r:id="rId69" xr:uid="{00000000-0004-0000-0300-000044000000}"/>
    <hyperlink ref="D73" r:id="rId70" xr:uid="{00000000-0004-0000-0300-000045000000}"/>
    <hyperlink ref="D103" r:id="rId71" xr:uid="{00000000-0004-0000-0300-000046000000}"/>
    <hyperlink ref="D215" r:id="rId72" xr:uid="{00000000-0004-0000-0300-000047000000}"/>
    <hyperlink ref="D70" r:id="rId73" xr:uid="{00000000-0004-0000-0300-000048000000}"/>
    <hyperlink ref="D165" r:id="rId74" xr:uid="{00000000-0004-0000-0300-000049000000}"/>
    <hyperlink ref="D206" r:id="rId75" xr:uid="{00000000-0004-0000-0300-00004A000000}"/>
    <hyperlink ref="D79" r:id="rId76" xr:uid="{1A350DE3-A60E-41CC-847A-6CD48831783D}"/>
    <hyperlink ref="D52" r:id="rId77" location="c214742 " xr:uid="{109DA565-9032-4BAF-A608-92482E20E1F8}"/>
    <hyperlink ref="D156" r:id="rId78" xr:uid="{213562D3-C2D3-4E12-BBAE-A0137285021F}"/>
    <hyperlink ref="D127" r:id="rId79" xr:uid="{F6109404-E585-4546-906A-EE71059CCCDE}"/>
    <hyperlink ref="D197" r:id="rId80" xr:uid="{18FE71D0-170B-44B2-AD74-1E65C97F948C}"/>
    <hyperlink ref="D221" r:id="rId81" xr:uid="{ECF636B0-12AB-49EC-A56B-D7585985FED1}"/>
  </hyperlinks>
  <pageMargins left="0.70866141732283472" right="0.51181102362204722" top="0.74803149606299213" bottom="0.74803149606299213" header="0.31496062992125984" footer="0.31496062992125984"/>
  <pageSetup paperSize="9" orientation="portrait" horizontalDpi="1200" verticalDpi="1200" r:id="rId82"/>
  <headerFooter>
    <oddFooter>&amp;R&amp;P / &amp;N</oddFooter>
  </headerFooter>
  <legacyDrawing r:id="rId83"/>
  <extLst>
    <ext xmlns:x14="http://schemas.microsoft.com/office/spreadsheetml/2009/9/main" uri="{78C0D931-6437-407d-A8EE-F0AAD7539E65}">
      <x14:conditionalFormattings>
        <x14:conditionalFormatting xmlns:xm="http://schemas.microsoft.com/office/excel/2006/main">
          <x14:cfRule type="expression" priority="1" id="{7FA9B785-E121-4A7C-BB1C-72F26675005A}">
            <xm:f>Stempel!$B$4=0</xm:f>
            <x14:dxf>
              <font>
                <color rgb="FFFF0000"/>
              </font>
            </x14:dxf>
          </x14:cfRule>
          <xm:sqref>D1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P211"/>
  <sheetViews>
    <sheetView topLeftCell="A184" workbookViewId="0">
      <selection activeCell="N212" sqref="N212"/>
    </sheetView>
  </sheetViews>
  <sheetFormatPr baseColWidth="10" defaultRowHeight="15"/>
  <cols>
    <col min="1" max="1" width="5" style="588" customWidth="1"/>
    <col min="2" max="2" width="7.5" customWidth="1"/>
    <col min="3" max="3" width="1.83203125" hidden="1" customWidth="1"/>
    <col min="4" max="4" width="3.1640625" hidden="1" customWidth="1"/>
    <col min="5" max="5" width="2.83203125" hidden="1" customWidth="1"/>
    <col min="6" max="6" width="49" bestFit="1" customWidth="1"/>
    <col min="7" max="7" width="11.5" hidden="1" customWidth="1"/>
    <col min="8" max="10" width="10.83203125" hidden="1" customWidth="1"/>
    <col min="12" max="12" width="11.5" customWidth="1"/>
    <col min="13" max="13" width="11.5" hidden="1" customWidth="1"/>
  </cols>
  <sheetData>
    <row r="1" spans="1:14" s="16" customFormat="1">
      <c r="A1" s="588">
        <f>ROW()</f>
        <v>1</v>
      </c>
      <c r="F1" s="564" t="s">
        <v>315</v>
      </c>
      <c r="L1" s="564" t="str">
        <f ca="1">'1.'!CJ1</f>
        <v>[D_Python.xlsx]</v>
      </c>
    </row>
    <row r="2" spans="1:14" s="16" customFormat="1">
      <c r="A2" s="588">
        <f>ROW()</f>
        <v>2</v>
      </c>
      <c r="B2" s="16" t="str">
        <f ca="1">'1.'!A3</f>
        <v>D.1.3</v>
      </c>
      <c r="C2" s="16" t="str">
        <f ca="1">'1.'!B3</f>
        <v>1.3</v>
      </c>
      <c r="D2" s="16">
        <f>'1.'!C3</f>
        <v>0</v>
      </c>
      <c r="E2" s="16" t="str">
        <f ca="1">'1.'!D3</f>
        <v>D.1. Datenmodell 'Deutschland 100%EE' (200822)</v>
      </c>
      <c r="F2" s="16">
        <f>'1.'!E3</f>
        <v>0</v>
      </c>
      <c r="G2" s="16">
        <f>'1.'!F3</f>
        <v>0</v>
      </c>
      <c r="H2" s="16">
        <f>'1.'!G3</f>
        <v>0</v>
      </c>
      <c r="I2" s="16">
        <f>'1.'!H3</f>
        <v>0</v>
      </c>
      <c r="J2" s="16">
        <f>'1.'!I3</f>
        <v>0</v>
      </c>
      <c r="K2" s="16" t="str">
        <f>'1.'!J3</f>
        <v>Einheit</v>
      </c>
      <c r="L2" s="16" t="str">
        <f>'1.'!K3</f>
        <v>STATUS</v>
      </c>
      <c r="M2" s="16">
        <f>'1.'!L3</f>
        <v>0</v>
      </c>
      <c r="N2" s="16" t="str">
        <f>'1.'!M3</f>
        <v>ZIEL</v>
      </c>
    </row>
    <row r="3" spans="1:14" s="16" customFormat="1">
      <c r="A3" s="588">
        <f>ROW()</f>
        <v>3</v>
      </c>
      <c r="B3" s="16" t="str">
        <f ca="1">'1.'!A5</f>
        <v>D.1.5</v>
      </c>
      <c r="C3" s="16" t="str">
        <f ca="1">'1.'!B5</f>
        <v>1.5</v>
      </c>
      <c r="D3" s="16" t="str">
        <f>'1.'!C5</f>
        <v>[5]</v>
      </c>
      <c r="E3" s="16">
        <f>'1.'!D5</f>
        <v>5</v>
      </c>
      <c r="F3" s="176" t="str">
        <f>'1.'!E5</f>
        <v>Szenario-Grunddaten</v>
      </c>
      <c r="G3" s="16">
        <f>'1.'!F5</f>
        <v>0</v>
      </c>
      <c r="H3" s="16">
        <f>'1.'!G5</f>
        <v>0</v>
      </c>
      <c r="I3" s="16">
        <f>'1.'!H5</f>
        <v>0</v>
      </c>
      <c r="J3" s="16">
        <f>'1.'!I5</f>
        <v>0</v>
      </c>
      <c r="K3" s="16">
        <f>'1.'!J5</f>
        <v>0</v>
      </c>
      <c r="L3" s="16">
        <f>'1.'!K5</f>
        <v>0</v>
      </c>
      <c r="M3" s="16">
        <f>'1.'!L5</f>
        <v>0</v>
      </c>
      <c r="N3" s="16">
        <f>'1.'!M5</f>
        <v>0</v>
      </c>
    </row>
    <row r="4" spans="1:14" s="16" customFormat="1">
      <c r="A4" s="588">
        <f>ROW()</f>
        <v>4</v>
      </c>
      <c r="B4" s="16" t="str">
        <f ca="1">'1.'!A7</f>
        <v>D.1.7</v>
      </c>
      <c r="C4" s="16" t="str">
        <f ca="1">'1.'!B7</f>
        <v>1.7</v>
      </c>
      <c r="D4" s="16" t="str">
        <f>'1.'!C7</f>
        <v>[7]</v>
      </c>
      <c r="E4" s="16">
        <f>'1.'!D7</f>
        <v>7</v>
      </c>
      <c r="F4" s="16" t="str">
        <f>'1.'!E7</f>
        <v>Zielregion / Szenario</v>
      </c>
      <c r="G4" s="16">
        <f>'1.'!F7</f>
        <v>0</v>
      </c>
      <c r="H4" s="16">
        <f>'1.'!G7</f>
        <v>0</v>
      </c>
      <c r="I4" s="16">
        <f>'1.'!H7</f>
        <v>0</v>
      </c>
      <c r="J4" s="16">
        <f>'1.'!I7</f>
        <v>0</v>
      </c>
      <c r="K4" s="16" t="str">
        <f ca="1">'1.'!J7</f>
        <v>Deutschland 100%EE</v>
      </c>
      <c r="L4" s="16">
        <f>'1.'!K7</f>
        <v>0</v>
      </c>
      <c r="M4" s="16">
        <f>'1.'!L7</f>
        <v>0</v>
      </c>
      <c r="N4" s="16">
        <f>'1.'!M7</f>
        <v>0</v>
      </c>
    </row>
    <row r="5" spans="1:14" s="16" customFormat="1">
      <c r="A5" s="588">
        <f>ROW()</f>
        <v>5</v>
      </c>
      <c r="B5" s="16" t="str">
        <f ca="1">'1.'!A10</f>
        <v>D.1.10</v>
      </c>
      <c r="C5" s="16" t="str">
        <f ca="1">'1.'!B10</f>
        <v>1.10</v>
      </c>
      <c r="D5" s="16" t="str">
        <f>'1.'!C10</f>
        <v>[10]</v>
      </c>
      <c r="E5" s="16">
        <f>'1.'!D10</f>
        <v>10</v>
      </c>
      <c r="F5" s="16" t="str">
        <f>'1.'!E10</f>
        <v>Regions-Kennung</v>
      </c>
      <c r="G5" s="16">
        <f>'1.'!F10</f>
        <v>0</v>
      </c>
      <c r="H5" s="16">
        <f>'1.'!G10</f>
        <v>0</v>
      </c>
      <c r="I5" s="16">
        <f>'1.'!H10</f>
        <v>0</v>
      </c>
      <c r="J5" s="16">
        <f>'1.'!I10</f>
        <v>0</v>
      </c>
      <c r="K5" s="16" t="str">
        <f ca="1">'1.'!J10</f>
        <v>D</v>
      </c>
      <c r="L5" s="16">
        <f>'1.'!K10</f>
        <v>0</v>
      </c>
      <c r="M5" s="16">
        <f>'1.'!L10</f>
        <v>0</v>
      </c>
      <c r="N5" s="16">
        <f>'1.'!M10</f>
        <v>0</v>
      </c>
    </row>
    <row r="6" spans="1:14" s="16" customFormat="1">
      <c r="A6" s="588">
        <f>ROW()</f>
        <v>6</v>
      </c>
      <c r="B6" s="16" t="str">
        <f ca="1">'1.'!A13</f>
        <v>D.1.13</v>
      </c>
      <c r="C6" s="16" t="str">
        <f ca="1">'1.'!B13</f>
        <v>1.13</v>
      </c>
      <c r="D6" s="16" t="str">
        <f>'1.'!C13</f>
        <v>[13]</v>
      </c>
      <c r="E6" s="16">
        <f>'1.'!D13</f>
        <v>13</v>
      </c>
      <c r="F6" s="16" t="str">
        <f>'1.'!E13</f>
        <v>Szenario Version</v>
      </c>
      <c r="G6" s="16">
        <f>'1.'!F13</f>
        <v>0</v>
      </c>
      <c r="H6" s="16">
        <f>'1.'!G13</f>
        <v>0</v>
      </c>
      <c r="I6" s="16">
        <f>'1.'!H13</f>
        <v>0</v>
      </c>
      <c r="J6" s="16">
        <f>'1.'!I13</f>
        <v>0</v>
      </c>
      <c r="K6" s="16" t="str">
        <f ca="1">'1.'!J13</f>
        <v>200822</v>
      </c>
      <c r="L6" s="19" t="str">
        <f>'1.'!U14</f>
        <v xml:space="preserve">Vorlagen: 
Szenario Land Niedersachsen für den 2. Runden Tisch Energiewende,
Finale Version vom 26.08.2015. Edition vom 13.01.2016 (150826).
Anpassung an verfeinerte Algorithmen im Sommer 2016 (150826').
Übertragung auf Deutschland für Start BAG-Konvent Sektorenkoppelung (160616).
Unverändert übernommen für AG100prosim in (181016).
Unverändert, aber nach erneutem Feinabgleich übernommen in (191007).
Übernommen, Zieljahr von 2050 auf 2040 geändert, Kunststoffproduktion differenziert. </v>
      </c>
      <c r="M6" s="16">
        <f>'1.'!L13</f>
        <v>0</v>
      </c>
      <c r="N6" s="19" t="str">
        <f>'1.'!U18</f>
        <v>auf Grundlage 'Niedersachsen 100%EE' (150826) 
im Wissenschaftlichen Gutachten [D.9.105],
erstellt von einem Autorenteam,
vertreten durch Prof. Dr.-Ing. Martin Faulstich.</v>
      </c>
    </row>
    <row r="7" spans="1:14" s="16" customFormat="1">
      <c r="A7" s="588">
        <f>ROW()</f>
        <v>7</v>
      </c>
      <c r="B7" s="16" t="str">
        <f ca="1">'1.'!A22</f>
        <v>D.1.22</v>
      </c>
      <c r="C7" s="16" t="str">
        <f ca="1">'1.'!B22</f>
        <v>1.22</v>
      </c>
      <c r="D7" s="16" t="str">
        <f>'1.'!C22</f>
        <v>[22]</v>
      </c>
      <c r="E7" s="16">
        <f>'1.'!D22</f>
        <v>22</v>
      </c>
      <c r="F7" s="16" t="str">
        <f>'1.'!E22</f>
        <v>100prosim Softwareversion</v>
      </c>
      <c r="G7" s="16">
        <f>'1.'!F22</f>
        <v>0</v>
      </c>
      <c r="H7" s="16">
        <f>'1.'!G22</f>
        <v>0</v>
      </c>
      <c r="I7" s="16">
        <f>'1.'!H22</f>
        <v>0</v>
      </c>
      <c r="J7" s="16">
        <f>'1.'!I22</f>
        <v>0</v>
      </c>
      <c r="K7" s="16" t="str">
        <f ca="1">'1.'!J22</f>
        <v>200818.2120</v>
      </c>
      <c r="L7" s="16" t="e">
        <f>'1.'!K22</f>
        <v>#REF!</v>
      </c>
      <c r="M7" s="16" t="str">
        <f>'1.'!L22</f>
        <v xml:space="preserve"> </v>
      </c>
      <c r="N7" s="16" t="e">
        <f>'1.'!M22</f>
        <v>#REF!</v>
      </c>
    </row>
    <row r="8" spans="1:14" s="16" customFormat="1">
      <c r="A8" s="588">
        <f>ROW()</f>
        <v>8</v>
      </c>
      <c r="B8" s="16" t="str">
        <f ca="1">'1.'!A16</f>
        <v>D.1.16</v>
      </c>
      <c r="C8" s="16" t="str">
        <f ca="1">'1.'!B16</f>
        <v>1.16</v>
      </c>
      <c r="D8" s="16" t="str">
        <f>'1.'!C16</f>
        <v>[16]</v>
      </c>
      <c r="E8" s="16">
        <f>'1.'!D16</f>
        <v>16</v>
      </c>
      <c r="F8" s="16" t="str">
        <f>'1.'!E16</f>
        <v>Szenario-Realisierung</v>
      </c>
      <c r="G8" s="16">
        <f>'1.'!F16</f>
        <v>0</v>
      </c>
      <c r="H8" s="16">
        <f>'1.'!G16</f>
        <v>0</v>
      </c>
      <c r="I8" s="16">
        <f>'1.'!H16</f>
        <v>0</v>
      </c>
      <c r="J8" s="16">
        <f>'1.'!I16</f>
        <v>0</v>
      </c>
      <c r="K8" s="16" t="str">
        <f ca="1">'1.'!J16</f>
        <v xml:space="preserve">Hans-Heinrich Schmidt-Kanefendt
</v>
      </c>
      <c r="L8" s="16">
        <f>'1.'!K16</f>
        <v>0</v>
      </c>
      <c r="M8" s="16">
        <f>'1.'!L16</f>
        <v>0</v>
      </c>
      <c r="N8" s="16">
        <f>'1.'!M16</f>
        <v>0</v>
      </c>
    </row>
    <row r="9" spans="1:14" s="16" customFormat="1">
      <c r="A9" s="588">
        <f>ROW()</f>
        <v>9</v>
      </c>
      <c r="B9" s="16" t="str">
        <f ca="1">'1.'!A27</f>
        <v>D.1.27</v>
      </c>
      <c r="C9" s="16" t="str">
        <f ca="1">'1.'!B27</f>
        <v>1.27</v>
      </c>
      <c r="D9" s="16" t="str">
        <f>'1.'!C27</f>
        <v>[27]</v>
      </c>
      <c r="E9" s="16">
        <f>'1.'!D27</f>
        <v>27</v>
      </c>
      <c r="F9" s="16" t="str">
        <f>'1.'!E27</f>
        <v>Betrachtungszeitpunkte</v>
      </c>
      <c r="G9" s="16">
        <f>'1.'!F27</f>
        <v>0</v>
      </c>
      <c r="H9" s="16">
        <f>'1.'!G27</f>
        <v>0</v>
      </c>
      <c r="I9" s="16">
        <f>'1.'!H27</f>
        <v>0</v>
      </c>
      <c r="J9" s="16">
        <f>'1.'!I27</f>
        <v>0</v>
      </c>
      <c r="K9" s="16" t="str">
        <f>'1.'!J27</f>
        <v>Jahr:</v>
      </c>
      <c r="L9" s="16">
        <f ca="1">'1.'!K27</f>
        <v>2016</v>
      </c>
      <c r="M9" s="16" t="str">
        <f ca="1">'1.'!L27</f>
        <v>[28]</v>
      </c>
      <c r="N9" s="16">
        <f ca="1">'1.'!M27</f>
        <v>2040</v>
      </c>
    </row>
    <row r="10" spans="1:14">
      <c r="A10" s="588">
        <f>ROW()</f>
        <v>10</v>
      </c>
      <c r="B10" s="16" t="str">
        <f ca="1">'1.'!A32</f>
        <v>D.1.32</v>
      </c>
      <c r="C10" s="16" t="str">
        <f ca="1">'1.'!B32</f>
        <v>1.32</v>
      </c>
      <c r="D10" s="16" t="str">
        <f>'1.'!C32</f>
        <v>[32]</v>
      </c>
      <c r="E10" s="16">
        <f>'1.'!D32</f>
        <v>32</v>
      </c>
      <c r="F10" s="176" t="str">
        <f>'1.'!E32</f>
        <v>Regions-Grunddaten</v>
      </c>
      <c r="G10" s="16">
        <f>'1.'!F32</f>
        <v>0</v>
      </c>
      <c r="H10" s="16">
        <f>'1.'!G32</f>
        <v>0</v>
      </c>
      <c r="I10" s="16">
        <f>'1.'!H32</f>
        <v>0</v>
      </c>
      <c r="J10" s="16">
        <f>'1.'!I32</f>
        <v>0</v>
      </c>
      <c r="K10" s="16">
        <f>'1.'!J32</f>
        <v>0</v>
      </c>
      <c r="L10" s="16">
        <f>'1.'!K32</f>
        <v>0</v>
      </c>
      <c r="M10" s="16">
        <f>'1.'!L32</f>
        <v>0</v>
      </c>
      <c r="N10" s="16">
        <f>'1.'!M32</f>
        <v>0</v>
      </c>
    </row>
    <row r="11" spans="1:14" s="16" customFormat="1">
      <c r="A11" s="588">
        <f>ROW()</f>
        <v>11</v>
      </c>
      <c r="B11" s="16" t="str">
        <f ca="1">'1.'!A34</f>
        <v>D.1.34</v>
      </c>
      <c r="C11" s="16" t="str">
        <f ca="1">'1.'!B34</f>
        <v>1.34</v>
      </c>
      <c r="D11" s="16" t="str">
        <f>'1.'!C34</f>
        <v>[34]</v>
      </c>
      <c r="E11" s="16">
        <f>'1.'!D34</f>
        <v>34</v>
      </c>
      <c r="F11" s="16" t="str">
        <f>'1.'!E34</f>
        <v>Energieverbrauch ermittelt gemäß:</v>
      </c>
      <c r="G11" s="16">
        <f>'1.'!F34</f>
        <v>0</v>
      </c>
      <c r="H11" s="16">
        <f>'1.'!G34</f>
        <v>0</v>
      </c>
      <c r="I11" s="16">
        <f>'1.'!H34</f>
        <v>0</v>
      </c>
      <c r="J11" s="16">
        <f>'1.'!I34</f>
        <v>0</v>
      </c>
      <c r="K11" s="16" t="str">
        <f ca="1">'1.'!J34</f>
        <v>Verursacher-Prinzip</v>
      </c>
      <c r="L11" s="16">
        <f>'1.'!K34</f>
        <v>0</v>
      </c>
      <c r="M11" s="16">
        <f>'1.'!L34</f>
        <v>0</v>
      </c>
      <c r="N11" s="16">
        <f>'1.'!M34</f>
        <v>0</v>
      </c>
    </row>
    <row r="12" spans="1:14" s="653" customFormat="1">
      <c r="A12" s="696">
        <f>ROW()</f>
        <v>12</v>
      </c>
      <c r="B12" s="19" t="str">
        <f ca="1">'1.'!A37</f>
        <v>D.1.37</v>
      </c>
      <c r="C12" s="19" t="str">
        <f ca="1">'1.'!B37</f>
        <v>1.37</v>
      </c>
      <c r="D12" s="19" t="str">
        <f>'1.'!C37</f>
        <v>[37]</v>
      </c>
      <c r="E12" s="19">
        <f>'1.'!D37</f>
        <v>37</v>
      </c>
      <c r="F12" s="19" t="str">
        <f>'1.'!E37</f>
        <v>Energieverbraucher (nach Verursacher-Prinzip)</v>
      </c>
      <c r="G12" s="19">
        <f>'1.'!F37</f>
        <v>0</v>
      </c>
      <c r="H12" s="19">
        <f>'1.'!G37</f>
        <v>0</v>
      </c>
      <c r="I12" s="19">
        <f>'1.'!H37</f>
        <v>0</v>
      </c>
      <c r="J12" s="19">
        <f>'1.'!I37</f>
        <v>0</v>
      </c>
      <c r="K12" s="19" t="str">
        <f>'1.'!J37</f>
        <v>%</v>
      </c>
      <c r="L12" s="19">
        <f ca="1">'1.'!K37</f>
        <v>82175684</v>
      </c>
      <c r="M12" s="19" t="str">
        <f ca="1">'1.'!L37</f>
        <v>[43]</v>
      </c>
      <c r="N12" s="19">
        <f ca="1">'1.'!M37</f>
        <v>82175684</v>
      </c>
    </row>
    <row r="13" spans="1:14">
      <c r="A13" s="696">
        <f>ROW()</f>
        <v>13</v>
      </c>
      <c r="B13" s="16" t="str">
        <f ca="1">'1.'!A40</f>
        <v>D.1.40</v>
      </c>
      <c r="C13" s="16" t="str">
        <f ca="1">'1.'!B40</f>
        <v>1.40</v>
      </c>
      <c r="D13" s="16" t="str">
        <f>'1.'!C40</f>
        <v>[40]</v>
      </c>
      <c r="E13" s="16">
        <f>'1.'!D40</f>
        <v>40</v>
      </c>
      <c r="F13" s="16" t="str">
        <f>'1.'!E40</f>
        <v>Einwohner
=Energieverbraucher nach Verursacher-Prinzip</v>
      </c>
      <c r="G13" s="16">
        <f>'1.'!F40</f>
        <v>0</v>
      </c>
      <c r="H13" s="16">
        <f>'1.'!G40</f>
        <v>0</v>
      </c>
      <c r="I13" s="16">
        <f>'1.'!H40</f>
        <v>0</v>
      </c>
      <c r="J13" s="16">
        <f>'1.'!I40</f>
        <v>0</v>
      </c>
      <c r="K13" s="16" t="str">
        <f>'1.'!J40</f>
        <v>%</v>
      </c>
      <c r="L13" s="16">
        <f ca="1">'1.'!K40</f>
        <v>82175684</v>
      </c>
      <c r="M13" s="16" t="str">
        <f ca="1">'1.'!L40</f>
        <v>[43]</v>
      </c>
      <c r="N13" s="16">
        <f ca="1">'1.'!M40</f>
        <v>82175684</v>
      </c>
    </row>
    <row r="14" spans="1:14" s="16" customFormat="1">
      <c r="A14" s="588">
        <f>ROW()</f>
        <v>14</v>
      </c>
      <c r="B14" s="16" t="str">
        <f ca="1">'1.'!A58</f>
        <v>D.1.58</v>
      </c>
      <c r="C14" s="16" t="str">
        <f ca="1">'1.'!B58</f>
        <v>1.58</v>
      </c>
      <c r="D14" s="16" t="str">
        <f>'1.'!C58</f>
        <v>[58]</v>
      </c>
      <c r="E14" s="16">
        <f>'1.'!D58</f>
        <v>58</v>
      </c>
      <c r="F14" s="16" t="str">
        <f>'1.'!E58</f>
        <v>Einwohner Deutschlands (Referenz)</v>
      </c>
      <c r="G14" s="16">
        <f>'1.'!F58</f>
        <v>0</v>
      </c>
      <c r="H14" s="16">
        <f>'1.'!G58</f>
        <v>0</v>
      </c>
      <c r="I14" s="16">
        <f>'1.'!H58</f>
        <v>0</v>
      </c>
      <c r="J14" s="16">
        <f>'1.'!I58</f>
        <v>0</v>
      </c>
      <c r="K14" s="16" t="str">
        <f>'1.'!J58</f>
        <v>%</v>
      </c>
      <c r="L14" s="16">
        <f ca="1">'1.'!K58</f>
        <v>82175684</v>
      </c>
      <c r="M14" s="16" t="str">
        <f ca="1">'1.'!L58</f>
        <v>[59]</v>
      </c>
      <c r="N14" s="16">
        <f ca="1">'1.'!M58</f>
        <v>82175684</v>
      </c>
    </row>
    <row r="15" spans="1:14" s="16" customFormat="1">
      <c r="A15" s="588">
        <f>ROW()</f>
        <v>15</v>
      </c>
      <c r="B15" s="16" t="str">
        <f ca="1">'1.'!A49</f>
        <v>D.1.49</v>
      </c>
      <c r="C15" s="16" t="str">
        <f ca="1">'1.'!B49</f>
        <v>1.49</v>
      </c>
      <c r="D15" s="16" t="str">
        <f>'1.'!C49</f>
        <v>[49]</v>
      </c>
      <c r="E15" s="16">
        <f>'1.'!D49</f>
        <v>49</v>
      </c>
      <c r="F15" s="16" t="str">
        <f>'1.'!E49</f>
        <v>Energieverbraucher nach Solidar-Prinzip</v>
      </c>
      <c r="G15" s="16">
        <f>'1.'!F49</f>
        <v>0</v>
      </c>
      <c r="H15" s="16">
        <f>'1.'!G49</f>
        <v>0</v>
      </c>
      <c r="I15" s="16">
        <f>'1.'!H49</f>
        <v>0</v>
      </c>
      <c r="J15" s="16">
        <f>'1.'!I49</f>
        <v>0</v>
      </c>
      <c r="K15" s="16" t="str">
        <f>'1.'!J49</f>
        <v>%</v>
      </c>
      <c r="L15" s="16">
        <f ca="1">'1.'!K49</f>
        <v>82270261.077058181</v>
      </c>
      <c r="M15" s="16" t="str">
        <f ca="1">'1.'!L49</f>
        <v>[52]</v>
      </c>
      <c r="N15" s="16">
        <f ca="1">'1.'!M49</f>
        <v>82270261.077058181</v>
      </c>
    </row>
    <row r="16" spans="1:14" s="16" customFormat="1">
      <c r="A16" s="588">
        <f>ROW()</f>
        <v>16</v>
      </c>
      <c r="B16" s="16" t="str">
        <f ca="1">'1.'!A64</f>
        <v>D.1.64</v>
      </c>
      <c r="C16" s="16" t="str">
        <f ca="1">'1.'!B64</f>
        <v>1.64</v>
      </c>
      <c r="D16" s="16" t="str">
        <f>'1.'!C64</f>
        <v>[64]</v>
      </c>
      <c r="E16" s="16">
        <f>'1.'!D64</f>
        <v>64</v>
      </c>
      <c r="F16" s="16" t="str">
        <f>'1.'!E64</f>
        <v>Bodenfläche gesamt</v>
      </c>
      <c r="G16" s="16">
        <f>'1.'!F64</f>
        <v>0</v>
      </c>
      <c r="H16" s="16">
        <f>'1.'!G64</f>
        <v>0</v>
      </c>
      <c r="I16" s="16">
        <f>'1.'!H64</f>
        <v>0</v>
      </c>
      <c r="J16" s="16">
        <f>'1.'!I64</f>
        <v>0</v>
      </c>
      <c r="K16" s="16" t="str">
        <f>'1.'!J64</f>
        <v xml:space="preserve">ha </v>
      </c>
      <c r="L16" s="16">
        <f ca="1">'1.'!K64</f>
        <v>35757963</v>
      </c>
      <c r="M16" s="16" t="str">
        <f ca="1">'1.'!L64</f>
        <v>[65]</v>
      </c>
      <c r="N16" s="16">
        <f ca="1">'1.'!M64</f>
        <v>35757963</v>
      </c>
    </row>
    <row r="17" spans="1:16" s="16" customFormat="1">
      <c r="A17" s="588">
        <f>ROW()</f>
        <v>17</v>
      </c>
      <c r="B17" s="16" t="str">
        <f ca="1">'1.'!A69</f>
        <v>D.1.69</v>
      </c>
      <c r="C17" s="16" t="str">
        <f ca="1">'1.'!B69</f>
        <v>1.69</v>
      </c>
      <c r="D17" s="16" t="str">
        <f>'1.'!C69</f>
        <v>[69]</v>
      </c>
      <c r="E17" s="16">
        <f>'1.'!D69</f>
        <v>69</v>
      </c>
      <c r="F17" s="16" t="str">
        <f>'1.'!E69</f>
        <v>Siedlung (Gebäude- &amp; Freifläche)</v>
      </c>
      <c r="G17" s="16">
        <f>'1.'!F69</f>
        <v>0</v>
      </c>
      <c r="H17" s="16">
        <f>'1.'!G69</f>
        <v>0</v>
      </c>
      <c r="I17" s="16">
        <f>'1.'!H69</f>
        <v>0</v>
      </c>
      <c r="J17" s="16">
        <f>'1.'!I69</f>
        <v>0</v>
      </c>
      <c r="K17" s="16" t="str">
        <f>'1.'!J69</f>
        <v xml:space="preserve">ha </v>
      </c>
      <c r="L17" s="16">
        <f ca="1">'1.'!K69</f>
        <v>3277007</v>
      </c>
      <c r="M17" s="16" t="str">
        <f ca="1">'1.'!L69</f>
        <v>[70]</v>
      </c>
      <c r="N17" s="16">
        <f ca="1">'1.'!M69</f>
        <v>3804484.3130181693</v>
      </c>
    </row>
    <row r="18" spans="1:16" s="16" customFormat="1">
      <c r="A18" s="588">
        <f>ROW()</f>
        <v>18</v>
      </c>
      <c r="B18" s="16" t="str">
        <f ca="1">'1.'!A75</f>
        <v>D.1.75</v>
      </c>
      <c r="C18" s="16" t="str">
        <f ca="1">'1.'!B75</f>
        <v>1.75</v>
      </c>
      <c r="D18" s="16" t="str">
        <f>'1.'!C75</f>
        <v>[75]</v>
      </c>
      <c r="E18" s="16">
        <f>'1.'!D75</f>
        <v>75</v>
      </c>
      <c r="F18" s="16" t="str">
        <f>'1.'!E75</f>
        <v>Landwirtschaftsfläche (LF)</v>
      </c>
      <c r="G18" s="16">
        <f>'1.'!F75</f>
        <v>0</v>
      </c>
      <c r="H18" s="16">
        <f>'1.'!G75</f>
        <v>0</v>
      </c>
      <c r="I18" s="16">
        <f>'1.'!H75</f>
        <v>0</v>
      </c>
      <c r="J18" s="16">
        <f>'1.'!I75</f>
        <v>0</v>
      </c>
      <c r="K18" s="16" t="str">
        <f>'1.'!J75</f>
        <v xml:space="preserve">ha </v>
      </c>
      <c r="L18" s="16">
        <f ca="1">'1.'!K75</f>
        <v>18263736</v>
      </c>
      <c r="M18" s="16" t="str">
        <f ca="1">'1.'!L75</f>
        <v>[76]</v>
      </c>
      <c r="N18" s="16">
        <f ca="1">'1.'!M75</f>
        <v>17736258.686981831</v>
      </c>
    </row>
    <row r="19" spans="1:16" s="16" customFormat="1">
      <c r="A19" s="588">
        <f>ROW()</f>
        <v>19</v>
      </c>
      <c r="B19" s="16" t="str">
        <f ca="1">'1.'!A80</f>
        <v>D.1.80</v>
      </c>
      <c r="C19" s="16" t="str">
        <f ca="1">'1.'!B80</f>
        <v>1.80</v>
      </c>
      <c r="D19" s="16" t="str">
        <f>'1.'!C80</f>
        <v>[80]</v>
      </c>
      <c r="E19" s="16">
        <f>'1.'!D80</f>
        <v>80</v>
      </c>
      <c r="F19" s="16" t="str">
        <f>'1.'!E80</f>
        <v>Ackerland</v>
      </c>
      <c r="G19" s="16">
        <f>'1.'!F80</f>
        <v>0</v>
      </c>
      <c r="H19" s="16">
        <f>'1.'!G80</f>
        <v>0</v>
      </c>
      <c r="I19" s="16">
        <f>'1.'!H80</f>
        <v>0</v>
      </c>
      <c r="J19" s="16">
        <f>'1.'!I80</f>
        <v>0</v>
      </c>
      <c r="K19" s="16" t="str">
        <f>'1.'!J80</f>
        <v xml:space="preserve">ha </v>
      </c>
      <c r="L19" s="16">
        <f ca="1">'1.'!K80</f>
        <v>11764144.6</v>
      </c>
      <c r="M19" s="16" t="str">
        <f ca="1">'1.'!L80</f>
        <v>[81]</v>
      </c>
      <c r="N19" s="16">
        <f ca="1">'1.'!M80</f>
        <v>10826000</v>
      </c>
      <c r="P19" s="16" t="s">
        <v>312</v>
      </c>
    </row>
    <row r="20" spans="1:16" s="16" customFormat="1">
      <c r="A20" s="588">
        <f>ROW()</f>
        <v>20</v>
      </c>
      <c r="B20" s="16" t="str">
        <f ca="1">'1.'!A85</f>
        <v>D.1.85</v>
      </c>
      <c r="C20" s="16" t="str">
        <f ca="1">'1.'!B85</f>
        <v>1.85</v>
      </c>
      <c r="D20" s="16" t="str">
        <f>'1.'!C85</f>
        <v>[85]</v>
      </c>
      <c r="E20" s="16">
        <f>'1.'!D85</f>
        <v>85</v>
      </c>
      <c r="F20" s="16" t="str">
        <f>'1.'!E85</f>
        <v>Getreide-Anbaufl. (Stroh)</v>
      </c>
      <c r="G20" s="16">
        <f>'1.'!F85</f>
        <v>0</v>
      </c>
      <c r="H20" s="16">
        <f>'1.'!G85</f>
        <v>0</v>
      </c>
      <c r="I20" s="16">
        <f>'1.'!H85</f>
        <v>0</v>
      </c>
      <c r="J20" s="16">
        <f>'1.'!I85</f>
        <v>0</v>
      </c>
      <c r="K20" s="16" t="str">
        <f>'1.'!J85</f>
        <v xml:space="preserve">ha </v>
      </c>
      <c r="L20" s="16">
        <f ca="1">'1.'!K85</f>
        <v>6325023</v>
      </c>
      <c r="M20" s="16" t="str">
        <f ca="1">'1.'!L85</f>
        <v>[86]</v>
      </c>
      <c r="N20" s="16">
        <f ca="1">'1.'!M85</f>
        <v>6325000</v>
      </c>
    </row>
    <row r="21" spans="1:16" s="16" customFormat="1">
      <c r="A21" s="588">
        <f>ROW()</f>
        <v>21</v>
      </c>
      <c r="B21" s="16" t="str">
        <f ca="1">'1.'!A90</f>
        <v>D.1.90</v>
      </c>
      <c r="C21" s="16" t="str">
        <f ca="1">'1.'!B90</f>
        <v>1.90</v>
      </c>
      <c r="D21" s="16" t="str">
        <f>'1.'!C90</f>
        <v>[90]</v>
      </c>
      <c r="E21" s="16">
        <f>'1.'!D90</f>
        <v>90</v>
      </c>
      <c r="F21" s="16" t="str">
        <f>'1.'!E90</f>
        <v>Dauergrünland</v>
      </c>
      <c r="G21" s="16">
        <f>'1.'!F90</f>
        <v>0</v>
      </c>
      <c r="H21" s="16">
        <f>'1.'!G90</f>
        <v>0</v>
      </c>
      <c r="I21" s="16">
        <f>'1.'!H90</f>
        <v>0</v>
      </c>
      <c r="J21" s="16">
        <f>'1.'!I90</f>
        <v>0</v>
      </c>
      <c r="K21" s="16" t="str">
        <f>'1.'!J90</f>
        <v xml:space="preserve">ha </v>
      </c>
      <c r="L21" s="16">
        <f ca="1">'1.'!K90</f>
        <v>4715000</v>
      </c>
      <c r="M21" s="16" t="str">
        <f ca="1">'1.'!L90</f>
        <v>[91]</v>
      </c>
      <c r="N21" s="16">
        <f ca="1">'1.'!M90</f>
        <v>4486611.8804331273</v>
      </c>
      <c r="P21" s="16" t="s">
        <v>312</v>
      </c>
    </row>
    <row r="22" spans="1:16" s="16" customFormat="1">
      <c r="A22" s="588">
        <f>ROW()</f>
        <v>22</v>
      </c>
      <c r="B22" s="16" t="str">
        <f ca="1">'1.'!A96</f>
        <v>D.1.96</v>
      </c>
      <c r="C22" s="16" t="str">
        <f ca="1">'1.'!B96</f>
        <v>1.96</v>
      </c>
      <c r="D22" s="16" t="str">
        <f>'1.'!C96</f>
        <v>[96]</v>
      </c>
      <c r="E22" s="16">
        <f>'1.'!D96</f>
        <v>96</v>
      </c>
      <c r="F22" s="16" t="str">
        <f>'1.'!E96</f>
        <v>Waldfläche</v>
      </c>
      <c r="G22" s="16">
        <f>'1.'!F96</f>
        <v>0</v>
      </c>
      <c r="H22" s="16">
        <f>'1.'!G96</f>
        <v>0</v>
      </c>
      <c r="I22" s="16">
        <f>'1.'!H96</f>
        <v>0</v>
      </c>
      <c r="J22" s="16">
        <f>'1.'!I96</f>
        <v>0</v>
      </c>
      <c r="K22" s="16" t="str">
        <f>'1.'!J96</f>
        <v xml:space="preserve">ha </v>
      </c>
      <c r="L22" s="16">
        <f ca="1">'1.'!K96</f>
        <v>10617013</v>
      </c>
      <c r="M22" s="16" t="str">
        <f ca="1">'1.'!L96</f>
        <v>[97]</v>
      </c>
      <c r="N22" s="16">
        <f ca="1">'1.'!M96</f>
        <v>10617013</v>
      </c>
    </row>
    <row r="23" spans="1:16" s="16" customFormat="1">
      <c r="A23" s="588">
        <f>ROW()</f>
        <v>23</v>
      </c>
      <c r="B23" s="16" t="str">
        <f ca="1">'1.'!A109</f>
        <v>D.1.109</v>
      </c>
      <c r="C23" s="16" t="str">
        <f ca="1">'1.'!B109</f>
        <v>1.109</v>
      </c>
      <c r="D23" s="16" t="str">
        <f>'1.'!C109</f>
        <v>[109]</v>
      </c>
      <c r="E23" s="16">
        <f>'1.'!D109</f>
        <v>109</v>
      </c>
      <c r="F23" s="16" t="str">
        <f>'1.'!E109</f>
        <v>Potenzial forstwirtschaftlich nutzbarer Waldfläche</v>
      </c>
      <c r="G23" s="16">
        <f>'1.'!F109</f>
        <v>0</v>
      </c>
      <c r="H23" s="16">
        <f>'1.'!G109</f>
        <v>0</v>
      </c>
      <c r="I23" s="16">
        <f>'1.'!H109</f>
        <v>0</v>
      </c>
      <c r="J23" s="16">
        <f>'1.'!I109</f>
        <v>0</v>
      </c>
      <c r="K23" s="16" t="str">
        <f>'1.'!J109</f>
        <v xml:space="preserve">ha </v>
      </c>
      <c r="L23" s="16">
        <f ca="1">'1.'!K109</f>
        <v>10581468</v>
      </c>
      <c r="M23" s="16" t="str">
        <f ca="1">'1.'!L109</f>
        <v>[110]</v>
      </c>
      <c r="N23" s="16">
        <f ca="1">'1.'!M109</f>
        <v>9555000</v>
      </c>
    </row>
    <row r="24" spans="1:16" s="653" customFormat="1">
      <c r="A24" s="696">
        <f>ROW()</f>
        <v>24</v>
      </c>
    </row>
    <row r="25" spans="1:16">
      <c r="A25" s="588">
        <f>ROW()</f>
        <v>25</v>
      </c>
      <c r="B25" s="16" t="str">
        <f ca="1">'1.'!A118</f>
        <v>D.1.118</v>
      </c>
      <c r="C25" s="16" t="str">
        <f ca="1">'1.'!B118</f>
        <v>1.118</v>
      </c>
      <c r="D25" s="16" t="str">
        <f>'1.'!C118</f>
        <v>[118]</v>
      </c>
      <c r="E25" s="16">
        <f>'1.'!D118</f>
        <v>118</v>
      </c>
      <c r="F25" s="176" t="str">
        <f>'1.'!E118</f>
        <v>Solarenergie</v>
      </c>
      <c r="G25" s="16">
        <f>'1.'!F118</f>
        <v>0</v>
      </c>
      <c r="H25" s="16">
        <f>'1.'!G118</f>
        <v>0</v>
      </c>
      <c r="I25" s="16">
        <f>'1.'!H118</f>
        <v>0</v>
      </c>
      <c r="J25" s="16">
        <f>'1.'!I118</f>
        <v>0</v>
      </c>
      <c r="K25" s="16">
        <f>'1.'!J118</f>
        <v>0</v>
      </c>
      <c r="L25" s="16">
        <f>'1.'!K118</f>
        <v>0</v>
      </c>
      <c r="M25" s="16">
        <f>'1.'!L118</f>
        <v>0</v>
      </c>
      <c r="N25" s="16">
        <f>'1.'!M118</f>
        <v>0</v>
      </c>
    </row>
    <row r="26" spans="1:16">
      <c r="A26" s="588">
        <f>ROW()</f>
        <v>26</v>
      </c>
      <c r="B26" s="16" t="str">
        <f ca="1">'1.'!A120</f>
        <v>D.1.120</v>
      </c>
      <c r="C26" s="16" t="str">
        <f ca="1">'1.'!B120</f>
        <v>1.120</v>
      </c>
      <c r="D26" s="16" t="str">
        <f>'1.'!C120</f>
        <v>[120]</v>
      </c>
      <c r="E26" s="16">
        <f>'1.'!D120</f>
        <v>120</v>
      </c>
      <c r="F26" s="16" t="str">
        <f>'1.'!E120</f>
        <v>Solare Absorberfläche auf Dächern</v>
      </c>
      <c r="G26" s="16">
        <f>'1.'!F120</f>
        <v>0</v>
      </c>
      <c r="H26" s="16">
        <f>'1.'!G120</f>
        <v>0</v>
      </c>
      <c r="I26" s="16">
        <f>'1.'!H120</f>
        <v>0</v>
      </c>
      <c r="J26" s="16">
        <f>'1.'!I120</f>
        <v>0</v>
      </c>
      <c r="K26" s="16" t="str">
        <f>'1.'!J120</f>
        <v xml:space="preserve">ha </v>
      </c>
      <c r="L26" s="16">
        <f ca="1">'1.'!K120</f>
        <v>21407.829999999998</v>
      </c>
      <c r="M26" s="16" t="str">
        <f ca="1">'1.'!L120</f>
        <v>[121]</v>
      </c>
      <c r="N26" s="16">
        <f ca="1">'1.'!M120</f>
        <v>266654.08757841616</v>
      </c>
    </row>
    <row r="27" spans="1:16">
      <c r="A27" s="588">
        <f>ROW()</f>
        <v>27</v>
      </c>
      <c r="B27" s="16" t="str">
        <f ca="1">'1.'!A129</f>
        <v>D.1.129</v>
      </c>
      <c r="C27" s="16" t="str">
        <f ca="1">'1.'!B129</f>
        <v>1.129</v>
      </c>
      <c r="D27" s="16" t="str">
        <f>'1.'!C129</f>
        <v>[129]</v>
      </c>
      <c r="E27" s="16">
        <f>'1.'!D129</f>
        <v>129</v>
      </c>
      <c r="F27" s="16" t="str">
        <f>'1.'!E129</f>
        <v>Solar genutzte Freiflächen</v>
      </c>
      <c r="G27" s="16">
        <f>'1.'!F129</f>
        <v>0</v>
      </c>
      <c r="H27" s="16">
        <f>'1.'!G129</f>
        <v>0</v>
      </c>
      <c r="I27" s="16">
        <f>'1.'!H129</f>
        <v>0</v>
      </c>
      <c r="J27" s="16">
        <f>'1.'!I129</f>
        <v>0</v>
      </c>
      <c r="K27" s="16" t="str">
        <f>'1.'!J129</f>
        <v xml:space="preserve">ha </v>
      </c>
      <c r="L27" s="16">
        <f ca="1">'1.'!K129</f>
        <v>20888.175000000003</v>
      </c>
      <c r="M27" s="16" t="str">
        <f ca="1">'1.'!L129</f>
        <v>[130]</v>
      </c>
      <c r="N27" s="16">
        <f ca="1">'1.'!M129</f>
        <v>456776.23913374596</v>
      </c>
    </row>
    <row r="28" spans="1:16">
      <c r="A28" s="588">
        <f>ROW()</f>
        <v>28</v>
      </c>
      <c r="B28" s="16" t="str">
        <f ca="1">'1.'!A137</f>
        <v>D.1.137</v>
      </c>
      <c r="C28" s="16" t="str">
        <f ca="1">'1.'!B137</f>
        <v>1.137</v>
      </c>
      <c r="D28" s="16" t="str">
        <f>'1.'!C137</f>
        <v>[137]</v>
      </c>
      <c r="E28" s="16">
        <f>'1.'!D137</f>
        <v>137</v>
      </c>
      <c r="F28" s="16" t="str">
        <f>'1.'!E137</f>
        <v>Solarthermie - Nutzanteil an Dach-Absorberflächen</v>
      </c>
      <c r="G28" s="16">
        <f>'1.'!F137</f>
        <v>0</v>
      </c>
      <c r="H28" s="16">
        <f>'1.'!G137</f>
        <v>0</v>
      </c>
      <c r="I28" s="16">
        <f>'1.'!H137</f>
        <v>0</v>
      </c>
      <c r="J28" s="16">
        <f>'1.'!I137</f>
        <v>0</v>
      </c>
      <c r="K28" s="16" t="str">
        <f>'1.'!J137</f>
        <v>%</v>
      </c>
      <c r="L28" s="16">
        <f ca="1">'1.'!K137</f>
        <v>8.9322458184692248</v>
      </c>
      <c r="M28" s="16" t="str">
        <f ca="1">'1.'!L137</f>
        <v>[138]</v>
      </c>
      <c r="N28" s="16">
        <f ca="1">'1.'!M137</f>
        <v>0.71710882715708268</v>
      </c>
    </row>
    <row r="29" spans="1:16">
      <c r="A29" s="588">
        <f>ROW()</f>
        <v>29</v>
      </c>
      <c r="B29" s="16" t="str">
        <f ca="1">'1.'!A143</f>
        <v>D.1.143</v>
      </c>
      <c r="C29" s="16" t="str">
        <f ca="1">'1.'!B143</f>
        <v>1.143</v>
      </c>
      <c r="D29" s="16" t="str">
        <f>'1.'!C143</f>
        <v>[143]</v>
      </c>
      <c r="E29" s="16">
        <f>'1.'!D143</f>
        <v>143</v>
      </c>
      <c r="F29" s="16" t="str">
        <f>'1.'!E143</f>
        <v>Solarthermie - Energieertrag (Kollektorfläche)</v>
      </c>
      <c r="G29" s="16">
        <f>'1.'!F143</f>
        <v>0</v>
      </c>
      <c r="H29" s="16">
        <f>'1.'!G143</f>
        <v>0</v>
      </c>
      <c r="I29" s="16">
        <f>'1.'!H143</f>
        <v>0</v>
      </c>
      <c r="J29" s="16">
        <f>'1.'!I143</f>
        <v>0</v>
      </c>
      <c r="K29" s="16" t="str">
        <f>'1.'!J143</f>
        <v>MWh/ha/a</v>
      </c>
      <c r="L29" s="16">
        <f ca="1">'1.'!K143</f>
        <v>4079.0712268591151</v>
      </c>
      <c r="M29" s="16" t="str">
        <f ca="1">'1.'!L143</f>
        <v>[144]</v>
      </c>
      <c r="N29" s="16">
        <f ca="1">'1.'!M143</f>
        <v>5250</v>
      </c>
    </row>
    <row r="30" spans="1:16">
      <c r="A30" s="588">
        <f>ROW()</f>
        <v>30</v>
      </c>
      <c r="B30" s="16" t="str">
        <f ca="1">'1.'!A148</f>
        <v>D.1.148</v>
      </c>
      <c r="C30" s="16" t="str">
        <f ca="1">'1.'!B148</f>
        <v>1.148</v>
      </c>
      <c r="D30" s="16" t="str">
        <f>'1.'!C148</f>
        <v>[148]</v>
      </c>
      <c r="E30" s="16">
        <f>'1.'!D148</f>
        <v>148</v>
      </c>
      <c r="F30" s="16" t="str">
        <f>'1.'!E148</f>
        <v>Photovoltaik - Nutzanteil an Dach-Absorberflächen</v>
      </c>
      <c r="G30" s="16">
        <f>'1.'!F148</f>
        <v>0</v>
      </c>
      <c r="H30" s="16">
        <f>'1.'!G148</f>
        <v>0</v>
      </c>
      <c r="I30" s="16">
        <f>'1.'!H148</f>
        <v>0</v>
      </c>
      <c r="J30" s="16">
        <f>'1.'!I148</f>
        <v>0</v>
      </c>
      <c r="K30" s="16" t="str">
        <f>'1.'!J148</f>
        <v>%</v>
      </c>
      <c r="L30" s="16">
        <f ca="1">'1.'!K148</f>
        <v>91.067754181530773</v>
      </c>
      <c r="M30" s="16" t="str">
        <f ca="1">'1.'!L148</f>
        <v>[149]</v>
      </c>
      <c r="N30" s="16">
        <f ca="1">'1.'!M148</f>
        <v>99.282891172842923</v>
      </c>
    </row>
    <row r="31" spans="1:16">
      <c r="A31" s="588">
        <f>ROW()</f>
        <v>31</v>
      </c>
      <c r="B31" s="16" t="str">
        <f ca="1">'1.'!A153</f>
        <v>D.1.153</v>
      </c>
      <c r="C31" s="16" t="str">
        <f ca="1">'1.'!B153</f>
        <v>1.153</v>
      </c>
      <c r="D31" s="16" t="str">
        <f>'1.'!C153</f>
        <v>[153]</v>
      </c>
      <c r="E31" s="16">
        <f>'1.'!D153</f>
        <v>153</v>
      </c>
      <c r="F31" s="16" t="str">
        <f>'1.'!E153</f>
        <v>Photovoltaik - Energieertrag (Modulfläche)</v>
      </c>
      <c r="G31" s="16">
        <f>'1.'!F153</f>
        <v>0</v>
      </c>
      <c r="H31" s="16">
        <f>'1.'!G153</f>
        <v>0</v>
      </c>
      <c r="I31" s="16">
        <f>'1.'!H153</f>
        <v>0</v>
      </c>
      <c r="J31" s="16">
        <f>'1.'!I153</f>
        <v>0</v>
      </c>
      <c r="K31" s="16" t="str">
        <f>'1.'!J153</f>
        <v>MWh/ha/a</v>
      </c>
      <c r="L31" s="16">
        <f ca="1">'1.'!K153</f>
        <v>1313.9285714285713</v>
      </c>
      <c r="M31" s="16" t="str">
        <f ca="1">'1.'!L153</f>
        <v>[154]</v>
      </c>
      <c r="N31" s="16">
        <f ca="1">'1.'!M153</f>
        <v>1839.5</v>
      </c>
    </row>
    <row r="32" spans="1:16" s="16" customFormat="1">
      <c r="A32" s="588">
        <f>ROW()</f>
        <v>32</v>
      </c>
      <c r="B32" s="16" t="str">
        <f ca="1">'1.'!A161</f>
        <v>D.1.161</v>
      </c>
      <c r="C32" s="16" t="str">
        <f ca="1">'1.'!B161</f>
        <v>1.161</v>
      </c>
      <c r="D32" s="16" t="str">
        <f>'1.'!C161</f>
        <v>[161]</v>
      </c>
      <c r="E32" s="16">
        <f>'1.'!D161</f>
        <v>161</v>
      </c>
      <c r="F32" s="16" t="str">
        <f>'1.'!E161</f>
        <v>Photovoltaik - Energieertrag (Freifläche)</v>
      </c>
      <c r="G32" s="16">
        <f>'1.'!F161</f>
        <v>0</v>
      </c>
      <c r="H32" s="16">
        <f>'1.'!G161</f>
        <v>0</v>
      </c>
      <c r="I32" s="16">
        <f>'1.'!H161</f>
        <v>0</v>
      </c>
      <c r="J32" s="16">
        <f>'1.'!I161</f>
        <v>0</v>
      </c>
      <c r="K32" s="16" t="str">
        <f>'1.'!J161</f>
        <v>MWh/ha/a</v>
      </c>
      <c r="L32" s="16">
        <f ca="1">'1.'!K161</f>
        <v>525.57142857142856</v>
      </c>
      <c r="M32" s="16" t="str">
        <f ca="1">'1.'!L161</f>
        <v>[162]</v>
      </c>
      <c r="N32" s="16">
        <f ca="1">'1.'!M161</f>
        <v>735.8</v>
      </c>
    </row>
    <row r="33" spans="1:14" s="16" customFormat="1">
      <c r="A33" s="588">
        <f>ROW()</f>
        <v>33</v>
      </c>
      <c r="B33" s="16" t="str">
        <f ca="1">'1.'!A166</f>
        <v>D.1.166</v>
      </c>
      <c r="C33" s="16" t="str">
        <f ca="1">'1.'!B166</f>
        <v>1.166</v>
      </c>
      <c r="D33" s="16" t="str">
        <f>'1.'!C166</f>
        <v>[166]</v>
      </c>
      <c r="E33" s="16">
        <f>'1.'!D166</f>
        <v>166</v>
      </c>
      <c r="F33" s="16" t="str">
        <f>'1.'!E166</f>
        <v>Photovoltaik - Vollbetriebsstunden jährlich</v>
      </c>
      <c r="G33" s="16">
        <f>'1.'!F166</f>
        <v>0</v>
      </c>
      <c r="H33" s="16">
        <f>'1.'!G166</f>
        <v>0</v>
      </c>
      <c r="I33" s="16">
        <f>'1.'!H166</f>
        <v>0</v>
      </c>
      <c r="J33" s="16">
        <f>'1.'!I166</f>
        <v>0</v>
      </c>
      <c r="K33" s="16" t="str">
        <f>'1.'!J166</f>
        <v>h/a</v>
      </c>
      <c r="L33" s="16">
        <f ca="1">'1.'!K166</f>
        <v>919.75</v>
      </c>
      <c r="M33" s="16" t="str">
        <f ca="1">'1.'!L166</f>
        <v>[167]</v>
      </c>
      <c r="N33" s="16">
        <f ca="1">'1.'!M166</f>
        <v>919.75</v>
      </c>
    </row>
    <row r="34" spans="1:14" s="653" customFormat="1">
      <c r="A34" s="696">
        <f>ROW()</f>
        <v>34</v>
      </c>
    </row>
    <row r="35" spans="1:14">
      <c r="A35" s="588">
        <f>ROW()</f>
        <v>35</v>
      </c>
      <c r="B35" s="16" t="str">
        <f ca="1">'1.'!A171</f>
        <v>D.1.171</v>
      </c>
      <c r="C35" s="16" t="str">
        <f ca="1">'1.'!B171</f>
        <v>1.171</v>
      </c>
      <c r="D35" s="16" t="str">
        <f>'1.'!C171</f>
        <v>[171]</v>
      </c>
      <c r="E35" s="16">
        <f>'1.'!D171</f>
        <v>171</v>
      </c>
      <c r="F35" s="176" t="str">
        <f>'1.'!E171</f>
        <v>Windenergie Onshore</v>
      </c>
      <c r="G35" s="16">
        <f>'1.'!F171</f>
        <v>0</v>
      </c>
      <c r="H35" s="16">
        <f>'1.'!G171</f>
        <v>0</v>
      </c>
      <c r="I35" s="16">
        <f>'1.'!H171</f>
        <v>0</v>
      </c>
      <c r="J35" s="16">
        <f>'1.'!I171</f>
        <v>0</v>
      </c>
      <c r="K35" s="16">
        <f>'1.'!J171</f>
        <v>0</v>
      </c>
      <c r="L35" s="16">
        <f>'1.'!K171</f>
        <v>0</v>
      </c>
      <c r="M35" s="16">
        <f>'1.'!L171</f>
        <v>0</v>
      </c>
      <c r="N35" s="16">
        <f>'1.'!M171</f>
        <v>0</v>
      </c>
    </row>
    <row r="36" spans="1:14" s="16" customFormat="1">
      <c r="A36" s="588">
        <f>ROW()</f>
        <v>36</v>
      </c>
      <c r="B36" s="16" t="str">
        <f ca="1">'1.'!A173</f>
        <v>D.1.173</v>
      </c>
      <c r="C36" s="16" t="str">
        <f ca="1">'1.'!B173</f>
        <v>1.173</v>
      </c>
      <c r="D36" s="16" t="str">
        <f>'1.'!C173</f>
        <v>[173]</v>
      </c>
      <c r="E36" s="16">
        <f>'1.'!D173</f>
        <v>173</v>
      </c>
      <c r="F36" s="16" t="str">
        <f>'1.'!E173</f>
        <v>Windenergie Flächenpotenzial</v>
      </c>
      <c r="G36" s="16">
        <f>'1.'!F173</f>
        <v>0</v>
      </c>
      <c r="H36" s="16">
        <f>'1.'!G173</f>
        <v>0</v>
      </c>
      <c r="I36" s="16">
        <f>'1.'!H173</f>
        <v>0</v>
      </c>
      <c r="J36" s="16">
        <f>'1.'!I173</f>
        <v>0</v>
      </c>
      <c r="K36" s="16" t="str">
        <f>'1.'!J173</f>
        <v xml:space="preserve">ha </v>
      </c>
      <c r="L36" s="16">
        <f ca="1">'1.'!K173</f>
        <v>2900000</v>
      </c>
      <c r="M36" s="16" t="str">
        <f ca="1">'1.'!L173</f>
        <v>[174]</v>
      </c>
      <c r="N36" s="16">
        <f ca="1">'1.'!M173</f>
        <v>2320000</v>
      </c>
    </row>
    <row r="37" spans="1:14" s="16" customFormat="1">
      <c r="A37" s="588">
        <f>ROW()</f>
        <v>37</v>
      </c>
      <c r="B37" s="16" t="str">
        <f ca="1">'1.'!A181</f>
        <v>D.1.181</v>
      </c>
      <c r="C37" s="16" t="str">
        <f ca="1">'1.'!B181</f>
        <v>1.181</v>
      </c>
      <c r="D37" s="16" t="str">
        <f>'1.'!C181</f>
        <v>[181]</v>
      </c>
      <c r="E37" s="16">
        <f>'1.'!D181</f>
        <v>181</v>
      </c>
      <c r="F37" s="16" t="str">
        <f>'1.'!E181</f>
        <v xml:space="preserve">Belegung (Potenzialflächen) </v>
      </c>
      <c r="G37" s="16">
        <f>'1.'!F181</f>
        <v>0</v>
      </c>
      <c r="H37" s="16">
        <f>'1.'!G181</f>
        <v>0</v>
      </c>
      <c r="I37" s="16">
        <f>'1.'!H181</f>
        <v>0</v>
      </c>
      <c r="J37" s="16">
        <f>'1.'!I181</f>
        <v>0</v>
      </c>
      <c r="K37" s="16" t="str">
        <f>'1.'!J181</f>
        <v xml:space="preserve">ha </v>
      </c>
      <c r="L37" s="16" t="str">
        <f ca="1">'1.'!K181</f>
        <v>n.r.</v>
      </c>
      <c r="M37" s="16" t="str">
        <f ca="1">'1.'!L181</f>
        <v>[184]</v>
      </c>
      <c r="N37" s="16">
        <f ca="1">'1.'!M181</f>
        <v>190821.43702432371</v>
      </c>
    </row>
    <row r="38" spans="1:14">
      <c r="A38" s="588">
        <f>ROW()</f>
        <v>38</v>
      </c>
      <c r="B38" s="16" t="str">
        <f ca="1">'1.'!A188</f>
        <v>D.1.188</v>
      </c>
      <c r="C38" s="16" t="str">
        <f ca="1">'1.'!B188</f>
        <v>1.188</v>
      </c>
      <c r="D38" s="16" t="str">
        <f>'1.'!C188</f>
        <v>[188]</v>
      </c>
      <c r="E38" s="16">
        <f>'1.'!D188</f>
        <v>188</v>
      </c>
      <c r="F38" s="16" t="str">
        <f>'1.'!E188</f>
        <v>Windparkfläche</v>
      </c>
      <c r="G38" s="16">
        <f>'1.'!F188</f>
        <v>0</v>
      </c>
      <c r="H38" s="16">
        <f>'1.'!G188</f>
        <v>0</v>
      </c>
      <c r="I38" s="16">
        <f>'1.'!H188</f>
        <v>0</v>
      </c>
      <c r="J38" s="16">
        <f>'1.'!I188</f>
        <v>0</v>
      </c>
      <c r="K38" s="16" t="str">
        <f>'1.'!J188</f>
        <v xml:space="preserve">ha </v>
      </c>
      <c r="L38" s="16">
        <f ca="1">'1.'!K188</f>
        <v>195708.05887181088</v>
      </c>
      <c r="M38" s="16" t="str">
        <f ca="1">'1.'!L188</f>
        <v>[189]</v>
      </c>
      <c r="N38" s="16">
        <f ca="1">'1.'!M188</f>
        <v>749354.03087882814</v>
      </c>
    </row>
    <row r="39" spans="1:14">
      <c r="A39" s="588">
        <f>ROW()</f>
        <v>39</v>
      </c>
      <c r="B39" s="16" t="str">
        <f ca="1">'1.'!A197</f>
        <v>D.1.197</v>
      </c>
      <c r="C39" s="16" t="str">
        <f ca="1">'1.'!B197</f>
        <v>1.197</v>
      </c>
      <c r="D39" s="16" t="str">
        <f>'1.'!C197</f>
        <v>[197]</v>
      </c>
      <c r="E39" s="16">
        <f>'1.'!D197</f>
        <v>197</v>
      </c>
      <c r="F39" s="16" t="str">
        <f>'1.'!E197</f>
        <v>Spezifischer Flächenbedarf Onshore-Windenergie</v>
      </c>
      <c r="G39" s="16">
        <f>'1.'!F197</f>
        <v>0</v>
      </c>
      <c r="H39" s="16">
        <f>'1.'!G197</f>
        <v>0</v>
      </c>
      <c r="I39" s="16">
        <f>'1.'!H197</f>
        <v>0</v>
      </c>
      <c r="J39" s="16">
        <f>'1.'!I197</f>
        <v>0</v>
      </c>
      <c r="K39" s="16" t="str">
        <f>'1.'!J197</f>
        <v>ha/MW</v>
      </c>
      <c r="L39" s="16">
        <f ca="1">'1.'!K197</f>
        <v>4.7746482927568588</v>
      </c>
      <c r="M39" s="16" t="str">
        <f ca="1">'1.'!L197</f>
        <v>[198]</v>
      </c>
      <c r="N39" s="16">
        <f ca="1">'1.'!M197</f>
        <v>3.7839114285714284</v>
      </c>
    </row>
    <row r="40" spans="1:14" s="653" customFormat="1">
      <c r="A40" s="696">
        <f>ROW()</f>
        <v>40</v>
      </c>
      <c r="B40" s="19" t="str">
        <f ca="1">'1.'!A205</f>
        <v>D.1.205</v>
      </c>
      <c r="C40" s="19" t="str">
        <f ca="1">'1.'!B205</f>
        <v>1.205</v>
      </c>
      <c r="D40" s="19" t="str">
        <f>'1.'!C205</f>
        <v>[205]</v>
      </c>
      <c r="E40" s="19">
        <f>'1.'!D205</f>
        <v>205</v>
      </c>
      <c r="F40" s="19" t="str">
        <f>'1.'!E205</f>
        <v>Onshore: Vollbetriebstunden jährlich</v>
      </c>
      <c r="G40" s="19">
        <f>'1.'!F205</f>
        <v>0</v>
      </c>
      <c r="H40" s="19">
        <f>'1.'!G205</f>
        <v>0</v>
      </c>
      <c r="I40" s="19">
        <f>'1.'!H205</f>
        <v>0</v>
      </c>
      <c r="J40" s="19">
        <f>'1.'!I205</f>
        <v>0</v>
      </c>
      <c r="K40" s="19" t="str">
        <f>'1.'!J205</f>
        <v>h/a</v>
      </c>
      <c r="L40" s="19">
        <f ca="1">'1.'!K205</f>
        <v>1708.0995159076131</v>
      </c>
      <c r="M40" s="19" t="str">
        <f ca="1">'1.'!L205</f>
        <v>[206]</v>
      </c>
      <c r="N40" s="19">
        <f ca="1">'1.'!M205</f>
        <v>2242.5207756232689</v>
      </c>
    </row>
    <row r="41" spans="1:14" s="653" customFormat="1">
      <c r="A41" s="696">
        <f>ROW()</f>
        <v>41</v>
      </c>
    </row>
    <row r="42" spans="1:14" s="16" customFormat="1">
      <c r="A42" s="696">
        <f>ROW()</f>
        <v>42</v>
      </c>
      <c r="B42" s="16" t="str">
        <f ca="1">'1.'!A214</f>
        <v>D.1.214</v>
      </c>
      <c r="C42" s="16" t="str">
        <f ca="1">'1.'!B214</f>
        <v>1.214</v>
      </c>
      <c r="D42" s="16" t="str">
        <f>'1.'!C214</f>
        <v>[214]</v>
      </c>
      <c r="E42" s="16">
        <f>'1.'!D214</f>
        <v>214</v>
      </c>
      <c r="F42" s="176" t="str">
        <f>'1.'!E214</f>
        <v>Windenergie Offshore</v>
      </c>
      <c r="G42" s="16">
        <f>'1.'!F214</f>
        <v>0</v>
      </c>
      <c r="H42" s="16">
        <f>'1.'!G214</f>
        <v>0</v>
      </c>
      <c r="I42" s="16">
        <f>'1.'!H214</f>
        <v>0</v>
      </c>
      <c r="J42" s="16">
        <f>'1.'!I214</f>
        <v>0</v>
      </c>
      <c r="K42" s="16">
        <f>'1.'!J214</f>
        <v>0</v>
      </c>
      <c r="L42" s="16">
        <f>'1.'!K214</f>
        <v>0</v>
      </c>
      <c r="M42" s="16">
        <f>'1.'!L214</f>
        <v>0</v>
      </c>
      <c r="N42" s="16">
        <f>'1.'!M214</f>
        <v>0</v>
      </c>
    </row>
    <row r="43" spans="1:14">
      <c r="A43" s="588">
        <f>ROW()</f>
        <v>43</v>
      </c>
      <c r="B43" s="16" t="str">
        <f ca="1">'1.'!A216</f>
        <v>D.1.216</v>
      </c>
      <c r="C43" s="16" t="str">
        <f ca="1">'1.'!B216</f>
        <v>1.216</v>
      </c>
      <c r="D43" s="16" t="str">
        <f>'1.'!C216</f>
        <v>[216]</v>
      </c>
      <c r="E43" s="16">
        <f>'1.'!D216</f>
        <v>216</v>
      </c>
      <c r="F43" s="16" t="str">
        <f>'1.'!E216</f>
        <v>Offshore Deutschland: Leistung am Netz</v>
      </c>
      <c r="G43" s="16">
        <f>'1.'!F216</f>
        <v>0</v>
      </c>
      <c r="H43" s="16">
        <f>'1.'!G216</f>
        <v>0</v>
      </c>
      <c r="I43" s="16">
        <f>'1.'!H216</f>
        <v>0</v>
      </c>
      <c r="J43" s="16">
        <f>'1.'!I216</f>
        <v>0</v>
      </c>
      <c r="K43" s="16" t="str">
        <f>'1.'!J216</f>
        <v xml:space="preserve">MW </v>
      </c>
      <c r="L43" s="16">
        <f ca="1">'1.'!K216</f>
        <v>2566</v>
      </c>
      <c r="M43" s="16" t="str">
        <f ca="1">'1.'!L216</f>
        <v>[217]</v>
      </c>
      <c r="N43" s="16">
        <f ca="1">'1.'!M216</f>
        <v>54000</v>
      </c>
    </row>
    <row r="44" spans="1:14" s="16" customFormat="1">
      <c r="A44" s="588">
        <f>ROW()</f>
        <v>44</v>
      </c>
      <c r="B44" s="16" t="str">
        <f ca="1">'1.'!A222</f>
        <v>D.1.222</v>
      </c>
      <c r="C44" s="16" t="str">
        <f ca="1">'1.'!B222</f>
        <v>1.222</v>
      </c>
      <c r="D44" s="16" t="str">
        <f>'1.'!C222</f>
        <v>[222]</v>
      </c>
      <c r="E44" s="16">
        <f>'1.'!D222</f>
        <v>222</v>
      </c>
      <c r="F44" s="16" t="str">
        <f>'1.'!E222</f>
        <v>Offshore Deutschl.: Vollbetriebsstunden jährlich</v>
      </c>
      <c r="G44" s="16">
        <f>'1.'!F222</f>
        <v>0</v>
      </c>
      <c r="H44" s="16">
        <f>'1.'!G222</f>
        <v>0</v>
      </c>
      <c r="I44" s="16">
        <f>'1.'!H222</f>
        <v>0</v>
      </c>
      <c r="J44" s="16">
        <f>'1.'!I222</f>
        <v>0</v>
      </c>
      <c r="K44" s="16" t="str">
        <f>'1.'!J222</f>
        <v>h/a</v>
      </c>
      <c r="L44" s="16">
        <f ca="1">'1.'!K222</f>
        <v>4255</v>
      </c>
      <c r="M44" s="16" t="str">
        <f ca="1">'1.'!L222</f>
        <v>[223]</v>
      </c>
      <c r="N44" s="16">
        <f ca="1">'1.'!M222</f>
        <v>4500</v>
      </c>
    </row>
    <row r="45" spans="1:14" s="653" customFormat="1">
      <c r="A45" s="696">
        <f>ROW()</f>
        <v>45</v>
      </c>
    </row>
    <row r="46" spans="1:14">
      <c r="A46" s="588">
        <f>ROW()</f>
        <v>46</v>
      </c>
      <c r="B46" s="16" t="str">
        <f ca="1">'1.'!A229</f>
        <v>D.1.229</v>
      </c>
      <c r="C46" s="16" t="str">
        <f ca="1">'1.'!B229</f>
        <v>1.229</v>
      </c>
      <c r="D46" s="16" t="str">
        <f>'1.'!C229</f>
        <v>[229]</v>
      </c>
      <c r="E46" s="16">
        <f>'1.'!D229</f>
        <v>229</v>
      </c>
      <c r="F46" s="176" t="str">
        <f>'1.'!E229</f>
        <v>Wasserkraft (ohne Pumpspeicher)</v>
      </c>
      <c r="G46" s="16">
        <f>'1.'!F229</f>
        <v>0</v>
      </c>
      <c r="H46" s="16">
        <f>'1.'!G229</f>
        <v>0</v>
      </c>
      <c r="I46" s="16">
        <f>'1.'!H229</f>
        <v>0</v>
      </c>
      <c r="J46" s="16">
        <f>'1.'!I229</f>
        <v>0</v>
      </c>
      <c r="K46" s="16">
        <f>'1.'!J229</f>
        <v>0</v>
      </c>
      <c r="L46" s="16">
        <f>'1.'!K229</f>
        <v>0</v>
      </c>
      <c r="M46" s="16">
        <f>'1.'!L229</f>
        <v>0</v>
      </c>
      <c r="N46" s="16">
        <f>'1.'!M229</f>
        <v>0</v>
      </c>
    </row>
    <row r="47" spans="1:14">
      <c r="A47" s="588">
        <f>ROW()</f>
        <v>47</v>
      </c>
      <c r="B47" s="16" t="str">
        <f ca="1">'1.'!A231</f>
        <v>D.1.231</v>
      </c>
      <c r="C47" s="16" t="str">
        <f ca="1">'1.'!B231</f>
        <v>1.231</v>
      </c>
      <c r="D47" s="16" t="str">
        <f>'1.'!C231</f>
        <v>[231]</v>
      </c>
      <c r="E47" s="16">
        <f>'1.'!D231</f>
        <v>231</v>
      </c>
      <c r="F47" s="16" t="str">
        <f>'1.'!E231</f>
        <v>Nutzanteil am technische Potenzial</v>
      </c>
      <c r="G47" s="16">
        <f>'1.'!F231</f>
        <v>0</v>
      </c>
      <c r="H47" s="16">
        <f>'1.'!G231</f>
        <v>0</v>
      </c>
      <c r="I47" s="16">
        <f>'1.'!H231</f>
        <v>0</v>
      </c>
      <c r="J47" s="16">
        <f>'1.'!I231</f>
        <v>0</v>
      </c>
      <c r="K47" s="16" t="str">
        <f>'1.'!J231</f>
        <v>%</v>
      </c>
      <c r="L47" s="16">
        <f ca="1">'1.'!K231</f>
        <v>81.894264652274302</v>
      </c>
      <c r="M47" s="16" t="str">
        <f ca="1">'1.'!L231</f>
        <v>[232]</v>
      </c>
      <c r="N47" s="16">
        <f ca="1">'1.'!M231</f>
        <v>81.894264652274302</v>
      </c>
    </row>
    <row r="48" spans="1:14">
      <c r="A48" s="588">
        <f>ROW()</f>
        <v>48</v>
      </c>
      <c r="B48" s="16" t="str">
        <f ca="1">'1.'!A236</f>
        <v>D.1.236</v>
      </c>
      <c r="C48" s="16" t="str">
        <f ca="1">'1.'!B236</f>
        <v>1.236</v>
      </c>
      <c r="D48" s="16" t="str">
        <f>'1.'!C236</f>
        <v>[236]</v>
      </c>
      <c r="E48" s="16">
        <f>'1.'!D236</f>
        <v>236</v>
      </c>
      <c r="F48" s="16" t="str">
        <f>'1.'!E236</f>
        <v>Strom - Energieertrag</v>
      </c>
      <c r="G48" s="16">
        <f>'1.'!F236</f>
        <v>0</v>
      </c>
      <c r="H48" s="16">
        <f>'1.'!G236</f>
        <v>0</v>
      </c>
      <c r="I48" s="16">
        <f>'1.'!H236</f>
        <v>0</v>
      </c>
      <c r="J48" s="16">
        <f>'1.'!I236</f>
        <v>0</v>
      </c>
      <c r="K48" s="16" t="str">
        <f>'1.'!J236</f>
        <v>MWh/ha/a</v>
      </c>
      <c r="L48" s="16">
        <f ca="1">'1.'!K236</f>
        <v>0.69044760743222422</v>
      </c>
      <c r="M48" s="16" t="str">
        <f ca="1">'1.'!L236</f>
        <v>[237]</v>
      </c>
      <c r="N48" s="16">
        <f ca="1">'1.'!M236</f>
        <v>0.69044760743222422</v>
      </c>
    </row>
    <row r="49" spans="1:14" s="653" customFormat="1">
      <c r="A49" s="696">
        <f>ROW()</f>
        <v>49</v>
      </c>
    </row>
    <row r="50" spans="1:14" s="16" customFormat="1">
      <c r="A50" s="696">
        <f>ROW()</f>
        <v>50</v>
      </c>
      <c r="B50" s="16" t="str">
        <f ca="1">'1.'!A243</f>
        <v>D.1.243</v>
      </c>
      <c r="C50" s="16" t="str">
        <f ca="1">'1.'!B243</f>
        <v>1.243</v>
      </c>
      <c r="D50" s="16" t="str">
        <f>'1.'!C243</f>
        <v>[243]</v>
      </c>
      <c r="E50" s="16">
        <f>'1.'!D243</f>
        <v>243</v>
      </c>
      <c r="F50" s="176" t="str">
        <f>'1.'!E243</f>
        <v>Energieholz (Forst)</v>
      </c>
      <c r="G50" s="16">
        <f>'1.'!F243</f>
        <v>0</v>
      </c>
      <c r="H50" s="16">
        <f>'1.'!G243</f>
        <v>0</v>
      </c>
      <c r="I50" s="16">
        <f>'1.'!H243</f>
        <v>0</v>
      </c>
      <c r="J50" s="16">
        <f>'1.'!I243</f>
        <v>0</v>
      </c>
      <c r="K50" s="16">
        <f>'1.'!J243</f>
        <v>0</v>
      </c>
      <c r="L50" s="16">
        <f>'1.'!K243</f>
        <v>0</v>
      </c>
      <c r="M50" s="16">
        <f>'1.'!L243</f>
        <v>0</v>
      </c>
      <c r="N50" s="16">
        <f>'1.'!M243</f>
        <v>0</v>
      </c>
    </row>
    <row r="51" spans="1:14" s="16" customFormat="1">
      <c r="A51" s="588">
        <f>ROW()</f>
        <v>51</v>
      </c>
      <c r="B51" s="16" t="str">
        <f ca="1">'1.'!A245</f>
        <v>D.1.245</v>
      </c>
      <c r="C51" s="16" t="str">
        <f ca="1">'1.'!B245</f>
        <v>1.245</v>
      </c>
      <c r="D51" s="16" t="str">
        <f>'1.'!C245</f>
        <v>[245]</v>
      </c>
      <c r="E51" s="16">
        <f>'1.'!D245</f>
        <v>245</v>
      </c>
      <c r="F51" s="16" t="str">
        <f>'1.'!E245</f>
        <v>Energetisch genutzter Anteil am Zuwachs</v>
      </c>
      <c r="G51" s="16">
        <f>'1.'!F245</f>
        <v>0</v>
      </c>
      <c r="H51" s="16">
        <f>'1.'!G245</f>
        <v>0</v>
      </c>
      <c r="I51" s="16">
        <f>'1.'!H245</f>
        <v>0</v>
      </c>
      <c r="J51" s="16">
        <f>'1.'!I245</f>
        <v>0</v>
      </c>
      <c r="K51" s="16" t="str">
        <f>'1.'!J245</f>
        <v>%</v>
      </c>
      <c r="L51" s="16">
        <f ca="1">'1.'!K245</f>
        <v>45.529216383860053</v>
      </c>
      <c r="M51" s="16" t="str">
        <f ca="1">'1.'!L245</f>
        <v>[246]</v>
      </c>
      <c r="N51" s="16">
        <f ca="1">'1.'!M245</f>
        <v>44.441067207024659</v>
      </c>
    </row>
    <row r="52" spans="1:14">
      <c r="A52" s="588">
        <f>ROW()</f>
        <v>52</v>
      </c>
      <c r="B52" s="16" t="str">
        <f ca="1">'1.'!A257</f>
        <v>D.1.257</v>
      </c>
      <c r="C52" s="16" t="str">
        <f ca="1">'1.'!B257</f>
        <v>1.257</v>
      </c>
      <c r="D52" s="16" t="str">
        <f>'1.'!C257</f>
        <v>[257]</v>
      </c>
      <c r="E52" s="16">
        <f>'1.'!D257</f>
        <v>257</v>
      </c>
      <c r="F52" s="16" t="str">
        <f>'1.'!E257</f>
        <v xml:space="preserve">Energieholz (Forst) - Energieertrag </v>
      </c>
      <c r="G52" s="16">
        <f>'1.'!F257</f>
        <v>0</v>
      </c>
      <c r="H52" s="16">
        <f>'1.'!G257</f>
        <v>0</v>
      </c>
      <c r="I52" s="16">
        <f>'1.'!H257</f>
        <v>0</v>
      </c>
      <c r="J52" s="16">
        <f>'1.'!I257</f>
        <v>0</v>
      </c>
      <c r="K52" s="16" t="str">
        <f>'1.'!J257</f>
        <v>MWh/ha/a</v>
      </c>
      <c r="L52" s="16">
        <f ca="1">'1.'!K257</f>
        <v>27.1</v>
      </c>
      <c r="M52" s="16" t="str">
        <f ca="1">'1.'!L257</f>
        <v>[258]</v>
      </c>
      <c r="N52" s="16">
        <f ca="1">'1.'!M257</f>
        <v>27.1</v>
      </c>
    </row>
    <row r="53" spans="1:14" s="16" customFormat="1">
      <c r="A53" s="588">
        <f>ROW()</f>
        <v>53</v>
      </c>
      <c r="B53" s="16" t="str">
        <f ca="1">'1.'!A264</f>
        <v>D.1.264</v>
      </c>
      <c r="C53" s="16" t="str">
        <f ca="1">'1.'!B264</f>
        <v>1.264</v>
      </c>
      <c r="D53" s="16" t="str">
        <f>'1.'!C264</f>
        <v>[264]</v>
      </c>
      <c r="E53" s="16">
        <f>'1.'!D264</f>
        <v>264</v>
      </c>
      <c r="F53" s="176" t="str">
        <f>'1.'!E264</f>
        <v>Energieholz (Acker, inkl. Miscanthus)</v>
      </c>
      <c r="G53" s="16">
        <f>'1.'!F264</f>
        <v>0</v>
      </c>
      <c r="H53" s="16">
        <f>'1.'!G264</f>
        <v>0</v>
      </c>
      <c r="I53" s="16">
        <f>'1.'!H264</f>
        <v>0</v>
      </c>
      <c r="J53" s="16">
        <f>'1.'!I264</f>
        <v>0</v>
      </c>
      <c r="K53" s="16">
        <f>'1.'!J264</f>
        <v>0</v>
      </c>
      <c r="L53" s="16">
        <f>'1.'!K264</f>
        <v>0</v>
      </c>
      <c r="M53" s="16">
        <f>'1.'!L264</f>
        <v>0</v>
      </c>
      <c r="N53" s="16">
        <f>'1.'!M264</f>
        <v>0</v>
      </c>
    </row>
    <row r="54" spans="1:14" s="16" customFormat="1">
      <c r="A54" s="588">
        <f>ROW()</f>
        <v>54</v>
      </c>
      <c r="B54" s="16" t="str">
        <f ca="1">'1.'!A266</f>
        <v>D.1.266</v>
      </c>
      <c r="C54" s="16" t="str">
        <f ca="1">'1.'!B266</f>
        <v>1.266</v>
      </c>
      <c r="D54" s="16" t="str">
        <f>'1.'!C266</f>
        <v>[266]</v>
      </c>
      <c r="E54" s="16">
        <f>'1.'!D266</f>
        <v>266</v>
      </c>
      <c r="F54" s="593" t="str">
        <f>'1.'!E266</f>
        <v>Energieholz (Acker) - Anbaufläche</v>
      </c>
      <c r="G54" s="16">
        <f>'1.'!F266</f>
        <v>0</v>
      </c>
      <c r="H54" s="16">
        <f>'1.'!G266</f>
        <v>0</v>
      </c>
      <c r="I54" s="16">
        <f>'1.'!H266</f>
        <v>0</v>
      </c>
      <c r="J54" s="16">
        <f>'1.'!I266</f>
        <v>0</v>
      </c>
      <c r="K54" s="16" t="str">
        <f>'1.'!J266</f>
        <v>ha</v>
      </c>
      <c r="L54" s="16">
        <f ca="1">'1.'!K266</f>
        <v>6500</v>
      </c>
      <c r="M54" s="16" t="str">
        <f ca="1">'1.'!L266</f>
        <v>[267]</v>
      </c>
      <c r="N54" s="16">
        <f ca="1">'1.'!M266</f>
        <v>6500</v>
      </c>
    </row>
    <row r="55" spans="1:14" s="16" customFormat="1">
      <c r="A55" s="588">
        <f>ROW()</f>
        <v>55</v>
      </c>
      <c r="B55" s="16" t="str">
        <f ca="1">'1.'!A272</f>
        <v>D.1.272</v>
      </c>
      <c r="C55" s="16" t="str">
        <f ca="1">'1.'!B272</f>
        <v>1.272</v>
      </c>
      <c r="D55" s="16" t="str">
        <f>'1.'!C272</f>
        <v>[272]</v>
      </c>
      <c r="E55" s="16">
        <f>'1.'!D272</f>
        <v>272</v>
      </c>
      <c r="F55" s="16" t="str">
        <f>'1.'!E272</f>
        <v>Energieholz (Acker) - Energieertrag</v>
      </c>
      <c r="G55" s="16">
        <f>'1.'!F272</f>
        <v>0</v>
      </c>
      <c r="H55" s="16">
        <f>'1.'!G272</f>
        <v>0</v>
      </c>
      <c r="I55" s="16">
        <f>'1.'!H272</f>
        <v>0</v>
      </c>
      <c r="J55" s="16">
        <f>'1.'!I272</f>
        <v>0</v>
      </c>
      <c r="K55" s="16" t="str">
        <f>'1.'!J272</f>
        <v>%</v>
      </c>
      <c r="L55" s="16">
        <f ca="1">'1.'!K272</f>
        <v>29.877260981912144</v>
      </c>
      <c r="M55" s="16" t="str">
        <f ca="1">'1.'!L272</f>
        <v>[273]</v>
      </c>
      <c r="N55" s="16">
        <f ca="1">'1.'!M272</f>
        <v>51.388888888888886</v>
      </c>
    </row>
    <row r="56" spans="1:14" s="16" customFormat="1">
      <c r="A56" s="588">
        <f>ROW()</f>
        <v>56</v>
      </c>
      <c r="B56" s="16" t="str">
        <f ca="1">'1.'!A279</f>
        <v>D.1.279</v>
      </c>
      <c r="C56" s="16" t="str">
        <f ca="1">'1.'!B279</f>
        <v>1.279</v>
      </c>
      <c r="D56" s="16" t="str">
        <f>'1.'!C279</f>
        <v>[279]</v>
      </c>
      <c r="E56" s="16">
        <f>'1.'!D279</f>
        <v>279</v>
      </c>
      <c r="F56" s="176" t="str">
        <f>'1.'!E279</f>
        <v>Energieholz gesamt</v>
      </c>
      <c r="G56" s="16">
        <f>'1.'!F279</f>
        <v>0</v>
      </c>
      <c r="H56" s="16">
        <f>'1.'!G279</f>
        <v>0</v>
      </c>
      <c r="I56" s="16">
        <f>'1.'!H279</f>
        <v>0</v>
      </c>
      <c r="J56" s="16">
        <f>'1.'!I279</f>
        <v>0</v>
      </c>
      <c r="K56" s="16">
        <f>'1.'!J279</f>
        <v>0</v>
      </c>
      <c r="L56" s="16">
        <f>'1.'!K279</f>
        <v>0</v>
      </c>
      <c r="M56" s="16">
        <f>'1.'!L279</f>
        <v>0</v>
      </c>
      <c r="N56" s="16">
        <f>'1.'!M279</f>
        <v>0</v>
      </c>
    </row>
    <row r="57" spans="1:14">
      <c r="A57" s="588">
        <f>ROW()</f>
        <v>57</v>
      </c>
      <c r="B57" s="16" t="str">
        <f ca="1">'1.'!A281</f>
        <v>D.1.281</v>
      </c>
      <c r="C57" s="16" t="str">
        <f ca="1">'1.'!B281</f>
        <v>1.281</v>
      </c>
      <c r="D57" s="16" t="str">
        <f>'1.'!C281</f>
        <v>[281]</v>
      </c>
      <c r="E57" s="16">
        <f>'1.'!D281</f>
        <v>281</v>
      </c>
      <c r="F57" s="16" t="str">
        <f>'1.'!E281</f>
        <v>Energieholz-Anteil für Gebäudewärme</v>
      </c>
      <c r="G57" s="16">
        <f>'1.'!F281</f>
        <v>0</v>
      </c>
      <c r="H57" s="16">
        <f>'1.'!G281</f>
        <v>0</v>
      </c>
      <c r="I57" s="16">
        <f>'1.'!H281</f>
        <v>0</v>
      </c>
      <c r="J57" s="16">
        <f>'1.'!I281</f>
        <v>0</v>
      </c>
      <c r="K57" s="16" t="str">
        <f>'1.'!J281</f>
        <v>%</v>
      </c>
      <c r="L57" s="16">
        <f ca="1">'1.'!K281</f>
        <v>50.192032038165685</v>
      </c>
      <c r="M57" s="16" t="str">
        <f ca="1">'1.'!L281</f>
        <v>[282]</v>
      </c>
      <c r="N57" s="16">
        <f ca="1">'1.'!M281</f>
        <v>0</v>
      </c>
    </row>
    <row r="58" spans="1:14">
      <c r="A58" s="588">
        <f>ROW()</f>
        <v>58</v>
      </c>
      <c r="B58" s="16" t="str">
        <f ca="1">'1.'!A286</f>
        <v>D.1.286</v>
      </c>
      <c r="C58" s="16" t="str">
        <f ca="1">'1.'!B286</f>
        <v>1.286</v>
      </c>
      <c r="D58" s="16" t="str">
        <f>'1.'!C286</f>
        <v>[286]</v>
      </c>
      <c r="E58" s="16">
        <f>'1.'!D286</f>
        <v>286</v>
      </c>
      <c r="F58" s="16" t="str">
        <f>'1.'!E286</f>
        <v>Energieholzanteil für Prozesswärme</v>
      </c>
      <c r="G58" s="16">
        <f>'1.'!F286</f>
        <v>0</v>
      </c>
      <c r="H58" s="16">
        <f>'1.'!G286</f>
        <v>0</v>
      </c>
      <c r="I58" s="16">
        <f>'1.'!H286</f>
        <v>0</v>
      </c>
      <c r="J58" s="16">
        <f>'1.'!I286</f>
        <v>0</v>
      </c>
      <c r="K58" s="16" t="str">
        <f>'1.'!J286</f>
        <v>%</v>
      </c>
      <c r="L58" s="16">
        <f ca="1">'1.'!K286</f>
        <v>15.39538904268473</v>
      </c>
      <c r="M58" s="16" t="str">
        <f ca="1">'1.'!L286</f>
        <v>[287]</v>
      </c>
      <c r="N58" s="16">
        <f ca="1">'1.'!M286</f>
        <v>100</v>
      </c>
    </row>
    <row r="59" spans="1:14">
      <c r="A59" s="588">
        <f>ROW()</f>
        <v>59</v>
      </c>
      <c r="B59" s="16" t="str">
        <f ca="1">'1.'!A291</f>
        <v>D.1.291</v>
      </c>
      <c r="C59" s="16" t="str">
        <f ca="1">'1.'!B291</f>
        <v>1.291</v>
      </c>
      <c r="D59" s="16" t="str">
        <f>'1.'!C291</f>
        <v>[291]</v>
      </c>
      <c r="E59" s="16">
        <f>'1.'!D291</f>
        <v>291</v>
      </c>
      <c r="F59" s="16" t="str">
        <f>'1.'!E291</f>
        <v>Energieholzanteil für Verstromung</v>
      </c>
      <c r="G59" s="16">
        <f>'1.'!F291</f>
        <v>0</v>
      </c>
      <c r="H59" s="16">
        <f>'1.'!G291</f>
        <v>0</v>
      </c>
      <c r="I59" s="16">
        <f>'1.'!H291</f>
        <v>0</v>
      </c>
      <c r="J59" s="16">
        <f>'1.'!I291</f>
        <v>0</v>
      </c>
      <c r="K59" s="16" t="str">
        <f>'1.'!J291</f>
        <v>%</v>
      </c>
      <c r="L59" s="16">
        <f ca="1">'1.'!K291</f>
        <v>34.412578919149588</v>
      </c>
      <c r="M59" s="16" t="str">
        <f ca="1">'1.'!L291</f>
        <v>[292]</v>
      </c>
      <c r="N59" s="16">
        <f ca="1">'1.'!M291</f>
        <v>0</v>
      </c>
    </row>
    <row r="60" spans="1:14" s="16" customFormat="1">
      <c r="A60" s="588">
        <f>ROW()</f>
        <v>60</v>
      </c>
      <c r="B60" s="16" t="str">
        <f ca="1">'1.'!A296</f>
        <v>D.1.296</v>
      </c>
      <c r="C60" s="16" t="str">
        <f ca="1">'1.'!B296</f>
        <v>1.296</v>
      </c>
      <c r="D60" s="16" t="str">
        <f>'1.'!C296</f>
        <v>[296]</v>
      </c>
      <c r="E60" s="16">
        <f>'1.'!D296</f>
        <v>296</v>
      </c>
      <c r="F60" s="16" t="str">
        <f>'1.'!E296</f>
        <v>Energieholzanteil für Wärmenetze</v>
      </c>
      <c r="G60" s="16">
        <f>'1.'!F296</f>
        <v>0</v>
      </c>
      <c r="H60" s="16">
        <f>'1.'!G296</f>
        <v>0</v>
      </c>
      <c r="I60" s="16">
        <f>'1.'!H296</f>
        <v>0</v>
      </c>
      <c r="J60" s="16">
        <f>'1.'!I296</f>
        <v>0</v>
      </c>
      <c r="K60" s="16" t="str">
        <f>'1.'!J296</f>
        <v>%</v>
      </c>
      <c r="L60" s="16">
        <f ca="1">'1.'!K296</f>
        <v>0</v>
      </c>
      <c r="M60" s="16" t="str">
        <f ca="1">'1.'!L296</f>
        <v>[297]</v>
      </c>
      <c r="N60" s="16">
        <f ca="1">'1.'!M296</f>
        <v>0</v>
      </c>
    </row>
    <row r="61" spans="1:14">
      <c r="A61" s="588">
        <f>ROW()</f>
        <v>61</v>
      </c>
      <c r="B61" s="16" t="str">
        <f ca="1">'1.'!A301</f>
        <v>D.1.301</v>
      </c>
      <c r="C61" s="16" t="str">
        <f ca="1">'1.'!B301</f>
        <v>1.301</v>
      </c>
      <c r="D61" s="16" t="str">
        <f>'1.'!C301</f>
        <v>[301]</v>
      </c>
      <c r="E61" s="16">
        <f>'1.'!D301</f>
        <v>301</v>
      </c>
      <c r="F61" s="176" t="str">
        <f>'1.'!E301</f>
        <v>Stroh, energetische Nutzung</v>
      </c>
      <c r="G61" s="16">
        <f>'1.'!F301</f>
        <v>0</v>
      </c>
      <c r="H61" s="16">
        <f>'1.'!G301</f>
        <v>0</v>
      </c>
      <c r="I61" s="16">
        <f>'1.'!H301</f>
        <v>0</v>
      </c>
      <c r="J61" s="16">
        <f>'1.'!I301</f>
        <v>0</v>
      </c>
      <c r="K61" s="16">
        <f>'1.'!J301</f>
        <v>0</v>
      </c>
      <c r="L61" s="16">
        <f>'1.'!K301</f>
        <v>0</v>
      </c>
      <c r="M61" s="16">
        <f>'1.'!L301</f>
        <v>0</v>
      </c>
      <c r="N61" s="16">
        <f>'1.'!M301</f>
        <v>0</v>
      </c>
    </row>
    <row r="62" spans="1:14">
      <c r="A62" s="588">
        <f>ROW()</f>
        <v>62</v>
      </c>
      <c r="B62" s="16" t="str">
        <f ca="1">'1.'!A303</f>
        <v>D.1.303</v>
      </c>
      <c r="C62" s="16" t="str">
        <f ca="1">'1.'!B303</f>
        <v>1.303</v>
      </c>
      <c r="D62" s="16" t="str">
        <f>'1.'!C303</f>
        <v>[303]</v>
      </c>
      <c r="E62" s="16">
        <f>'1.'!D303</f>
        <v>303</v>
      </c>
      <c r="F62" s="16" t="str">
        <f>'1.'!E303</f>
        <v>Energetisch genutzter Anteil am Strohanfall</v>
      </c>
      <c r="G62" s="16">
        <f>'1.'!F303</f>
        <v>0</v>
      </c>
      <c r="H62" s="16">
        <f>'1.'!G303</f>
        <v>0</v>
      </c>
      <c r="I62" s="16">
        <f>'1.'!H303</f>
        <v>0</v>
      </c>
      <c r="J62" s="16">
        <f>'1.'!I303</f>
        <v>0</v>
      </c>
      <c r="K62" s="16" t="str">
        <f>'1.'!J303</f>
        <v>%</v>
      </c>
      <c r="L62" s="16">
        <f ca="1">'1.'!K303</f>
        <v>0.16181059119559105</v>
      </c>
      <c r="M62" s="16" t="str">
        <f ca="1">'1.'!L303</f>
        <v>[304]</v>
      </c>
      <c r="N62" s="16">
        <f ca="1">'1.'!M303</f>
        <v>33</v>
      </c>
    </row>
    <row r="63" spans="1:14">
      <c r="A63" s="588">
        <f>ROW()</f>
        <v>63</v>
      </c>
      <c r="B63" s="16" t="str">
        <f ca="1">'1.'!A310</f>
        <v>D.1.310</v>
      </c>
      <c r="C63" s="16" t="str">
        <f ca="1">'1.'!B310</f>
        <v>1.310</v>
      </c>
      <c r="D63" s="16" t="str">
        <f>'1.'!C310</f>
        <v>[310]</v>
      </c>
      <c r="E63" s="16">
        <f>'1.'!D310</f>
        <v>310</v>
      </c>
      <c r="F63" s="16" t="str">
        <f>'1.'!E310</f>
        <v xml:space="preserve">Getreidestroh - Energieertrag </v>
      </c>
      <c r="G63" s="16">
        <f>'1.'!F310</f>
        <v>0</v>
      </c>
      <c r="H63" s="16">
        <f>'1.'!G310</f>
        <v>0</v>
      </c>
      <c r="I63" s="16">
        <f>'1.'!H310</f>
        <v>0</v>
      </c>
      <c r="J63" s="16">
        <f>'1.'!I310</f>
        <v>0</v>
      </c>
      <c r="K63" s="16" t="str">
        <f>'1.'!J310</f>
        <v>MWh/ha/a</v>
      </c>
      <c r="L63" s="16">
        <f ca="1">'1.'!K310</f>
        <v>23.833333333333332</v>
      </c>
      <c r="M63" s="16" t="str">
        <f ca="1">'1.'!L310</f>
        <v>[311]</v>
      </c>
      <c r="N63" s="16">
        <f ca="1">'1.'!M310</f>
        <v>23.833333333333332</v>
      </c>
    </row>
    <row r="64" spans="1:14" s="16" customFormat="1">
      <c r="A64" s="588">
        <f>ROW()</f>
        <v>64</v>
      </c>
      <c r="B64" s="16" t="str">
        <f ca="1">'1.'!A315</f>
        <v>D.1.315</v>
      </c>
      <c r="C64" s="16" t="str">
        <f ca="1">'1.'!B315</f>
        <v>1.315</v>
      </c>
      <c r="D64" s="16" t="str">
        <f>'1.'!C315</f>
        <v>[315]</v>
      </c>
      <c r="E64" s="16">
        <f>'1.'!D315</f>
        <v>315</v>
      </c>
      <c r="F64" s="16" t="str">
        <f>'1.'!E315</f>
        <v>Energiestrohanteil für Gebäudewärme</v>
      </c>
      <c r="G64" s="16">
        <f>'1.'!F315</f>
        <v>0</v>
      </c>
      <c r="H64" s="16">
        <f>'1.'!G315</f>
        <v>0</v>
      </c>
      <c r="I64" s="16">
        <f>'1.'!H315</f>
        <v>0</v>
      </c>
      <c r="J64" s="16">
        <f>'1.'!I315</f>
        <v>0</v>
      </c>
      <c r="K64" s="16" t="str">
        <f>'1.'!J315</f>
        <v>%</v>
      </c>
      <c r="L64" s="16">
        <f ca="1">'1.'!K315</f>
        <v>0</v>
      </c>
      <c r="M64" s="16" t="str">
        <f ca="1">'1.'!L315</f>
        <v>[316]</v>
      </c>
      <c r="N64" s="16">
        <f ca="1">'1.'!M315</f>
        <v>0</v>
      </c>
    </row>
    <row r="65" spans="1:14">
      <c r="A65" s="588">
        <f>ROW()</f>
        <v>65</v>
      </c>
      <c r="B65" s="16" t="str">
        <f ca="1">'1.'!A320</f>
        <v>D.1.320</v>
      </c>
      <c r="C65" s="16" t="str">
        <f ca="1">'1.'!B320</f>
        <v>1.320</v>
      </c>
      <c r="D65" s="16" t="str">
        <f>'1.'!C320</f>
        <v>[320]</v>
      </c>
      <c r="E65" s="16">
        <f>'1.'!D320</f>
        <v>320</v>
      </c>
      <c r="F65" s="16" t="str">
        <f>'1.'!E320</f>
        <v>Energiestrohanteil für Prozesswärme</v>
      </c>
      <c r="G65" s="16">
        <f>'1.'!F320</f>
        <v>0</v>
      </c>
      <c r="H65" s="16">
        <f>'1.'!G320</f>
        <v>0</v>
      </c>
      <c r="I65" s="16">
        <f>'1.'!H320</f>
        <v>0</v>
      </c>
      <c r="J65" s="16">
        <f>'1.'!I320</f>
        <v>0</v>
      </c>
      <c r="K65" s="16" t="str">
        <f>'1.'!J320</f>
        <v>%</v>
      </c>
      <c r="L65" s="16">
        <f ca="1">'1.'!K320</f>
        <v>0</v>
      </c>
      <c r="M65" s="16" t="str">
        <f ca="1">'1.'!L320</f>
        <v>[321]</v>
      </c>
      <c r="N65" s="16">
        <f ca="1">'1.'!M320</f>
        <v>100</v>
      </c>
    </row>
    <row r="66" spans="1:14">
      <c r="A66" s="588">
        <f>ROW()</f>
        <v>66</v>
      </c>
      <c r="B66" s="16" t="str">
        <f ca="1">'1.'!A325</f>
        <v>D.1.325</v>
      </c>
      <c r="C66" s="16" t="str">
        <f ca="1">'1.'!B325</f>
        <v>1.325</v>
      </c>
      <c r="D66" s="16" t="str">
        <f>'1.'!C325</f>
        <v>[325]</v>
      </c>
      <c r="E66" s="16">
        <f>'1.'!D325</f>
        <v>325</v>
      </c>
      <c r="F66" s="16" t="str">
        <f>'1.'!E325</f>
        <v xml:space="preserve">Energiestrohanteil für Verstromung </v>
      </c>
      <c r="G66" s="16">
        <f>'1.'!F325</f>
        <v>0</v>
      </c>
      <c r="H66" s="16">
        <f>'1.'!G325</f>
        <v>0</v>
      </c>
      <c r="I66" s="16">
        <f>'1.'!H325</f>
        <v>0</v>
      </c>
      <c r="J66" s="16">
        <f>'1.'!I325</f>
        <v>0</v>
      </c>
      <c r="K66" s="16" t="str">
        <f>'1.'!J325</f>
        <v>%</v>
      </c>
      <c r="L66" s="16">
        <f ca="1">'1.'!K325</f>
        <v>100</v>
      </c>
      <c r="M66" s="16" t="str">
        <f ca="1">'1.'!L325</f>
        <v>[326]</v>
      </c>
      <c r="N66" s="16">
        <f ca="1">'1.'!M325</f>
        <v>0</v>
      </c>
    </row>
    <row r="67" spans="1:14" s="16" customFormat="1">
      <c r="A67" s="588">
        <f>ROW()</f>
        <v>67</v>
      </c>
      <c r="B67" s="16" t="str">
        <f ca="1">'1.'!A330</f>
        <v>D.1.330</v>
      </c>
      <c r="C67" s="16" t="str">
        <f ca="1">'1.'!B330</f>
        <v>1.330</v>
      </c>
      <c r="D67" s="16" t="str">
        <f>'1.'!C330</f>
        <v>[330]</v>
      </c>
      <c r="E67" s="16">
        <f>'1.'!D330</f>
        <v>330</v>
      </c>
      <c r="F67" s="16" t="str">
        <f>'1.'!E330</f>
        <v>Energiestrohanteil für Wärmenetze</v>
      </c>
      <c r="G67" s="16">
        <f>'1.'!F330</f>
        <v>0</v>
      </c>
      <c r="H67" s="16">
        <f>'1.'!G330</f>
        <v>0</v>
      </c>
      <c r="I67" s="16">
        <f>'1.'!H330</f>
        <v>0</v>
      </c>
      <c r="J67" s="16">
        <f>'1.'!I330</f>
        <v>0</v>
      </c>
      <c r="K67" s="16" t="str">
        <f>'1.'!J330</f>
        <v>%</v>
      </c>
      <c r="L67" s="16">
        <f ca="1">'1.'!K330</f>
        <v>0</v>
      </c>
      <c r="M67" s="16" t="str">
        <f ca="1">'1.'!L330</f>
        <v>[331]</v>
      </c>
      <c r="N67" s="16">
        <f ca="1">'1.'!M330</f>
        <v>0</v>
      </c>
    </row>
    <row r="68" spans="1:14">
      <c r="A68" s="588">
        <f>ROW()</f>
        <v>68</v>
      </c>
      <c r="B68" s="16" t="str">
        <f ca="1">'1.'!A335</f>
        <v>D.1.335</v>
      </c>
      <c r="C68" s="16" t="str">
        <f ca="1">'1.'!B335</f>
        <v>1.335</v>
      </c>
      <c r="D68" s="16" t="str">
        <f>'1.'!C335</f>
        <v>[335]</v>
      </c>
      <c r="E68" s="16">
        <f>'1.'!D335</f>
        <v>335</v>
      </c>
      <c r="F68" s="176" t="str">
        <f>'1.'!E335</f>
        <v>Verstromung biogene Brennstoffe (fest)</v>
      </c>
      <c r="G68" s="16">
        <f>'1.'!F335</f>
        <v>0</v>
      </c>
      <c r="H68" s="16">
        <f>'1.'!G335</f>
        <v>0</v>
      </c>
      <c r="I68" s="16">
        <f>'1.'!H335</f>
        <v>0</v>
      </c>
      <c r="J68" s="16">
        <f>'1.'!I335</f>
        <v>0</v>
      </c>
      <c r="K68" s="16">
        <f>'1.'!J335</f>
        <v>0</v>
      </c>
      <c r="L68" s="16">
        <f>'1.'!K335</f>
        <v>0</v>
      </c>
      <c r="M68" s="16">
        <f>'1.'!L335</f>
        <v>0</v>
      </c>
      <c r="N68" s="16">
        <f>'1.'!M335</f>
        <v>0</v>
      </c>
    </row>
    <row r="69" spans="1:14">
      <c r="A69" s="588">
        <f>ROW()</f>
        <v>69</v>
      </c>
      <c r="B69" s="16" t="str">
        <f ca="1">'1.'!A337</f>
        <v>D.1.337</v>
      </c>
      <c r="C69" s="16" t="str">
        <f ca="1">'1.'!B337</f>
        <v>1.337</v>
      </c>
      <c r="D69" s="16" t="str">
        <f>'1.'!C337</f>
        <v>[337]</v>
      </c>
      <c r="E69" s="16">
        <f>'1.'!D337</f>
        <v>337</v>
      </c>
      <c r="F69" s="16" t="str">
        <f>'1.'!E337</f>
        <v>Strom aus Brennstoffen (fest) - Nutzungsgrad</v>
      </c>
      <c r="G69" s="16">
        <f>'1.'!F337</f>
        <v>0</v>
      </c>
      <c r="H69" s="16">
        <f>'1.'!G337</f>
        <v>0</v>
      </c>
      <c r="I69" s="16">
        <f>'1.'!H337</f>
        <v>0</v>
      </c>
      <c r="J69" s="16">
        <f>'1.'!I337</f>
        <v>0</v>
      </c>
      <c r="K69" s="16" t="str">
        <f>'1.'!J337</f>
        <v>%</v>
      </c>
      <c r="L69" s="16">
        <f ca="1">'1.'!K337</f>
        <v>28</v>
      </c>
      <c r="M69" s="16" t="str">
        <f ca="1">'1.'!L337</f>
        <v>[338]</v>
      </c>
      <c r="N69" s="16">
        <f ca="1">'1.'!M337</f>
        <v>36.200000000000003</v>
      </c>
    </row>
    <row r="70" spans="1:14">
      <c r="A70" s="588">
        <f>ROW()</f>
        <v>70</v>
      </c>
      <c r="B70" s="16" t="str">
        <f ca="1">'1.'!A344</f>
        <v>D.1.344</v>
      </c>
      <c r="C70" s="16" t="str">
        <f ca="1">'1.'!B344</f>
        <v>1.344</v>
      </c>
      <c r="D70" s="16" t="str">
        <f>'1.'!C344</f>
        <v>[344]</v>
      </c>
      <c r="E70" s="16">
        <f>'1.'!D344</f>
        <v>344</v>
      </c>
      <c r="F70" s="16" t="str">
        <f>'1.'!E344</f>
        <v>Abwärme aus Verstromung - Nutzungsgrad</v>
      </c>
      <c r="G70" s="16">
        <f>'1.'!F344</f>
        <v>0</v>
      </c>
      <c r="H70" s="16">
        <f>'1.'!G344</f>
        <v>0</v>
      </c>
      <c r="I70" s="16">
        <f>'1.'!H344</f>
        <v>0</v>
      </c>
      <c r="J70" s="16">
        <f>'1.'!I344</f>
        <v>0</v>
      </c>
      <c r="K70" s="16" t="str">
        <f>'1.'!J344</f>
        <v>%</v>
      </c>
      <c r="L70" s="16">
        <f ca="1">'1.'!K344</f>
        <v>16.715421303656598</v>
      </c>
      <c r="M70" s="16" t="str">
        <f ca="1">'1.'!L344</f>
        <v>[345]</v>
      </c>
      <c r="N70" s="16">
        <f ca="1">'1.'!M344</f>
        <v>55</v>
      </c>
    </row>
    <row r="71" spans="1:14" s="16" customFormat="1">
      <c r="A71" s="588">
        <f>ROW()</f>
        <v>71</v>
      </c>
      <c r="B71" s="16" t="str">
        <f ca="1">'1.'!A348</f>
        <v>D.1.348</v>
      </c>
      <c r="C71" s="16" t="str">
        <f ca="1">'1.'!B348</f>
        <v>1.348</v>
      </c>
      <c r="D71" s="16" t="str">
        <f>'1.'!C348</f>
        <v>[348]</v>
      </c>
      <c r="E71" s="16">
        <f>'1.'!D348</f>
        <v>348</v>
      </c>
      <c r="F71" s="176" t="str">
        <f>'1.'!E348</f>
        <v>Biogene Brennstoffe (fest) für Wärmenetze</v>
      </c>
      <c r="G71" s="16">
        <f>'1.'!F348</f>
        <v>0</v>
      </c>
      <c r="H71" s="16">
        <f>'1.'!G348</f>
        <v>0</v>
      </c>
      <c r="I71" s="16">
        <f>'1.'!H348</f>
        <v>0</v>
      </c>
      <c r="J71" s="16">
        <f>'1.'!I348</f>
        <v>0</v>
      </c>
      <c r="K71" s="16">
        <f>'1.'!J348</f>
        <v>0</v>
      </c>
      <c r="L71" s="16">
        <f>'1.'!K348</f>
        <v>0</v>
      </c>
      <c r="M71" s="16">
        <f>'1.'!L348</f>
        <v>0</v>
      </c>
      <c r="N71" s="16">
        <f>'1.'!M348</f>
        <v>0</v>
      </c>
    </row>
    <row r="72" spans="1:14" s="16" customFormat="1">
      <c r="A72" s="588">
        <f>ROW()</f>
        <v>72</v>
      </c>
      <c r="B72" s="16" t="str">
        <f ca="1">'1.'!A350</f>
        <v>D.1.350</v>
      </c>
      <c r="C72" s="16" t="str">
        <f ca="1">'1.'!B350</f>
        <v>1.350</v>
      </c>
      <c r="D72" s="16" t="str">
        <f>'1.'!C350</f>
        <v>[350]</v>
      </c>
      <c r="E72" s="16">
        <f>'1.'!D350</f>
        <v>350</v>
      </c>
      <c r="F72" s="16" t="str">
        <f>'1.'!E350</f>
        <v>Heizwerke/Wärmenetze - Nutzungsgrad</v>
      </c>
      <c r="G72" s="16">
        <f>'1.'!F350</f>
        <v>0</v>
      </c>
      <c r="H72" s="16">
        <f>'1.'!G350</f>
        <v>0</v>
      </c>
      <c r="I72" s="16">
        <f>'1.'!H350</f>
        <v>0</v>
      </c>
      <c r="J72" s="16">
        <f>'1.'!I350</f>
        <v>0</v>
      </c>
      <c r="K72" s="16" t="str">
        <f>'1.'!J350</f>
        <v>%</v>
      </c>
      <c r="L72" s="16">
        <f ca="1">'1.'!K350</f>
        <v>75</v>
      </c>
      <c r="M72" s="16" t="str">
        <f ca="1">'1.'!L350</f>
        <v>[351]</v>
      </c>
      <c r="N72" s="16">
        <f ca="1">'1.'!M350</f>
        <v>75</v>
      </c>
    </row>
    <row r="73" spans="1:14" s="16" customFormat="1">
      <c r="A73" s="588">
        <f>ROW()</f>
        <v>73</v>
      </c>
      <c r="B73" s="16" t="str">
        <f ca="1">'1.'!A354</f>
        <v>D.1.354</v>
      </c>
      <c r="C73" s="16" t="str">
        <f ca="1">'1.'!B354</f>
        <v>1.354</v>
      </c>
      <c r="D73" s="16" t="str">
        <f>'1.'!C354</f>
        <v>[354]</v>
      </c>
      <c r="E73" s="16">
        <f>'1.'!D354</f>
        <v>354</v>
      </c>
      <c r="F73" s="176" t="str">
        <f>'1.'!E354</f>
        <v>Biogene Abfallstoffe (fest)</v>
      </c>
      <c r="G73" s="16">
        <f>'1.'!F354</f>
        <v>0</v>
      </c>
      <c r="H73" s="16">
        <f>'1.'!G354</f>
        <v>0</v>
      </c>
      <c r="I73" s="16">
        <f>'1.'!H354</f>
        <v>0</v>
      </c>
      <c r="J73" s="16">
        <f>'1.'!I354</f>
        <v>0</v>
      </c>
      <c r="K73" s="16">
        <f>'1.'!J354</f>
        <v>0</v>
      </c>
      <c r="L73" s="16">
        <f>'1.'!K354</f>
        <v>0</v>
      </c>
      <c r="M73" s="16">
        <f>'1.'!L354</f>
        <v>0</v>
      </c>
      <c r="N73" s="16">
        <f>'1.'!M354</f>
        <v>0</v>
      </c>
    </row>
    <row r="74" spans="1:14" s="16" customFormat="1">
      <c r="A74" s="588">
        <f>ROW()</f>
        <v>74</v>
      </c>
      <c r="B74" s="16" t="str">
        <f ca="1">'1.'!A356</f>
        <v>D.1.356</v>
      </c>
      <c r="C74" s="16" t="str">
        <f ca="1">'1.'!B356</f>
        <v>1.356</v>
      </c>
      <c r="D74" s="16" t="str">
        <f>'1.'!C356</f>
        <v>[356]</v>
      </c>
      <c r="E74" s="16">
        <f>'1.'!D356</f>
        <v>356</v>
      </c>
      <c r="F74" s="16" t="str">
        <f>'1.'!E356</f>
        <v>Strom aus Abfallstoffen (fest)</v>
      </c>
      <c r="G74" s="16">
        <f>'1.'!F356</f>
        <v>0</v>
      </c>
      <c r="H74" s="16">
        <f>'1.'!G356</f>
        <v>0</v>
      </c>
      <c r="I74" s="16">
        <f>'1.'!H356</f>
        <v>0</v>
      </c>
      <c r="J74" s="16">
        <f>'1.'!I356</f>
        <v>0</v>
      </c>
      <c r="K74" s="16" t="str">
        <f>'1.'!J356</f>
        <v>GWh/a</v>
      </c>
      <c r="L74" s="16">
        <f ca="1">'1.'!K356</f>
        <v>5912</v>
      </c>
      <c r="M74" s="16" t="str">
        <f ca="1">'1.'!L356</f>
        <v>[357]</v>
      </c>
      <c r="N74" s="16">
        <f ca="1">'1.'!M356</f>
        <v>5912</v>
      </c>
    </row>
    <row r="75" spans="1:14" s="16" customFormat="1">
      <c r="A75" s="588">
        <f>ROW()</f>
        <v>75</v>
      </c>
      <c r="B75" s="16" t="str">
        <f ca="1">'1.'!A360</f>
        <v>D.1.360</v>
      </c>
      <c r="C75" s="16" t="str">
        <f ca="1">'1.'!B360</f>
        <v>1.360</v>
      </c>
      <c r="D75" s="16" t="str">
        <f>'1.'!C360</f>
        <v>[360]</v>
      </c>
      <c r="E75" s="16">
        <f>'1.'!D360</f>
        <v>360</v>
      </c>
      <c r="F75" s="16" t="str">
        <f>'1.'!E360</f>
        <v>Wärme aus  Abfallstoffen (fest)</v>
      </c>
      <c r="G75" s="16">
        <f>'1.'!F360</f>
        <v>0</v>
      </c>
      <c r="H75" s="16">
        <f>'1.'!G360</f>
        <v>0</v>
      </c>
      <c r="I75" s="16">
        <f>'1.'!H360</f>
        <v>0</v>
      </c>
      <c r="J75" s="16">
        <f>'1.'!I360</f>
        <v>0</v>
      </c>
      <c r="K75" s="16" t="str">
        <f>'1.'!J360</f>
        <v>GWh/a</v>
      </c>
      <c r="L75" s="16">
        <f ca="1">'1.'!K360</f>
        <v>11933</v>
      </c>
      <c r="M75" s="16" t="str">
        <f ca="1">'1.'!L360</f>
        <v>[361]</v>
      </c>
      <c r="N75" s="16">
        <f ca="1">'1.'!M360</f>
        <v>11933</v>
      </c>
    </row>
    <row r="76" spans="1:14" s="653" customFormat="1">
      <c r="A76" s="696">
        <f>ROW()</f>
        <v>76</v>
      </c>
    </row>
    <row r="77" spans="1:14">
      <c r="A77" s="588">
        <f>ROW()</f>
        <v>77</v>
      </c>
      <c r="B77" s="16" t="str">
        <f ca="1">'1.'!A363</f>
        <v>D.1.363</v>
      </c>
      <c r="C77" s="16" t="str">
        <f ca="1">'1.'!B363</f>
        <v>1.363</v>
      </c>
      <c r="D77" s="16" t="str">
        <f>'1.'!C363</f>
        <v>[363]</v>
      </c>
      <c r="E77" s="16">
        <f>'1.'!D363</f>
        <v>363</v>
      </c>
      <c r="F77" s="176" t="str">
        <f>'1.'!E363</f>
        <v>Biogas</v>
      </c>
      <c r="G77" s="16">
        <f>'1.'!F363</f>
        <v>0</v>
      </c>
      <c r="H77" s="16">
        <f>'1.'!G363</f>
        <v>0</v>
      </c>
      <c r="I77" s="16">
        <f>'1.'!H363</f>
        <v>0</v>
      </c>
      <c r="J77" s="16">
        <f>'1.'!I363</f>
        <v>0</v>
      </c>
      <c r="K77" s="16">
        <f>'1.'!J363</f>
        <v>0</v>
      </c>
      <c r="L77" s="16">
        <f>'1.'!K363</f>
        <v>0</v>
      </c>
      <c r="M77" s="16">
        <f>'1.'!L363</f>
        <v>0</v>
      </c>
      <c r="N77" s="16">
        <f>'1.'!M363</f>
        <v>0</v>
      </c>
    </row>
    <row r="78" spans="1:14">
      <c r="A78" s="588">
        <f>ROW()</f>
        <v>78</v>
      </c>
      <c r="B78" s="16" t="str">
        <f ca="1">'1.'!A365</f>
        <v>D.1.365</v>
      </c>
      <c r="C78" s="16" t="str">
        <f ca="1">'1.'!B365</f>
        <v>1.365</v>
      </c>
      <c r="D78" s="16" t="str">
        <f>'1.'!C365</f>
        <v>[365]</v>
      </c>
      <c r="E78" s="16">
        <f>'1.'!D365</f>
        <v>365</v>
      </c>
      <c r="F78" s="16" t="str">
        <f>'1.'!E365</f>
        <v>Biogas - NAWARO-Anbau</v>
      </c>
      <c r="G78" s="16">
        <f>'1.'!F365</f>
        <v>0</v>
      </c>
      <c r="H78" s="16">
        <f>'1.'!G365</f>
        <v>0</v>
      </c>
      <c r="I78" s="16">
        <f>'1.'!H365</f>
        <v>0</v>
      </c>
      <c r="J78" s="16">
        <f>'1.'!I365</f>
        <v>0</v>
      </c>
      <c r="K78" s="16" t="str">
        <f>'1.'!J365</f>
        <v xml:space="preserve">ha </v>
      </c>
      <c r="L78" s="16">
        <f ca="1">'1.'!K365</f>
        <v>1450000</v>
      </c>
      <c r="M78" s="16" t="str">
        <f ca="1">'1.'!L365</f>
        <v>[366]</v>
      </c>
      <c r="N78" s="16">
        <f ca="1">'1.'!M365</f>
        <v>1601000</v>
      </c>
    </row>
    <row r="79" spans="1:14">
      <c r="A79" s="588">
        <f>ROW()</f>
        <v>79</v>
      </c>
      <c r="B79" s="16" t="str">
        <f ca="1">'1.'!A373</f>
        <v>D.1.373</v>
      </c>
      <c r="C79" s="16" t="str">
        <f ca="1">'1.'!B373</f>
        <v>1.373</v>
      </c>
      <c r="D79" s="16" t="str">
        <f>'1.'!C373</f>
        <v>[373]</v>
      </c>
      <c r="E79" s="16">
        <f>'1.'!D373</f>
        <v>373</v>
      </c>
      <c r="F79" s="16" t="str">
        <f>'1.'!E373</f>
        <v>Biogas - Methanertrag</v>
      </c>
      <c r="G79" s="16">
        <f>'1.'!F373</f>
        <v>0</v>
      </c>
      <c r="H79" s="16">
        <f>'1.'!G373</f>
        <v>0</v>
      </c>
      <c r="I79" s="16">
        <f>'1.'!H373</f>
        <v>0</v>
      </c>
      <c r="J79" s="16">
        <f>'1.'!I373</f>
        <v>0</v>
      </c>
      <c r="K79" s="16" t="str">
        <f>'1.'!J373</f>
        <v>MWh/ha/a</v>
      </c>
      <c r="L79" s="16">
        <f ca="1">'1.'!K373</f>
        <v>51.57180883903775</v>
      </c>
      <c r="M79" s="16" t="str">
        <f ca="1">'1.'!L373</f>
        <v>[374]</v>
      </c>
      <c r="N79" s="16">
        <f ca="1">'1.'!M373</f>
        <v>41.257447071230203</v>
      </c>
    </row>
    <row r="80" spans="1:14" s="653" customFormat="1">
      <c r="A80" s="696">
        <f>ROW()</f>
        <v>80</v>
      </c>
      <c r="B80" s="19" t="str">
        <f ca="1">'1.'!A384</f>
        <v>D.1.384</v>
      </c>
      <c r="C80" s="19" t="str">
        <f ca="1">'1.'!B384</f>
        <v>1.384</v>
      </c>
      <c r="D80" s="19" t="str">
        <f>'1.'!C384</f>
        <v>[384]</v>
      </c>
      <c r="E80" s="19">
        <f>'1.'!D384</f>
        <v>384</v>
      </c>
      <c r="F80" s="19" t="str">
        <f>'1.'!E384</f>
        <v>Biogas aus Abfall-/Reststoffverwertung</v>
      </c>
      <c r="G80" s="19">
        <f>'1.'!F384</f>
        <v>0</v>
      </c>
      <c r="H80" s="19">
        <f>'1.'!G384</f>
        <v>0</v>
      </c>
      <c r="I80" s="19">
        <f>'1.'!H384</f>
        <v>0</v>
      </c>
      <c r="J80" s="19">
        <f>'1.'!I384</f>
        <v>0</v>
      </c>
      <c r="K80" s="19" t="str">
        <f>'1.'!J384</f>
        <v>GWh/a</v>
      </c>
      <c r="L80" s="19">
        <f ca="1">'1.'!K384</f>
        <v>15039.473684210527</v>
      </c>
      <c r="M80" s="19" t="str">
        <f ca="1">'1.'!L384</f>
        <v>[385]</v>
      </c>
      <c r="N80" s="19">
        <f ca="1">'1.'!M384</f>
        <v>30078.947368421053</v>
      </c>
    </row>
    <row r="81" spans="1:14" s="653" customFormat="1">
      <c r="A81" s="696">
        <f>ROW()</f>
        <v>81</v>
      </c>
      <c r="B81" s="19" t="str">
        <f ca="1">'1.'!A391</f>
        <v>D.1.391</v>
      </c>
      <c r="C81" s="19" t="str">
        <f ca="1">'1.'!B391</f>
        <v>1.391</v>
      </c>
      <c r="D81" s="19" t="str">
        <f>'1.'!C391</f>
        <v>[391]</v>
      </c>
      <c r="E81" s="19">
        <f>'1.'!D391</f>
        <v>391</v>
      </c>
      <c r="F81" s="19" t="str">
        <f>'1.'!E391</f>
        <v>Gase aus Deponien und Kläranlagen</v>
      </c>
      <c r="G81" s="19">
        <f>'1.'!F391</f>
        <v>0</v>
      </c>
      <c r="H81" s="19">
        <f>'1.'!G391</f>
        <v>0</v>
      </c>
      <c r="I81" s="19">
        <f>'1.'!H391</f>
        <v>0</v>
      </c>
      <c r="J81" s="19">
        <f>'1.'!I391</f>
        <v>0</v>
      </c>
      <c r="K81" s="19" t="str">
        <f>'1.'!J391</f>
        <v>GWh/a</v>
      </c>
      <c r="L81" s="19">
        <f ca="1">'1.'!K391</f>
        <v>4752.6315789473692</v>
      </c>
      <c r="M81" s="19" t="str">
        <f ca="1">'1.'!L391</f>
        <v>[392]</v>
      </c>
      <c r="N81" s="19">
        <f ca="1">'1.'!M391</f>
        <v>4752.6315789473692</v>
      </c>
    </row>
    <row r="82" spans="1:14" s="653" customFormat="1">
      <c r="A82" s="696">
        <f>ROW()</f>
        <v>82</v>
      </c>
      <c r="B82" s="19" t="str">
        <f ca="1">'1.'!A397</f>
        <v>D.1.397</v>
      </c>
      <c r="C82" s="19" t="str">
        <f ca="1">'1.'!B397</f>
        <v>1.397</v>
      </c>
      <c r="D82" s="19" t="str">
        <f>'1.'!C397</f>
        <v>[397]</v>
      </c>
      <c r="E82" s="19">
        <f>'1.'!D397</f>
        <v>397</v>
      </c>
      <c r="F82" s="19" t="str">
        <f>'1.'!E397</f>
        <v>Biogas-Anteil für Prozesswärme</v>
      </c>
      <c r="G82" s="19">
        <f>'1.'!F397</f>
        <v>0</v>
      </c>
      <c r="H82" s="19">
        <f>'1.'!G397</f>
        <v>0</v>
      </c>
      <c r="I82" s="19">
        <f>'1.'!H397</f>
        <v>0</v>
      </c>
      <c r="J82" s="19">
        <f>'1.'!I397</f>
        <v>0</v>
      </c>
      <c r="K82" s="19" t="str">
        <f>'1.'!J397</f>
        <v>%</v>
      </c>
      <c r="L82" s="19">
        <f ca="1">'1.'!K397</f>
        <v>0</v>
      </c>
      <c r="M82" s="19" t="str">
        <f ca="1">'1.'!L397</f>
        <v>[398]</v>
      </c>
      <c r="N82" s="19">
        <f ca="1">'1.'!M397</f>
        <v>24.454737735064811</v>
      </c>
    </row>
    <row r="83" spans="1:14">
      <c r="A83" s="588">
        <f>ROW()</f>
        <v>83</v>
      </c>
      <c r="B83" s="653" t="str">
        <f ca="1">'1.'!A402</f>
        <v>D.1.402</v>
      </c>
      <c r="C83" s="653" t="str">
        <f ca="1">'1.'!B402</f>
        <v>1.402</v>
      </c>
      <c r="D83" s="653" t="str">
        <f>'1.'!C402</f>
        <v>[402]</v>
      </c>
      <c r="E83" s="653">
        <f>'1.'!D402</f>
        <v>402</v>
      </c>
      <c r="F83" s="653" t="str">
        <f>'1.'!E402</f>
        <v>Biogas-Anteil für Verstromung</v>
      </c>
      <c r="G83" s="653">
        <f>'1.'!F402</f>
        <v>0</v>
      </c>
      <c r="H83" s="653">
        <f>'1.'!G402</f>
        <v>0</v>
      </c>
      <c r="I83" s="653">
        <f>'1.'!H402</f>
        <v>0</v>
      </c>
      <c r="J83" s="653">
        <f>'1.'!I402</f>
        <v>0</v>
      </c>
      <c r="K83" s="653" t="str">
        <f>'1.'!J402</f>
        <v>%</v>
      </c>
      <c r="L83" s="653">
        <f ca="1">'1.'!K402</f>
        <v>99.568135395389547</v>
      </c>
      <c r="M83" s="653" t="str">
        <f ca="1">'1.'!L402</f>
        <v>[403]</v>
      </c>
      <c r="N83" s="16">
        <f ca="1">'1.'!M402</f>
        <v>0</v>
      </c>
    </row>
    <row r="84" spans="1:14">
      <c r="A84" s="588">
        <f>ROW()</f>
        <v>84</v>
      </c>
      <c r="B84" s="16" t="str">
        <f ca="1">'1.'!A407</f>
        <v>D.1.407</v>
      </c>
      <c r="C84" s="16" t="str">
        <f ca="1">'1.'!B407</f>
        <v>1.407</v>
      </c>
      <c r="D84" s="16" t="str">
        <f>'1.'!C407</f>
        <v>[407]</v>
      </c>
      <c r="E84" s="16">
        <f>'1.'!D407</f>
        <v>407</v>
      </c>
      <c r="F84" s="16" t="str">
        <f>'1.'!E407</f>
        <v>Biogasverstromung - Nutzungsgrad</v>
      </c>
      <c r="G84" s="16">
        <f>'1.'!F407</f>
        <v>0</v>
      </c>
      <c r="H84" s="16">
        <f>'1.'!G407</f>
        <v>0</v>
      </c>
      <c r="I84" s="16">
        <f>'1.'!H407</f>
        <v>0</v>
      </c>
      <c r="J84" s="16">
        <f>'1.'!I407</f>
        <v>0</v>
      </c>
      <c r="K84" s="16" t="str">
        <f>'1.'!J407</f>
        <v>%</v>
      </c>
      <c r="L84" s="16">
        <f ca="1">'1.'!K407</f>
        <v>38</v>
      </c>
      <c r="M84" s="16" t="str">
        <f ca="1">'1.'!L407</f>
        <v>[408]</v>
      </c>
      <c r="N84" s="16">
        <f ca="1">'1.'!M407</f>
        <v>45</v>
      </c>
    </row>
    <row r="85" spans="1:14">
      <c r="A85" s="588">
        <f>ROW()</f>
        <v>85</v>
      </c>
      <c r="B85" s="16" t="str">
        <f ca="1">'1.'!A412</f>
        <v>D.1.412</v>
      </c>
      <c r="C85" s="16" t="str">
        <f ca="1">'1.'!B412</f>
        <v>1.412</v>
      </c>
      <c r="D85" s="16" t="str">
        <f>'1.'!C412</f>
        <v>[412]</v>
      </c>
      <c r="E85" s="16">
        <f>'1.'!D412</f>
        <v>412</v>
      </c>
      <c r="F85" s="16" t="str">
        <f>'1.'!E412</f>
        <v>Biogasverstr. - Nutzungsgrad KWK-Abwärme effektiv</v>
      </c>
      <c r="G85" s="16">
        <f>'1.'!F412</f>
        <v>0</v>
      </c>
      <c r="H85" s="16">
        <f>'1.'!G412</f>
        <v>0</v>
      </c>
      <c r="I85" s="16">
        <f>'1.'!H412</f>
        <v>0</v>
      </c>
      <c r="J85" s="16">
        <f>'1.'!I412</f>
        <v>0</v>
      </c>
      <c r="K85" s="16" t="str">
        <f>'1.'!J412</f>
        <v>%</v>
      </c>
      <c r="L85" s="16">
        <f ca="1">'1.'!K412</f>
        <v>19.41245810431332</v>
      </c>
      <c r="M85" s="16" t="str">
        <f ca="1">'1.'!L412</f>
        <v>[413]</v>
      </c>
      <c r="N85" s="16">
        <f ca="1">'1.'!M412</f>
        <v>25</v>
      </c>
    </row>
    <row r="86" spans="1:14">
      <c r="A86" s="588">
        <f>ROW()</f>
        <v>86</v>
      </c>
      <c r="B86" s="16" t="str">
        <f ca="1">'1.'!A419</f>
        <v>D.1.419</v>
      </c>
      <c r="C86" s="16" t="str">
        <f ca="1">'1.'!B419</f>
        <v>1.419</v>
      </c>
      <c r="D86" s="16" t="str">
        <f>'1.'!C419</f>
        <v>[419]</v>
      </c>
      <c r="E86" s="16">
        <f>'1.'!D419</f>
        <v>419</v>
      </c>
      <c r="F86" s="16" t="str">
        <f>'1.'!E419</f>
        <v>Biogas-Anteil als Biomethan für Mobile Antriebe</v>
      </c>
      <c r="G86" s="16">
        <f>'1.'!F419</f>
        <v>0</v>
      </c>
      <c r="H86" s="16">
        <f>'1.'!G419</f>
        <v>0</v>
      </c>
      <c r="I86" s="16">
        <f>'1.'!H419</f>
        <v>0</v>
      </c>
      <c r="J86" s="16">
        <f>'1.'!I419</f>
        <v>0</v>
      </c>
      <c r="K86" s="16" t="str">
        <f>'1.'!J419</f>
        <v>%</v>
      </c>
      <c r="L86" s="16">
        <f ca="1">'1.'!K419</f>
        <v>0.43186460461044646</v>
      </c>
      <c r="M86" s="16" t="str">
        <f ca="1">'1.'!L419</f>
        <v>[420]</v>
      </c>
      <c r="N86" s="16">
        <f>'1.'!M419</f>
        <v>73.8</v>
      </c>
    </row>
    <row r="87" spans="1:14">
      <c r="A87" s="588">
        <f>ROW()</f>
        <v>87</v>
      </c>
      <c r="B87" s="16" t="str">
        <f ca="1">'1.'!A424</f>
        <v>D.1.424</v>
      </c>
      <c r="C87" s="16" t="str">
        <f ca="1">'1.'!B424</f>
        <v>1.424</v>
      </c>
      <c r="D87" s="16" t="str">
        <f>'1.'!C424</f>
        <v>[424]</v>
      </c>
      <c r="E87" s="16">
        <f>'1.'!D424</f>
        <v>424</v>
      </c>
      <c r="F87" s="16" t="str">
        <f>'1.'!E424</f>
        <v>Biogas zu Biomethan-Kraftstoff - Nutzungsgrad</v>
      </c>
      <c r="G87" s="16">
        <f>'1.'!F424</f>
        <v>0</v>
      </c>
      <c r="H87" s="16">
        <f>'1.'!G424</f>
        <v>0</v>
      </c>
      <c r="I87" s="16">
        <f>'1.'!H424</f>
        <v>0</v>
      </c>
      <c r="J87" s="16">
        <f>'1.'!I424</f>
        <v>0</v>
      </c>
      <c r="K87" s="16" t="str">
        <f>'1.'!J424</f>
        <v>%</v>
      </c>
      <c r="L87" s="16">
        <f ca="1">'1.'!K424</f>
        <v>94</v>
      </c>
      <c r="M87" s="16" t="str">
        <f ca="1">'1.'!L424</f>
        <v>[425]</v>
      </c>
      <c r="N87" s="16">
        <f ca="1">'1.'!M424</f>
        <v>94</v>
      </c>
    </row>
    <row r="88" spans="1:14">
      <c r="A88" s="588">
        <f>ROW()</f>
        <v>88</v>
      </c>
      <c r="B88" s="756" t="str">
        <f ca="1">'1.'!A431</f>
        <v>D.1.431</v>
      </c>
      <c r="C88" s="756" t="str">
        <f ca="1">'1.'!B431</f>
        <v>1.431</v>
      </c>
      <c r="D88" s="756" t="str">
        <f>'1.'!C431</f>
        <v>[431]</v>
      </c>
      <c r="E88" s="756">
        <f>'1.'!D431</f>
        <v>431</v>
      </c>
      <c r="F88" s="756" t="str">
        <f>'1.'!E431</f>
        <v>Biogas-Anteil als Flüssigkraftst.für Mobile Antriebe</v>
      </c>
      <c r="G88" s="756">
        <f>'1.'!F431</f>
        <v>0</v>
      </c>
      <c r="H88" s="756">
        <f>'1.'!G431</f>
        <v>0</v>
      </c>
      <c r="I88" s="756">
        <f>'1.'!H431</f>
        <v>0</v>
      </c>
      <c r="J88" s="756">
        <f>'1.'!I431</f>
        <v>0</v>
      </c>
      <c r="K88" s="756" t="str">
        <f>'1.'!J431</f>
        <v>%</v>
      </c>
      <c r="L88" s="756">
        <f ca="1">'1.'!K431</f>
        <v>6.8278716014447127E-15</v>
      </c>
      <c r="M88" s="756" t="str">
        <f ca="1">'1.'!L431</f>
        <v>[432]</v>
      </c>
      <c r="N88" s="16">
        <f ca="1">'1.'!M431</f>
        <v>1.7846313248726347</v>
      </c>
    </row>
    <row r="89" spans="1:14" s="756" customFormat="1">
      <c r="A89" s="696">
        <f>ROW()</f>
        <v>89</v>
      </c>
      <c r="B89" s="756" t="str">
        <f ca="1">'1.'!A435</f>
        <v>D.1.435</v>
      </c>
      <c r="C89" s="756" t="str">
        <f ca="1">'1.'!B435</f>
        <v>1.435</v>
      </c>
      <c r="D89" s="756" t="str">
        <f>'1.'!C435</f>
        <v>[435]</v>
      </c>
      <c r="E89" s="756">
        <f>'1.'!D435</f>
        <v>435</v>
      </c>
      <c r="F89" s="756" t="str">
        <f>'1.'!E435</f>
        <v>Biogas zu Flüssigkraftstoff - Nutzungsgrad</v>
      </c>
      <c r="G89" s="756">
        <f>'1.'!F435</f>
        <v>0</v>
      </c>
      <c r="H89" s="756">
        <f>'1.'!G435</f>
        <v>0</v>
      </c>
      <c r="I89" s="756">
        <f>'1.'!H435</f>
        <v>0</v>
      </c>
      <c r="J89" s="756">
        <f>'1.'!I435</f>
        <v>0</v>
      </c>
      <c r="K89" s="756" t="str">
        <f>'1.'!J435</f>
        <v>%</v>
      </c>
      <c r="L89" s="756">
        <f ca="1">'1.'!K435</f>
        <v>45</v>
      </c>
      <c r="M89" s="756" t="str">
        <f ca="1">'1.'!L435</f>
        <v>[436]</v>
      </c>
      <c r="N89" s="756">
        <f ca="1">'1.'!M435</f>
        <v>45</v>
      </c>
    </row>
    <row r="90" spans="1:14" s="756" customFormat="1">
      <c r="A90" s="696">
        <f>ROW()</f>
        <v>90</v>
      </c>
    </row>
    <row r="91" spans="1:14">
      <c r="A91" s="696">
        <f>ROW()</f>
        <v>91</v>
      </c>
      <c r="B91" s="16" t="str">
        <f ca="1">'1.'!A443</f>
        <v>D.1.443</v>
      </c>
      <c r="C91" s="16" t="str">
        <f ca="1">'1.'!B443</f>
        <v>1.443</v>
      </c>
      <c r="D91" s="16" t="str">
        <f>'1.'!C443</f>
        <v>[443]</v>
      </c>
      <c r="E91" s="16">
        <f>'1.'!D443</f>
        <v>443</v>
      </c>
      <c r="F91" s="176" t="str">
        <f>'1.'!E443</f>
        <v>Biodiesel (inkl. Pflanzenöl)</v>
      </c>
      <c r="G91" s="16">
        <f>'1.'!F443</f>
        <v>0</v>
      </c>
      <c r="H91" s="16">
        <f>'1.'!G443</f>
        <v>0</v>
      </c>
      <c r="I91" s="16">
        <f>'1.'!H443</f>
        <v>0</v>
      </c>
      <c r="J91" s="16">
        <f>'1.'!I443</f>
        <v>0</v>
      </c>
      <c r="K91" s="16">
        <f>'1.'!J443</f>
        <v>0</v>
      </c>
      <c r="L91" s="16">
        <f>'1.'!K443</f>
        <v>0</v>
      </c>
      <c r="M91" s="16">
        <f>'1.'!L443</f>
        <v>0</v>
      </c>
      <c r="N91" s="16">
        <f>'1.'!M443</f>
        <v>0</v>
      </c>
    </row>
    <row r="92" spans="1:14">
      <c r="A92" s="588">
        <f>ROW()</f>
        <v>92</v>
      </c>
      <c r="B92" s="16" t="str">
        <f ca="1">'1.'!A445</f>
        <v>D.1.445</v>
      </c>
      <c r="C92" s="16" t="str">
        <f ca="1">'1.'!B445</f>
        <v>1.445</v>
      </c>
      <c r="D92" s="16" t="str">
        <f>'1.'!C445</f>
        <v>[445]</v>
      </c>
      <c r="E92" s="16">
        <f>'1.'!D445</f>
        <v>445</v>
      </c>
      <c r="F92" s="16" t="str">
        <f>'1.'!E445</f>
        <v>Biodiesel - Anbaufläche</v>
      </c>
      <c r="G92" s="16">
        <f>'1.'!F445</f>
        <v>0</v>
      </c>
      <c r="H92" s="16">
        <f>'1.'!G445</f>
        <v>0</v>
      </c>
      <c r="I92" s="16">
        <f>'1.'!H445</f>
        <v>0</v>
      </c>
      <c r="J92" s="16">
        <f>'1.'!I445</f>
        <v>0</v>
      </c>
      <c r="K92" s="16" t="str">
        <f>'1.'!J445</f>
        <v xml:space="preserve">ha </v>
      </c>
      <c r="L92" s="16">
        <f ca="1">'1.'!K445</f>
        <v>760000</v>
      </c>
      <c r="M92" s="16" t="str">
        <f ca="1">'1.'!L445</f>
        <v>[446]</v>
      </c>
      <c r="N92" s="16">
        <f ca="1">'1.'!M445</f>
        <v>303000</v>
      </c>
    </row>
    <row r="93" spans="1:14">
      <c r="A93" s="588">
        <f>ROW()</f>
        <v>93</v>
      </c>
      <c r="B93" s="16" t="str">
        <f ca="1">'1.'!A450</f>
        <v>D.1.450</v>
      </c>
      <c r="C93" s="16" t="str">
        <f ca="1">'1.'!B450</f>
        <v>1.450</v>
      </c>
      <c r="D93" s="16" t="str">
        <f>'1.'!C450</f>
        <v>[450]</v>
      </c>
      <c r="E93" s="16">
        <f>'1.'!D450</f>
        <v>450</v>
      </c>
      <c r="F93" s="16" t="str">
        <f>'1.'!E450</f>
        <v xml:space="preserve">Biodiesel - Energieertrag </v>
      </c>
      <c r="G93" s="16">
        <f>'1.'!F450</f>
        <v>0</v>
      </c>
      <c r="H93" s="16">
        <f>'1.'!G450</f>
        <v>0</v>
      </c>
      <c r="I93" s="16">
        <f>'1.'!H450</f>
        <v>0</v>
      </c>
      <c r="J93" s="16">
        <f>'1.'!I450</f>
        <v>0</v>
      </c>
      <c r="K93" s="16" t="str">
        <f>'1.'!J450</f>
        <v>MWh/ha/a</v>
      </c>
      <c r="L93" s="16">
        <f ca="1">'1.'!K450</f>
        <v>17.75</v>
      </c>
      <c r="M93" s="16" t="str">
        <f ca="1">'1.'!L450</f>
        <v>[451]</v>
      </c>
      <c r="N93" s="16">
        <f ca="1">'1.'!M450</f>
        <v>14.200000000000001</v>
      </c>
    </row>
    <row r="94" spans="1:14" s="653" customFormat="1">
      <c r="A94" s="696">
        <f>ROW()</f>
        <v>94</v>
      </c>
      <c r="B94" s="19" t="str">
        <f ca="1">'1.'!A458</f>
        <v>D.1.458</v>
      </c>
      <c r="C94" s="19" t="str">
        <f ca="1">'1.'!B458</f>
        <v>1.458</v>
      </c>
      <c r="D94" s="19" t="str">
        <f>'1.'!C458</f>
        <v>[458]</v>
      </c>
      <c r="E94" s="19">
        <f>'1.'!D458</f>
        <v>458</v>
      </c>
      <c r="F94" s="19" t="str">
        <f>'1.'!E458</f>
        <v>Biodiesel aus Import (+) / Export (-)</v>
      </c>
      <c r="G94" s="19">
        <f>'1.'!F458</f>
        <v>0</v>
      </c>
      <c r="H94" s="19">
        <f>'1.'!G458</f>
        <v>0</v>
      </c>
      <c r="I94" s="19">
        <f>'1.'!H458</f>
        <v>0</v>
      </c>
      <c r="J94" s="19">
        <f>'1.'!I458</f>
        <v>0</v>
      </c>
      <c r="K94" s="19" t="str">
        <f>'1.'!J458</f>
        <v>GWh/a</v>
      </c>
      <c r="L94" s="19">
        <f ca="1">'1.'!K458</f>
        <v>10003.923076923074</v>
      </c>
      <c r="M94" s="19" t="str">
        <f ca="1">'1.'!L458</f>
        <v>[459]</v>
      </c>
      <c r="N94" s="19">
        <f ca="1">'1.'!M458</f>
        <v>0</v>
      </c>
    </row>
    <row r="95" spans="1:14">
      <c r="A95" s="696">
        <f>ROW()</f>
        <v>95</v>
      </c>
      <c r="B95" s="653" t="str">
        <f ca="1">'1.'!A472</f>
        <v>D.1.472</v>
      </c>
      <c r="C95" s="653" t="str">
        <f ca="1">'1.'!B472</f>
        <v>1.472</v>
      </c>
      <c r="D95" s="653" t="str">
        <f>'1.'!C472</f>
        <v>[472]</v>
      </c>
      <c r="E95" s="653">
        <f>'1.'!D472</f>
        <v>472</v>
      </c>
      <c r="F95" s="653" t="str">
        <f>'1.'!E472</f>
        <v>Biodiesel - Anteil für Mobile Anwendungen</v>
      </c>
      <c r="G95" s="653">
        <f>'1.'!F472</f>
        <v>0</v>
      </c>
      <c r="H95" s="653">
        <f>'1.'!G472</f>
        <v>0</v>
      </c>
      <c r="I95" s="653">
        <f>'1.'!H472</f>
        <v>0</v>
      </c>
      <c r="J95" s="653">
        <f>'1.'!I472</f>
        <v>0</v>
      </c>
      <c r="K95" s="653" t="str">
        <f>'1.'!J472</f>
        <v>%</v>
      </c>
      <c r="L95" s="653">
        <f ca="1">'1.'!K472</f>
        <v>95.514388336100012</v>
      </c>
      <c r="M95" s="653" t="str">
        <f ca="1">'1.'!L472</f>
        <v>[473]</v>
      </c>
      <c r="N95" s="16">
        <f ca="1">'1.'!M472</f>
        <v>100</v>
      </c>
    </row>
    <row r="96" spans="1:14">
      <c r="A96" s="588">
        <f>ROW()</f>
        <v>96</v>
      </c>
      <c r="B96" s="16" t="str">
        <f ca="1">'1.'!A477</f>
        <v>D.1.477</v>
      </c>
      <c r="C96" s="16" t="str">
        <f ca="1">'1.'!B477</f>
        <v>1.477</v>
      </c>
      <c r="D96" s="16" t="str">
        <f>'1.'!C477</f>
        <v>[477]</v>
      </c>
      <c r="E96" s="16">
        <f>'1.'!D477</f>
        <v>477</v>
      </c>
      <c r="F96" s="16" t="str">
        <f>'1.'!E477</f>
        <v xml:space="preserve">Biodiesel - Anteil für Verstromung </v>
      </c>
      <c r="G96" s="16">
        <f>'1.'!F477</f>
        <v>0</v>
      </c>
      <c r="H96" s="16">
        <f>'1.'!G477</f>
        <v>0</v>
      </c>
      <c r="I96" s="16">
        <f>'1.'!H477</f>
        <v>0</v>
      </c>
      <c r="J96" s="16">
        <f>'1.'!I477</f>
        <v>0</v>
      </c>
      <c r="K96" s="16" t="str">
        <f>'1.'!J477</f>
        <v>%</v>
      </c>
      <c r="L96" s="16">
        <f ca="1">'1.'!K477</f>
        <v>4.4856116638999941</v>
      </c>
      <c r="M96" s="16" t="str">
        <f ca="1">'1.'!L477</f>
        <v>[478]</v>
      </c>
      <c r="N96" s="16">
        <f ca="1">'1.'!M477</f>
        <v>0</v>
      </c>
    </row>
    <row r="97" spans="1:14">
      <c r="A97" s="588">
        <f>ROW()</f>
        <v>97</v>
      </c>
      <c r="B97" s="16" t="str">
        <f ca="1">'1.'!A482</f>
        <v>D.1.482</v>
      </c>
      <c r="C97" s="16" t="str">
        <f ca="1">'1.'!B482</f>
        <v>1.482</v>
      </c>
      <c r="D97" s="16" t="str">
        <f>'1.'!C482</f>
        <v>[482]</v>
      </c>
      <c r="E97" s="16">
        <f>'1.'!D482</f>
        <v>482</v>
      </c>
      <c r="F97" s="16" t="str">
        <f>'1.'!E482</f>
        <v>Biodiesel-Verstromung - Nutzungsgrad</v>
      </c>
      <c r="G97" s="16">
        <f>'1.'!F482</f>
        <v>0</v>
      </c>
      <c r="H97" s="16">
        <f>'1.'!G482</f>
        <v>0</v>
      </c>
      <c r="I97" s="16">
        <f>'1.'!H482</f>
        <v>0</v>
      </c>
      <c r="J97" s="16">
        <f>'1.'!I482</f>
        <v>0</v>
      </c>
      <c r="K97" s="16" t="str">
        <f>'1.'!J482</f>
        <v>MWh/ha/a</v>
      </c>
      <c r="L97" s="16">
        <f ca="1">'1.'!K482</f>
        <v>39</v>
      </c>
      <c r="M97" s="16" t="str">
        <f ca="1">'1.'!L482</f>
        <v>[483]</v>
      </c>
      <c r="N97" s="16">
        <f ca="1">'1.'!M482</f>
        <v>39</v>
      </c>
    </row>
    <row r="98" spans="1:14">
      <c r="A98" s="588">
        <f>ROW()</f>
        <v>98</v>
      </c>
      <c r="B98" s="16" t="str">
        <f ca="1">'1.'!A487</f>
        <v>D.1.487</v>
      </c>
      <c r="C98" s="16" t="str">
        <f ca="1">'1.'!B487</f>
        <v>1.487</v>
      </c>
      <c r="D98" s="16" t="str">
        <f>'1.'!C487</f>
        <v>[487]</v>
      </c>
      <c r="E98" s="16">
        <f>'1.'!D487</f>
        <v>487</v>
      </c>
      <c r="F98" s="16" t="str">
        <f>'1.'!E487</f>
        <v>Biodiesel-Verstr. - Nutzungsg. KWK-Abwärme eff.</v>
      </c>
      <c r="G98" s="16">
        <f>'1.'!F487</f>
        <v>0</v>
      </c>
      <c r="H98" s="16">
        <f>'1.'!G487</f>
        <v>0</v>
      </c>
      <c r="I98" s="16">
        <f>'1.'!H487</f>
        <v>0</v>
      </c>
      <c r="J98" s="16">
        <f>'1.'!I487</f>
        <v>0</v>
      </c>
      <c r="K98" s="16" t="str">
        <f>'1.'!J487</f>
        <v>MWh/ha/a</v>
      </c>
      <c r="L98" s="16">
        <f ca="1">'1.'!K487</f>
        <v>50</v>
      </c>
      <c r="M98" s="16" t="str">
        <f ca="1">'1.'!L487</f>
        <v>[488]</v>
      </c>
      <c r="N98" s="16">
        <f ca="1">'1.'!M487</f>
        <v>50</v>
      </c>
    </row>
    <row r="99" spans="1:14" s="650" customFormat="1">
      <c r="A99" s="588">
        <f>ROW()</f>
        <v>99</v>
      </c>
    </row>
    <row r="100" spans="1:14" s="650" customFormat="1">
      <c r="A100" s="588">
        <f>ROW()</f>
        <v>100</v>
      </c>
      <c r="B100" s="650" t="str">
        <f ca="1">'1.'!A492</f>
        <v>D.1.492</v>
      </c>
      <c r="C100" s="650" t="str">
        <f ca="1">'1.'!B492</f>
        <v>1.492</v>
      </c>
      <c r="D100" s="650" t="str">
        <f>'1.'!C492</f>
        <v>[492]</v>
      </c>
      <c r="E100" s="650">
        <f>'1.'!D492</f>
        <v>492</v>
      </c>
      <c r="F100" s="176" t="str">
        <f>'1.'!E492</f>
        <v>Bioethanol</v>
      </c>
      <c r="G100" s="650">
        <f>'1.'!F492</f>
        <v>0</v>
      </c>
      <c r="H100" s="650">
        <f>'1.'!G492</f>
        <v>0</v>
      </c>
      <c r="I100" s="650">
        <f>'1.'!H492</f>
        <v>0</v>
      </c>
      <c r="J100" s="650">
        <f>'1.'!I492</f>
        <v>0</v>
      </c>
      <c r="K100" s="650">
        <f>'1.'!J492</f>
        <v>0</v>
      </c>
      <c r="L100" s="650">
        <f>'1.'!K492</f>
        <v>0</v>
      </c>
      <c r="M100" s="650">
        <f>'1.'!L492</f>
        <v>0</v>
      </c>
      <c r="N100" s="650">
        <f>'1.'!M492</f>
        <v>0</v>
      </c>
    </row>
    <row r="101" spans="1:14" s="650" customFormat="1">
      <c r="A101" s="588">
        <f>ROW()</f>
        <v>101</v>
      </c>
      <c r="B101" s="19" t="str">
        <f ca="1">'1.'!A494</f>
        <v>D.1.494</v>
      </c>
      <c r="C101" s="19" t="str">
        <f ca="1">'1.'!B494</f>
        <v>1.494</v>
      </c>
      <c r="D101" s="19" t="str">
        <f>'1.'!C494</f>
        <v>[494]</v>
      </c>
      <c r="E101" s="19">
        <f>'1.'!D494</f>
        <v>494</v>
      </c>
      <c r="F101" s="19" t="str">
        <f>'1.'!E494</f>
        <v>Bioethanol - Anbaufläche</v>
      </c>
      <c r="G101" s="19">
        <f>'1.'!F494</f>
        <v>0</v>
      </c>
      <c r="H101" s="19">
        <f>'1.'!G494</f>
        <v>0</v>
      </c>
      <c r="I101" s="19">
        <f>'1.'!H494</f>
        <v>0</v>
      </c>
      <c r="J101" s="19">
        <f>'1.'!I494</f>
        <v>0</v>
      </c>
      <c r="K101" s="19" t="str">
        <f>'1.'!J494</f>
        <v xml:space="preserve">ha </v>
      </c>
      <c r="L101" s="19">
        <f ca="1">'1.'!K494</f>
        <v>200000</v>
      </c>
      <c r="M101" s="19" t="str">
        <f ca="1">'1.'!L494</f>
        <v>[495]</v>
      </c>
      <c r="N101" s="19">
        <f ca="1">'1.'!M494</f>
        <v>0</v>
      </c>
    </row>
    <row r="102" spans="1:14" s="650" customFormat="1">
      <c r="A102" s="588">
        <f>ROW()</f>
        <v>102</v>
      </c>
      <c r="B102" s="650" t="str">
        <f ca="1">'1.'!A499</f>
        <v>D.1.499</v>
      </c>
      <c r="C102" s="650" t="str">
        <f ca="1">'1.'!B499</f>
        <v>1.499</v>
      </c>
      <c r="D102" s="650" t="str">
        <f>'1.'!C499</f>
        <v>[499]</v>
      </c>
      <c r="E102" s="650">
        <f>'1.'!D499</f>
        <v>499</v>
      </c>
      <c r="F102" s="650" t="str">
        <f>'1.'!E499</f>
        <v>Bioethanol - Energieertrag (brutto)</v>
      </c>
      <c r="G102" s="650">
        <f>'1.'!F499</f>
        <v>0</v>
      </c>
      <c r="H102" s="650">
        <f>'1.'!G499</f>
        <v>0</v>
      </c>
      <c r="I102" s="650">
        <f>'1.'!H499</f>
        <v>0</v>
      </c>
      <c r="J102" s="650">
        <f>'1.'!I499</f>
        <v>0</v>
      </c>
      <c r="K102" s="650" t="str">
        <f>'1.'!J499</f>
        <v>MWh/ha/a</v>
      </c>
      <c r="L102" s="650">
        <f ca="1">'1.'!K499</f>
        <v>28.216066061830755</v>
      </c>
      <c r="M102" s="650" t="str">
        <f ca="1">'1.'!L499</f>
        <v>[500]</v>
      </c>
      <c r="N102" s="650">
        <f ca="1">'1.'!M499</f>
        <v>22.572852849464606</v>
      </c>
    </row>
    <row r="103" spans="1:14" s="650" customFormat="1">
      <c r="A103" s="588">
        <f>ROW()</f>
        <v>103</v>
      </c>
      <c r="B103" s="650" t="str">
        <f ca="1">'1.'!A509</f>
        <v>D.1.509</v>
      </c>
      <c r="C103" s="650" t="str">
        <f ca="1">'1.'!B509</f>
        <v>1.509</v>
      </c>
      <c r="D103" s="650" t="str">
        <f>'1.'!C509</f>
        <v>[509]</v>
      </c>
      <c r="E103" s="650">
        <f>'1.'!D509</f>
        <v>509</v>
      </c>
      <c r="F103" s="650" t="str">
        <f>'1.'!E509</f>
        <v>Bioethanol aus Import (+) / Export (-)</v>
      </c>
      <c r="G103" s="650">
        <f>'1.'!F509</f>
        <v>0</v>
      </c>
      <c r="H103" s="650">
        <f>'1.'!G509</f>
        <v>0</v>
      </c>
      <c r="I103" s="650">
        <f>'1.'!H509</f>
        <v>0</v>
      </c>
      <c r="J103" s="650">
        <f>'1.'!I509</f>
        <v>0</v>
      </c>
      <c r="K103" s="650" t="str">
        <f>'1.'!J509</f>
        <v>GWh/a</v>
      </c>
      <c r="L103" s="650">
        <f ca="1">'1.'!K509</f>
        <v>3019.7867876338496</v>
      </c>
      <c r="M103" s="650" t="str">
        <f ca="1">'1.'!L509</f>
        <v>[510]</v>
      </c>
      <c r="N103" s="650">
        <f ca="1">'1.'!M509</f>
        <v>0</v>
      </c>
    </row>
    <row r="104" spans="1:14" s="650" customFormat="1">
      <c r="A104" s="588">
        <f>ROW()</f>
        <v>104</v>
      </c>
    </row>
    <row r="105" spans="1:14">
      <c r="A105" s="588">
        <f>ROW()</f>
        <v>105</v>
      </c>
      <c r="B105" s="16" t="str">
        <f ca="1">'1.'!A517</f>
        <v>D.1.517</v>
      </c>
      <c r="C105" s="16" t="str">
        <f ca="1">'1.'!B517</f>
        <v>1.517</v>
      </c>
      <c r="D105" s="16" t="str">
        <f>'1.'!C517</f>
        <v>[517]</v>
      </c>
      <c r="E105" s="16">
        <f>'1.'!D517</f>
        <v>517</v>
      </c>
      <c r="F105" s="176" t="str">
        <f>'1.'!E517</f>
        <v>Umgebungswärme (Wärmepumpe)</v>
      </c>
      <c r="G105" s="16">
        <f>'1.'!F517</f>
        <v>0</v>
      </c>
      <c r="H105" s="16">
        <f>'1.'!G517</f>
        <v>0</v>
      </c>
      <c r="I105" s="16">
        <f>'1.'!H517</f>
        <v>0</v>
      </c>
      <c r="J105" s="16">
        <f>'1.'!I517</f>
        <v>0</v>
      </c>
      <c r="K105" s="16">
        <f>'1.'!J517</f>
        <v>0</v>
      </c>
      <c r="L105" s="16">
        <f>'1.'!K517</f>
        <v>0</v>
      </c>
      <c r="M105" s="16">
        <f>'1.'!L517</f>
        <v>0</v>
      </c>
      <c r="N105" s="16">
        <f>'1.'!M517</f>
        <v>0</v>
      </c>
    </row>
    <row r="106" spans="1:14">
      <c r="A106" s="588">
        <f>ROW()</f>
        <v>106</v>
      </c>
      <c r="B106" s="16" t="e">
        <f>'1.'!#REF!</f>
        <v>#REF!</v>
      </c>
      <c r="C106" s="16" t="e">
        <f>'1.'!#REF!</f>
        <v>#REF!</v>
      </c>
      <c r="D106" s="16" t="e">
        <f>'1.'!#REF!</f>
        <v>#REF!</v>
      </c>
      <c r="E106" s="16" t="e">
        <f>'1.'!#REF!</f>
        <v>#REF!</v>
      </c>
      <c r="F106" s="16" t="e">
        <f>'1.'!#REF!</f>
        <v>#REF!</v>
      </c>
      <c r="G106" s="16" t="e">
        <f>'1.'!#REF!</f>
        <v>#REF!</v>
      </c>
      <c r="H106" s="16" t="e">
        <f>'1.'!#REF!</f>
        <v>#REF!</v>
      </c>
      <c r="I106" s="16" t="e">
        <f>'1.'!#REF!</f>
        <v>#REF!</v>
      </c>
      <c r="J106" s="16" t="e">
        <f>'1.'!#REF!</f>
        <v>#REF!</v>
      </c>
      <c r="K106" s="16" t="e">
        <f>'1.'!#REF!</f>
        <v>#REF!</v>
      </c>
      <c r="L106" s="16" t="e">
        <f>'1.'!#REF!</f>
        <v>#REF!</v>
      </c>
      <c r="M106" s="16" t="e">
        <f>'1.'!#REF!</f>
        <v>#REF!</v>
      </c>
      <c r="N106" s="16" t="e">
        <f>'1.'!#REF!</f>
        <v>#REF!</v>
      </c>
    </row>
    <row r="107" spans="1:14">
      <c r="A107" s="588">
        <f>ROW()</f>
        <v>107</v>
      </c>
      <c r="B107" s="16" t="str">
        <f ca="1">'1.'!A519</f>
        <v>D.1.519</v>
      </c>
      <c r="C107" s="16" t="str">
        <f ca="1">'1.'!B519</f>
        <v>1.519</v>
      </c>
      <c r="D107" s="16" t="str">
        <f>'1.'!C519</f>
        <v>[519]</v>
      </c>
      <c r="E107" s="16">
        <f>'1.'!D519</f>
        <v>519</v>
      </c>
      <c r="F107" s="16" t="str">
        <f>'1.'!E519</f>
        <v>Wärmepumpen - Stromverbrauch jährlich</v>
      </c>
      <c r="G107" s="16">
        <f>'1.'!F519</f>
        <v>0</v>
      </c>
      <c r="H107" s="16">
        <f>'1.'!G519</f>
        <v>0</v>
      </c>
      <c r="I107" s="16">
        <f>'1.'!H519</f>
        <v>0</v>
      </c>
      <c r="J107" s="16">
        <f>'1.'!I519</f>
        <v>0</v>
      </c>
      <c r="K107" s="16" t="str">
        <f>'1.'!J519</f>
        <v>GWh/a</v>
      </c>
      <c r="L107" s="16">
        <f ca="1">'1.'!K519</f>
        <v>3646.4516129032263</v>
      </c>
      <c r="M107" s="16" t="str">
        <f ca="1">'1.'!L519</f>
        <v>[520]</v>
      </c>
      <c r="N107" s="16">
        <f ca="1">'1.'!M519</f>
        <v>74744.173736210025</v>
      </c>
    </row>
    <row r="108" spans="1:14">
      <c r="A108" s="588">
        <f>ROW()</f>
        <v>108</v>
      </c>
      <c r="B108" s="16" t="str">
        <f ca="1">'1.'!A527</f>
        <v>D.1.527</v>
      </c>
      <c r="C108" s="16" t="str">
        <f ca="1">'1.'!B527</f>
        <v>1.527</v>
      </c>
      <c r="D108" s="16" t="str">
        <f>'1.'!C527</f>
        <v>[527]</v>
      </c>
      <c r="E108" s="16">
        <f>'1.'!D527</f>
        <v>527</v>
      </c>
      <c r="F108" s="16" t="str">
        <f>'1.'!E527</f>
        <v>Wärmep. - Anteil Anlagen mit Luftkopplung</v>
      </c>
      <c r="G108" s="16">
        <f>'1.'!F527</f>
        <v>0</v>
      </c>
      <c r="H108" s="16">
        <f>'1.'!G527</f>
        <v>0</v>
      </c>
      <c r="I108" s="16">
        <f>'1.'!H527</f>
        <v>0</v>
      </c>
      <c r="J108" s="16">
        <f>'1.'!I527</f>
        <v>0</v>
      </c>
      <c r="K108" s="16" t="str">
        <f>'1.'!J527</f>
        <v>%</v>
      </c>
      <c r="L108" s="16">
        <f ca="1">'1.'!K527</f>
        <v>50</v>
      </c>
      <c r="M108" s="16" t="str">
        <f ca="1">'1.'!L527</f>
        <v>[528]</v>
      </c>
      <c r="N108" s="16">
        <f ca="1">'1.'!M527</f>
        <v>72</v>
      </c>
    </row>
    <row r="109" spans="1:14" s="653" customFormat="1">
      <c r="A109" s="696">
        <f>ROW()</f>
        <v>109</v>
      </c>
      <c r="B109" s="653" t="str">
        <f ca="1">'1.'!A532</f>
        <v>D.1.532</v>
      </c>
      <c r="C109" s="653" t="str">
        <f ca="1">'1.'!B532</f>
        <v>1.532</v>
      </c>
      <c r="D109" s="653" t="str">
        <f>'1.'!C532</f>
        <v>[532]</v>
      </c>
      <c r="E109" s="653">
        <f>'1.'!D532</f>
        <v>532</v>
      </c>
      <c r="F109" s="653" t="str">
        <f>'1.'!E532</f>
        <v>Wärmep. Luftkopplung - Jahresarbeitszahl</v>
      </c>
      <c r="G109" s="653">
        <f>'1.'!F532</f>
        <v>0</v>
      </c>
      <c r="H109" s="653">
        <f>'1.'!G532</f>
        <v>0</v>
      </c>
      <c r="I109" s="653">
        <f>'1.'!H532</f>
        <v>0</v>
      </c>
      <c r="J109" s="653">
        <f>'1.'!I532</f>
        <v>0</v>
      </c>
      <c r="K109" s="653">
        <f>'1.'!J532</f>
        <v>0</v>
      </c>
      <c r="L109" s="653">
        <f ca="1">'1.'!K532</f>
        <v>2.8</v>
      </c>
      <c r="M109" s="653" t="str">
        <f ca="1">'1.'!L532</f>
        <v>[534]</v>
      </c>
      <c r="N109" s="653">
        <f ca="1">'1.'!M532</f>
        <v>3.3</v>
      </c>
    </row>
    <row r="110" spans="1:14" s="653" customFormat="1">
      <c r="A110" s="696">
        <f>ROW()</f>
        <v>110</v>
      </c>
      <c r="B110" s="653" t="str">
        <f ca="1">'1.'!A540</f>
        <v>D.1.540</v>
      </c>
      <c r="C110" s="653" t="str">
        <f ca="1">'1.'!B540</f>
        <v>1.540</v>
      </c>
      <c r="D110" s="653" t="str">
        <f>'1.'!C540</f>
        <v>[540]</v>
      </c>
      <c r="E110" s="653">
        <f>'1.'!D540</f>
        <v>540</v>
      </c>
      <c r="F110" s="653" t="str">
        <f>'1.'!E540</f>
        <v>Wärmep. Erdreich-/Wasserk. - Jahresarbeitszahl</v>
      </c>
      <c r="G110" s="653">
        <f>'1.'!F540</f>
        <v>0</v>
      </c>
      <c r="H110" s="653">
        <f>'1.'!G540</f>
        <v>0</v>
      </c>
      <c r="I110" s="653">
        <f>'1.'!H540</f>
        <v>0</v>
      </c>
      <c r="J110" s="653">
        <f>'1.'!I540</f>
        <v>0</v>
      </c>
      <c r="K110" s="653">
        <f>'1.'!J540</f>
        <v>0</v>
      </c>
      <c r="L110" s="653">
        <f ca="1">'1.'!K540</f>
        <v>3.4</v>
      </c>
      <c r="M110" s="653" t="str">
        <f ca="1">'1.'!L540</f>
        <v>[542]</v>
      </c>
      <c r="N110" s="653">
        <f ca="1">'1.'!M540</f>
        <v>4.4000000000000004</v>
      </c>
    </row>
    <row r="111" spans="1:14" s="653" customFormat="1">
      <c r="A111" s="696">
        <f>ROW()</f>
        <v>111</v>
      </c>
      <c r="B111" s="653" t="str">
        <f ca="1">'1.'!A546</f>
        <v>D.1.546</v>
      </c>
      <c r="C111" s="653" t="str">
        <f ca="1">'1.'!B546</f>
        <v>1.546</v>
      </c>
      <c r="D111" s="653" t="str">
        <f>'1.'!C546</f>
        <v>[546]</v>
      </c>
      <c r="E111" s="653">
        <f>'1.'!D546</f>
        <v>546</v>
      </c>
      <c r="F111" s="653" t="str">
        <f>'1.'!E546</f>
        <v>Wärmeertrag Erdreich/Grundwasser (oberflächennah)</v>
      </c>
      <c r="G111" s="653">
        <f>'1.'!F546</f>
        <v>0</v>
      </c>
      <c r="H111" s="653">
        <f>'1.'!G546</f>
        <v>0</v>
      </c>
      <c r="I111" s="653">
        <f>'1.'!H546</f>
        <v>0</v>
      </c>
      <c r="J111" s="653">
        <f>'1.'!I546</f>
        <v>0</v>
      </c>
      <c r="K111" s="653" t="str">
        <f>'1.'!J546</f>
        <v>%</v>
      </c>
      <c r="L111" s="653">
        <f ca="1">'1.'!K546</f>
        <v>1000</v>
      </c>
      <c r="M111" s="653" t="str">
        <f ca="1">'1.'!L546</f>
        <v>[547]</v>
      </c>
      <c r="N111" s="653">
        <f ca="1">'1.'!M546</f>
        <v>1000</v>
      </c>
    </row>
    <row r="112" spans="1:14" s="653" customFormat="1">
      <c r="A112" s="696">
        <f>ROW()</f>
        <v>112</v>
      </c>
    </row>
    <row r="113" spans="1:14" s="653" customFormat="1">
      <c r="A113" s="696">
        <f>ROW()</f>
        <v>113</v>
      </c>
    </row>
    <row r="114" spans="1:14" s="653" customFormat="1">
      <c r="A114" s="696">
        <f>ROW()</f>
        <v>114</v>
      </c>
    </row>
    <row r="115" spans="1:14">
      <c r="A115" s="588">
        <f>ROW()</f>
        <v>115</v>
      </c>
      <c r="B115" s="16" t="str">
        <f ca="1">'1.'!A551</f>
        <v>D.1.551</v>
      </c>
      <c r="C115" s="16" t="str">
        <f ca="1">'1.'!B551</f>
        <v>1.551</v>
      </c>
      <c r="D115" s="16" t="str">
        <f>'1.'!C551</f>
        <v>[551]</v>
      </c>
      <c r="E115" s="16">
        <f>'1.'!D551</f>
        <v>551</v>
      </c>
      <c r="F115" s="176" t="str">
        <f>'1.'!E551</f>
        <v>Tiefen-Geothermie</v>
      </c>
      <c r="G115" s="16">
        <f>'1.'!F551</f>
        <v>0</v>
      </c>
      <c r="H115" s="16">
        <f>'1.'!G551</f>
        <v>0</v>
      </c>
      <c r="I115" s="16">
        <f>'1.'!H551</f>
        <v>0</v>
      </c>
      <c r="J115" s="16">
        <f>'1.'!I551</f>
        <v>0</v>
      </c>
      <c r="K115" s="16">
        <f>'1.'!J551</f>
        <v>0</v>
      </c>
      <c r="L115" s="16">
        <f>'1.'!K551</f>
        <v>0</v>
      </c>
      <c r="M115" s="16">
        <f>'1.'!L551</f>
        <v>0</v>
      </c>
      <c r="N115" s="16">
        <f>'1.'!M551</f>
        <v>0</v>
      </c>
    </row>
    <row r="116" spans="1:14">
      <c r="A116" s="588">
        <f>ROW()</f>
        <v>116</v>
      </c>
      <c r="B116" s="16" t="str">
        <f ca="1">'1.'!A553</f>
        <v>D.1.553</v>
      </c>
      <c r="C116" s="16" t="str">
        <f ca="1">'1.'!B553</f>
        <v>1.553</v>
      </c>
      <c r="D116" s="16" t="str">
        <f>'1.'!C553</f>
        <v>[553]</v>
      </c>
      <c r="E116" s="16">
        <f>'1.'!D553</f>
        <v>553</v>
      </c>
      <c r="F116" s="16" t="str">
        <f>'1.'!E553</f>
        <v>Tiefen-Geoth. - Netzanschlussleistung (elektrisch)</v>
      </c>
      <c r="G116" s="16">
        <f>'1.'!F553</f>
        <v>0</v>
      </c>
      <c r="H116" s="16">
        <f>'1.'!G553</f>
        <v>0</v>
      </c>
      <c r="I116" s="16">
        <f>'1.'!H553</f>
        <v>0</v>
      </c>
      <c r="J116" s="16">
        <f>'1.'!I553</f>
        <v>0</v>
      </c>
      <c r="K116" s="16" t="str">
        <f>'1.'!J553</f>
        <v>MW</v>
      </c>
      <c r="L116" s="16">
        <f ca="1">'1.'!K553</f>
        <v>39</v>
      </c>
      <c r="M116" s="16" t="str">
        <f ca="1">'1.'!L553</f>
        <v>[554]</v>
      </c>
      <c r="N116" s="16">
        <f ca="1">'1.'!M553</f>
        <v>0</v>
      </c>
    </row>
    <row r="117" spans="1:14">
      <c r="A117" s="588">
        <f>ROW()</f>
        <v>117</v>
      </c>
      <c r="B117" s="16" t="str">
        <f ca="1">'1.'!A558</f>
        <v>D.1.558</v>
      </c>
      <c r="C117" s="16" t="str">
        <f ca="1">'1.'!B558</f>
        <v>1.558</v>
      </c>
      <c r="D117" s="16" t="str">
        <f>'1.'!C558</f>
        <v>[558]</v>
      </c>
      <c r="E117" s="16">
        <f>'1.'!D558</f>
        <v>558</v>
      </c>
      <c r="F117" s="16" t="str">
        <f>'1.'!E558</f>
        <v>Tiefen-Geoth. - Vollbetriebsstunden (Stromerzeug.)</v>
      </c>
      <c r="G117" s="16">
        <f>'1.'!F558</f>
        <v>0</v>
      </c>
      <c r="H117" s="16">
        <f>'1.'!G558</f>
        <v>0</v>
      </c>
      <c r="I117" s="16">
        <f>'1.'!H558</f>
        <v>0</v>
      </c>
      <c r="J117" s="16">
        <f>'1.'!I558</f>
        <v>0</v>
      </c>
      <c r="K117" s="16" t="str">
        <f>'1.'!J558</f>
        <v>MWh/ha/a</v>
      </c>
      <c r="L117" s="16">
        <f ca="1">'1.'!K558</f>
        <v>4153.8461538461543</v>
      </c>
      <c r="M117" s="16" t="str">
        <f ca="1">'1.'!L558</f>
        <v>[559]</v>
      </c>
      <c r="N117" s="16">
        <f ca="1">'1.'!M558</f>
        <v>4153.8461538461543</v>
      </c>
    </row>
    <row r="118" spans="1:14">
      <c r="A118" s="588">
        <f>ROW()</f>
        <v>118</v>
      </c>
      <c r="B118" s="16" t="str">
        <f ca="1">'1.'!A563</f>
        <v>D.1.563</v>
      </c>
      <c r="C118" s="16" t="str">
        <f ca="1">'1.'!B563</f>
        <v>1.563</v>
      </c>
      <c r="D118" s="16" t="str">
        <f>'1.'!C563</f>
        <v>[563]</v>
      </c>
      <c r="E118" s="16">
        <f>'1.'!D563</f>
        <v>563</v>
      </c>
      <c r="F118" s="16" t="str">
        <f>'1.'!E563</f>
        <v>Tiefen-Geoth. - Nutzungsgrad (elektrisch)</v>
      </c>
      <c r="G118" s="16">
        <f>'1.'!F563</f>
        <v>0</v>
      </c>
      <c r="H118" s="16">
        <f>'1.'!G563</f>
        <v>0</v>
      </c>
      <c r="I118" s="16">
        <f>'1.'!H563</f>
        <v>0</v>
      </c>
      <c r="J118" s="16">
        <f>'1.'!I563</f>
        <v>0</v>
      </c>
      <c r="K118" s="16" t="str">
        <f>'1.'!J563</f>
        <v>%</v>
      </c>
      <c r="L118" s="16">
        <f ca="1">'1.'!K563</f>
        <v>0</v>
      </c>
      <c r="M118" s="16" t="str">
        <f ca="1">'1.'!L563</f>
        <v>[564]</v>
      </c>
      <c r="N118" s="16">
        <f ca="1">'1.'!M563</f>
        <v>0</v>
      </c>
    </row>
    <row r="119" spans="1:14">
      <c r="A119" s="588">
        <f>ROW()</f>
        <v>119</v>
      </c>
      <c r="B119" s="16" t="str">
        <f ca="1">'1.'!A568</f>
        <v>D.1.568</v>
      </c>
      <c r="C119" s="16" t="str">
        <f ca="1">'1.'!B568</f>
        <v>1.568</v>
      </c>
      <c r="D119" s="16" t="str">
        <f>'1.'!C568</f>
        <v>[568]</v>
      </c>
      <c r="E119" s="16">
        <f>'1.'!D568</f>
        <v>568</v>
      </c>
      <c r="F119" s="16" t="str">
        <f>'1.'!E568</f>
        <v>Techn. Aquifer-Pot. Norddeutsches Becken</v>
      </c>
      <c r="G119" s="16">
        <f>'1.'!F568</f>
        <v>0</v>
      </c>
      <c r="H119" s="16">
        <f>'1.'!G568</f>
        <v>0</v>
      </c>
      <c r="I119" s="16">
        <f>'1.'!H568</f>
        <v>0</v>
      </c>
      <c r="J119" s="16">
        <f>'1.'!I568</f>
        <v>0</v>
      </c>
      <c r="K119" s="16" t="str">
        <f>'1.'!J568</f>
        <v>TWh</v>
      </c>
      <c r="L119" s="16">
        <f ca="1">'1.'!K568</f>
        <v>6296.2962962962956</v>
      </c>
      <c r="M119" s="16" t="str">
        <f ca="1">'1.'!L568</f>
        <v>[569]</v>
      </c>
      <c r="N119" s="16" t="str">
        <f>'1.'!M568</f>
        <v>(n.r.)</v>
      </c>
    </row>
    <row r="120" spans="1:14" s="705" customFormat="1">
      <c r="A120" s="696">
        <f>ROW()</f>
        <v>120</v>
      </c>
      <c r="B120" s="19" t="str">
        <f ca="1">'1.'!A573</f>
        <v>D.1.573</v>
      </c>
      <c r="C120" s="19" t="str">
        <f ca="1">'1.'!B573</f>
        <v>1.573</v>
      </c>
      <c r="D120" s="19" t="str">
        <f>'1.'!C573</f>
        <v>[573]</v>
      </c>
      <c r="E120" s="19">
        <f>'1.'!D573</f>
        <v>573</v>
      </c>
      <c r="F120" s="19" t="str">
        <f>'1.'!E573</f>
        <v>Tiefen-Geoth. - Technisches Gesamtpot.Nds.</v>
      </c>
      <c r="G120" s="19">
        <f>'1.'!F573</f>
        <v>0</v>
      </c>
      <c r="H120" s="19">
        <f>'1.'!G573</f>
        <v>0</v>
      </c>
      <c r="I120" s="19">
        <f>'1.'!H573</f>
        <v>0</v>
      </c>
      <c r="J120" s="19">
        <f>'1.'!I573</f>
        <v>0</v>
      </c>
      <c r="K120" s="19" t="str">
        <f>'1.'!J573</f>
        <v>TWh</v>
      </c>
      <c r="L120" s="19">
        <f ca="1">'1.'!K573</f>
        <v>61111.111111111102</v>
      </c>
      <c r="M120" s="19" t="str">
        <f ca="1">'1.'!L573</f>
        <v>[574]</v>
      </c>
      <c r="N120" s="19" t="str">
        <f>'1.'!M573</f>
        <v>(n.r.)</v>
      </c>
    </row>
    <row r="121" spans="1:14">
      <c r="A121" s="696">
        <f>ROW()</f>
        <v>121</v>
      </c>
      <c r="B121" s="16" t="str">
        <f ca="1">'1.'!A577</f>
        <v>D.1.577</v>
      </c>
      <c r="C121" s="16" t="str">
        <f ca="1">'1.'!B577</f>
        <v>1.577</v>
      </c>
      <c r="D121" s="16" t="str">
        <f>'1.'!C577</f>
        <v>[577]</v>
      </c>
      <c r="E121" s="16">
        <f>'1.'!D577</f>
        <v>577</v>
      </c>
      <c r="F121" s="16" t="str">
        <f>'1.'!E577</f>
        <v>Tiefen-Geoth. - eff.Nutzungsgrad KWK-Abwärme</v>
      </c>
      <c r="G121" s="16">
        <f>'1.'!F577</f>
        <v>0</v>
      </c>
      <c r="H121" s="16">
        <f>'1.'!G577</f>
        <v>0</v>
      </c>
      <c r="I121" s="16">
        <f>'1.'!H577</f>
        <v>0</v>
      </c>
      <c r="J121" s="16">
        <f>'1.'!I577</f>
        <v>0</v>
      </c>
      <c r="K121" s="16" t="str">
        <f>'1.'!J577</f>
        <v>%</v>
      </c>
      <c r="L121" s="16">
        <f ca="1">'1.'!K577</f>
        <v>0</v>
      </c>
      <c r="M121" s="16" t="str">
        <f ca="1">'1.'!L577</f>
        <v>[578]</v>
      </c>
      <c r="N121" s="16">
        <f ca="1">'1.'!M577</f>
        <v>0</v>
      </c>
    </row>
    <row r="122" spans="1:14">
      <c r="A122" s="696">
        <f>ROW()</f>
        <v>122</v>
      </c>
      <c r="B122" s="16"/>
      <c r="C122" s="16"/>
      <c r="D122" s="16"/>
      <c r="E122" s="16"/>
      <c r="F122" s="16"/>
      <c r="G122" s="16"/>
      <c r="H122" s="16"/>
      <c r="I122" s="16"/>
      <c r="J122" s="16"/>
      <c r="K122" s="16"/>
      <c r="L122" s="16"/>
      <c r="M122" s="16"/>
      <c r="N122" s="16"/>
    </row>
    <row r="123" spans="1:14" s="705" customFormat="1">
      <c r="A123" s="696">
        <f>ROW()</f>
        <v>123</v>
      </c>
      <c r="B123" s="705" t="str">
        <f ca="1">'1.'!A582</f>
        <v>D.1.582</v>
      </c>
      <c r="C123" s="705" t="str">
        <f ca="1">'1.'!B582</f>
        <v>1.582</v>
      </c>
      <c r="D123" s="705" t="str">
        <f>'1.'!C582</f>
        <v>[582]</v>
      </c>
      <c r="E123" s="705">
        <f>'1.'!D582</f>
        <v>582</v>
      </c>
      <c r="F123" s="176" t="str">
        <f>'1.'!E582</f>
        <v>Wasserstofferzeugung (als Brennstoff, für Kraftstoff- und Grundstoffsynthese)</v>
      </c>
      <c r="G123" s="705">
        <f>'1.'!F582</f>
        <v>0</v>
      </c>
      <c r="H123" s="705">
        <f>'1.'!G582</f>
        <v>0</v>
      </c>
      <c r="I123" s="705">
        <f>'1.'!H582</f>
        <v>0</v>
      </c>
      <c r="J123" s="705">
        <f>'1.'!I582</f>
        <v>0</v>
      </c>
      <c r="K123" s="705">
        <f>'1.'!J582</f>
        <v>0</v>
      </c>
      <c r="L123" s="705">
        <f>'1.'!K582</f>
        <v>0</v>
      </c>
      <c r="M123" s="705">
        <f>'1.'!L582</f>
        <v>0</v>
      </c>
      <c r="N123" s="705">
        <f>'1.'!M582</f>
        <v>0</v>
      </c>
    </row>
    <row r="124" spans="1:14" s="705" customFormat="1">
      <c r="A124" s="696">
        <f>ROW()</f>
        <v>124</v>
      </c>
      <c r="B124" s="705" t="str">
        <f ca="1">'1.'!A584</f>
        <v>D.1.584</v>
      </c>
      <c r="C124" s="705" t="str">
        <f ca="1">'1.'!B584</f>
        <v>1.584</v>
      </c>
      <c r="D124" s="705" t="str">
        <f>'1.'!C584</f>
        <v>[584]</v>
      </c>
      <c r="E124" s="705">
        <f>'1.'!D584</f>
        <v>584</v>
      </c>
      <c r="F124" s="705" t="str">
        <f>'1.'!E584</f>
        <v>Grundstoffe für die Chemieindustrie</v>
      </c>
      <c r="G124" s="705">
        <f>'1.'!F584</f>
        <v>0</v>
      </c>
      <c r="H124" s="705">
        <f>'1.'!G584</f>
        <v>0</v>
      </c>
      <c r="I124" s="705">
        <f>'1.'!H584</f>
        <v>0</v>
      </c>
      <c r="J124" s="705">
        <f>'1.'!I584</f>
        <v>0</v>
      </c>
      <c r="K124" s="705" t="str">
        <f>'1.'!J584</f>
        <v>kWh/a/Pers.</v>
      </c>
      <c r="L124" s="705">
        <f ca="1">'1.'!K584</f>
        <v>3367.4642177393648</v>
      </c>
      <c r="M124" s="705" t="str">
        <f ca="1">'1.'!L584</f>
        <v>[585]</v>
      </c>
      <c r="N124" s="705">
        <f ca="1">'1.'!M584</f>
        <v>1784.7560354018635</v>
      </c>
    </row>
    <row r="125" spans="1:14" s="705" customFormat="1">
      <c r="A125" s="696">
        <f>ROW()</f>
        <v>125</v>
      </c>
      <c r="B125" s="705" t="str">
        <f ca="1">'1.'!A589</f>
        <v>D.1.589</v>
      </c>
      <c r="C125" s="705" t="str">
        <f ca="1">'1.'!B589</f>
        <v>1.589</v>
      </c>
      <c r="D125" s="705" t="str">
        <f>'1.'!C589</f>
        <v>[589]</v>
      </c>
      <c r="E125" s="705">
        <f>'1.'!D589</f>
        <v>589</v>
      </c>
      <c r="F125" s="705" t="str">
        <f>'1.'!E589</f>
        <v>Wasserelektrolyse - Nutzungsgrad</v>
      </c>
      <c r="G125" s="705">
        <f>'1.'!F589</f>
        <v>0</v>
      </c>
      <c r="H125" s="705">
        <f>'1.'!G589</f>
        <v>0</v>
      </c>
      <c r="I125" s="705">
        <f>'1.'!H589</f>
        <v>0</v>
      </c>
      <c r="J125" s="705">
        <f>'1.'!I589</f>
        <v>0</v>
      </c>
      <c r="K125" s="705" t="str">
        <f>'1.'!J589</f>
        <v>%</v>
      </c>
      <c r="L125" s="705">
        <f ca="1">'1.'!K589</f>
        <v>54.906937394247045</v>
      </c>
      <c r="M125" s="705" t="str">
        <f ca="1">'1.'!L589</f>
        <v>[590]</v>
      </c>
      <c r="N125" s="705">
        <f ca="1">'1.'!M589</f>
        <v>64</v>
      </c>
    </row>
    <row r="126" spans="1:14" s="705" customFormat="1">
      <c r="A126" s="696">
        <f>ROW()</f>
        <v>126</v>
      </c>
      <c r="B126" s="705" t="str">
        <f ca="1">'1.'!A595</f>
        <v>D.1.595</v>
      </c>
      <c r="C126" s="705" t="str">
        <f ca="1">'1.'!B595</f>
        <v>1.595</v>
      </c>
      <c r="D126" s="705" t="str">
        <f>'1.'!C595</f>
        <v>[595]</v>
      </c>
      <c r="E126" s="705">
        <f>'1.'!D595</f>
        <v>595</v>
      </c>
      <c r="F126" s="705" t="str">
        <f>'1.'!E595</f>
        <v>Wasserstoff als Brennstoff für Prozesswärme</v>
      </c>
      <c r="G126" s="705">
        <f>'1.'!F595</f>
        <v>0</v>
      </c>
      <c r="H126" s="705">
        <f>'1.'!G595</f>
        <v>0</v>
      </c>
      <c r="I126" s="705">
        <f>'1.'!H595</f>
        <v>0</v>
      </c>
      <c r="J126" s="705">
        <f>'1.'!I595</f>
        <v>0</v>
      </c>
      <c r="K126" s="705" t="str">
        <f>'1.'!J595</f>
        <v>GWh/a</v>
      </c>
      <c r="L126" s="705">
        <f ca="1">'1.'!K595</f>
        <v>0</v>
      </c>
      <c r="M126" s="705" t="str">
        <f ca="1">'1.'!L595</f>
        <v>[596]</v>
      </c>
      <c r="N126" s="705">
        <f ca="1">'1.'!M595</f>
        <v>0</v>
      </c>
    </row>
    <row r="127" spans="1:14" s="705" customFormat="1">
      <c r="A127" s="696">
        <f>ROW()</f>
        <v>127</v>
      </c>
      <c r="B127" s="705" t="str">
        <f ca="1">'1.'!A600</f>
        <v>D.1.600</v>
      </c>
      <c r="C127" s="705" t="str">
        <f ca="1">'1.'!B600</f>
        <v>1.600</v>
      </c>
      <c r="D127" s="705" t="str">
        <f>'1.'!C600</f>
        <v>[600]</v>
      </c>
      <c r="E127" s="705">
        <f>'1.'!D600</f>
        <v>600</v>
      </c>
      <c r="F127" s="705" t="str">
        <f>'1.'!E600</f>
        <v>Kraftstoff (flüssig) aus Wasserstoff für MA</v>
      </c>
      <c r="G127" s="705">
        <f>'1.'!F600</f>
        <v>0</v>
      </c>
      <c r="H127" s="705">
        <f>'1.'!G600</f>
        <v>0</v>
      </c>
      <c r="I127" s="705">
        <f>'1.'!H600</f>
        <v>0</v>
      </c>
      <c r="J127" s="705">
        <f>'1.'!I600</f>
        <v>0</v>
      </c>
      <c r="K127" s="705" t="str">
        <f>'1.'!J600</f>
        <v>GWh/a</v>
      </c>
      <c r="L127" s="705">
        <f ca="1">'1.'!K600</f>
        <v>0</v>
      </c>
      <c r="M127" s="705" t="str">
        <f ca="1">'1.'!L600</f>
        <v>[601]</v>
      </c>
      <c r="N127" s="705">
        <f ca="1">'1.'!M600</f>
        <v>73899.072310999196</v>
      </c>
    </row>
    <row r="128" spans="1:14" s="705" customFormat="1">
      <c r="A128" s="696">
        <f>ROW()</f>
        <v>128</v>
      </c>
      <c r="B128" s="705" t="str">
        <f ca="1">'1.'!A605</f>
        <v>D.1.605</v>
      </c>
      <c r="C128" s="705" t="str">
        <f ca="1">'1.'!B605</f>
        <v>1.605</v>
      </c>
      <c r="D128" s="705" t="str">
        <f>'1.'!C605</f>
        <v>[605]</v>
      </c>
      <c r="E128" s="705">
        <f>'1.'!D605</f>
        <v>605</v>
      </c>
      <c r="F128" s="705" t="str">
        <f>'1.'!E605</f>
        <v>Kraftstoffsynthese - Nutzungsgrad</v>
      </c>
      <c r="G128" s="705">
        <f>'1.'!F605</f>
        <v>0</v>
      </c>
      <c r="H128" s="705">
        <f>'1.'!G605</f>
        <v>0</v>
      </c>
      <c r="I128" s="705">
        <f>'1.'!H605</f>
        <v>0</v>
      </c>
      <c r="J128" s="705">
        <f>'1.'!I605</f>
        <v>0</v>
      </c>
      <c r="K128" s="705" t="str">
        <f>'1.'!J605</f>
        <v>%</v>
      </c>
      <c r="L128" s="705">
        <f ca="1">'1.'!K605</f>
        <v>0</v>
      </c>
      <c r="M128" s="705" t="str">
        <f ca="1">'1.'!L605</f>
        <v>[606]</v>
      </c>
      <c r="N128" s="705">
        <f ca="1">'1.'!M605</f>
        <v>63</v>
      </c>
    </row>
    <row r="129" spans="1:14" s="705" customFormat="1">
      <c r="A129" s="696">
        <f>ROW()</f>
        <v>129</v>
      </c>
      <c r="B129" s="705" t="str">
        <f ca="1">'1.'!A611</f>
        <v>D.1.611</v>
      </c>
      <c r="C129" s="705" t="str">
        <f ca="1">'1.'!B611</f>
        <v>1.611</v>
      </c>
      <c r="D129" s="705" t="str">
        <f>'1.'!C611</f>
        <v>[611]</v>
      </c>
      <c r="E129" s="705">
        <f>'1.'!D611</f>
        <v>611</v>
      </c>
      <c r="F129" s="705" t="str">
        <f>'1.'!E611</f>
        <v>Wasserstoff-Methanisierung - Nutzungsgrad</v>
      </c>
      <c r="G129" s="705">
        <f>'1.'!F611</f>
        <v>0</v>
      </c>
      <c r="H129" s="705">
        <f>'1.'!G611</f>
        <v>0</v>
      </c>
      <c r="I129" s="705">
        <f>'1.'!H611</f>
        <v>0</v>
      </c>
      <c r="J129" s="705">
        <f>'1.'!I611</f>
        <v>0</v>
      </c>
      <c r="K129" s="705" t="str">
        <f>'1.'!J611</f>
        <v>%</v>
      </c>
      <c r="L129" s="705">
        <f ca="1">'1.'!K611</f>
        <v>0</v>
      </c>
      <c r="M129" s="705" t="str">
        <f ca="1">'1.'!L611</f>
        <v>[612]</v>
      </c>
      <c r="N129" s="705">
        <f ca="1">'1.'!M611</f>
        <v>80</v>
      </c>
    </row>
    <row r="130" spans="1:14" s="705" customFormat="1">
      <c r="A130" s="696">
        <f>ROW()</f>
        <v>130</v>
      </c>
      <c r="B130" s="705" t="str">
        <f ca="1">'1.'!A617</f>
        <v>D.1.617</v>
      </c>
      <c r="C130" s="756" t="str">
        <f ca="1">'1.'!B617</f>
        <v>1.617</v>
      </c>
      <c r="D130" s="756" t="str">
        <f>'1.'!C617</f>
        <v>[617]</v>
      </c>
      <c r="E130" s="756">
        <f>'1.'!D617</f>
        <v>617</v>
      </c>
      <c r="F130" s="756" t="str">
        <f>'1.'!E617</f>
        <v>Wasserstoff tankfähig- Nutzungsgrad</v>
      </c>
      <c r="G130" s="756">
        <f>'1.'!F617</f>
        <v>0</v>
      </c>
      <c r="H130" s="756">
        <f>'1.'!G617</f>
        <v>0</v>
      </c>
      <c r="I130" s="756">
        <f>'1.'!H617</f>
        <v>0</v>
      </c>
      <c r="J130" s="756">
        <f>'1.'!I617</f>
        <v>0</v>
      </c>
      <c r="K130" s="756" t="str">
        <f>'1.'!J617</f>
        <v>%</v>
      </c>
      <c r="L130" s="756">
        <f ca="1">'1.'!K617</f>
        <v>0</v>
      </c>
      <c r="M130" s="756" t="str">
        <f ca="1">'1.'!L617</f>
        <v>[618]</v>
      </c>
      <c r="N130" s="756">
        <f ca="1">'1.'!M617</f>
        <v>80</v>
      </c>
    </row>
    <row r="131" spans="1:14" s="705" customFormat="1">
      <c r="A131" s="696">
        <f>ROW()</f>
        <v>131</v>
      </c>
      <c r="B131" s="176" t="str">
        <f ca="1">'1.'!A623</f>
        <v>D.1.623</v>
      </c>
      <c r="C131" s="176" t="str">
        <f ca="1">'1.'!B623</f>
        <v>1.623</v>
      </c>
      <c r="D131" s="176" t="str">
        <f>'1.'!C623</f>
        <v>[623]</v>
      </c>
      <c r="E131" s="176">
        <f>'1.'!D623</f>
        <v>623</v>
      </c>
      <c r="F131" s="176" t="str">
        <f>'1.'!E623</f>
        <v>Langzeitspeicherung Strom</v>
      </c>
      <c r="G131" s="176">
        <f>'1.'!F623</f>
        <v>0</v>
      </c>
      <c r="H131" s="176">
        <f>'1.'!G623</f>
        <v>0</v>
      </c>
      <c r="I131" s="176">
        <f>'1.'!H623</f>
        <v>0</v>
      </c>
      <c r="J131" s="176">
        <f>'1.'!I623</f>
        <v>0</v>
      </c>
      <c r="K131" s="593">
        <f>'1.'!J623</f>
        <v>0</v>
      </c>
      <c r="L131" s="593">
        <f>'1.'!K623</f>
        <v>0</v>
      </c>
      <c r="M131" s="593">
        <f>'1.'!L623</f>
        <v>0</v>
      </c>
      <c r="N131" s="593">
        <f>'1.'!M623</f>
        <v>0</v>
      </c>
    </row>
    <row r="132" spans="1:14" s="705" customFormat="1">
      <c r="A132" s="696">
        <f>ROW()</f>
        <v>132</v>
      </c>
      <c r="B132" s="19" t="str">
        <f ca="1">'1.'!A625</f>
        <v>D.1.625</v>
      </c>
      <c r="C132" s="19" t="str">
        <f ca="1">'1.'!B625</f>
        <v>1.625</v>
      </c>
      <c r="D132" s="19" t="str">
        <f>'1.'!C625</f>
        <v>[625]</v>
      </c>
      <c r="E132" s="19">
        <f>'1.'!D625</f>
        <v>625</v>
      </c>
      <c r="F132" s="19" t="str">
        <f>'1.'!E625</f>
        <v>Langzeitspeicherung - Stromaufnahme</v>
      </c>
      <c r="G132" s="19">
        <f>'1.'!F625</f>
        <v>0</v>
      </c>
      <c r="H132" s="19">
        <f>'1.'!G625</f>
        <v>0</v>
      </c>
      <c r="I132" s="19">
        <f>'1.'!H625</f>
        <v>0</v>
      </c>
      <c r="J132" s="19">
        <f>'1.'!I625</f>
        <v>0</v>
      </c>
      <c r="K132" s="19" t="str">
        <f>'1.'!J625</f>
        <v>GWh/a</v>
      </c>
      <c r="L132" s="19">
        <f ca="1">'1.'!K625</f>
        <v>0</v>
      </c>
      <c r="M132" s="19" t="str">
        <f ca="1">'1.'!L625</f>
        <v>[630]</v>
      </c>
      <c r="N132" s="19">
        <f ca="1">'1.'!M625</f>
        <v>299414.16266615025</v>
      </c>
    </row>
    <row r="133" spans="1:14" s="705" customFormat="1">
      <c r="A133" s="696">
        <f>ROW()</f>
        <v>133</v>
      </c>
      <c r="B133" s="705" t="str">
        <f ca="1">'1.'!A634</f>
        <v>D.1.634</v>
      </c>
      <c r="C133" s="705" t="str">
        <f ca="1">'1.'!B634</f>
        <v>1.634</v>
      </c>
      <c r="D133" s="705" t="str">
        <f>'1.'!C634</f>
        <v>[634]</v>
      </c>
      <c r="E133" s="705">
        <f>'1.'!D634</f>
        <v>634</v>
      </c>
      <c r="F133" s="705" t="str">
        <f>'1.'!E634</f>
        <v>Stromspeicherung gesamt - Nutzungsgrad</v>
      </c>
      <c r="G133" s="705">
        <f>'1.'!F634</f>
        <v>0</v>
      </c>
      <c r="H133" s="705">
        <f>'1.'!G634</f>
        <v>0</v>
      </c>
      <c r="I133" s="705">
        <f>'1.'!H634</f>
        <v>0</v>
      </c>
      <c r="J133" s="705">
        <f>'1.'!I634</f>
        <v>0</v>
      </c>
      <c r="K133" s="705" t="str">
        <f>'1.'!J634</f>
        <v>%</v>
      </c>
      <c r="L133" s="705">
        <f ca="1">'1.'!K634</f>
        <v>0</v>
      </c>
      <c r="M133" s="705" t="str">
        <f ca="1">'1.'!L634</f>
        <v>[635]</v>
      </c>
      <c r="N133" s="705">
        <f ca="1">'1.'!M634</f>
        <v>37.689265930224394</v>
      </c>
    </row>
    <row r="134" spans="1:14" s="705" customFormat="1">
      <c r="A134" s="696">
        <f>ROW()</f>
        <v>134</v>
      </c>
      <c r="B134" s="705" t="str">
        <f ca="1">'1.'!A644</f>
        <v>D.1.644</v>
      </c>
      <c r="C134" s="705" t="str">
        <f ca="1">'1.'!B644</f>
        <v>1.644</v>
      </c>
      <c r="D134" s="705" t="str">
        <f>'1.'!C644</f>
        <v>[644]</v>
      </c>
      <c r="E134" s="705">
        <f>'1.'!D644</f>
        <v>644</v>
      </c>
      <c r="F134" s="705" t="str">
        <f>'1.'!E644</f>
        <v>Stromspeicher. Abwärme KWK - Nutzanteil eff.</v>
      </c>
      <c r="G134" s="705">
        <f>'1.'!F644</f>
        <v>0</v>
      </c>
      <c r="H134" s="705">
        <f>'1.'!G644</f>
        <v>0</v>
      </c>
      <c r="I134" s="705">
        <f>'1.'!H644</f>
        <v>0</v>
      </c>
      <c r="J134" s="705">
        <f>'1.'!I644</f>
        <v>0</v>
      </c>
      <c r="K134" s="705" t="str">
        <f>'1.'!J644</f>
        <v>%</v>
      </c>
      <c r="L134" s="705">
        <f ca="1">'1.'!K644</f>
        <v>0</v>
      </c>
      <c r="M134" s="705" t="str">
        <f ca="1">'1.'!L644</f>
        <v>[645]</v>
      </c>
      <c r="N134" s="705">
        <f ca="1">'1.'!M644</f>
        <v>12.7</v>
      </c>
    </row>
    <row r="135" spans="1:14" s="705" customFormat="1">
      <c r="A135" s="696">
        <f>ROW()</f>
        <v>135</v>
      </c>
      <c r="B135" s="19" t="str">
        <f ca="1">'1.'!A649</f>
        <v>D.1.649</v>
      </c>
      <c r="C135" s="19" t="str">
        <f ca="1">'1.'!B649</f>
        <v>1.649</v>
      </c>
      <c r="D135" s="19" t="str">
        <f>'1.'!C649</f>
        <v>[649]</v>
      </c>
      <c r="E135" s="19">
        <f>'1.'!D649</f>
        <v>649</v>
      </c>
      <c r="F135" s="19" t="str">
        <f>'1.'!E649</f>
        <v>Stromspeicherung - Gasspeicherkapazität min.</v>
      </c>
      <c r="G135" s="19">
        <f>'1.'!F649</f>
        <v>0</v>
      </c>
      <c r="H135" s="19">
        <f>'1.'!G649</f>
        <v>0</v>
      </c>
      <c r="I135" s="19">
        <f>'1.'!H649</f>
        <v>0</v>
      </c>
      <c r="J135" s="19">
        <f>'1.'!I649</f>
        <v>0</v>
      </c>
      <c r="K135" s="19" t="str">
        <f>'1.'!J649</f>
        <v xml:space="preserve">GWh </v>
      </c>
      <c r="L135" s="19">
        <f ca="1">'1.'!K649</f>
        <v>0</v>
      </c>
      <c r="M135" s="19" t="str">
        <f ca="1">'1.'!L649</f>
        <v>[650]</v>
      </c>
      <c r="N135" s="19">
        <f ca="1">'1.'!M649</f>
        <v>140225</v>
      </c>
    </row>
    <row r="136" spans="1:14" s="705" customFormat="1">
      <c r="A136" s="696">
        <f>ROW()</f>
        <v>136</v>
      </c>
      <c r="B136" s="705" t="str">
        <f ca="1">'1.'!A654</f>
        <v>D.1.654</v>
      </c>
      <c r="C136" s="705" t="str">
        <f ca="1">'1.'!B654</f>
        <v>1.654</v>
      </c>
      <c r="D136" s="705" t="str">
        <f>'1.'!C654</f>
        <v>[654]</v>
      </c>
      <c r="E136" s="705">
        <f>'1.'!D654</f>
        <v>654</v>
      </c>
      <c r="F136" s="705" t="str">
        <f>'1.'!E654</f>
        <v>Abregelung von Wind- und Solarstrom</v>
      </c>
      <c r="G136" s="705">
        <f>'1.'!F654</f>
        <v>0</v>
      </c>
      <c r="H136" s="705">
        <f>'1.'!G654</f>
        <v>0</v>
      </c>
      <c r="I136" s="705">
        <f>'1.'!H654</f>
        <v>0</v>
      </c>
      <c r="J136" s="705">
        <f>'1.'!I654</f>
        <v>0</v>
      </c>
      <c r="K136" s="705" t="str">
        <f>'1.'!J654</f>
        <v>GWh/a</v>
      </c>
      <c r="L136" s="705">
        <f ca="1">'1.'!K654</f>
        <v>0</v>
      </c>
      <c r="M136" s="705" t="str">
        <f ca="1">'1.'!L654</f>
        <v>[655]</v>
      </c>
      <c r="N136" s="705">
        <f ca="1">'1.'!M654</f>
        <v>10730.892227226817</v>
      </c>
    </row>
    <row r="137" spans="1:14" s="705" customFormat="1">
      <c r="A137" s="696">
        <f>ROW()</f>
        <v>137</v>
      </c>
      <c r="B137" s="705" t="str">
        <f ca="1">'1.'!A924</f>
        <v>D.1.924</v>
      </c>
      <c r="C137" s="756" t="str">
        <f ca="1">'1.'!B924</f>
        <v>1.924</v>
      </c>
      <c r="D137" s="756" t="str">
        <f>'1.'!C924</f>
        <v>[924]</v>
      </c>
      <c r="E137" s="756">
        <f>'1.'!D924</f>
        <v>924</v>
      </c>
      <c r="F137" s="756" t="str">
        <f>'1.'!E924</f>
        <v>Nutzungsgrad Brennstoffzellen-Traktion (FC)</v>
      </c>
      <c r="G137" s="756">
        <f>'1.'!F924</f>
        <v>0</v>
      </c>
      <c r="H137" s="756">
        <f>'1.'!G924</f>
        <v>0</v>
      </c>
      <c r="I137" s="756">
        <f>'1.'!H924</f>
        <v>0</v>
      </c>
      <c r="J137" s="756">
        <f>'1.'!I924</f>
        <v>0</v>
      </c>
      <c r="K137" s="756" t="str">
        <f>'1.'!J924</f>
        <v>%</v>
      </c>
      <c r="L137" s="756">
        <f ca="1">'1.'!K924</f>
        <v>35</v>
      </c>
      <c r="M137" s="756" t="str">
        <f ca="1">'1.'!L924</f>
        <v>[925]</v>
      </c>
      <c r="N137" s="756">
        <f ca="1">'1.'!M924</f>
        <v>40</v>
      </c>
    </row>
    <row r="138" spans="1:14" s="705" customFormat="1">
      <c r="A138" s="696">
        <f>ROW()</f>
        <v>138</v>
      </c>
      <c r="B138" s="705" t="str">
        <f ca="1">'1.'!A659</f>
        <v>D.1.659</v>
      </c>
      <c r="C138" s="705" t="str">
        <f ca="1">'1.'!B659</f>
        <v>1.659</v>
      </c>
      <c r="D138" s="705" t="str">
        <f>'1.'!C659</f>
        <v>[659]</v>
      </c>
      <c r="E138" s="705">
        <f>'1.'!D659</f>
        <v>659</v>
      </c>
      <c r="F138" s="176" t="str">
        <f>'1.'!E659</f>
        <v>Stromübertragung</v>
      </c>
      <c r="G138" s="705">
        <f>'1.'!F659</f>
        <v>0</v>
      </c>
      <c r="H138" s="705">
        <f>'1.'!G659</f>
        <v>0</v>
      </c>
      <c r="I138" s="705">
        <f>'1.'!H659</f>
        <v>0</v>
      </c>
      <c r="J138" s="705">
        <f>'1.'!I659</f>
        <v>0</v>
      </c>
      <c r="K138" s="705">
        <f>'1.'!J659</f>
        <v>0</v>
      </c>
      <c r="L138" s="705">
        <f>'1.'!K659</f>
        <v>0</v>
      </c>
      <c r="M138" s="705">
        <f>'1.'!L659</f>
        <v>0</v>
      </c>
      <c r="N138" s="705">
        <f>'1.'!M659</f>
        <v>0</v>
      </c>
    </row>
    <row r="139" spans="1:14" s="705" customFormat="1">
      <c r="A139" s="696">
        <f>ROW()</f>
        <v>139</v>
      </c>
      <c r="B139" s="19" t="str">
        <f ca="1">'1.'!A661</f>
        <v>D.1.661</v>
      </c>
      <c r="C139" s="19" t="str">
        <f ca="1">'1.'!B661</f>
        <v>1.661</v>
      </c>
      <c r="D139" s="19" t="str">
        <f>'1.'!C661</f>
        <v>[661]</v>
      </c>
      <c r="E139" s="19">
        <f>'1.'!D661</f>
        <v>661</v>
      </c>
      <c r="F139" s="19" t="str">
        <f>'1.'!E661</f>
        <v>Stromeinfuhr (Erneuerbar) in Solidarbereich</v>
      </c>
      <c r="G139" s="19">
        <f>'1.'!F661</f>
        <v>0</v>
      </c>
      <c r="H139" s="19">
        <f>'1.'!G661</f>
        <v>0</v>
      </c>
      <c r="I139" s="19">
        <f>'1.'!H661</f>
        <v>0</v>
      </c>
      <c r="J139" s="19">
        <f>'1.'!I661</f>
        <v>0</v>
      </c>
      <c r="K139" s="19" t="str">
        <f>'1.'!J661</f>
        <v>GWh/a</v>
      </c>
      <c r="L139" s="19">
        <f ca="1">'1.'!K661</f>
        <v>0</v>
      </c>
      <c r="M139" s="19" t="str">
        <f ca="1">'1.'!L661</f>
        <v>[662]</v>
      </c>
      <c r="N139" s="19">
        <f ca="1">'1.'!M661</f>
        <v>0</v>
      </c>
    </row>
    <row r="140" spans="1:14" s="705" customFormat="1">
      <c r="A140" s="696">
        <f>ROW()</f>
        <v>140</v>
      </c>
      <c r="B140" s="705" t="str">
        <f ca="1">'1.'!A666</f>
        <v>D.1.666</v>
      </c>
      <c r="C140" s="705" t="str">
        <f ca="1">'1.'!B666</f>
        <v>1.666</v>
      </c>
      <c r="D140" s="705" t="str">
        <f>'1.'!C666</f>
        <v>[666]</v>
      </c>
      <c r="E140" s="705">
        <f>'1.'!D666</f>
        <v>666</v>
      </c>
      <c r="F140" s="705" t="str">
        <f>'1.'!E666</f>
        <v>Übertragungsverluste Stromnetz</v>
      </c>
      <c r="G140" s="705">
        <f>'1.'!F666</f>
        <v>0</v>
      </c>
      <c r="H140" s="705">
        <f>'1.'!G666</f>
        <v>0</v>
      </c>
      <c r="I140" s="705">
        <f>'1.'!H666</f>
        <v>0</v>
      </c>
      <c r="J140" s="705">
        <f>'1.'!I666</f>
        <v>0</v>
      </c>
      <c r="K140" s="705" t="str">
        <f>'1.'!J666</f>
        <v>%</v>
      </c>
      <c r="L140" s="705">
        <f ca="1">'1.'!K666</f>
        <v>5.2045467337274554</v>
      </c>
      <c r="M140" s="705" t="str">
        <f ca="1">'1.'!L666</f>
        <v>[667]</v>
      </c>
      <c r="N140" s="705">
        <f ca="1">'1.'!M666</f>
        <v>15.204546733727454</v>
      </c>
    </row>
    <row r="141" spans="1:14" s="705" customFormat="1">
      <c r="A141" s="696">
        <f>ROW()</f>
        <v>141</v>
      </c>
    </row>
    <row r="142" spans="1:14" s="16" customFormat="1">
      <c r="A142" s="696">
        <f>ROW()</f>
        <v>142</v>
      </c>
      <c r="B142" s="16" t="str">
        <f ca="1">'1.'!A672</f>
        <v>D.1.672</v>
      </c>
      <c r="C142" s="16" t="str">
        <f ca="1">'1.'!B672</f>
        <v>1.672</v>
      </c>
      <c r="D142" s="16" t="str">
        <f>'1.'!C672</f>
        <v>[672]</v>
      </c>
      <c r="E142" s="16">
        <f>'1.'!D672</f>
        <v>672</v>
      </c>
      <c r="F142" s="176" t="str">
        <f>'1.'!E672</f>
        <v>Wirtschaftliche Entwicklung</v>
      </c>
      <c r="G142" s="16">
        <f>'1.'!F672</f>
        <v>0</v>
      </c>
      <c r="H142" s="16">
        <f>'1.'!G672</f>
        <v>0</v>
      </c>
      <c r="I142" s="16">
        <f>'1.'!H672</f>
        <v>0</v>
      </c>
      <c r="J142" s="16">
        <f>'1.'!I672</f>
        <v>0</v>
      </c>
      <c r="K142" s="16">
        <f>'1.'!J672</f>
        <v>0</v>
      </c>
      <c r="L142" s="16">
        <f>'1.'!K672</f>
        <v>0</v>
      </c>
      <c r="M142" s="16">
        <f>'1.'!L672</f>
        <v>0</v>
      </c>
      <c r="N142" s="16">
        <f>'1.'!M672</f>
        <v>0</v>
      </c>
    </row>
    <row r="143" spans="1:14" s="653" customFormat="1">
      <c r="A143" s="696">
        <f>ROW()</f>
        <v>143</v>
      </c>
      <c r="B143" s="604" t="str">
        <f ca="1">'1.'!A674</f>
        <v>D.1.674</v>
      </c>
      <c r="C143" s="604" t="str">
        <f ca="1">'1.'!B674</f>
        <v>1.674</v>
      </c>
      <c r="D143" s="604" t="str">
        <f>'1.'!C674</f>
        <v>[674]</v>
      </c>
      <c r="E143" s="604">
        <f>'1.'!D674</f>
        <v>674</v>
      </c>
      <c r="F143" s="604" t="str">
        <f>'1.'!E674</f>
        <v>Betrachteter Zeitraum</v>
      </c>
      <c r="G143" s="604">
        <f>'1.'!F674</f>
        <v>0</v>
      </c>
      <c r="H143" s="604">
        <f>'1.'!G674</f>
        <v>0</v>
      </c>
      <c r="I143" s="604">
        <f>'1.'!H674</f>
        <v>0</v>
      </c>
      <c r="J143" s="604">
        <f>'1.'!I674</f>
        <v>0</v>
      </c>
      <c r="K143" s="604" t="str">
        <f>'1.'!J674</f>
        <v>Kal.-Jahr</v>
      </c>
      <c r="L143" s="604">
        <f ca="1">'1.'!K674</f>
        <v>2016</v>
      </c>
      <c r="M143" s="604" t="str">
        <f ca="1">'1.'!L674</f>
        <v>[677]</v>
      </c>
      <c r="N143" s="604">
        <f ca="1">'1.'!M674</f>
        <v>2040</v>
      </c>
    </row>
    <row r="144" spans="1:14">
      <c r="A144" s="696">
        <f>ROW()</f>
        <v>144</v>
      </c>
      <c r="B144" s="603" t="str">
        <f ca="1">'1.'!A681</f>
        <v>D.1.681</v>
      </c>
      <c r="C144" s="603" t="str">
        <f ca="1">'1.'!B681</f>
        <v>1.681</v>
      </c>
      <c r="D144" s="603" t="str">
        <f>'1.'!C681</f>
        <v>[681]</v>
      </c>
      <c r="E144" s="603">
        <f>'1.'!D681</f>
        <v>681</v>
      </c>
      <c r="F144" s="603" t="str">
        <f>'1.'!E681</f>
        <v>Durchschnittliche Jahresrate BIP/Kopf</v>
      </c>
      <c r="G144" s="603">
        <f>'1.'!F681</f>
        <v>0</v>
      </c>
      <c r="H144" s="603">
        <f>'1.'!G681</f>
        <v>0</v>
      </c>
      <c r="I144" s="603">
        <f>'1.'!H681</f>
        <v>0</v>
      </c>
      <c r="J144" s="603">
        <f>'1.'!I681</f>
        <v>0</v>
      </c>
      <c r="K144" s="603" t="str">
        <f>'1.'!J681</f>
        <v>%</v>
      </c>
      <c r="L144" s="603">
        <f ca="1">'1.'!K681</f>
        <v>0</v>
      </c>
      <c r="M144" s="603">
        <f>'1.'!L681</f>
        <v>0</v>
      </c>
      <c r="N144" s="603">
        <f>'1.'!M681</f>
        <v>0</v>
      </c>
    </row>
    <row r="145" spans="1:14">
      <c r="A145" s="588">
        <f>ROW()</f>
        <v>145</v>
      </c>
      <c r="B145" s="604" t="str">
        <f ca="1">'1.'!A688</f>
        <v>D.1.688</v>
      </c>
      <c r="C145" s="604" t="str">
        <f ca="1">'1.'!B688</f>
        <v>1.688</v>
      </c>
      <c r="D145" s="604" t="str">
        <f>'1.'!C688</f>
        <v>[688]</v>
      </c>
      <c r="E145" s="604">
        <f>'1.'!D688</f>
        <v>688</v>
      </c>
      <c r="F145" s="604" t="str">
        <f>'1.'!E688</f>
        <v>BIP pro Kopf</v>
      </c>
      <c r="G145" s="604">
        <f>'1.'!F688</f>
        <v>0</v>
      </c>
      <c r="H145" s="604">
        <f>'1.'!G688</f>
        <v>0</v>
      </c>
      <c r="I145" s="604">
        <f>'1.'!H688</f>
        <v>0</v>
      </c>
      <c r="J145" s="604">
        <f>'1.'!I688</f>
        <v>0</v>
      </c>
      <c r="K145" s="604" t="str">
        <f>'1.'!J688</f>
        <v>€</v>
      </c>
      <c r="L145" s="604">
        <f ca="1">'1.'!K688</f>
        <v>33569</v>
      </c>
      <c r="M145" s="604" t="str">
        <f ca="1">'1.'!L688</f>
        <v>[689]</v>
      </c>
      <c r="N145" s="604" t="str">
        <f ca="1">'1.'!M688</f>
        <v>(resultiert)</v>
      </c>
    </row>
    <row r="146" spans="1:14">
      <c r="A146" s="588">
        <f>ROW()</f>
        <v>146</v>
      </c>
      <c r="B146" s="603" t="str">
        <f ca="1">'1.'!A693</f>
        <v>D.1.693</v>
      </c>
      <c r="C146" s="603" t="str">
        <f ca="1">'1.'!B693</f>
        <v>1.693</v>
      </c>
      <c r="D146" s="603" t="str">
        <f>'1.'!C693</f>
        <v>[693]</v>
      </c>
      <c r="E146" s="603">
        <f>'1.'!D693</f>
        <v>693</v>
      </c>
      <c r="F146" s="603" t="str">
        <f>'1.'!E693</f>
        <v>Anteil Dienstleistungsbereiche an BIP/Kopf</v>
      </c>
      <c r="G146" s="603">
        <f>'1.'!F693</f>
        <v>0</v>
      </c>
      <c r="H146" s="603">
        <f>'1.'!G693</f>
        <v>0</v>
      </c>
      <c r="I146" s="603">
        <f>'1.'!H693</f>
        <v>0</v>
      </c>
      <c r="J146" s="603">
        <f>'1.'!I693</f>
        <v>0</v>
      </c>
      <c r="K146" s="603" t="str">
        <f>'1.'!J693</f>
        <v>%</v>
      </c>
      <c r="L146" s="603">
        <f ca="1">'1.'!K693</f>
        <v>68.599999999999994</v>
      </c>
      <c r="M146" s="603" t="str">
        <f ca="1">'1.'!L693</f>
        <v>[694]</v>
      </c>
      <c r="N146" s="603">
        <f ca="1">'1.'!M693</f>
        <v>68.599999999999994</v>
      </c>
    </row>
    <row r="147" spans="1:14" s="650" customFormat="1">
      <c r="A147" s="588">
        <f>ROW()</f>
        <v>147</v>
      </c>
      <c r="B147" s="653"/>
      <c r="C147" s="653"/>
      <c r="D147" s="653"/>
      <c r="E147" s="653"/>
      <c r="F147" s="653"/>
      <c r="G147" s="653"/>
      <c r="H147" s="653"/>
      <c r="I147" s="653"/>
      <c r="J147" s="653"/>
      <c r="K147" s="653"/>
      <c r="L147" s="653"/>
      <c r="M147" s="653"/>
      <c r="N147" s="653"/>
    </row>
    <row r="148" spans="1:14" s="650" customFormat="1">
      <c r="A148" s="588">
        <f>ROW()</f>
        <v>148</v>
      </c>
      <c r="B148" s="603"/>
      <c r="C148" s="603"/>
      <c r="D148" s="603"/>
      <c r="E148" s="603"/>
      <c r="F148" s="603"/>
      <c r="G148" s="603"/>
      <c r="H148" s="603"/>
      <c r="I148" s="603"/>
      <c r="J148" s="603"/>
      <c r="K148" s="603"/>
      <c r="L148" s="603"/>
      <c r="M148" s="603"/>
      <c r="N148" s="603"/>
    </row>
    <row r="149" spans="1:14" s="650" customFormat="1">
      <c r="A149" s="588">
        <f>ROW()</f>
        <v>149</v>
      </c>
      <c r="B149" s="603" t="str">
        <f ca="1">'1.'!A698</f>
        <v>D.1.698</v>
      </c>
      <c r="C149" s="603" t="str">
        <f ca="1">'1.'!B698</f>
        <v>1.698</v>
      </c>
      <c r="D149" s="603" t="str">
        <f>'1.'!C698</f>
        <v>[698]</v>
      </c>
      <c r="E149" s="603">
        <f>'1.'!D698</f>
        <v>698</v>
      </c>
      <c r="F149" s="648" t="str">
        <f>'1.'!E698</f>
        <v>Kraft, Licht, Inform./Komm., Kälte-Endenergieverbr. (KLIK)</v>
      </c>
      <c r="G149" s="603">
        <f>'1.'!F698</f>
        <v>0</v>
      </c>
      <c r="H149" s="603">
        <f>'1.'!G698</f>
        <v>0</v>
      </c>
      <c r="I149" s="603">
        <f>'1.'!H698</f>
        <v>0</v>
      </c>
      <c r="J149" s="603">
        <f>'1.'!I698</f>
        <v>0</v>
      </c>
      <c r="K149" s="603"/>
      <c r="L149" s="603">
        <f>'1.'!K698</f>
        <v>0</v>
      </c>
      <c r="M149" s="603">
        <f>'1.'!L698</f>
        <v>0</v>
      </c>
      <c r="N149" s="603">
        <f>'1.'!M698</f>
        <v>0</v>
      </c>
    </row>
    <row r="150" spans="1:14" s="650" customFormat="1">
      <c r="A150" s="588">
        <f>ROW()</f>
        <v>150</v>
      </c>
      <c r="B150" s="603" t="str">
        <f ca="1">'1.'!A700</f>
        <v>D.1.700</v>
      </c>
      <c r="C150" s="603" t="str">
        <f ca="1">'1.'!B700</f>
        <v>1.700</v>
      </c>
      <c r="D150" s="603" t="str">
        <f>'1.'!C700</f>
        <v>[700]</v>
      </c>
      <c r="E150" s="603">
        <f>'1.'!D700</f>
        <v>700</v>
      </c>
      <c r="F150" s="603" t="str">
        <f>'1.'!E700</f>
        <v>Anteil Haushalte an KLIK</v>
      </c>
      <c r="G150" s="603">
        <f>'1.'!F700</f>
        <v>0</v>
      </c>
      <c r="H150" s="603">
        <f>'1.'!G700</f>
        <v>0</v>
      </c>
      <c r="I150" s="603">
        <f>'1.'!H700</f>
        <v>0</v>
      </c>
      <c r="J150" s="603">
        <f>'1.'!I700</f>
        <v>0</v>
      </c>
      <c r="K150" s="603" t="str">
        <f>'1.'!J700</f>
        <v>%</v>
      </c>
      <c r="L150" s="603">
        <f ca="1">'1.'!K700</f>
        <v>17.034934792891409</v>
      </c>
      <c r="M150" s="603" t="str">
        <f ca="1">'1.'!L700</f>
        <v>[701]</v>
      </c>
      <c r="N150" s="603">
        <f ca="1">'1.'!M700</f>
        <v>17.034934792891409</v>
      </c>
    </row>
    <row r="151" spans="1:14" s="650" customFormat="1">
      <c r="A151" s="588">
        <f>ROW()</f>
        <v>151</v>
      </c>
      <c r="B151" s="603" t="str">
        <f ca="1">'1.'!A705</f>
        <v>D.1.705</v>
      </c>
      <c r="C151" s="603" t="str">
        <f ca="1">'1.'!B705</f>
        <v>1.705</v>
      </c>
      <c r="D151" s="603" t="str">
        <f>'1.'!C705</f>
        <v>[705]</v>
      </c>
      <c r="E151" s="603">
        <f>'1.'!D705</f>
        <v>705</v>
      </c>
      <c r="F151" s="603" t="str">
        <f>'1.'!E705</f>
        <v>Zieleinfluss Endgeräte-Effizienz Haushalte auf KLIK</v>
      </c>
      <c r="G151" s="603">
        <f>'1.'!F705</f>
        <v>0</v>
      </c>
      <c r="H151" s="603">
        <f>'1.'!G705</f>
        <v>0</v>
      </c>
      <c r="I151" s="603">
        <f>'1.'!H705</f>
        <v>0</v>
      </c>
      <c r="J151" s="603">
        <f>'1.'!I705</f>
        <v>0</v>
      </c>
      <c r="K151" s="603" t="str">
        <f>'1.'!J705</f>
        <v>%</v>
      </c>
      <c r="L151" s="603">
        <f ca="1">'1.'!K705</f>
        <v>100</v>
      </c>
      <c r="M151" s="603" t="str">
        <f ca="1">'1.'!L705</f>
        <v>[706]</v>
      </c>
      <c r="N151" s="603">
        <f ca="1">'1.'!M705</f>
        <v>73</v>
      </c>
    </row>
    <row r="152" spans="1:14" s="650" customFormat="1">
      <c r="A152" s="588">
        <f>ROW()</f>
        <v>152</v>
      </c>
      <c r="B152" s="603" t="str">
        <f ca="1">'1.'!A712</f>
        <v>D.1.712</v>
      </c>
      <c r="C152" s="603" t="str">
        <f ca="1">'1.'!B712</f>
        <v>1.712</v>
      </c>
      <c r="D152" s="603" t="str">
        <f>'1.'!C712</f>
        <v>[712]</v>
      </c>
      <c r="E152" s="603">
        <f>'1.'!D712</f>
        <v>712</v>
      </c>
      <c r="F152" s="603" t="str">
        <f>'1.'!E712</f>
        <v>Anteil Handel/Dienstleistungen an KLIK</v>
      </c>
      <c r="G152" s="603">
        <f>'1.'!F712</f>
        <v>0</v>
      </c>
      <c r="H152" s="603">
        <f>'1.'!G712</f>
        <v>0</v>
      </c>
      <c r="I152" s="603">
        <f>'1.'!H712</f>
        <v>0</v>
      </c>
      <c r="J152" s="603">
        <f>'1.'!I712</f>
        <v>0</v>
      </c>
      <c r="K152" s="603" t="str">
        <f>'1.'!J712</f>
        <v>%</v>
      </c>
      <c r="L152" s="603">
        <f ca="1">'1.'!K712</f>
        <v>29.610108791134532</v>
      </c>
      <c r="M152" s="603" t="str">
        <f ca="1">'1.'!L712</f>
        <v>[713]</v>
      </c>
      <c r="N152" s="603">
        <f ca="1">'1.'!M712</f>
        <v>29.610108791134532</v>
      </c>
    </row>
    <row r="153" spans="1:14" s="756" customFormat="1">
      <c r="A153" s="696">
        <f>ROW()</f>
        <v>153</v>
      </c>
      <c r="B153" s="603" t="str">
        <f ca="1">'1.'!A717</f>
        <v>D.1.717</v>
      </c>
      <c r="C153" s="603" t="str">
        <f ca="1">'1.'!B717</f>
        <v>1.717</v>
      </c>
      <c r="D153" s="603" t="str">
        <f>'1.'!C717</f>
        <v>[717]</v>
      </c>
      <c r="E153" s="603">
        <f>'1.'!D717</f>
        <v>717</v>
      </c>
      <c r="F153" s="603" t="str">
        <f>'1.'!E717</f>
        <v>Zieleinfl.Handels-/Dienstleist.-Vol./Pers.auf KLIK</v>
      </c>
      <c r="G153" s="603">
        <f>'1.'!F717</f>
        <v>0</v>
      </c>
      <c r="H153" s="603">
        <f>'1.'!G717</f>
        <v>0</v>
      </c>
      <c r="I153" s="603">
        <f>'1.'!H717</f>
        <v>0</v>
      </c>
      <c r="J153" s="603">
        <f>'1.'!I717</f>
        <v>0</v>
      </c>
      <c r="K153" s="603" t="str">
        <f>'1.'!J717</f>
        <v>%</v>
      </c>
      <c r="L153" s="603">
        <f ca="1">'1.'!K717</f>
        <v>100</v>
      </c>
      <c r="M153" s="603" t="str">
        <f ca="1">'1.'!L717</f>
        <v>[718]</v>
      </c>
      <c r="N153" s="603">
        <f ca="1">'1.'!M717</f>
        <v>100</v>
      </c>
    </row>
    <row r="154" spans="1:14" s="650" customFormat="1">
      <c r="A154" s="588">
        <f>ROW()</f>
        <v>154</v>
      </c>
      <c r="B154" s="603" t="str">
        <f ca="1">'1.'!A722</f>
        <v>D.1.722</v>
      </c>
      <c r="C154" s="603" t="str">
        <f ca="1">'1.'!B722</f>
        <v>1.722</v>
      </c>
      <c r="D154" s="603" t="str">
        <f>'1.'!C722</f>
        <v>[722]</v>
      </c>
      <c r="E154" s="603">
        <f>'1.'!D722</f>
        <v>722</v>
      </c>
      <c r="F154" s="603" t="str">
        <f>'1.'!E722</f>
        <v>Zieleinfluss Prozess-Effizienz Dienstleist. auf KLIK</v>
      </c>
      <c r="G154" s="603">
        <f>'1.'!F722</f>
        <v>0</v>
      </c>
      <c r="H154" s="603">
        <f>'1.'!G722</f>
        <v>0</v>
      </c>
      <c r="I154" s="603">
        <f>'1.'!H722</f>
        <v>0</v>
      </c>
      <c r="J154" s="603">
        <f>'1.'!I722</f>
        <v>0</v>
      </c>
      <c r="K154" s="603" t="str">
        <f>'1.'!J722</f>
        <v>%</v>
      </c>
      <c r="L154" s="603">
        <f ca="1">'1.'!K722</f>
        <v>100</v>
      </c>
      <c r="M154" s="603" t="str">
        <f ca="1">'1.'!L722</f>
        <v>[723]</v>
      </c>
      <c r="N154" s="603">
        <f ca="1">'1.'!M722</f>
        <v>73</v>
      </c>
    </row>
    <row r="155" spans="1:14" s="650" customFormat="1">
      <c r="A155" s="588">
        <f>ROW()</f>
        <v>155</v>
      </c>
      <c r="B155" s="603" t="str">
        <f ca="1">'1.'!A728</f>
        <v>D.1.728</v>
      </c>
      <c r="C155" s="603" t="str">
        <f ca="1">'1.'!B728</f>
        <v>1.728</v>
      </c>
      <c r="D155" s="603" t="str">
        <f>'1.'!C728</f>
        <v>[728]</v>
      </c>
      <c r="E155" s="603">
        <f>'1.'!D728</f>
        <v>728</v>
      </c>
      <c r="F155" s="603" t="str">
        <f>'1.'!E728</f>
        <v>Anteil Industrie + produzierendes Gewerbe an KLIK</v>
      </c>
      <c r="G155" s="603">
        <f>'1.'!F728</f>
        <v>0</v>
      </c>
      <c r="H155" s="603">
        <f>'1.'!G728</f>
        <v>0</v>
      </c>
      <c r="I155" s="603">
        <f>'1.'!H728</f>
        <v>0</v>
      </c>
      <c r="J155" s="603">
        <f>'1.'!I728</f>
        <v>0</v>
      </c>
      <c r="K155" s="603" t="str">
        <f>'1.'!J728</f>
        <v>%</v>
      </c>
      <c r="L155" s="603">
        <f ca="1">'1.'!K728</f>
        <v>53.354956415974044</v>
      </c>
      <c r="M155" s="603" t="str">
        <f ca="1">'1.'!L728</f>
        <v>[729]</v>
      </c>
      <c r="N155" s="603">
        <f ca="1">'1.'!M728</f>
        <v>53.354956415974044</v>
      </c>
    </row>
    <row r="156" spans="1:14" s="756" customFormat="1">
      <c r="A156" s="696">
        <f>ROW()</f>
        <v>156</v>
      </c>
      <c r="B156" s="603" t="str">
        <f ca="1">'1.'!A733</f>
        <v>D.1.733</v>
      </c>
      <c r="C156" s="603" t="str">
        <f ca="1">'1.'!B733</f>
        <v>1.733</v>
      </c>
      <c r="D156" s="603" t="str">
        <f>'1.'!C733</f>
        <v>[733]</v>
      </c>
      <c r="E156" s="603">
        <f>'1.'!D733</f>
        <v>733</v>
      </c>
      <c r="F156" s="603" t="str">
        <f>'1.'!E733</f>
        <v>Zieleinfl.Materialdurchsatz/Pers.auf KLIK</v>
      </c>
      <c r="G156" s="603">
        <f>'1.'!F733</f>
        <v>0</v>
      </c>
      <c r="H156" s="603">
        <f>'1.'!G733</f>
        <v>0</v>
      </c>
      <c r="I156" s="603">
        <f>'1.'!H733</f>
        <v>0</v>
      </c>
      <c r="J156" s="603">
        <f>'1.'!I733</f>
        <v>0</v>
      </c>
      <c r="K156" s="603" t="str">
        <f>'1.'!J733</f>
        <v>%</v>
      </c>
      <c r="L156" s="603">
        <f ca="1">'1.'!K733</f>
        <v>100</v>
      </c>
      <c r="M156" s="603" t="str">
        <f ca="1">'1.'!L733</f>
        <v>[734]</v>
      </c>
      <c r="N156" s="603">
        <f ca="1">'1.'!M733</f>
        <v>100</v>
      </c>
    </row>
    <row r="157" spans="1:14" s="650" customFormat="1">
      <c r="A157" s="588">
        <f>ROW()</f>
        <v>157</v>
      </c>
      <c r="B157" s="603" t="str">
        <f ca="1">'1.'!A738</f>
        <v>D.1.738</v>
      </c>
      <c r="C157" s="603" t="str">
        <f ca="1">'1.'!B738</f>
        <v>1.738</v>
      </c>
      <c r="D157" s="603" t="str">
        <f>'1.'!C738</f>
        <v>[738]</v>
      </c>
      <c r="E157" s="603">
        <f>'1.'!D738</f>
        <v>738</v>
      </c>
      <c r="F157" s="603" t="str">
        <f>'1.'!E738</f>
        <v>Zieleinfluss Prozess-Effiz.prod.Gewerbe auf KLIK</v>
      </c>
      <c r="G157" s="603">
        <f>'1.'!F738</f>
        <v>0</v>
      </c>
      <c r="H157" s="603">
        <f>'1.'!G738</f>
        <v>0</v>
      </c>
      <c r="I157" s="603">
        <f>'1.'!H738</f>
        <v>0</v>
      </c>
      <c r="J157" s="603">
        <f>'1.'!I738</f>
        <v>0</v>
      </c>
      <c r="K157" s="603" t="str">
        <f>'1.'!J738</f>
        <v>%</v>
      </c>
      <c r="L157" s="603">
        <f ca="1">'1.'!K738</f>
        <v>100</v>
      </c>
      <c r="M157" s="603" t="str">
        <f ca="1">'1.'!L738</f>
        <v>[739]</v>
      </c>
      <c r="N157" s="603">
        <f ca="1">'1.'!M738</f>
        <v>73</v>
      </c>
    </row>
    <row r="158" spans="1:14" s="650" customFormat="1">
      <c r="A158" s="588">
        <f>ROW()</f>
        <v>158</v>
      </c>
      <c r="B158" s="603"/>
      <c r="C158" s="603"/>
      <c r="D158" s="603"/>
      <c r="E158" s="603"/>
      <c r="F158" s="603"/>
      <c r="G158" s="603"/>
      <c r="H158" s="603"/>
      <c r="I158" s="603"/>
      <c r="J158" s="603"/>
      <c r="K158" s="603"/>
      <c r="L158" s="603"/>
      <c r="M158" s="603"/>
      <c r="N158" s="603"/>
    </row>
    <row r="159" spans="1:14" s="756" customFormat="1">
      <c r="A159" s="696">
        <f>ROW()</f>
        <v>159</v>
      </c>
      <c r="B159" s="756" t="str">
        <f ca="1">'1.'!A744</f>
        <v>D.1.744</v>
      </c>
      <c r="C159" s="756" t="str">
        <f ca="1">'1.'!B744</f>
        <v>1.744</v>
      </c>
      <c r="D159" s="756" t="str">
        <f>'1.'!C744</f>
        <v>[744]</v>
      </c>
      <c r="E159" s="756">
        <f>'1.'!D744</f>
        <v>744</v>
      </c>
      <c r="F159" s="176" t="str">
        <f>'1.'!E744</f>
        <v>Gebäudewärme-Endenergieverbrauch (GW)</v>
      </c>
      <c r="G159" s="756">
        <f>'1.'!F744</f>
        <v>0</v>
      </c>
      <c r="H159" s="756">
        <f>'1.'!G744</f>
        <v>0</v>
      </c>
      <c r="I159" s="756">
        <f>'1.'!H744</f>
        <v>0</v>
      </c>
      <c r="J159" s="756">
        <f>'1.'!I744</f>
        <v>0</v>
      </c>
      <c r="K159" s="756">
        <f>'1.'!J744</f>
        <v>0</v>
      </c>
      <c r="L159" s="756">
        <f>'1.'!K744</f>
        <v>0</v>
      </c>
      <c r="M159" s="756">
        <f>'1.'!L744</f>
        <v>0</v>
      </c>
      <c r="N159" s="756">
        <f>'1.'!M744</f>
        <v>0</v>
      </c>
    </row>
    <row r="160" spans="1:14" s="756" customFormat="1">
      <c r="A160" s="696">
        <f>ROW()</f>
        <v>160</v>
      </c>
      <c r="B160" s="756" t="str">
        <f ca="1">'1.'!A746</f>
        <v>D.1.746</v>
      </c>
      <c r="C160" s="756" t="str">
        <f ca="1">'1.'!B746</f>
        <v>1.746</v>
      </c>
      <c r="D160" s="756" t="str">
        <f>'1.'!C746</f>
        <v>[746]</v>
      </c>
      <c r="E160" s="756">
        <f>'1.'!D746</f>
        <v>746</v>
      </c>
      <c r="F160" s="756" t="str">
        <f>'1.'!E746</f>
        <v>Anteil Haushalte an GW</v>
      </c>
      <c r="G160" s="756">
        <f>'1.'!F746</f>
        <v>0</v>
      </c>
      <c r="H160" s="756">
        <f>'1.'!G746</f>
        <v>0</v>
      </c>
      <c r="I160" s="756">
        <f>'1.'!H746</f>
        <v>0</v>
      </c>
      <c r="J160" s="756">
        <f>'1.'!I746</f>
        <v>0</v>
      </c>
      <c r="K160" s="756" t="str">
        <f>'1.'!J746</f>
        <v>%</v>
      </c>
      <c r="L160" s="756">
        <f ca="1">'1.'!K746</f>
        <v>67.291728676786718</v>
      </c>
      <c r="M160" s="756" t="str">
        <f ca="1">'1.'!L746</f>
        <v>[747]</v>
      </c>
      <c r="N160" s="756">
        <f ca="1">'1.'!M746</f>
        <v>67.291728676786718</v>
      </c>
    </row>
    <row r="161" spans="1:14" s="756" customFormat="1">
      <c r="A161" s="696">
        <f>ROW()</f>
        <v>161</v>
      </c>
      <c r="B161" s="756" t="str">
        <f ca="1">'1.'!A751</f>
        <v>D.1.751</v>
      </c>
      <c r="C161" s="756" t="str">
        <f ca="1">'1.'!B751</f>
        <v>1.751</v>
      </c>
      <c r="D161" s="756" t="str">
        <f>'1.'!C751</f>
        <v>[751]</v>
      </c>
      <c r="E161" s="756">
        <f>'1.'!D751</f>
        <v>751</v>
      </c>
      <c r="F161" s="756" t="str">
        <f>'1.'!E751</f>
        <v>Wohnfläche pro Person</v>
      </c>
      <c r="G161" s="756">
        <f>'1.'!F751</f>
        <v>0</v>
      </c>
      <c r="H161" s="756">
        <f>'1.'!G751</f>
        <v>0</v>
      </c>
      <c r="I161" s="756">
        <f>'1.'!H751</f>
        <v>0</v>
      </c>
      <c r="J161" s="756">
        <f>'1.'!I751</f>
        <v>0</v>
      </c>
      <c r="K161" s="756" t="str">
        <f>'1.'!J751</f>
        <v>qm/Person</v>
      </c>
      <c r="L161" s="756">
        <f ca="1">'1.'!K751</f>
        <v>43.222000000000001</v>
      </c>
      <c r="M161" s="756" t="str">
        <f ca="1">'1.'!L751</f>
        <v>[752]</v>
      </c>
      <c r="N161" s="756">
        <f ca="1">'1.'!M751</f>
        <v>43.222000000000001</v>
      </c>
    </row>
    <row r="162" spans="1:14" s="756" customFormat="1">
      <c r="A162" s="696">
        <f>ROW()</f>
        <v>162</v>
      </c>
      <c r="B162" s="756" t="str">
        <f ca="1">'1.'!A756</f>
        <v>D.1.756</v>
      </c>
      <c r="C162" s="756" t="str">
        <f ca="1">'1.'!B756</f>
        <v>1.756</v>
      </c>
      <c r="D162" s="756" t="str">
        <f>'1.'!C756</f>
        <v>[756]</v>
      </c>
      <c r="E162" s="756">
        <f>'1.'!D756</f>
        <v>756</v>
      </c>
      <c r="F162" s="756" t="str">
        <f>'1.'!E756</f>
        <v>Anteil GHD + Industrie an GW</v>
      </c>
      <c r="G162" s="756">
        <f>'1.'!F756</f>
        <v>0</v>
      </c>
      <c r="H162" s="756">
        <f>'1.'!G756</f>
        <v>0</v>
      </c>
      <c r="I162" s="756">
        <f>'1.'!H756</f>
        <v>0</v>
      </c>
      <c r="J162" s="756">
        <f>'1.'!I756</f>
        <v>0</v>
      </c>
      <c r="K162" s="756" t="str">
        <f>'1.'!J756</f>
        <v>%</v>
      </c>
      <c r="L162" s="756">
        <f ca="1">'1.'!K756</f>
        <v>32.708271323213282</v>
      </c>
      <c r="M162" s="756" t="str">
        <f ca="1">'1.'!L756</f>
        <v>[757]</v>
      </c>
      <c r="N162" s="756">
        <f ca="1">'1.'!M756</f>
        <v>32.708271323213282</v>
      </c>
    </row>
    <row r="163" spans="1:14" s="756" customFormat="1">
      <c r="A163" s="696">
        <f>ROW()</f>
        <v>163</v>
      </c>
      <c r="B163" s="756" t="str">
        <f ca="1">'1.'!A761</f>
        <v>D.1.761</v>
      </c>
      <c r="C163" s="756" t="str">
        <f ca="1">'1.'!B761</f>
        <v>1.761</v>
      </c>
      <c r="D163" s="756" t="str">
        <f>'1.'!C761</f>
        <v>[761]</v>
      </c>
      <c r="E163" s="756">
        <f>'1.'!D761</f>
        <v>761</v>
      </c>
      <c r="F163" s="756" t="str">
        <f>'1.'!E761</f>
        <v>Zieleinfluss Erwerbstätigkeit auf GW</v>
      </c>
      <c r="G163" s="756">
        <f>'1.'!F761</f>
        <v>0</v>
      </c>
      <c r="H163" s="756">
        <f>'1.'!G761</f>
        <v>0</v>
      </c>
      <c r="I163" s="756">
        <f>'1.'!H761</f>
        <v>0</v>
      </c>
      <c r="J163" s="756">
        <f>'1.'!I761</f>
        <v>0</v>
      </c>
      <c r="K163" s="756" t="str">
        <f>'1.'!J761</f>
        <v>%</v>
      </c>
      <c r="L163" s="756">
        <f ca="1">'1.'!K761</f>
        <v>100</v>
      </c>
      <c r="M163" s="756" t="str">
        <f ca="1">'1.'!L761</f>
        <v>[762]</v>
      </c>
      <c r="N163" s="756">
        <f ca="1">'1.'!M761</f>
        <v>100</v>
      </c>
    </row>
    <row r="164" spans="1:14" s="756" customFormat="1">
      <c r="A164" s="696">
        <f>ROW()</f>
        <v>164</v>
      </c>
      <c r="B164" s="756" t="str">
        <f ca="1">'1.'!A767</f>
        <v>D.1.767</v>
      </c>
      <c r="C164" s="756" t="str">
        <f ca="1">'1.'!B767</f>
        <v>1.767</v>
      </c>
      <c r="D164" s="756" t="str">
        <f>'1.'!C767</f>
        <v>[767]</v>
      </c>
      <c r="E164" s="756">
        <f>'1.'!D767</f>
        <v>767</v>
      </c>
      <c r="F164" s="756" t="str">
        <f>'1.'!E767</f>
        <v>Anteil Raumwärme an GW</v>
      </c>
      <c r="G164" s="756">
        <f>'1.'!F767</f>
        <v>0</v>
      </c>
      <c r="H164" s="756">
        <f>'1.'!G767</f>
        <v>0</v>
      </c>
      <c r="I164" s="756">
        <f>'1.'!H767</f>
        <v>0</v>
      </c>
      <c r="J164" s="756">
        <f>'1.'!I767</f>
        <v>0</v>
      </c>
      <c r="K164" s="756" t="str">
        <f>'1.'!J767</f>
        <v>%</v>
      </c>
      <c r="L164" s="756">
        <f ca="1">'1.'!K767</f>
        <v>85.264498600478632</v>
      </c>
      <c r="M164" s="756" t="str">
        <f ca="1">'1.'!L767</f>
        <v>[768]</v>
      </c>
      <c r="N164" s="756">
        <f ca="1">'1.'!M767</f>
        <v>85.264498600478632</v>
      </c>
    </row>
    <row r="165" spans="1:14" s="756" customFormat="1">
      <c r="A165" s="696">
        <f>ROW()</f>
        <v>165</v>
      </c>
      <c r="B165" s="756" t="str">
        <f ca="1">'1.'!A772</f>
        <v>D.1.772</v>
      </c>
      <c r="C165" s="756" t="str">
        <f ca="1">'1.'!B772</f>
        <v>1.772</v>
      </c>
      <c r="D165" s="756" t="str">
        <f>'1.'!C772</f>
        <v>[772]</v>
      </c>
      <c r="E165" s="756">
        <f>'1.'!D772</f>
        <v>772</v>
      </c>
      <c r="F165" s="756" t="str">
        <f>'1.'!E772</f>
        <v>Spez. Raumwärmeverbrauch</v>
      </c>
      <c r="G165" s="756">
        <f>'1.'!F772</f>
        <v>0</v>
      </c>
      <c r="H165" s="756">
        <f>'1.'!G772</f>
        <v>0</v>
      </c>
      <c r="I165" s="756">
        <f>'1.'!H772</f>
        <v>0</v>
      </c>
      <c r="J165" s="756">
        <f>'1.'!I772</f>
        <v>0</v>
      </c>
      <c r="K165" s="756" t="str">
        <f>'1.'!J772</f>
        <v>kWh/qm/a</v>
      </c>
      <c r="L165" s="756">
        <f ca="1">'1.'!K772</f>
        <v>122.1</v>
      </c>
      <c r="M165" s="756" t="str">
        <f ca="1">'1.'!L772</f>
        <v>[773]</v>
      </c>
      <c r="N165" s="756">
        <f ca="1">'1.'!M772</f>
        <v>45.2</v>
      </c>
    </row>
    <row r="166" spans="1:14" s="756" customFormat="1">
      <c r="A166" s="696">
        <f>ROW()</f>
        <v>166</v>
      </c>
      <c r="B166" s="603" t="str">
        <f ca="1">'1.'!A781</f>
        <v>D.1.781</v>
      </c>
      <c r="C166" s="603" t="str">
        <f ca="1">'1.'!B781</f>
        <v>1.781</v>
      </c>
      <c r="D166" s="603" t="str">
        <f>'1.'!C781</f>
        <v>[781]</v>
      </c>
      <c r="E166" s="603">
        <f>'1.'!D781</f>
        <v>781</v>
      </c>
      <c r="F166" s="603" t="str">
        <f>'1.'!E781</f>
        <v>Gebäude-Sanierungs-/Ersatzrate</v>
      </c>
      <c r="G166" s="603">
        <f>'1.'!F781</f>
        <v>0</v>
      </c>
      <c r="H166" s="603">
        <f>'1.'!G781</f>
        <v>0</v>
      </c>
      <c r="I166" s="603">
        <f>'1.'!H781</f>
        <v>0</v>
      </c>
      <c r="J166" s="603">
        <f>'1.'!I781</f>
        <v>0</v>
      </c>
      <c r="K166" s="603" t="str">
        <f>'1.'!J781</f>
        <v>%</v>
      </c>
      <c r="L166" s="603">
        <f ca="1">'1.'!K781</f>
        <v>2.64</v>
      </c>
      <c r="M166" s="603">
        <f>'1.'!L781</f>
        <v>0</v>
      </c>
      <c r="N166" s="603">
        <f>'1.'!M781</f>
        <v>0</v>
      </c>
    </row>
    <row r="167" spans="1:14" s="756" customFormat="1">
      <c r="A167" s="696">
        <f>ROW()</f>
        <v>167</v>
      </c>
      <c r="B167" s="604" t="str">
        <f ca="1">'1.'!A784</f>
        <v>D.1.784</v>
      </c>
      <c r="C167" s="604" t="str">
        <f ca="1">'1.'!B784</f>
        <v>1.784</v>
      </c>
      <c r="D167" s="604" t="str">
        <f>'1.'!C784</f>
        <v>[784]</v>
      </c>
      <c r="E167" s="604">
        <f>'1.'!D784</f>
        <v>784</v>
      </c>
      <c r="F167" s="604" t="str">
        <f>'1.'!E784</f>
        <v>Gebäudesanierungs-Zeitraum</v>
      </c>
      <c r="G167" s="604">
        <f>'1.'!F784</f>
        <v>0</v>
      </c>
      <c r="H167" s="604">
        <f>'1.'!G784</f>
        <v>0</v>
      </c>
      <c r="I167" s="604">
        <f>'1.'!H784</f>
        <v>0</v>
      </c>
      <c r="J167" s="604">
        <f>'1.'!I784</f>
        <v>0</v>
      </c>
      <c r="K167" s="604" t="str">
        <f>'1.'!J784</f>
        <v>Jahr:</v>
      </c>
      <c r="L167" s="604">
        <f ca="1">'1.'!K784</f>
        <v>2020</v>
      </c>
      <c r="M167" s="604" t="str">
        <f ca="1">'1.'!L784</f>
        <v>[785]</v>
      </c>
      <c r="N167" s="604">
        <f ca="1">'1.'!M784</f>
        <v>2040</v>
      </c>
    </row>
    <row r="168" spans="1:14" s="756" customFormat="1">
      <c r="A168" s="696">
        <f>ROW()</f>
        <v>168</v>
      </c>
      <c r="B168" s="756" t="str">
        <f ca="1">'1.'!A789</f>
        <v>D.1.789</v>
      </c>
      <c r="C168" s="756" t="str">
        <f ca="1">'1.'!B789</f>
        <v>1.789</v>
      </c>
      <c r="D168" s="756" t="str">
        <f>'1.'!C789</f>
        <v>[789]</v>
      </c>
      <c r="E168" s="756">
        <f>'1.'!D789</f>
        <v>789</v>
      </c>
      <c r="F168" s="756" t="str">
        <f>'1.'!E789</f>
        <v>Anteil Warmwasser an GW</v>
      </c>
      <c r="G168" s="756">
        <f>'1.'!F789</f>
        <v>0</v>
      </c>
      <c r="H168" s="756">
        <f>'1.'!G789</f>
        <v>0</v>
      </c>
      <c r="I168" s="756">
        <f>'1.'!H789</f>
        <v>0</v>
      </c>
      <c r="J168" s="756">
        <f>'1.'!I789</f>
        <v>0</v>
      </c>
      <c r="K168" s="756" t="str">
        <f>'1.'!J789</f>
        <v>%</v>
      </c>
      <c r="L168" s="756">
        <f ca="1">'1.'!K789</f>
        <v>14.735501399521358</v>
      </c>
      <c r="M168" s="756" t="str">
        <f ca="1">'1.'!L789</f>
        <v>[790]</v>
      </c>
      <c r="N168" s="756">
        <f ca="1">'1.'!M789</f>
        <v>14.735501399521358</v>
      </c>
    </row>
    <row r="169" spans="1:14" s="756" customFormat="1">
      <c r="A169" s="696">
        <f>ROW()</f>
        <v>169</v>
      </c>
      <c r="B169" s="756" t="str">
        <f ca="1">'1.'!A794</f>
        <v>D.1.794</v>
      </c>
      <c r="C169" s="756" t="str">
        <f ca="1">'1.'!B794</f>
        <v>1.794</v>
      </c>
      <c r="D169" s="756" t="str">
        <f>'1.'!C794</f>
        <v>[794]</v>
      </c>
      <c r="E169" s="756">
        <f>'1.'!D794</f>
        <v>794</v>
      </c>
      <c r="F169" s="756" t="str">
        <f>'1.'!E794</f>
        <v>Zieleinfluss Verwend.-/Proz.Effizienz Warmwasser</v>
      </c>
      <c r="G169" s="756">
        <f>'1.'!F794</f>
        <v>0</v>
      </c>
      <c r="H169" s="756">
        <f>'1.'!G794</f>
        <v>0</v>
      </c>
      <c r="I169" s="756">
        <f>'1.'!H794</f>
        <v>0</v>
      </c>
      <c r="J169" s="756">
        <f>'1.'!I794</f>
        <v>0</v>
      </c>
      <c r="K169" s="756" t="str">
        <f>'1.'!J794</f>
        <v>kWh/qm/a</v>
      </c>
      <c r="L169" s="756">
        <f ca="1">'1.'!K794</f>
        <v>100</v>
      </c>
      <c r="M169" s="756" t="str">
        <f ca="1">'1.'!L794</f>
        <v>[795]</v>
      </c>
      <c r="N169" s="756">
        <f ca="1">'1.'!M794</f>
        <v>80</v>
      </c>
    </row>
    <row r="170" spans="1:14" s="756" customFormat="1">
      <c r="A170" s="696">
        <f>ROW()</f>
        <v>170</v>
      </c>
      <c r="B170" s="756" t="str">
        <f ca="1">'1.'!A799</f>
        <v>D.1.799</v>
      </c>
      <c r="C170" s="756" t="str">
        <f ca="1">'1.'!B799</f>
        <v>1.799</v>
      </c>
      <c r="D170" s="756" t="str">
        <f>'1.'!C799</f>
        <v>[799]</v>
      </c>
      <c r="E170" s="756">
        <f>'1.'!D799</f>
        <v>799</v>
      </c>
      <c r="F170" s="756" t="str">
        <f>'1.'!E799</f>
        <v>Anteil Strom an GW</v>
      </c>
      <c r="G170" s="756">
        <f>'1.'!F799</f>
        <v>0</v>
      </c>
      <c r="H170" s="756">
        <f>'1.'!G799</f>
        <v>0</v>
      </c>
      <c r="I170" s="756">
        <f>'1.'!H799</f>
        <v>0</v>
      </c>
      <c r="J170" s="756">
        <f>'1.'!I799</f>
        <v>0</v>
      </c>
      <c r="K170" s="756" t="str">
        <f>'1.'!J799</f>
        <v>%</v>
      </c>
      <c r="L170" s="756">
        <f ca="1">'1.'!K799</f>
        <v>4.5237870435197927</v>
      </c>
      <c r="M170" s="756" t="str">
        <f ca="1">'1.'!L799</f>
        <v>[800]</v>
      </c>
      <c r="N170" s="756" t="str">
        <f ca="1">'1.'!M799</f>
        <v>(resultierend)</v>
      </c>
    </row>
    <row r="171" spans="1:14" s="756" customFormat="1">
      <c r="A171" s="696">
        <f>ROW()</f>
        <v>171</v>
      </c>
      <c r="B171" s="756" t="e">
        <f>'1.'!#REF!</f>
        <v>#REF!</v>
      </c>
      <c r="C171" s="756" t="e">
        <f>'1.'!#REF!</f>
        <v>#REF!</v>
      </c>
      <c r="D171" s="756" t="e">
        <f>'1.'!#REF!</f>
        <v>#REF!</v>
      </c>
      <c r="E171" s="756" t="e">
        <f>'1.'!#REF!</f>
        <v>#REF!</v>
      </c>
      <c r="F171" s="756" t="e">
        <f>'1.'!#REF!</f>
        <v>#REF!</v>
      </c>
      <c r="G171" s="756" t="e">
        <f>'1.'!#REF!</f>
        <v>#REF!</v>
      </c>
      <c r="H171" s="756" t="e">
        <f>'1.'!#REF!</f>
        <v>#REF!</v>
      </c>
      <c r="I171" s="756" t="e">
        <f>'1.'!#REF!</f>
        <v>#REF!</v>
      </c>
      <c r="J171" s="756" t="e">
        <f>'1.'!#REF!</f>
        <v>#REF!</v>
      </c>
      <c r="K171" s="756" t="e">
        <f>'1.'!#REF!</f>
        <v>#REF!</v>
      </c>
      <c r="L171" s="756" t="e">
        <f>'1.'!#REF!</f>
        <v>#REF!</v>
      </c>
      <c r="M171" s="756" t="e">
        <f>'1.'!#REF!</f>
        <v>#REF!</v>
      </c>
      <c r="N171" s="756" t="e">
        <f>'1.'!#REF!</f>
        <v>#REF!</v>
      </c>
    </row>
    <row r="172" spans="1:14" s="756" customFormat="1">
      <c r="A172" s="696">
        <f>ROW()</f>
        <v>172</v>
      </c>
      <c r="B172" s="756" t="str">
        <f ca="1">'1.'!A804</f>
        <v>D.1.804</v>
      </c>
      <c r="C172" s="756" t="str">
        <f ca="1">'1.'!B804</f>
        <v>1.804</v>
      </c>
      <c r="D172" s="756" t="str">
        <f>'1.'!C804</f>
        <v>[804]</v>
      </c>
      <c r="E172" s="756">
        <f>'1.'!D804</f>
        <v>804</v>
      </c>
      <c r="F172" s="756" t="str">
        <f>'1.'!E804</f>
        <v>Anteil Wärme an GW</v>
      </c>
      <c r="G172" s="756">
        <f>'1.'!F804</f>
        <v>0</v>
      </c>
      <c r="H172" s="756">
        <f>'1.'!G804</f>
        <v>0</v>
      </c>
      <c r="I172" s="756">
        <f>'1.'!H804</f>
        <v>0</v>
      </c>
      <c r="J172" s="756">
        <f>'1.'!I804</f>
        <v>0</v>
      </c>
      <c r="K172" s="756" t="str">
        <f>'1.'!J804</f>
        <v>%</v>
      </c>
      <c r="L172" s="756">
        <f ca="1">'1.'!K804</f>
        <v>16.926416556696822</v>
      </c>
      <c r="M172" s="756" t="str">
        <f ca="1">'1.'!L804</f>
        <v>[805]</v>
      </c>
      <c r="N172" s="756">
        <f ca="1">'1.'!M804</f>
        <v>65.022419898009645</v>
      </c>
    </row>
    <row r="173" spans="1:14" s="756" customFormat="1">
      <c r="A173" s="696">
        <f>ROW()</f>
        <v>173</v>
      </c>
      <c r="B173" s="756" t="str">
        <f ca="1">'1.'!A810</f>
        <v>D.1.810</v>
      </c>
      <c r="C173" s="756" t="str">
        <f ca="1">'1.'!B810</f>
        <v>1.810</v>
      </c>
      <c r="D173" s="756" t="str">
        <f>'1.'!C810</f>
        <v>[810]</v>
      </c>
      <c r="E173" s="756">
        <f>'1.'!D810</f>
        <v>810</v>
      </c>
      <c r="F173" s="756" t="str">
        <f>'1.'!E810</f>
        <v>Anteil Brenstoffe an GW</v>
      </c>
      <c r="G173" s="756">
        <f>'1.'!F810</f>
        <v>0</v>
      </c>
      <c r="H173" s="756">
        <f>'1.'!G810</f>
        <v>0</v>
      </c>
      <c r="I173" s="756">
        <f>'1.'!H810</f>
        <v>0</v>
      </c>
      <c r="J173" s="756">
        <f>'1.'!I810</f>
        <v>0</v>
      </c>
      <c r="K173" s="756" t="str">
        <f>'1.'!J810</f>
        <v>%</v>
      </c>
      <c r="L173" s="756">
        <f ca="1">'1.'!K810</f>
        <v>78.549796399783375</v>
      </c>
      <c r="M173" s="756" t="str">
        <f ca="1">'1.'!L810</f>
        <v>[811]</v>
      </c>
      <c r="N173" s="756">
        <f ca="1">'1.'!M810</f>
        <v>0</v>
      </c>
    </row>
    <row r="174" spans="1:14" s="756" customFormat="1">
      <c r="A174" s="696">
        <f>ROW()</f>
        <v>174</v>
      </c>
      <c r="B174" s="756" t="str">
        <f ca="1">'1.'!A816</f>
        <v>D.1.816</v>
      </c>
      <c r="C174" s="756" t="str">
        <f ca="1">'1.'!B816</f>
        <v>1.816</v>
      </c>
      <c r="D174" s="756" t="str">
        <f>'1.'!C816</f>
        <v>[816]</v>
      </c>
      <c r="E174" s="756">
        <f>'1.'!D816</f>
        <v>816</v>
      </c>
      <c r="F174" s="756" t="str">
        <f>'1.'!E816</f>
        <v>Nutzungsgrad Endanwend. Brennstoffe für GW</v>
      </c>
      <c r="G174" s="756">
        <f>'1.'!F816</f>
        <v>0</v>
      </c>
      <c r="H174" s="756">
        <f>'1.'!G816</f>
        <v>0</v>
      </c>
      <c r="I174" s="756">
        <f>'1.'!H816</f>
        <v>0</v>
      </c>
      <c r="J174" s="756">
        <f>'1.'!I816</f>
        <v>0</v>
      </c>
      <c r="K174" s="756" t="str">
        <f>'1.'!J816</f>
        <v>%</v>
      </c>
      <c r="L174" s="756">
        <f ca="1">'1.'!K816</f>
        <v>80</v>
      </c>
      <c r="M174" s="756" t="str">
        <f ca="1">'1.'!L816</f>
        <v>[817]</v>
      </c>
      <c r="N174" s="756">
        <f ca="1">'1.'!M816</f>
        <v>85</v>
      </c>
    </row>
    <row r="175" spans="1:14" s="756" customFormat="1">
      <c r="A175" s="696">
        <f>ROW()</f>
        <v>175</v>
      </c>
    </row>
    <row r="176" spans="1:14">
      <c r="A176" s="588">
        <f>ROW()</f>
        <v>176</v>
      </c>
      <c r="B176" s="16" t="str">
        <f ca="1">'1.'!A821</f>
        <v>D.1.821</v>
      </c>
      <c r="C176" s="16" t="str">
        <f ca="1">'1.'!B821</f>
        <v>1.821</v>
      </c>
      <c r="D176" s="16" t="str">
        <f>'1.'!C821</f>
        <v>[821]</v>
      </c>
      <c r="E176" s="16">
        <f>'1.'!D821</f>
        <v>821</v>
      </c>
      <c r="F176" s="176" t="str">
        <f>'1.'!E821</f>
        <v>Prozesswärme-Endenergieverbrauch (PW)</v>
      </c>
      <c r="G176" s="16">
        <f>'1.'!F821</f>
        <v>0</v>
      </c>
      <c r="H176" s="16">
        <f>'1.'!G821</f>
        <v>0</v>
      </c>
      <c r="I176" s="16">
        <f>'1.'!H821</f>
        <v>0</v>
      </c>
      <c r="J176" s="16">
        <f>'1.'!I821</f>
        <v>0</v>
      </c>
      <c r="K176" s="16">
        <f>'1.'!J821</f>
        <v>0</v>
      </c>
      <c r="L176" s="16">
        <f>'1.'!K821</f>
        <v>0</v>
      </c>
      <c r="M176" s="16">
        <f>'1.'!L821</f>
        <v>0</v>
      </c>
      <c r="N176" s="16">
        <f>'1.'!M821</f>
        <v>0</v>
      </c>
    </row>
    <row r="177" spans="1:14" s="650" customFormat="1">
      <c r="A177" s="588">
        <f>ROW()</f>
        <v>177</v>
      </c>
      <c r="B177" s="650" t="str">
        <f ca="1">'1.'!A823</f>
        <v>D.1.823</v>
      </c>
      <c r="C177" s="650" t="str">
        <f ca="1">'1.'!B823</f>
        <v>1.823</v>
      </c>
      <c r="D177" s="650" t="str">
        <f>'1.'!C823</f>
        <v>[823]</v>
      </c>
      <c r="E177" s="650">
        <f>'1.'!D823</f>
        <v>823</v>
      </c>
      <c r="F177" s="650" t="str">
        <f>'1.'!E823</f>
        <v>Anteil Haushalte an PW</v>
      </c>
      <c r="G177" s="650">
        <f>'1.'!F823</f>
        <v>0</v>
      </c>
      <c r="H177" s="650">
        <f>'1.'!G823</f>
        <v>0</v>
      </c>
      <c r="I177" s="650">
        <f>'1.'!H823</f>
        <v>0</v>
      </c>
      <c r="J177" s="650">
        <f>'1.'!I823</f>
        <v>0</v>
      </c>
      <c r="K177" s="650" t="str">
        <f>'1.'!J823</f>
        <v>%</v>
      </c>
      <c r="L177" s="650">
        <f ca="1">'1.'!K823</f>
        <v>7.5243097082835009</v>
      </c>
      <c r="M177" s="650" t="str">
        <f ca="1">'1.'!L823</f>
        <v>[824]</v>
      </c>
      <c r="N177" s="650">
        <f ca="1">'1.'!M823</f>
        <v>7.5243097082835009</v>
      </c>
    </row>
    <row r="178" spans="1:14">
      <c r="A178" s="588">
        <f>ROW()</f>
        <v>178</v>
      </c>
      <c r="B178" s="16" t="str">
        <f ca="1">'1.'!A828</f>
        <v>D.1.828</v>
      </c>
      <c r="C178" s="16" t="str">
        <f ca="1">'1.'!B828</f>
        <v>1.828</v>
      </c>
      <c r="D178" s="16" t="str">
        <f>'1.'!C828</f>
        <v>[828]</v>
      </c>
      <c r="E178" s="16">
        <f>'1.'!D828</f>
        <v>828</v>
      </c>
      <c r="F178" s="16" t="str">
        <f>'1.'!E828</f>
        <v>Zieleinfluss Anwendungs-Effiz. Haushalte auf PW</v>
      </c>
      <c r="G178" s="16">
        <f>'1.'!F828</f>
        <v>0</v>
      </c>
      <c r="H178" s="16">
        <f>'1.'!G828</f>
        <v>0</v>
      </c>
      <c r="I178" s="16">
        <f>'1.'!H828</f>
        <v>0</v>
      </c>
      <c r="J178" s="16">
        <f>'1.'!I828</f>
        <v>0</v>
      </c>
      <c r="K178" s="16" t="str">
        <f>'1.'!J828</f>
        <v>%</v>
      </c>
      <c r="L178" s="16">
        <f ca="1">'1.'!K828</f>
        <v>100</v>
      </c>
      <c r="M178" s="16" t="str">
        <f ca="1">'1.'!L828</f>
        <v>[829]</v>
      </c>
      <c r="N178" s="16">
        <f ca="1">'1.'!M828</f>
        <v>90</v>
      </c>
    </row>
    <row r="179" spans="1:14">
      <c r="A179" s="588">
        <f>ROW()</f>
        <v>179</v>
      </c>
      <c r="B179" s="16" t="str">
        <f ca="1">'1.'!A833</f>
        <v>D.1.833</v>
      </c>
      <c r="C179" s="16" t="str">
        <f ca="1">'1.'!B833</f>
        <v>1.833</v>
      </c>
      <c r="D179" s="16" t="str">
        <f>'1.'!C833</f>
        <v>[833]</v>
      </c>
      <c r="E179" s="16">
        <f>'1.'!D833</f>
        <v>833</v>
      </c>
      <c r="F179" s="16" t="str">
        <f>'1.'!E833</f>
        <v>Anteil Industrie und Gewerbe an PW</v>
      </c>
      <c r="G179" s="16">
        <f>'1.'!F833</f>
        <v>0</v>
      </c>
      <c r="H179" s="16">
        <f>'1.'!G833</f>
        <v>0</v>
      </c>
      <c r="I179" s="16">
        <f>'1.'!H833</f>
        <v>0</v>
      </c>
      <c r="J179" s="16">
        <f>'1.'!I833</f>
        <v>0</v>
      </c>
      <c r="K179" s="16" t="str">
        <f>'1.'!J833</f>
        <v>%</v>
      </c>
      <c r="L179" s="16">
        <f ca="1">'1.'!K833</f>
        <v>92.475690291716504</v>
      </c>
      <c r="M179" s="16" t="str">
        <f ca="1">'1.'!L833</f>
        <v>[834]</v>
      </c>
      <c r="N179" s="16">
        <f ca="1">'1.'!M833</f>
        <v>92.475690291716504</v>
      </c>
    </row>
    <row r="180" spans="1:14" s="756" customFormat="1">
      <c r="A180" s="696">
        <f>ROW()</f>
        <v>180</v>
      </c>
      <c r="B180" s="756" t="str">
        <f ca="1">'1.'!A838</f>
        <v>D.1.838</v>
      </c>
      <c r="C180" s="756" t="str">
        <f ca="1">'1.'!B838</f>
        <v>1.838</v>
      </c>
      <c r="D180" s="756" t="str">
        <f>'1.'!C838</f>
        <v>[838]</v>
      </c>
      <c r="E180" s="756">
        <f>'1.'!D838</f>
        <v>838</v>
      </c>
      <c r="F180" s="756" t="str">
        <f>'1.'!E838</f>
        <v>Zieleinfl.Materialdurchsatz/Pers.auf PW</v>
      </c>
      <c r="G180" s="756">
        <f>'1.'!F838</f>
        <v>0</v>
      </c>
      <c r="H180" s="756">
        <f>'1.'!G838</f>
        <v>0</v>
      </c>
      <c r="I180" s="756">
        <f>'1.'!H838</f>
        <v>0</v>
      </c>
      <c r="J180" s="756">
        <f>'1.'!I838</f>
        <v>0</v>
      </c>
      <c r="K180" s="756" t="str">
        <f>'1.'!J838</f>
        <v>%</v>
      </c>
      <c r="L180" s="756">
        <f ca="1">'1.'!K838</f>
        <v>100</v>
      </c>
      <c r="M180" s="756" t="str">
        <f ca="1">'1.'!L838</f>
        <v>[839]</v>
      </c>
      <c r="N180" s="756">
        <f ca="1">'1.'!M838</f>
        <v>100</v>
      </c>
    </row>
    <row r="181" spans="1:14">
      <c r="A181" s="588">
        <f>ROW()</f>
        <v>181</v>
      </c>
      <c r="B181" s="16" t="str">
        <f ca="1">'1.'!A843</f>
        <v>D.1.843</v>
      </c>
      <c r="C181" s="16" t="str">
        <f ca="1">'1.'!B843</f>
        <v>1.843</v>
      </c>
      <c r="D181" s="16" t="str">
        <f>'1.'!C843</f>
        <v>[843]</v>
      </c>
      <c r="E181" s="16">
        <f>'1.'!D843</f>
        <v>843</v>
      </c>
      <c r="F181" s="16" t="str">
        <f>'1.'!E843</f>
        <v>Zieleinfluss Prozess-Effizienz Ind./Gew. auf PW</v>
      </c>
      <c r="G181" s="16">
        <f>'1.'!F843</f>
        <v>0</v>
      </c>
      <c r="H181" s="16">
        <f>'1.'!G843</f>
        <v>0</v>
      </c>
      <c r="I181" s="16">
        <f>'1.'!H843</f>
        <v>0</v>
      </c>
      <c r="J181" s="16">
        <f>'1.'!I843</f>
        <v>0</v>
      </c>
      <c r="K181" s="16" t="str">
        <f>'1.'!J843</f>
        <v>%</v>
      </c>
      <c r="L181" s="16">
        <f ca="1">'1.'!K843</f>
        <v>100</v>
      </c>
      <c r="M181" s="16" t="str">
        <f ca="1">'1.'!L843</f>
        <v>[844]</v>
      </c>
      <c r="N181" s="16">
        <f ca="1">'1.'!M843</f>
        <v>80</v>
      </c>
    </row>
    <row r="182" spans="1:14">
      <c r="A182" s="588">
        <f>ROW()</f>
        <v>182</v>
      </c>
      <c r="B182" s="16" t="str">
        <f ca="1">'1.'!A867</f>
        <v>D.1.867</v>
      </c>
      <c r="C182" s="16" t="str">
        <f ca="1">'1.'!B867</f>
        <v>1.867</v>
      </c>
      <c r="D182" s="16" t="str">
        <f>'1.'!C867</f>
        <v>[867]</v>
      </c>
      <c r="E182" s="16">
        <f>'1.'!D867</f>
        <v>867</v>
      </c>
      <c r="F182" s="16" t="str">
        <f>'1.'!E867</f>
        <v>Anteil Strom an PW</v>
      </c>
      <c r="G182" s="16">
        <f>'1.'!F867</f>
        <v>0</v>
      </c>
      <c r="H182" s="16">
        <f>'1.'!G867</f>
        <v>0</v>
      </c>
      <c r="I182" s="16">
        <f>'1.'!H867</f>
        <v>0</v>
      </c>
      <c r="J182" s="16">
        <f>'1.'!I867</f>
        <v>0</v>
      </c>
      <c r="K182" s="16" t="str">
        <f>'1.'!J867</f>
        <v>%</v>
      </c>
      <c r="L182" s="16">
        <f ca="1">'1.'!K867</f>
        <v>16.33041044975381</v>
      </c>
      <c r="M182" s="16" t="str">
        <f ca="1">'1.'!L867</f>
        <v>[868]</v>
      </c>
      <c r="N182" s="16" t="str">
        <f ca="1">'1.'!M867</f>
        <v>(resultierend)</v>
      </c>
    </row>
    <row r="183" spans="1:14">
      <c r="A183" s="588">
        <f>ROW()</f>
        <v>183</v>
      </c>
      <c r="B183" s="16" t="str">
        <f ca="1">'1.'!A862</f>
        <v>D.1.862</v>
      </c>
      <c r="C183" s="16" t="str">
        <f ca="1">'1.'!B862</f>
        <v>1.862</v>
      </c>
      <c r="D183" s="16" t="str">
        <f>'1.'!C862</f>
        <v>[862]</v>
      </c>
      <c r="E183" s="16">
        <f>'1.'!D862</f>
        <v>862</v>
      </c>
      <c r="F183" s="16" t="str">
        <f>'1.'!E862</f>
        <v>Anteil Wärme (Hoch-Temp.) an PW</v>
      </c>
      <c r="G183" s="16">
        <f>'1.'!F862</f>
        <v>0</v>
      </c>
      <c r="H183" s="16">
        <f>'1.'!G862</f>
        <v>0</v>
      </c>
      <c r="I183" s="16">
        <f>'1.'!H862</f>
        <v>0</v>
      </c>
      <c r="J183" s="16">
        <f>'1.'!I862</f>
        <v>0</v>
      </c>
      <c r="K183" s="16" t="str">
        <f>'1.'!J862</f>
        <v>%</v>
      </c>
      <c r="L183" s="16">
        <f ca="1">'1.'!K862</f>
        <v>10.98484443922289</v>
      </c>
      <c r="M183" s="16" t="str">
        <f ca="1">'1.'!L862</f>
        <v>[863]</v>
      </c>
      <c r="N183" s="16">
        <f ca="1">'1.'!M862</f>
        <v>0</v>
      </c>
    </row>
    <row r="184" spans="1:14">
      <c r="A184" s="588">
        <f>ROW()</f>
        <v>184</v>
      </c>
      <c r="B184" s="16" t="str">
        <f ca="1">'1.'!A852</f>
        <v>D.1.852</v>
      </c>
      <c r="C184" s="16" t="str">
        <f ca="1">'1.'!B852</f>
        <v>1.852</v>
      </c>
      <c r="D184" s="16" t="str">
        <f>'1.'!C852</f>
        <v>[852]</v>
      </c>
      <c r="E184" s="16">
        <f>'1.'!D852</f>
        <v>852</v>
      </c>
      <c r="F184" s="16" t="str">
        <f>'1.'!E852</f>
        <v>Anteil Brenstoffe an PW</v>
      </c>
      <c r="G184" s="16">
        <f>'1.'!F852</f>
        <v>0</v>
      </c>
      <c r="H184" s="16">
        <f>'1.'!G852</f>
        <v>0</v>
      </c>
      <c r="I184" s="16">
        <f>'1.'!H852</f>
        <v>0</v>
      </c>
      <c r="J184" s="16">
        <f>'1.'!I852</f>
        <v>0</v>
      </c>
      <c r="K184" s="16" t="str">
        <f>'1.'!J852</f>
        <v>%</v>
      </c>
      <c r="L184" s="16">
        <f ca="1">'1.'!K852</f>
        <v>72.68474511102329</v>
      </c>
      <c r="M184" s="16" t="str">
        <f ca="1">'1.'!L852</f>
        <v>[853]</v>
      </c>
      <c r="N184" s="16">
        <f ca="1">'1.'!M852</f>
        <v>44.329703449206342</v>
      </c>
    </row>
    <row r="185" spans="1:14">
      <c r="A185" s="588">
        <f>ROW()</f>
        <v>185</v>
      </c>
      <c r="B185" s="16" t="str">
        <f ca="1">'1.'!A857</f>
        <v>D.1.857</v>
      </c>
      <c r="C185" s="16" t="str">
        <f ca="1">'1.'!B857</f>
        <v>1.857</v>
      </c>
      <c r="D185" s="16" t="str">
        <f>'1.'!C857</f>
        <v>[857]</v>
      </c>
      <c r="E185" s="16">
        <f>'1.'!D857</f>
        <v>857</v>
      </c>
      <c r="F185" s="16" t="str">
        <f>'1.'!E857</f>
        <v>Nutzungsgrad Endanwend. Brennstoffe für PW</v>
      </c>
      <c r="G185" s="16">
        <f>'1.'!F857</f>
        <v>0</v>
      </c>
      <c r="H185" s="16">
        <f>'1.'!G857</f>
        <v>0</v>
      </c>
      <c r="I185" s="16">
        <f>'1.'!H857</f>
        <v>0</v>
      </c>
      <c r="J185" s="16">
        <f>'1.'!I857</f>
        <v>0</v>
      </c>
      <c r="K185" s="16" t="str">
        <f>'1.'!J857</f>
        <v>%</v>
      </c>
      <c r="L185" s="16">
        <f ca="1">'1.'!K857</f>
        <v>70</v>
      </c>
      <c r="M185" s="16" t="str">
        <f ca="1">'1.'!L857</f>
        <v>[858]</v>
      </c>
      <c r="N185" s="16">
        <f ca="1">'1.'!M857</f>
        <v>80</v>
      </c>
    </row>
    <row r="186" spans="1:14">
      <c r="A186" s="588">
        <f>ROW()</f>
        <v>186</v>
      </c>
      <c r="B186" s="16"/>
      <c r="C186" s="16"/>
      <c r="D186" s="16"/>
      <c r="E186" s="16"/>
      <c r="F186" s="16"/>
      <c r="G186" s="16"/>
      <c r="H186" s="16"/>
      <c r="I186" s="16"/>
      <c r="J186" s="16"/>
      <c r="K186" s="16"/>
      <c r="L186" s="16"/>
      <c r="M186" s="16"/>
      <c r="N186" s="16"/>
    </row>
    <row r="187" spans="1:14">
      <c r="A187" s="588">
        <f>ROW()</f>
        <v>187</v>
      </c>
      <c r="B187" s="756" t="str">
        <f ca="1">'1.'!A872</f>
        <v>D.1.872</v>
      </c>
      <c r="C187" s="756" t="str">
        <f ca="1">'1.'!B872</f>
        <v>1.872</v>
      </c>
      <c r="D187" s="756" t="str">
        <f>'1.'!C872</f>
        <v>[872]</v>
      </c>
      <c r="E187" s="756">
        <f>'1.'!D872</f>
        <v>872</v>
      </c>
      <c r="F187" s="176" t="str">
        <f>'1.'!E872</f>
        <v>Mobile Anwendungen (MA)</v>
      </c>
      <c r="G187" s="756">
        <f>'1.'!F872</f>
        <v>0</v>
      </c>
      <c r="H187" s="756">
        <f>'1.'!G872</f>
        <v>0</v>
      </c>
      <c r="I187" s="756">
        <f>'1.'!H872</f>
        <v>0</v>
      </c>
      <c r="J187" s="756">
        <f>'1.'!I872</f>
        <v>0</v>
      </c>
      <c r="K187" s="756">
        <f>'1.'!J872</f>
        <v>0</v>
      </c>
      <c r="L187" s="756">
        <f>'1.'!K872</f>
        <v>0</v>
      </c>
      <c r="M187" s="756">
        <f>'1.'!L872</f>
        <v>0</v>
      </c>
      <c r="N187" s="16">
        <f>'1.'!M872</f>
        <v>0</v>
      </c>
    </row>
    <row r="188" spans="1:14">
      <c r="A188" s="588">
        <f>ROW()</f>
        <v>188</v>
      </c>
      <c r="B188" s="756" t="str">
        <f ca="1">'1.'!A874</f>
        <v>D.1.874</v>
      </c>
      <c r="C188" s="756" t="str">
        <f ca="1">'1.'!B874</f>
        <v>1.874</v>
      </c>
      <c r="D188" s="756" t="str">
        <f>'1.'!C874</f>
        <v>[874]</v>
      </c>
      <c r="E188" s="756">
        <f>'1.'!D874</f>
        <v>874</v>
      </c>
      <c r="F188" s="176" t="str">
        <f>'1.'!E874</f>
        <v>MA am Boden</v>
      </c>
      <c r="G188" s="756">
        <f>'1.'!F874</f>
        <v>0</v>
      </c>
      <c r="H188" s="756">
        <f>'1.'!G874</f>
        <v>0</v>
      </c>
      <c r="I188" s="756">
        <f>'1.'!H874</f>
        <v>0</v>
      </c>
      <c r="J188" s="756">
        <f>'1.'!I874</f>
        <v>0</v>
      </c>
      <c r="K188" s="756">
        <f>'1.'!J874</f>
        <v>0</v>
      </c>
      <c r="L188" s="756">
        <f>'1.'!K874</f>
        <v>0</v>
      </c>
      <c r="M188" s="756">
        <f>'1.'!L874</f>
        <v>0</v>
      </c>
      <c r="N188" s="16">
        <f>'1.'!M874</f>
        <v>0</v>
      </c>
    </row>
    <row r="189" spans="1:14">
      <c r="A189" s="588">
        <f>ROW()</f>
        <v>189</v>
      </c>
      <c r="B189" s="756" t="str">
        <f ca="1">'1.'!A876</f>
        <v>D.1.876</v>
      </c>
      <c r="C189" s="756" t="str">
        <f ca="1">'1.'!B876</f>
        <v>1.876</v>
      </c>
      <c r="D189" s="756" t="str">
        <f>'1.'!C876</f>
        <v>[876]</v>
      </c>
      <c r="E189" s="756">
        <f>'1.'!D876</f>
        <v>876</v>
      </c>
      <c r="F189" s="756" t="str">
        <f>'1.'!E876</f>
        <v>Anteil Personenverkehr (PVk) am EEV MA Boden</v>
      </c>
      <c r="G189" s="756">
        <f>'1.'!F876</f>
        <v>0</v>
      </c>
      <c r="H189" s="756">
        <f>'1.'!G876</f>
        <v>0</v>
      </c>
      <c r="I189" s="756">
        <f>'1.'!H876</f>
        <v>0</v>
      </c>
      <c r="J189" s="756">
        <f>'1.'!I876</f>
        <v>0</v>
      </c>
      <c r="K189" s="756" t="str">
        <f>'1.'!J876</f>
        <v>%</v>
      </c>
      <c r="L189" s="756">
        <f ca="1">'1.'!K876</f>
        <v>68.126094570928203</v>
      </c>
      <c r="M189" s="756" t="str">
        <f ca="1">'1.'!L876</f>
        <v>[877]</v>
      </c>
      <c r="N189" s="16">
        <f ca="1">'1.'!M876</f>
        <v>68.126094570928203</v>
      </c>
    </row>
    <row r="190" spans="1:14">
      <c r="A190" s="588">
        <f>ROW()</f>
        <v>190</v>
      </c>
      <c r="B190" s="756" t="str">
        <f ca="1">'1.'!A882</f>
        <v>D.1.882</v>
      </c>
      <c r="C190" s="756" t="str">
        <f ca="1">'1.'!B882</f>
        <v>1.882</v>
      </c>
      <c r="D190" s="756" t="str">
        <f>'1.'!C882</f>
        <v>[882]</v>
      </c>
      <c r="E190" s="756">
        <f>'1.'!D882</f>
        <v>882</v>
      </c>
      <c r="F190" s="756" t="str">
        <f>'1.'!E882</f>
        <v>Zieleinfluss Entwicklung PVk</v>
      </c>
      <c r="G190" s="756">
        <f>'1.'!F882</f>
        <v>0</v>
      </c>
      <c r="H190" s="756">
        <f>'1.'!G882</f>
        <v>0</v>
      </c>
      <c r="I190" s="756">
        <f>'1.'!H882</f>
        <v>0</v>
      </c>
      <c r="J190" s="756">
        <f>'1.'!I882</f>
        <v>0</v>
      </c>
      <c r="K190" s="756" t="str">
        <f>'1.'!J882</f>
        <v>%</v>
      </c>
      <c r="L190" s="756">
        <f ca="1">'1.'!K882</f>
        <v>100</v>
      </c>
      <c r="M190" s="756" t="str">
        <f ca="1">'1.'!L882</f>
        <v>[883]</v>
      </c>
      <c r="N190" s="16">
        <f>'1.'!M882</f>
        <v>80</v>
      </c>
    </row>
    <row r="191" spans="1:14">
      <c r="A191" s="588">
        <f>ROW()</f>
        <v>191</v>
      </c>
      <c r="B191" s="756" t="str">
        <f ca="1">'1.'!A897</f>
        <v>D.1.897</v>
      </c>
      <c r="C191" s="756" t="str">
        <f ca="1">'1.'!B897</f>
        <v>1.897</v>
      </c>
      <c r="D191" s="756" t="str">
        <f>'1.'!C897</f>
        <v>[897]</v>
      </c>
      <c r="E191" s="756">
        <f>'1.'!D897</f>
        <v>897</v>
      </c>
      <c r="F191" s="756" t="str">
        <f>'1.'!E897</f>
        <v>Anteil Elektrotraktion am Endverbrauch im PVk</v>
      </c>
      <c r="G191" s="756">
        <f>'1.'!F897</f>
        <v>0</v>
      </c>
      <c r="H191" s="756">
        <f>'1.'!G897</f>
        <v>0</v>
      </c>
      <c r="I191" s="756">
        <f>'1.'!H897</f>
        <v>0</v>
      </c>
      <c r="J191" s="756">
        <f>'1.'!I897</f>
        <v>0</v>
      </c>
      <c r="K191" s="756" t="str">
        <f>'1.'!J897</f>
        <v>%</v>
      </c>
      <c r="L191" s="756">
        <f ca="1">'1.'!K897</f>
        <v>2.2999999999999998</v>
      </c>
      <c r="M191" s="756" t="str">
        <f ca="1">'1.'!L897</f>
        <v>[898]</v>
      </c>
      <c r="N191" s="16">
        <f>'1.'!M897</f>
        <v>74.997710605065095</v>
      </c>
    </row>
    <row r="192" spans="1:14">
      <c r="A192" s="588">
        <f>ROW()</f>
        <v>192</v>
      </c>
      <c r="B192" s="756" t="str">
        <f ca="1">'1.'!A906</f>
        <v>D.1.906</v>
      </c>
      <c r="C192" s="756" t="str">
        <f ca="1">'1.'!B906</f>
        <v>1.906</v>
      </c>
      <c r="D192" s="756" t="str">
        <f>'1.'!C906</f>
        <v>[906]</v>
      </c>
      <c r="E192" s="756">
        <f>'1.'!D906</f>
        <v>906</v>
      </c>
      <c r="F192" s="756" t="str">
        <f>'1.'!E906</f>
        <v>Nutzungsgrad Elektrotraktion PVk</v>
      </c>
      <c r="G192" s="756">
        <f>'1.'!F906</f>
        <v>0</v>
      </c>
      <c r="H192" s="756">
        <f>'1.'!G906</f>
        <v>0</v>
      </c>
      <c r="I192" s="756">
        <f>'1.'!H906</f>
        <v>0</v>
      </c>
      <c r="J192" s="756">
        <f>'1.'!I906</f>
        <v>0</v>
      </c>
      <c r="K192" s="756" t="str">
        <f>'1.'!J906</f>
        <v>%</v>
      </c>
      <c r="L192" s="756">
        <f ca="1">'1.'!K906</f>
        <v>78</v>
      </c>
      <c r="M192" s="756" t="str">
        <f ca="1">'1.'!L906</f>
        <v>[907]</v>
      </c>
      <c r="N192" s="16">
        <f ca="1">'1.'!M906</f>
        <v>78</v>
      </c>
    </row>
    <row r="193" spans="1:14">
      <c r="A193" s="588">
        <f>ROW()</f>
        <v>193</v>
      </c>
      <c r="B193" s="756" t="str">
        <f ca="1">'1.'!A913</f>
        <v>D.1.913</v>
      </c>
      <c r="C193" s="756" t="str">
        <f ca="1">'1.'!B913</f>
        <v>1.913</v>
      </c>
      <c r="D193" s="756" t="str">
        <f>'1.'!C913</f>
        <v>[913]</v>
      </c>
      <c r="E193" s="756">
        <f>'1.'!D913</f>
        <v>913</v>
      </c>
      <c r="F193" s="756" t="str">
        <f>'1.'!E913</f>
        <v>Nutzungsgrad Kraftstofftraktion PVk</v>
      </c>
      <c r="G193" s="756">
        <f>'1.'!F913</f>
        <v>0</v>
      </c>
      <c r="H193" s="756">
        <f>'1.'!G913</f>
        <v>0</v>
      </c>
      <c r="I193" s="756">
        <f>'1.'!H913</f>
        <v>0</v>
      </c>
      <c r="J193" s="756">
        <f>'1.'!I913</f>
        <v>0</v>
      </c>
      <c r="K193" s="756" t="str">
        <f>'1.'!J913</f>
        <v>%</v>
      </c>
      <c r="L193" s="756">
        <f ca="1">'1.'!K913</f>
        <v>25.5</v>
      </c>
      <c r="M193" s="756" t="str">
        <f ca="1">'1.'!L913</f>
        <v>[914]</v>
      </c>
      <c r="N193" s="16">
        <f ca="1">'1.'!M913</f>
        <v>28.407000000000004</v>
      </c>
    </row>
    <row r="194" spans="1:14">
      <c r="A194" s="588">
        <f>ROW()</f>
        <v>194</v>
      </c>
      <c r="B194" s="756" t="str">
        <f ca="1">'1.'!A930</f>
        <v>D.1.930</v>
      </c>
      <c r="C194" s="756" t="str">
        <f ca="1">'1.'!B930</f>
        <v>1.930</v>
      </c>
      <c r="D194" s="756" t="str">
        <f>'1.'!C930</f>
        <v>[930]</v>
      </c>
      <c r="E194" s="756">
        <f>'1.'!D930</f>
        <v>930</v>
      </c>
      <c r="F194" s="756" t="str">
        <f>'1.'!E930</f>
        <v>Zieleinfluss Entwicklung Güterverkehr (GVk)</v>
      </c>
      <c r="G194" s="756">
        <f>'1.'!F930</f>
        <v>0</v>
      </c>
      <c r="H194" s="756">
        <f>'1.'!G930</f>
        <v>0</v>
      </c>
      <c r="I194" s="756">
        <f>'1.'!H930</f>
        <v>0</v>
      </c>
      <c r="J194" s="756">
        <f>'1.'!I930</f>
        <v>0</v>
      </c>
      <c r="K194" s="756" t="str">
        <f>'1.'!J930</f>
        <v>%</v>
      </c>
      <c r="L194" s="756">
        <f ca="1">'1.'!K930</f>
        <v>100</v>
      </c>
      <c r="M194" s="756" t="str">
        <f ca="1">'1.'!L930</f>
        <v>[931]</v>
      </c>
      <c r="N194" s="16">
        <f ca="1">'1.'!M930</f>
        <v>100</v>
      </c>
    </row>
    <row r="195" spans="1:14">
      <c r="A195" s="588">
        <f>ROW()</f>
        <v>195</v>
      </c>
      <c r="B195" s="756" t="str">
        <f ca="1">'1.'!A945</f>
        <v>D.1.945</v>
      </c>
      <c r="C195" s="756" t="str">
        <f ca="1">'1.'!B945</f>
        <v>1.945</v>
      </c>
      <c r="D195" s="756" t="str">
        <f>'1.'!C945</f>
        <v>[945]</v>
      </c>
      <c r="E195" s="756">
        <f>'1.'!D945</f>
        <v>945</v>
      </c>
      <c r="F195" s="756" t="str">
        <f>'1.'!E945</f>
        <v>Anteil Elektrotraktion am Endverbrauch im GVk</v>
      </c>
      <c r="G195" s="756">
        <f>'1.'!F945</f>
        <v>0</v>
      </c>
      <c r="H195" s="756">
        <f>'1.'!G945</f>
        <v>0</v>
      </c>
      <c r="I195" s="756">
        <f>'1.'!H945</f>
        <v>0</v>
      </c>
      <c r="J195" s="756">
        <f>'1.'!I945</f>
        <v>0</v>
      </c>
      <c r="K195" s="756" t="str">
        <f>'1.'!J945</f>
        <v>%</v>
      </c>
      <c r="L195" s="756">
        <f ca="1">'1.'!K945</f>
        <v>1.6</v>
      </c>
      <c r="M195" s="756" t="str">
        <f ca="1">'1.'!L945</f>
        <v>[946]</v>
      </c>
      <c r="N195" s="16">
        <f>'1.'!M945</f>
        <v>74.981337391712103</v>
      </c>
    </row>
    <row r="196" spans="1:14">
      <c r="A196" s="588">
        <f>ROW()</f>
        <v>196</v>
      </c>
      <c r="B196" s="756" t="str">
        <f ca="1">'1.'!A954</f>
        <v>D.1.954</v>
      </c>
      <c r="C196" s="756" t="str">
        <f ca="1">'1.'!B954</f>
        <v>1.954</v>
      </c>
      <c r="D196" s="756" t="str">
        <f>'1.'!C954</f>
        <v>[954]</v>
      </c>
      <c r="E196" s="756">
        <f>'1.'!D954</f>
        <v>954</v>
      </c>
      <c r="F196" s="756" t="str">
        <f>'1.'!E954</f>
        <v>Nutzungsgrad Elektrotraktion GVk</v>
      </c>
      <c r="G196" s="756">
        <f>'1.'!F954</f>
        <v>0</v>
      </c>
      <c r="H196" s="756">
        <f>'1.'!G954</f>
        <v>0</v>
      </c>
      <c r="I196" s="756">
        <f>'1.'!H954</f>
        <v>0</v>
      </c>
      <c r="J196" s="756">
        <f>'1.'!I954</f>
        <v>0</v>
      </c>
      <c r="K196" s="756" t="str">
        <f>'1.'!J954</f>
        <v>%</v>
      </c>
      <c r="L196" s="756">
        <f ca="1">'1.'!K954</f>
        <v>78</v>
      </c>
      <c r="M196" s="756" t="str">
        <f ca="1">'1.'!L954</f>
        <v>[955]</v>
      </c>
      <c r="N196" s="16">
        <f ca="1">'1.'!M954</f>
        <v>78</v>
      </c>
    </row>
    <row r="197" spans="1:14">
      <c r="A197" s="588">
        <f>ROW()</f>
        <v>197</v>
      </c>
      <c r="B197" s="756" t="str">
        <f ca="1">'1.'!A961</f>
        <v>D.1.961</v>
      </c>
      <c r="C197" s="756" t="str">
        <f ca="1">'1.'!B961</f>
        <v>1.961</v>
      </c>
      <c r="D197" s="756" t="str">
        <f>'1.'!C961</f>
        <v>[961]</v>
      </c>
      <c r="E197" s="756">
        <f>'1.'!D961</f>
        <v>961</v>
      </c>
      <c r="F197" s="756" t="str">
        <f>'1.'!E961</f>
        <v>Nutzungsgrad Kraftstofftraktion GVk</v>
      </c>
      <c r="G197" s="756">
        <f>'1.'!F961</f>
        <v>0</v>
      </c>
      <c r="H197" s="756">
        <f>'1.'!G961</f>
        <v>0</v>
      </c>
      <c r="I197" s="756">
        <f>'1.'!H961</f>
        <v>0</v>
      </c>
      <c r="J197" s="756">
        <f>'1.'!I961</f>
        <v>0</v>
      </c>
      <c r="K197" s="756" t="str">
        <f>'1.'!J961</f>
        <v>%</v>
      </c>
      <c r="L197" s="756">
        <f ca="1">'1.'!K961</f>
        <v>27</v>
      </c>
      <c r="M197" s="756" t="str">
        <f ca="1">'1.'!L961</f>
        <v>[962]</v>
      </c>
      <c r="N197" s="16">
        <f ca="1">'1.'!M961</f>
        <v>30.078000000000003</v>
      </c>
    </row>
    <row r="198" spans="1:14">
      <c r="A198" s="588">
        <f>ROW()</f>
        <v>198</v>
      </c>
      <c r="B198" s="16"/>
      <c r="C198" s="16"/>
      <c r="D198" s="16"/>
      <c r="E198" s="16"/>
      <c r="F198" s="16"/>
      <c r="G198" s="16"/>
      <c r="H198" s="16"/>
      <c r="I198" s="16"/>
      <c r="J198" s="16"/>
      <c r="K198" s="16"/>
      <c r="L198" s="16"/>
      <c r="M198" s="16"/>
      <c r="N198" s="16"/>
    </row>
    <row r="199" spans="1:14">
      <c r="A199" s="696">
        <f>ROW()</f>
        <v>199</v>
      </c>
      <c r="B199" s="756" t="str">
        <f ca="1">'1.'!A966</f>
        <v>D.1.966</v>
      </c>
      <c r="C199" s="756" t="str">
        <f ca="1">'1.'!B966</f>
        <v>1.966</v>
      </c>
      <c r="D199" s="756" t="str">
        <f>'1.'!C966</f>
        <v>[966]</v>
      </c>
      <c r="E199" s="756">
        <f>'1.'!D966</f>
        <v>966</v>
      </c>
      <c r="F199" s="176" t="str">
        <f>'1.'!E966</f>
        <v>MA Luftverkehr</v>
      </c>
      <c r="G199" s="756">
        <f>'1.'!F966</f>
        <v>0</v>
      </c>
      <c r="H199" s="756">
        <f>'1.'!G966</f>
        <v>0</v>
      </c>
      <c r="I199" s="756">
        <f>'1.'!H966</f>
        <v>0</v>
      </c>
      <c r="J199" s="756">
        <f>'1.'!I966</f>
        <v>0</v>
      </c>
      <c r="K199" s="756">
        <f>'1.'!J966</f>
        <v>0</v>
      </c>
      <c r="L199" s="756">
        <f>'1.'!K966</f>
        <v>0</v>
      </c>
      <c r="M199" s="756">
        <f>'1.'!L966</f>
        <v>0</v>
      </c>
      <c r="N199" s="16">
        <f>'1.'!M966</f>
        <v>0</v>
      </c>
    </row>
    <row r="200" spans="1:14">
      <c r="A200" s="696">
        <f>ROW()</f>
        <v>200</v>
      </c>
      <c r="B200" s="756" t="str">
        <f ca="1">'1.'!A968</f>
        <v>D.1.968</v>
      </c>
      <c r="C200" s="756" t="str">
        <f ca="1">'1.'!B968</f>
        <v>1.968</v>
      </c>
      <c r="D200" s="756" t="str">
        <f>'1.'!C968</f>
        <v>[968]</v>
      </c>
      <c r="E200" s="756">
        <f>'1.'!D968</f>
        <v>968</v>
      </c>
      <c r="F200" s="756" t="str">
        <f>'1.'!E968</f>
        <v>Zieleinfluss Luftverkehrs-Entwicklung</v>
      </c>
      <c r="G200" s="756">
        <f>'1.'!F968</f>
        <v>0</v>
      </c>
      <c r="H200" s="756">
        <f>'1.'!G968</f>
        <v>0</v>
      </c>
      <c r="I200" s="756">
        <f>'1.'!H968</f>
        <v>0</v>
      </c>
      <c r="J200" s="756">
        <f>'1.'!I968</f>
        <v>0</v>
      </c>
      <c r="K200" s="756" t="str">
        <f>'1.'!J968</f>
        <v>%</v>
      </c>
      <c r="L200" s="756">
        <f ca="1">'1.'!K968</f>
        <v>100</v>
      </c>
      <c r="M200" s="756" t="str">
        <f ca="1">'1.'!L968</f>
        <v>[969]</v>
      </c>
      <c r="N200" s="16">
        <f ca="1">'1.'!M968</f>
        <v>100</v>
      </c>
    </row>
    <row r="201" spans="1:14">
      <c r="A201" s="696">
        <f>ROW()</f>
        <v>201</v>
      </c>
      <c r="B201" s="756" t="str">
        <f ca="1">'1.'!A973</f>
        <v>D.1.973</v>
      </c>
      <c r="C201" s="756" t="str">
        <f ca="1">'1.'!B973</f>
        <v>1.973</v>
      </c>
      <c r="D201" s="756" t="str">
        <f>'1.'!C973</f>
        <v>[973]</v>
      </c>
      <c r="E201" s="756">
        <f>'1.'!D973</f>
        <v>973</v>
      </c>
      <c r="F201" s="756" t="str">
        <f>'1.'!E973</f>
        <v>Zieleinfl.Luftverkehrs-Effizienz auf Krafstoffverbr.</v>
      </c>
      <c r="G201" s="756">
        <f>'1.'!F973</f>
        <v>0</v>
      </c>
      <c r="H201" s="756">
        <f>'1.'!G973</f>
        <v>0</v>
      </c>
      <c r="I201" s="756">
        <f>'1.'!H973</f>
        <v>0</v>
      </c>
      <c r="J201" s="756">
        <f>'1.'!I973</f>
        <v>0</v>
      </c>
      <c r="K201" s="756" t="str">
        <f>'1.'!J973</f>
        <v>%</v>
      </c>
      <c r="L201" s="756">
        <f ca="1">'1.'!K973</f>
        <v>100</v>
      </c>
      <c r="M201" s="756" t="str">
        <f ca="1">'1.'!L973</f>
        <v>[974]</v>
      </c>
      <c r="N201" s="16">
        <f ca="1">'1.'!M973</f>
        <v>71.900000000000006</v>
      </c>
    </row>
    <row r="202" spans="1:14">
      <c r="A202" s="696">
        <f>ROW()</f>
        <v>202</v>
      </c>
      <c r="B202" s="16"/>
      <c r="C202" s="16"/>
      <c r="D202" s="16"/>
      <c r="E202" s="16"/>
      <c r="F202" s="16"/>
      <c r="G202" s="16"/>
      <c r="H202" s="16"/>
      <c r="I202" s="16"/>
      <c r="J202" s="16"/>
      <c r="K202" s="16"/>
      <c r="L202" s="16"/>
      <c r="M202" s="16"/>
      <c r="N202" s="16"/>
    </row>
    <row r="203" spans="1:14">
      <c r="A203" s="696">
        <f>ROW()</f>
        <v>203</v>
      </c>
      <c r="B203" s="16" t="str">
        <f ca="1">'1.'!A888</f>
        <v>D.1.888</v>
      </c>
      <c r="C203" s="756" t="str">
        <f ca="1">'1.'!B888</f>
        <v>1.888</v>
      </c>
      <c r="D203" s="756" t="str">
        <f>'1.'!C888</f>
        <v>[888]</v>
      </c>
      <c r="E203" s="756">
        <f>'1.'!D888</f>
        <v>888</v>
      </c>
      <c r="F203" s="756" t="str">
        <f>'1.'!E888</f>
        <v>Vorgabe: Anteil Elektrotraktion an PVk-Leistung</v>
      </c>
      <c r="G203" s="756">
        <f>'1.'!F888</f>
        <v>0</v>
      </c>
      <c r="H203" s="756">
        <f>'1.'!G888</f>
        <v>0</v>
      </c>
      <c r="I203" s="756">
        <f>'1.'!H888</f>
        <v>0</v>
      </c>
      <c r="J203" s="756">
        <f>'1.'!I888</f>
        <v>0</v>
      </c>
      <c r="K203" s="756" t="str">
        <f>'1.'!J888</f>
        <v>%</v>
      </c>
      <c r="L203" s="756">
        <f ca="1">'1.'!K888</f>
        <v>6.7172142656557137</v>
      </c>
      <c r="M203" s="756" t="str">
        <f ca="1">'1.'!L888</f>
        <v>[889]</v>
      </c>
      <c r="N203" s="756">
        <f ca="1">'1.'!M888</f>
        <v>89.174450376704897</v>
      </c>
    </row>
    <row r="204" spans="1:14">
      <c r="A204" s="696">
        <f>ROW()</f>
        <v>204</v>
      </c>
      <c r="B204" s="16" t="str">
        <f ca="1">'1.'!A936</f>
        <v>D.1.936</v>
      </c>
      <c r="C204" s="756" t="str">
        <f ca="1">'1.'!B936</f>
        <v>1.936</v>
      </c>
      <c r="D204" s="756" t="str">
        <f>'1.'!C936</f>
        <v>[936]</v>
      </c>
      <c r="E204" s="756">
        <f>'1.'!D936</f>
        <v>936</v>
      </c>
      <c r="F204" s="756" t="str">
        <f>'1.'!E936</f>
        <v>Vorgabe: Anteil Elektrotraktion an GVk-Leistung</v>
      </c>
      <c r="G204" s="756">
        <f>'1.'!F936</f>
        <v>0</v>
      </c>
      <c r="H204" s="756">
        <f>'1.'!G936</f>
        <v>0</v>
      </c>
      <c r="I204" s="756">
        <f>'1.'!H936</f>
        <v>0</v>
      </c>
      <c r="J204" s="756">
        <f>'1.'!I936</f>
        <v>0</v>
      </c>
      <c r="K204" s="756" t="str">
        <f>'1.'!J936</f>
        <v>%</v>
      </c>
      <c r="L204" s="756">
        <f ca="1">'1.'!K936</f>
        <v>4.4866264020707503</v>
      </c>
      <c r="M204" s="756" t="str">
        <f ca="1">'1.'!L936</f>
        <v>[937]</v>
      </c>
      <c r="N204" s="756">
        <f ca="1">'1.'!M936</f>
        <v>88.610183354917865</v>
      </c>
    </row>
    <row r="205" spans="1:14">
      <c r="A205" s="696">
        <f>ROW()</f>
        <v>205</v>
      </c>
      <c r="B205" s="16" t="str">
        <f ca="1">'1.'!A919</f>
        <v>D.1.919</v>
      </c>
      <c r="C205" s="756" t="str">
        <f ca="1">'1.'!B919</f>
        <v>1.919</v>
      </c>
      <c r="D205" s="756" t="str">
        <f>'1.'!C919</f>
        <v>[919]</v>
      </c>
      <c r="E205" s="756">
        <f>'1.'!D919</f>
        <v>919</v>
      </c>
      <c r="F205" s="756" t="str">
        <f>'1.'!E919</f>
        <v>Brennstoffzellen-Traktio (FC) statt Verbrenner</v>
      </c>
      <c r="G205" s="756">
        <f>'1.'!F919</f>
        <v>0</v>
      </c>
      <c r="H205" s="756">
        <f>'1.'!G919</f>
        <v>0</v>
      </c>
      <c r="I205" s="756">
        <f>'1.'!H919</f>
        <v>0</v>
      </c>
      <c r="J205" s="756">
        <f>'1.'!I919</f>
        <v>0</v>
      </c>
      <c r="K205" s="756" t="str">
        <f>'1.'!J919</f>
        <v>%</v>
      </c>
      <c r="L205" s="756" t="str">
        <f ca="1">'1.'!K919</f>
        <v>(n. r.)</v>
      </c>
      <c r="M205" s="756" t="str">
        <f ca="1">'1.'!L919</f>
        <v>[920]</v>
      </c>
      <c r="N205" s="756" t="str">
        <f ca="1">'1.'!M919</f>
        <v>(Passiv)</v>
      </c>
    </row>
    <row r="206" spans="1:14" s="900" customFormat="1">
      <c r="A206" s="696"/>
    </row>
    <row r="207" spans="1:14" s="900" customFormat="1">
      <c r="A207" s="696"/>
    </row>
    <row r="208" spans="1:14" s="900" customFormat="1">
      <c r="A208" s="696"/>
    </row>
    <row r="209" spans="1:14" s="900" customFormat="1">
      <c r="A209" s="696"/>
    </row>
    <row r="210" spans="1:14" s="900" customFormat="1">
      <c r="A210" s="696">
        <f>ROW()</f>
        <v>210</v>
      </c>
      <c r="B210" s="900" t="str">
        <f ca="1">'1.'!A979</f>
        <v>D.1.979</v>
      </c>
      <c r="C210" s="900" t="str">
        <f ca="1">'1.'!B979</f>
        <v>1.979</v>
      </c>
      <c r="D210" s="900" t="str">
        <f>'1.'!C979</f>
        <v>[979]</v>
      </c>
      <c r="E210" s="900">
        <f>'1.'!D979</f>
        <v>979</v>
      </c>
      <c r="F210" s="176" t="str">
        <f>'1.'!E979</f>
        <v>Wasserstofferzeugung (Ergänzung zur Grundstoffsynthese)</v>
      </c>
    </row>
    <row r="211" spans="1:14" s="900" customFormat="1">
      <c r="A211" s="696">
        <f>ROW()</f>
        <v>211</v>
      </c>
      <c r="B211" s="900" t="str">
        <f ca="1">'1.'!A981</f>
        <v>D.1.981</v>
      </c>
      <c r="C211" s="900" t="str">
        <f ca="1">'1.'!B981</f>
        <v>1.981</v>
      </c>
      <c r="D211" s="900" t="str">
        <f>'1.'!C981</f>
        <v>[981]</v>
      </c>
      <c r="E211" s="900">
        <f>'1.'!D981</f>
        <v>981</v>
      </c>
      <c r="F211" s="900" t="str">
        <f>'1.'!E981</f>
        <v>Anteil aus Wasserstoff synthetisierter Grundstoffe</v>
      </c>
      <c r="G211" s="900">
        <f>'1.'!F981</f>
        <v>0</v>
      </c>
      <c r="H211" s="900">
        <f>'1.'!G981</f>
        <v>0</v>
      </c>
      <c r="I211" s="900">
        <f>'1.'!H981</f>
        <v>0</v>
      </c>
      <c r="J211" s="900">
        <f>'1.'!I981</f>
        <v>0</v>
      </c>
      <c r="K211" s="900" t="str">
        <f>'1.'!J981</f>
        <v>%</v>
      </c>
      <c r="L211" s="900" t="str">
        <f ca="1">'1.'!K981</f>
        <v>-</v>
      </c>
      <c r="M211" s="900" t="str">
        <f ca="1">'1.'!L981</f>
        <v>[982]</v>
      </c>
      <c r="N211" s="900">
        <f ca="1">'1.'!M981</f>
        <v>73</v>
      </c>
    </row>
  </sheetData>
  <pageMargins left="0.7" right="0.7" top="0.78740157499999996" bottom="0.78740157499999996"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14"/>
  <dimension ref="A1:AD84"/>
  <sheetViews>
    <sheetView topLeftCell="A13" workbookViewId="0">
      <selection activeCell="A9" sqref="A9"/>
    </sheetView>
  </sheetViews>
  <sheetFormatPr baseColWidth="10" defaultRowHeight="15"/>
  <cols>
    <col min="1" max="1" width="8.1640625" style="9" customWidth="1"/>
    <col min="2" max="2" width="3.33203125" customWidth="1"/>
    <col min="3" max="3" width="17.33203125" customWidth="1"/>
    <col min="4" max="4" width="0.5" customWidth="1"/>
    <col min="5" max="6" width="8.1640625" style="16" customWidth="1"/>
    <col min="7" max="7" width="0.5" customWidth="1"/>
    <col min="8" max="9" width="9" customWidth="1"/>
    <col min="10" max="10" width="0.83203125" customWidth="1"/>
    <col min="11" max="12" width="8.5" style="16" customWidth="1"/>
    <col min="13" max="13" width="0.5" customWidth="1"/>
    <col min="14" max="15" width="7.5" customWidth="1"/>
    <col min="16" max="16" width="13.5" customWidth="1"/>
    <col min="17" max="17" width="11.5" style="3" customWidth="1"/>
    <col min="18" max="18" width="4.83203125" style="54" customWidth="1"/>
    <col min="19" max="19" width="4.5" customWidth="1"/>
    <col min="20" max="20" width="0.5" customWidth="1"/>
    <col min="21" max="22" width="9.5" customWidth="1"/>
    <col min="23" max="23" width="0.5" style="16" customWidth="1"/>
    <col min="24" max="25" width="9.5" style="16" customWidth="1"/>
  </cols>
  <sheetData>
    <row r="1" spans="1:18">
      <c r="A1" s="1"/>
      <c r="Q1" s="2"/>
      <c r="R1" s="2"/>
    </row>
    <row r="2" spans="1:18">
      <c r="A2" s="1"/>
      <c r="C2" s="10">
        <f>C66</f>
        <v>80523746</v>
      </c>
      <c r="D2" t="s">
        <v>3</v>
      </c>
      <c r="N2" s="126">
        <v>1000000</v>
      </c>
      <c r="O2" t="s">
        <v>2</v>
      </c>
      <c r="Q2" s="2"/>
      <c r="R2" s="2"/>
    </row>
    <row r="3" spans="1:18">
      <c r="A3" s="1"/>
      <c r="Q3" s="2"/>
      <c r="R3" s="2"/>
    </row>
    <row r="4" spans="1:18" s="16" customFormat="1" ht="20" thickBot="1">
      <c r="A4" s="27"/>
      <c r="B4" s="4" t="s">
        <v>20</v>
      </c>
      <c r="Q4" s="54"/>
      <c r="R4" s="54"/>
    </row>
    <row r="5" spans="1:18" s="16" customFormat="1">
      <c r="A5" s="27"/>
      <c r="B5" s="24"/>
      <c r="C5" s="70" t="str">
        <f>C22</f>
        <v>Endenergie in GWh</v>
      </c>
      <c r="D5" s="1171" t="str">
        <f>D22</f>
        <v>Anwendung</v>
      </c>
      <c r="E5" s="1172"/>
      <c r="F5" s="1172"/>
      <c r="G5" s="1172"/>
      <c r="H5" s="1172"/>
      <c r="I5" s="1172"/>
      <c r="J5" s="1172"/>
      <c r="K5" s="1172"/>
      <c r="L5" s="1172"/>
      <c r="M5" s="1172"/>
      <c r="N5" s="1172"/>
      <c r="O5" s="1173"/>
      <c r="P5" s="31"/>
      <c r="Q5" s="194"/>
      <c r="R5" s="54"/>
    </row>
    <row r="6" spans="1:18" s="16" customFormat="1" ht="15" customHeight="1">
      <c r="A6" s="27"/>
      <c r="B6" s="28"/>
      <c r="C6" s="17"/>
      <c r="D6" s="1174" t="str">
        <f>D23</f>
        <v>Kraft/Licht/
IKT/Kälte</v>
      </c>
      <c r="E6" s="1175"/>
      <c r="F6" s="1176"/>
      <c r="G6" s="1180" t="str">
        <f>G23</f>
        <v>Gebäudewärme</v>
      </c>
      <c r="H6" s="1181"/>
      <c r="I6" s="1182"/>
      <c r="J6" s="1183" t="str">
        <f>J23</f>
        <v>Prozess-
wärme</v>
      </c>
      <c r="K6" s="1184"/>
      <c r="L6" s="1185"/>
      <c r="M6" s="1189" t="str">
        <f>M23</f>
        <v>Mobile Anwend.</v>
      </c>
      <c r="N6" s="1190"/>
      <c r="O6" s="1190"/>
      <c r="P6" s="32" t="str">
        <f>P23</f>
        <v>insgesamt</v>
      </c>
      <c r="Q6" s="195" t="str">
        <f>Q50</f>
        <v>Nicht-</v>
      </c>
      <c r="R6" s="54"/>
    </row>
    <row r="7" spans="1:18" s="16" customFormat="1" ht="16" thickBot="1">
      <c r="A7" s="27"/>
      <c r="B7" s="25"/>
      <c r="C7" s="29"/>
      <c r="D7" s="1177"/>
      <c r="E7" s="1178"/>
      <c r="F7" s="1179"/>
      <c r="G7" s="1194" t="str">
        <f>G24</f>
        <v>Raumw.</v>
      </c>
      <c r="H7" s="1195"/>
      <c r="I7" s="30" t="str">
        <f>I24</f>
        <v>Warmwas.</v>
      </c>
      <c r="J7" s="1186"/>
      <c r="K7" s="1187"/>
      <c r="L7" s="1188"/>
      <c r="M7" s="1196" t="str">
        <f>M24</f>
        <v>Boden+</v>
      </c>
      <c r="N7" s="1197"/>
      <c r="O7" s="147" t="str">
        <f>O24</f>
        <v>Luft</v>
      </c>
      <c r="P7" s="33"/>
      <c r="Q7" s="195" t="str">
        <f>Q51</f>
        <v>energet.</v>
      </c>
      <c r="R7" s="54"/>
    </row>
    <row r="8" spans="1:18" s="16" customFormat="1" ht="16" thickTop="1">
      <c r="A8" s="27"/>
      <c r="B8" s="1198" t="str">
        <f>B25</f>
        <v>Endenergie-Träger</v>
      </c>
      <c r="C8" s="56" t="str">
        <f>C25</f>
        <v>Strom</v>
      </c>
      <c r="D8" s="1201">
        <f>D25</f>
        <v>378194.44444444444</v>
      </c>
      <c r="E8" s="1202"/>
      <c r="F8" s="1203"/>
      <c r="G8" s="1204" t="e">
        <f>#REF!</f>
        <v>#REF!</v>
      </c>
      <c r="H8" s="1205"/>
      <c r="I8" s="1206"/>
      <c r="J8" s="1207" t="e">
        <f>#REF!</f>
        <v>#REF!</v>
      </c>
      <c r="K8" s="1202"/>
      <c r="L8" s="1203"/>
      <c r="M8" s="1204">
        <f>M25</f>
        <v>16499.999999999996</v>
      </c>
      <c r="N8" s="1205"/>
      <c r="O8" s="1208"/>
      <c r="P8" s="57" t="e">
        <f>SUM(D8:O8)</f>
        <v>#REF!</v>
      </c>
      <c r="Q8" s="202"/>
      <c r="R8" s="54"/>
    </row>
    <row r="9" spans="1:18" s="16" customFormat="1">
      <c r="A9" s="27"/>
      <c r="B9" s="1199"/>
      <c r="C9" s="37"/>
      <c r="D9" s="38"/>
      <c r="E9" s="15"/>
      <c r="F9" s="109"/>
      <c r="G9" s="39"/>
      <c r="H9" s="40" t="e">
        <f>G8*H26/G25</f>
        <v>#REF!</v>
      </c>
      <c r="I9" s="41" t="e">
        <f>G8*I26/G25</f>
        <v>#REF!</v>
      </c>
      <c r="J9" s="113"/>
      <c r="K9" s="112"/>
      <c r="L9" s="42"/>
      <c r="M9" s="39"/>
      <c r="N9" s="40">
        <f>M8*N26/M25</f>
        <v>16499.999999999996</v>
      </c>
      <c r="O9" s="41">
        <f>M8*O26/M25</f>
        <v>0</v>
      </c>
      <c r="P9" s="44"/>
      <c r="Q9" s="196"/>
      <c r="R9" s="54"/>
    </row>
    <row r="10" spans="1:18" s="16" customFormat="1">
      <c r="A10" s="27"/>
      <c r="B10" s="1199"/>
      <c r="C10" s="58" t="str">
        <f>C27</f>
        <v>Brennst.gasförm.</v>
      </c>
      <c r="D10" s="1209">
        <f>D27</f>
        <v>0</v>
      </c>
      <c r="E10" s="1210"/>
      <c r="F10" s="1211"/>
      <c r="G10" s="1212" t="e">
        <f>#REF!</f>
        <v>#REF!</v>
      </c>
      <c r="H10" s="1210"/>
      <c r="I10" s="1211"/>
      <c r="J10" s="1212" t="e">
        <f>#REF!</f>
        <v>#REF!</v>
      </c>
      <c r="K10" s="1210"/>
      <c r="L10" s="1211"/>
      <c r="M10" s="1212">
        <f>M27</f>
        <v>6488.8888888888905</v>
      </c>
      <c r="N10" s="1210"/>
      <c r="O10" s="1213"/>
      <c r="P10" s="59" t="e">
        <f>SUM(D10:O10)</f>
        <v>#REF!</v>
      </c>
      <c r="Q10" s="197">
        <f>Q54*$C$2/$N$2</f>
        <v>25981.944444444442</v>
      </c>
      <c r="R10" s="54"/>
    </row>
    <row r="11" spans="1:18" s="16" customFormat="1">
      <c r="A11" s="27"/>
      <c r="B11" s="1199"/>
      <c r="C11" s="37"/>
      <c r="D11" s="38"/>
      <c r="E11" s="15"/>
      <c r="F11" s="109"/>
      <c r="G11" s="39"/>
      <c r="H11" s="40" t="e">
        <f>G10*H28/G27</f>
        <v>#REF!</v>
      </c>
      <c r="I11" s="41" t="e">
        <f>G10*I28/G27</f>
        <v>#REF!</v>
      </c>
      <c r="J11" s="39"/>
      <c r="K11" s="15"/>
      <c r="L11" s="109"/>
      <c r="M11" s="39"/>
      <c r="N11" s="40">
        <f>M10*N28/M27</f>
        <v>6488.8888888888905</v>
      </c>
      <c r="O11" s="41">
        <f>M10*O28/M27</f>
        <v>0</v>
      </c>
      <c r="P11" s="44"/>
      <c r="Q11" s="196"/>
      <c r="R11" s="54"/>
    </row>
    <row r="12" spans="1:18" s="16" customFormat="1">
      <c r="A12" s="27"/>
      <c r="B12" s="1199"/>
      <c r="C12" s="60" t="str">
        <f>C29</f>
        <v>Brennst.flüssig</v>
      </c>
      <c r="D12" s="1209">
        <f>D29</f>
        <v>0</v>
      </c>
      <c r="E12" s="1210"/>
      <c r="F12" s="1211"/>
      <c r="G12" s="1212" t="e">
        <f>#REF!</f>
        <v>#REF!</v>
      </c>
      <c r="H12" s="1210"/>
      <c r="I12" s="1211"/>
      <c r="J12" s="1212" t="e">
        <f>#REF!</f>
        <v>#REF!</v>
      </c>
      <c r="K12" s="1210"/>
      <c r="L12" s="1211"/>
      <c r="M12" s="1212">
        <f>M29</f>
        <v>755691.77777777787</v>
      </c>
      <c r="N12" s="1210"/>
      <c r="O12" s="1213"/>
      <c r="P12" s="61" t="e">
        <f>SUM(D12:O12)</f>
        <v>#REF!</v>
      </c>
      <c r="Q12" s="198">
        <f>Q56*$C$2/$N$2</f>
        <v>238532.22222222219</v>
      </c>
      <c r="R12" s="54"/>
    </row>
    <row r="13" spans="1:18" s="16" customFormat="1">
      <c r="A13" s="27"/>
      <c r="B13" s="1199"/>
      <c r="C13" s="37"/>
      <c r="D13" s="38"/>
      <c r="E13" s="15"/>
      <c r="F13" s="109"/>
      <c r="G13" s="39"/>
      <c r="H13" s="40" t="e">
        <f>G12*H30/G29</f>
        <v>#REF!</v>
      </c>
      <c r="I13" s="41" t="e">
        <f>G12*I30/G29</f>
        <v>#REF!</v>
      </c>
      <c r="J13" s="39"/>
      <c r="K13" s="15"/>
      <c r="L13" s="109"/>
      <c r="M13" s="39"/>
      <c r="N13" s="40">
        <f>M12*N30/M29</f>
        <v>649113.72222222225</v>
      </c>
      <c r="O13" s="41">
        <f>M12*O30/M29</f>
        <v>106578.05555555553</v>
      </c>
      <c r="P13" s="44"/>
      <c r="Q13" s="196"/>
      <c r="R13" s="54"/>
    </row>
    <row r="14" spans="1:18" s="16" customFormat="1">
      <c r="A14" s="27"/>
      <c r="B14" s="1199"/>
      <c r="C14" s="62" t="str">
        <f>C31</f>
        <v>Brennst.fest</v>
      </c>
      <c r="D14" s="1209">
        <f>D31</f>
        <v>0</v>
      </c>
      <c r="E14" s="1210"/>
      <c r="F14" s="1211"/>
      <c r="G14" s="1212" t="e">
        <f>#REF!</f>
        <v>#REF!</v>
      </c>
      <c r="H14" s="1210"/>
      <c r="I14" s="1211"/>
      <c r="J14" s="1212" t="e">
        <f>#REF!</f>
        <v>#REF!</v>
      </c>
      <c r="K14" s="1210"/>
      <c r="L14" s="1211"/>
      <c r="M14" s="1212">
        <f>M31</f>
        <v>0</v>
      </c>
      <c r="N14" s="1210"/>
      <c r="O14" s="1210"/>
      <c r="P14" s="63" t="e">
        <f>SUM(D14:O14)</f>
        <v>#REF!</v>
      </c>
      <c r="Q14" s="199">
        <f>Q58*$C$2/$N$2</f>
        <v>6646.666666666667</v>
      </c>
      <c r="R14" s="54"/>
    </row>
    <row r="15" spans="1:18" s="16" customFormat="1">
      <c r="A15" s="27"/>
      <c r="B15" s="1199"/>
      <c r="C15" s="26"/>
      <c r="D15" s="38"/>
      <c r="E15" s="15"/>
      <c r="F15" s="109"/>
      <c r="G15" s="39"/>
      <c r="H15" s="40" t="e">
        <f>G14*H32/G31</f>
        <v>#REF!</v>
      </c>
      <c r="I15" s="41" t="e">
        <f>G14*I32/G31</f>
        <v>#REF!</v>
      </c>
      <c r="J15" s="39"/>
      <c r="K15" s="15"/>
      <c r="L15" s="109"/>
      <c r="M15" s="39"/>
      <c r="N15" s="40">
        <v>0</v>
      </c>
      <c r="O15" s="41">
        <v>0</v>
      </c>
      <c r="P15" s="44"/>
      <c r="Q15" s="196"/>
      <c r="R15" s="54"/>
    </row>
    <row r="16" spans="1:18" s="16" customFormat="1">
      <c r="A16" s="27"/>
      <c r="B16" s="1199"/>
      <c r="C16" s="64" t="str">
        <f>C33</f>
        <v xml:space="preserve">Wärme </v>
      </c>
      <c r="D16" s="1209">
        <f>D33</f>
        <v>0</v>
      </c>
      <c r="E16" s="1210"/>
      <c r="F16" s="1211"/>
      <c r="G16" s="1212" t="e">
        <f>#REF!</f>
        <v>#REF!</v>
      </c>
      <c r="H16" s="1210"/>
      <c r="I16" s="1211"/>
      <c r="J16" s="1212" t="e">
        <f>#REF!</f>
        <v>#REF!</v>
      </c>
      <c r="K16" s="1210"/>
      <c r="L16" s="1211"/>
      <c r="M16" s="1212">
        <f>M33</f>
        <v>0</v>
      </c>
      <c r="N16" s="1210"/>
      <c r="O16" s="1210"/>
      <c r="P16" s="65" t="e">
        <f>SUM(D16:O16)</f>
        <v>#REF!</v>
      </c>
      <c r="Q16" s="201"/>
      <c r="R16" s="54"/>
    </row>
    <row r="17" spans="1:30" s="16" customFormat="1" ht="16" thickBot="1">
      <c r="A17" s="27"/>
      <c r="B17" s="1200"/>
      <c r="C17" s="34"/>
      <c r="D17" s="110"/>
      <c r="E17" s="108"/>
      <c r="F17" s="111"/>
      <c r="G17" s="45"/>
      <c r="H17" s="46" t="e">
        <f>G16*H34/G33</f>
        <v>#REF!</v>
      </c>
      <c r="I17" s="47" t="e">
        <f>G16*I34/G33</f>
        <v>#REF!</v>
      </c>
      <c r="J17" s="45"/>
      <c r="K17" s="108"/>
      <c r="L17" s="111"/>
      <c r="M17" s="45"/>
      <c r="N17" s="46">
        <v>0</v>
      </c>
      <c r="O17" s="46">
        <v>0</v>
      </c>
      <c r="P17" s="48"/>
      <c r="Q17" s="200"/>
      <c r="R17" s="54"/>
    </row>
    <row r="18" spans="1:30" s="16" customFormat="1" ht="17" thickTop="1" thickBot="1">
      <c r="A18" s="27"/>
      <c r="B18" s="36"/>
      <c r="C18" s="35" t="str">
        <f>C45</f>
        <v xml:space="preserve">Nahwärme Abw./erneuerb. </v>
      </c>
      <c r="D18" s="1220">
        <f>SUM(D8:D16)</f>
        <v>378194.44444444444</v>
      </c>
      <c r="E18" s="1221"/>
      <c r="F18" s="1222"/>
      <c r="G18" s="1223" t="e">
        <f>SUM(G8:G16)</f>
        <v>#REF!</v>
      </c>
      <c r="H18" s="1224"/>
      <c r="I18" s="1225"/>
      <c r="J18" s="1226" t="e">
        <f>SUM(J8:J16)</f>
        <v>#REF!</v>
      </c>
      <c r="K18" s="1227"/>
      <c r="L18" s="1228"/>
      <c r="M18" s="1229">
        <f>SUM(M8:M16)</f>
        <v>778680.66666666674</v>
      </c>
      <c r="N18" s="1230"/>
      <c r="O18" s="1230"/>
      <c r="P18" s="49" t="e">
        <f>SUM(P8:P16)</f>
        <v>#REF!</v>
      </c>
      <c r="Q18" s="196">
        <f>SUM(Q10:Q15)</f>
        <v>271160.83333333331</v>
      </c>
      <c r="R18" s="5"/>
      <c r="W18" s="16" t="e">
        <f>P18*3.6/1000</f>
        <v>#REF!</v>
      </c>
    </row>
    <row r="19" spans="1:30" s="16" customFormat="1">
      <c r="A19" s="27"/>
      <c r="B19" s="6"/>
      <c r="C19" s="6"/>
      <c r="D19" s="6"/>
      <c r="E19" s="6"/>
      <c r="F19" s="6"/>
      <c r="H19" s="19" t="e">
        <f>SUM(H9:H17)</f>
        <v>#REF!</v>
      </c>
      <c r="I19" s="19" t="e">
        <f>SUM(I9:I17)</f>
        <v>#REF!</v>
      </c>
      <c r="N19" s="19">
        <f>SUM(N9:N17)</f>
        <v>672102.61111111112</v>
      </c>
      <c r="O19" s="19">
        <f>SUM(O9:O17)</f>
        <v>106578.05555555553</v>
      </c>
      <c r="Q19" s="54"/>
      <c r="R19" s="54"/>
      <c r="U19" s="19"/>
      <c r="V19" s="19"/>
      <c r="AD19" s="16" t="e">
        <f>I19/(H19+I19)%</f>
        <v>#REF!</v>
      </c>
    </row>
    <row r="20" spans="1:30" s="16" customFormat="1">
      <c r="A20" s="27"/>
      <c r="B20" s="11"/>
      <c r="C20" s="11"/>
      <c r="D20" s="11"/>
      <c r="E20" s="11"/>
      <c r="F20" s="11"/>
      <c r="G20" s="11"/>
      <c r="H20" s="11"/>
      <c r="I20" s="11"/>
      <c r="J20" s="11"/>
      <c r="K20" s="11"/>
      <c r="L20" s="11"/>
      <c r="M20" s="11"/>
      <c r="N20" s="11"/>
      <c r="O20" s="11"/>
      <c r="P20" s="11"/>
      <c r="Q20" s="54"/>
      <c r="R20" s="54"/>
      <c r="T20" s="11"/>
      <c r="U20" s="11"/>
      <c r="V20" s="11"/>
      <c r="W20" s="11"/>
      <c r="X20" s="11"/>
      <c r="Y20" s="11"/>
    </row>
    <row r="21" spans="1:30" ht="20" thickBot="1">
      <c r="A21" s="1"/>
      <c r="B21" s="4" t="s">
        <v>16</v>
      </c>
      <c r="T21" s="4" t="s">
        <v>18</v>
      </c>
      <c r="U21" s="4"/>
    </row>
    <row r="22" spans="1:30">
      <c r="A22" s="1"/>
      <c r="B22" s="24"/>
      <c r="C22" s="70" t="s">
        <v>15</v>
      </c>
      <c r="D22" s="1171" t="str">
        <f>D49</f>
        <v>Anwendung</v>
      </c>
      <c r="E22" s="1172"/>
      <c r="F22" s="1172"/>
      <c r="G22" s="1172"/>
      <c r="H22" s="1172"/>
      <c r="I22" s="1172"/>
      <c r="J22" s="1172"/>
      <c r="K22" s="1172"/>
      <c r="L22" s="1172"/>
      <c r="M22" s="1172"/>
      <c r="N22" s="1172"/>
      <c r="O22" s="1173"/>
      <c r="P22" s="31"/>
      <c r="T22" s="143" t="s">
        <v>19</v>
      </c>
      <c r="U22" s="143"/>
    </row>
    <row r="23" spans="1:30" ht="15" customHeight="1">
      <c r="A23" s="1"/>
      <c r="B23" s="28"/>
      <c r="C23" s="17"/>
      <c r="D23" s="1174" t="str">
        <f>D50</f>
        <v>Kraft/Licht/
IKT/Kälte</v>
      </c>
      <c r="E23" s="1175"/>
      <c r="F23" s="1176"/>
      <c r="G23" s="1180" t="str">
        <f>G50</f>
        <v>Gebäudewärme</v>
      </c>
      <c r="H23" s="1181"/>
      <c r="I23" s="1182"/>
      <c r="J23" s="1183" t="str">
        <f>J50</f>
        <v>Prozess-
wärme</v>
      </c>
      <c r="K23" s="1184"/>
      <c r="L23" s="1185"/>
      <c r="M23" s="1189" t="str">
        <f>M50</f>
        <v>Mobile Anwend.</v>
      </c>
      <c r="N23" s="1190"/>
      <c r="O23" s="1190"/>
      <c r="P23" s="32" t="str">
        <f>P50</f>
        <v>insgesamt</v>
      </c>
      <c r="T23" s="1191" t="str">
        <f>G23</f>
        <v>Gebäudewärme</v>
      </c>
      <c r="U23" s="1192"/>
      <c r="V23" s="1193"/>
      <c r="W23" s="1183" t="str">
        <f>J23</f>
        <v>Prozess-
wärme</v>
      </c>
      <c r="X23" s="1184"/>
      <c r="Y23" s="1185"/>
      <c r="AD23" t="s">
        <v>14</v>
      </c>
    </row>
    <row r="24" spans="1:30" ht="16" thickBot="1">
      <c r="A24" s="1"/>
      <c r="B24" s="25"/>
      <c r="C24" s="29"/>
      <c r="D24" s="1177"/>
      <c r="E24" s="1178"/>
      <c r="F24" s="1179"/>
      <c r="G24" s="1194" t="str">
        <f>G51</f>
        <v>Raumw.</v>
      </c>
      <c r="H24" s="1195"/>
      <c r="I24" s="30" t="str">
        <f>I51</f>
        <v>Warmwas.</v>
      </c>
      <c r="J24" s="1186"/>
      <c r="K24" s="1187"/>
      <c r="L24" s="1188"/>
      <c r="M24" s="1196" t="str">
        <f>M51</f>
        <v>Boden+</v>
      </c>
      <c r="N24" s="1197"/>
      <c r="O24" s="147" t="str">
        <f>O51</f>
        <v>Luft</v>
      </c>
      <c r="P24" s="33"/>
      <c r="T24" s="1194" t="str">
        <f>G24</f>
        <v>Raumw.</v>
      </c>
      <c r="U24" s="1195"/>
      <c r="V24" s="30" t="str">
        <f>I24</f>
        <v>Warmwas.</v>
      </c>
      <c r="W24" s="1186">
        <f>J24</f>
        <v>0</v>
      </c>
      <c r="X24" s="1187"/>
      <c r="Y24" s="1188">
        <f>L24</f>
        <v>0</v>
      </c>
    </row>
    <row r="25" spans="1:30" ht="16" thickTop="1">
      <c r="A25" s="1"/>
      <c r="B25" s="1198" t="str">
        <f>B52</f>
        <v>Endenergie-Träger</v>
      </c>
      <c r="C25" s="56" t="str">
        <f>C52</f>
        <v>Strom</v>
      </c>
      <c r="D25" s="1201">
        <f>D52*$C$2/$N$2</f>
        <v>378194.44444444444</v>
      </c>
      <c r="E25" s="1202"/>
      <c r="F25" s="1203"/>
      <c r="G25" s="1204">
        <f>G52*$C$2/$N$2</f>
        <v>39666.666666666664</v>
      </c>
      <c r="H25" s="1205"/>
      <c r="I25" s="1206"/>
      <c r="J25" s="1207">
        <f>J52*$C$2/$N$2</f>
        <v>84944.444444444409</v>
      </c>
      <c r="K25" s="1202"/>
      <c r="L25" s="1203"/>
      <c r="M25" s="1204">
        <f>M52*$C$2/$N$2</f>
        <v>16499.999999999996</v>
      </c>
      <c r="N25" s="1205"/>
      <c r="O25" s="1208"/>
      <c r="P25" s="57">
        <f>SUM(D25:O25)</f>
        <v>519305.5555555555</v>
      </c>
      <c r="T25" s="1204">
        <f>G25*G80%</f>
        <v>39666.666666666664</v>
      </c>
      <c r="U25" s="1205"/>
      <c r="V25" s="1206"/>
      <c r="W25" s="1204">
        <f>J25*J80%</f>
        <v>84944.444444444409</v>
      </c>
      <c r="X25" s="1205"/>
      <c r="Y25" s="1206"/>
    </row>
    <row r="26" spans="1:30">
      <c r="A26" s="1"/>
      <c r="B26" s="1199"/>
      <c r="C26" s="37"/>
      <c r="D26" s="38"/>
      <c r="E26" s="15"/>
      <c r="F26" s="109"/>
      <c r="G26" s="39"/>
      <c r="H26" s="40">
        <f>H53*$C$2/$N$2</f>
        <v>14083.333333333332</v>
      </c>
      <c r="I26" s="41">
        <f>I53*$C$2/$N$2</f>
        <v>25583.333333333336</v>
      </c>
      <c r="J26" s="113"/>
      <c r="K26" s="112"/>
      <c r="L26" s="42"/>
      <c r="M26" s="39"/>
      <c r="N26" s="40">
        <f>N53*$C$2/$N$2</f>
        <v>16499.999999999996</v>
      </c>
      <c r="O26" s="43">
        <f>O53*$C$2/$N$2</f>
        <v>0</v>
      </c>
      <c r="P26" s="44"/>
      <c r="T26" s="39"/>
      <c r="U26" s="40">
        <f>H26*G80%</f>
        <v>14083.333333333332</v>
      </c>
      <c r="V26" s="40">
        <f>I26*G80%</f>
        <v>25583.333333333336</v>
      </c>
      <c r="W26" s="113"/>
      <c r="X26" s="40"/>
      <c r="Y26" s="41"/>
      <c r="AD26">
        <f>I26/(H26+I26)%</f>
        <v>64.495798319327719</v>
      </c>
    </row>
    <row r="27" spans="1:30">
      <c r="A27" s="1"/>
      <c r="B27" s="1199"/>
      <c r="C27" s="58" t="str">
        <f>C54</f>
        <v>Brennst.gasförm.</v>
      </c>
      <c r="D27" s="1209">
        <f t="shared" ref="D27:D33" si="0">D54*$C$2/$N$2</f>
        <v>0</v>
      </c>
      <c r="E27" s="1210"/>
      <c r="F27" s="1211"/>
      <c r="G27" s="1212">
        <f>G54*$C$2/$N$2</f>
        <v>400555.55555555556</v>
      </c>
      <c r="H27" s="1210"/>
      <c r="I27" s="1211"/>
      <c r="J27" s="1212">
        <f>J54*$C$2/$N$2</f>
        <v>230194.44444444447</v>
      </c>
      <c r="K27" s="1210"/>
      <c r="L27" s="1211"/>
      <c r="M27" s="1212">
        <f>M54*$C$2/$N$2</f>
        <v>6488.8888888888905</v>
      </c>
      <c r="N27" s="1210"/>
      <c r="O27" s="1213"/>
      <c r="P27" s="59">
        <f>SUM(D27:O27)</f>
        <v>637238.88888888888</v>
      </c>
      <c r="T27" s="1204">
        <f>G27*G81%</f>
        <v>340472.22222222219</v>
      </c>
      <c r="U27" s="1205"/>
      <c r="V27" s="1206"/>
      <c r="W27" s="1204">
        <f>J27*J81%</f>
        <v>207175.00000000003</v>
      </c>
      <c r="X27" s="1205"/>
      <c r="Y27" s="1206"/>
    </row>
    <row r="28" spans="1:30">
      <c r="A28" s="1"/>
      <c r="B28" s="1199"/>
      <c r="C28" s="37"/>
      <c r="D28" s="38"/>
      <c r="E28" s="15"/>
      <c r="F28" s="109"/>
      <c r="G28" s="39"/>
      <c r="H28" s="40">
        <f>H55*$C$2/$N$2</f>
        <v>340222.22222222225</v>
      </c>
      <c r="I28" s="41">
        <f>I55*$C$2/$N$2</f>
        <v>60333.333333333336</v>
      </c>
      <c r="J28" s="39"/>
      <c r="K28" s="15"/>
      <c r="L28" s="109"/>
      <c r="M28" s="39"/>
      <c r="N28" s="40">
        <f>N55*$C$2/$N$2</f>
        <v>6488.8888888888905</v>
      </c>
      <c r="O28" s="43">
        <f>O55*$C$2/$N$2</f>
        <v>0</v>
      </c>
      <c r="P28" s="44"/>
      <c r="T28" s="39"/>
      <c r="U28" s="40">
        <f>H28*G81%</f>
        <v>289188.88888888888</v>
      </c>
      <c r="V28" s="40">
        <f>I28*G81%</f>
        <v>51283.333333333336</v>
      </c>
      <c r="W28" s="39"/>
      <c r="X28" s="40"/>
      <c r="Y28" s="41"/>
      <c r="AD28" s="16">
        <f>I28/(H28+I28)%</f>
        <v>15.0624133148405</v>
      </c>
    </row>
    <row r="29" spans="1:30">
      <c r="A29" s="1"/>
      <c r="B29" s="1199"/>
      <c r="C29" s="60" t="str">
        <f>C56</f>
        <v>Brennst.flüssig</v>
      </c>
      <c r="D29" s="1209">
        <f t="shared" si="0"/>
        <v>0</v>
      </c>
      <c r="E29" s="1210"/>
      <c r="F29" s="1211"/>
      <c r="G29" s="1212">
        <f>G56*$C$2/$N$2</f>
        <v>192388.88888888891</v>
      </c>
      <c r="H29" s="1210"/>
      <c r="I29" s="1211"/>
      <c r="J29" s="1212">
        <f>J56*$C$2/$N$2</f>
        <v>26861.111111111109</v>
      </c>
      <c r="K29" s="1210"/>
      <c r="L29" s="1211"/>
      <c r="M29" s="1212">
        <f>M56*$C$2/$N$2</f>
        <v>755691.77777777787</v>
      </c>
      <c r="N29" s="1210"/>
      <c r="O29" s="1213"/>
      <c r="P29" s="61">
        <f>SUM(D29:O29)</f>
        <v>974941.77777777787</v>
      </c>
      <c r="T29" s="1204">
        <f>G29*G82%</f>
        <v>153911.11111111112</v>
      </c>
      <c r="U29" s="1205"/>
      <c r="V29" s="1206"/>
      <c r="W29" s="1204">
        <f>J29*J82%</f>
        <v>22831.944444444442</v>
      </c>
      <c r="X29" s="1205"/>
      <c r="Y29" s="1206"/>
    </row>
    <row r="30" spans="1:30">
      <c r="A30" s="1"/>
      <c r="B30" s="1199"/>
      <c r="C30" s="37"/>
      <c r="D30" s="38"/>
      <c r="E30" s="15"/>
      <c r="F30" s="109"/>
      <c r="G30" s="39"/>
      <c r="H30" s="40">
        <f>H57*$C$2/$N$2</f>
        <v>165583.33333333331</v>
      </c>
      <c r="I30" s="41">
        <f>I57*$C$2/$N$2</f>
        <v>26805.555555555558</v>
      </c>
      <c r="J30" s="39"/>
      <c r="K30" s="15"/>
      <c r="L30" s="109"/>
      <c r="M30" s="39"/>
      <c r="N30" s="40">
        <f>N57*$C$2/$N$2</f>
        <v>649113.72222222225</v>
      </c>
      <c r="O30" s="43">
        <f>O57*$C$2/$N$2</f>
        <v>106578.05555555555</v>
      </c>
      <c r="P30" s="44"/>
      <c r="T30" s="39"/>
      <c r="U30" s="40">
        <f>H30*G82%</f>
        <v>132466.66666666666</v>
      </c>
      <c r="V30" s="40">
        <f>I30*G82%</f>
        <v>21444.444444444449</v>
      </c>
      <c r="W30" s="39"/>
      <c r="X30" s="40"/>
      <c r="Y30" s="41"/>
      <c r="AD30" s="16">
        <f>I30/(H30+I30)%</f>
        <v>13.933006064106269</v>
      </c>
    </row>
    <row r="31" spans="1:30">
      <c r="A31" s="1"/>
      <c r="B31" s="1199"/>
      <c r="C31" s="62" t="str">
        <f>C58</f>
        <v>Brennst.fest</v>
      </c>
      <c r="D31" s="1209">
        <f t="shared" si="0"/>
        <v>0</v>
      </c>
      <c r="E31" s="1210"/>
      <c r="F31" s="1211"/>
      <c r="G31" s="1212">
        <f>G58*$C$2/$N$2</f>
        <v>95816.666666666686</v>
      </c>
      <c r="H31" s="1210"/>
      <c r="I31" s="1211"/>
      <c r="J31" s="1212">
        <f>J58*$C$2/$N$2</f>
        <v>121022.22222222222</v>
      </c>
      <c r="K31" s="1210"/>
      <c r="L31" s="1211"/>
      <c r="M31" s="1212">
        <f>M58*$C$2/$N$2</f>
        <v>0</v>
      </c>
      <c r="N31" s="1210"/>
      <c r="O31" s="1210"/>
      <c r="P31" s="63">
        <f>SUM(D31:O31)</f>
        <v>216838.88888888891</v>
      </c>
      <c r="T31" s="1204">
        <f>G31*G83%</f>
        <v>71862.500000000015</v>
      </c>
      <c r="U31" s="1205"/>
      <c r="V31" s="1206"/>
      <c r="W31" s="1204">
        <f>J31*J83%</f>
        <v>96817.777777777781</v>
      </c>
      <c r="X31" s="1205"/>
      <c r="Y31" s="1206"/>
    </row>
    <row r="32" spans="1:30">
      <c r="A32" s="1"/>
      <c r="B32" s="1199"/>
      <c r="C32" s="26"/>
      <c r="D32" s="38"/>
      <c r="E32" s="15"/>
      <c r="F32" s="109"/>
      <c r="G32" s="39"/>
      <c r="H32" s="40">
        <f>H59*$C$2/$N$2</f>
        <v>93206.874189364491</v>
      </c>
      <c r="I32" s="41">
        <f>I59*$C$2/$N$2</f>
        <v>2609.7924773021955</v>
      </c>
      <c r="J32" s="39"/>
      <c r="K32" s="15"/>
      <c r="L32" s="109"/>
      <c r="M32" s="39"/>
      <c r="N32" s="40">
        <f>N59*$C$2/$N$2</f>
        <v>0</v>
      </c>
      <c r="O32" s="43">
        <f>O59*$C$2/$N$2</f>
        <v>0</v>
      </c>
      <c r="P32" s="44"/>
      <c r="T32" s="39"/>
      <c r="U32" s="40">
        <f>H32*G83%</f>
        <v>69905.155642023368</v>
      </c>
      <c r="V32" s="40">
        <f>I32*G83%</f>
        <v>1957.3443579766467</v>
      </c>
      <c r="W32" s="39"/>
      <c r="X32" s="15"/>
      <c r="Y32" s="109"/>
      <c r="AD32" s="16">
        <f>I32/(H32+I32)%</f>
        <v>2.7237354085603007</v>
      </c>
    </row>
    <row r="33" spans="1:30">
      <c r="A33" s="1"/>
      <c r="B33" s="1199"/>
      <c r="C33" s="64" t="str">
        <f>C60</f>
        <v xml:space="preserve">Wärme </v>
      </c>
      <c r="D33" s="1209">
        <f t="shared" si="0"/>
        <v>0</v>
      </c>
      <c r="E33" s="1210"/>
      <c r="F33" s="1211"/>
      <c r="G33" s="1212">
        <f>G60*$C$2/$N$2</f>
        <v>148418.68482236017</v>
      </c>
      <c r="H33" s="1210"/>
      <c r="I33" s="1211"/>
      <c r="J33" s="1212">
        <f>J60*$C$2/$N$2</f>
        <v>57138.888888888883</v>
      </c>
      <c r="K33" s="1210"/>
      <c r="L33" s="1211"/>
      <c r="M33" s="1212">
        <f>M60*$C$2/$N$2</f>
        <v>0</v>
      </c>
      <c r="N33" s="1210"/>
      <c r="O33" s="1210"/>
      <c r="P33" s="65">
        <f>SUM(D33:O33)</f>
        <v>205557.57371124905</v>
      </c>
      <c r="T33" s="1204">
        <f>G33*G$84%</f>
        <v>148418.68482236017</v>
      </c>
      <c r="U33" s="1205"/>
      <c r="V33" s="1206"/>
      <c r="W33" s="1204">
        <f>J33*J84%</f>
        <v>57138.888888888883</v>
      </c>
      <c r="X33" s="1205"/>
      <c r="Y33" s="1206"/>
    </row>
    <row r="34" spans="1:30" ht="16" thickBot="1">
      <c r="A34" s="1"/>
      <c r="B34" s="1200"/>
      <c r="C34" s="34"/>
      <c r="D34" s="110"/>
      <c r="E34" s="108"/>
      <c r="F34" s="111"/>
      <c r="G34" s="45"/>
      <c r="H34" s="46">
        <f>H61*$C$2/$N$2</f>
        <v>134542.97675378775</v>
      </c>
      <c r="I34" s="47">
        <f>I61*$C$2/$N$2</f>
        <v>13875.708068572436</v>
      </c>
      <c r="J34" s="45"/>
      <c r="K34" s="108"/>
      <c r="L34" s="111"/>
      <c r="M34" s="45"/>
      <c r="N34" s="46">
        <f>N61*$C$2/$N$2</f>
        <v>0</v>
      </c>
      <c r="O34" s="46">
        <f>O61*$C$2/$N$2</f>
        <v>0</v>
      </c>
      <c r="P34" s="48"/>
      <c r="T34" s="45"/>
      <c r="U34" s="46">
        <f>H34*$G$84%</f>
        <v>134542.97675378775</v>
      </c>
      <c r="V34" s="46">
        <f>I34*G84%</f>
        <v>13875.708068572436</v>
      </c>
      <c r="W34" s="45"/>
      <c r="X34" s="108"/>
      <c r="Y34" s="111"/>
      <c r="AD34" s="16">
        <f>I34/(H34+I34)%</f>
        <v>9.3490304709141157</v>
      </c>
    </row>
    <row r="35" spans="1:30" ht="17" thickTop="1" thickBot="1">
      <c r="A35" s="1"/>
      <c r="B35" s="36"/>
      <c r="C35" s="35" t="str">
        <f>C62</f>
        <v>insgesamt</v>
      </c>
      <c r="D35" s="1220">
        <f>SUM(D25:D33)</f>
        <v>378194.44444444444</v>
      </c>
      <c r="E35" s="1221"/>
      <c r="F35" s="1222"/>
      <c r="G35" s="1223">
        <f>SUM(G25:G33)</f>
        <v>876846.46260013792</v>
      </c>
      <c r="H35" s="1224"/>
      <c r="I35" s="1225"/>
      <c r="J35" s="1226">
        <f>SUM(J25:J33)</f>
        <v>520161.11111111112</v>
      </c>
      <c r="K35" s="1227"/>
      <c r="L35" s="1228"/>
      <c r="M35" s="1229">
        <f>SUM(M25:M33)</f>
        <v>778680.66666666674</v>
      </c>
      <c r="N35" s="1230"/>
      <c r="O35" s="1230"/>
      <c r="P35" s="49">
        <f>SUM(P25:P33)</f>
        <v>2553882.6848223605</v>
      </c>
      <c r="Q35" s="5"/>
      <c r="R35" s="5"/>
      <c r="T35" s="1231">
        <f>SUM(T25:T33)</f>
        <v>754331.18482236017</v>
      </c>
      <c r="U35" s="1232"/>
      <c r="V35" s="1233"/>
      <c r="W35" s="1231">
        <f>SUM(W25:W33)</f>
        <v>468908.0555555555</v>
      </c>
      <c r="X35" s="1232"/>
      <c r="Y35" s="1233"/>
      <c r="AC35">
        <f>P35*3.6/1000</f>
        <v>9193.9776653604968</v>
      </c>
      <c r="AD35" t="s">
        <v>4</v>
      </c>
    </row>
    <row r="36" spans="1:30">
      <c r="A36" s="1"/>
      <c r="B36" s="6"/>
      <c r="C36" s="6"/>
      <c r="D36" s="6"/>
      <c r="E36" s="6"/>
      <c r="F36" s="6"/>
      <c r="H36" s="19">
        <f>SUM(H26:H34)</f>
        <v>747638.73983204109</v>
      </c>
      <c r="I36" s="19">
        <f>SUM(I26:I34)</f>
        <v>129207.72276809686</v>
      </c>
      <c r="N36" s="19">
        <f>SUM(N26:N34)</f>
        <v>672102.61111111112</v>
      </c>
      <c r="O36" s="19">
        <f>SUM(O26:O34)</f>
        <v>106578.05555555555</v>
      </c>
      <c r="T36" s="16"/>
      <c r="U36" s="19"/>
      <c r="V36" s="19"/>
      <c r="AD36" s="16">
        <f>I36/(H36+I36)%</f>
        <v>14.735501399521359</v>
      </c>
    </row>
    <row r="37" spans="1:30" s="16" customFormat="1">
      <c r="A37" s="27"/>
      <c r="B37" s="11"/>
      <c r="C37" s="11"/>
      <c r="D37" s="11"/>
      <c r="E37" s="11"/>
      <c r="F37" s="11"/>
      <c r="G37" s="11"/>
      <c r="H37" s="11"/>
      <c r="I37" s="11"/>
      <c r="J37" s="11"/>
      <c r="K37" s="11"/>
      <c r="L37" s="11"/>
      <c r="M37" s="11"/>
      <c r="N37" s="11"/>
      <c r="O37" s="11"/>
      <c r="P37" s="11"/>
      <c r="Q37" s="54"/>
      <c r="R37" s="54"/>
      <c r="T37" s="11"/>
      <c r="U37" s="11"/>
      <c r="V37" s="11"/>
      <c r="W37" s="11"/>
      <c r="X37" s="11"/>
      <c r="Y37" s="11"/>
    </row>
    <row r="38" spans="1:30" s="16" customFormat="1" ht="20" thickBot="1">
      <c r="A38" s="27"/>
      <c r="B38" s="4" t="s">
        <v>17</v>
      </c>
      <c r="M38" s="27"/>
      <c r="N38" s="27"/>
      <c r="O38" s="27"/>
      <c r="P38" s="27"/>
      <c r="Q38" s="27"/>
      <c r="R38" s="27"/>
      <c r="S38" s="27"/>
    </row>
    <row r="39" spans="1:30" s="16" customFormat="1" ht="15" customHeight="1">
      <c r="A39" s="27"/>
      <c r="B39" s="114"/>
      <c r="C39" s="70" t="s">
        <v>15</v>
      </c>
      <c r="D39" s="115"/>
      <c r="E39" s="115"/>
      <c r="F39" s="115"/>
      <c r="G39" s="1214" t="str">
        <f>G69</f>
        <v>Gebäudewärme</v>
      </c>
      <c r="H39" s="1215"/>
      <c r="I39" s="1216"/>
      <c r="J39" s="1217" t="str">
        <f>J69</f>
        <v>Prozesswärme</v>
      </c>
      <c r="K39" s="1218"/>
      <c r="L39" s="1219"/>
      <c r="M39" s="27"/>
      <c r="N39" s="27"/>
      <c r="O39" s="27"/>
      <c r="P39" s="27"/>
      <c r="Q39" s="27"/>
      <c r="R39" s="27"/>
      <c r="S39" s="27"/>
      <c r="T39" s="1191" t="str">
        <f>G39</f>
        <v>Gebäudewärme</v>
      </c>
      <c r="U39" s="1192"/>
      <c r="V39" s="1193"/>
      <c r="W39" s="1183" t="str">
        <f>J39</f>
        <v>Prozesswärme</v>
      </c>
      <c r="X39" s="1184"/>
      <c r="Y39" s="1185"/>
    </row>
    <row r="40" spans="1:30" s="16" customFormat="1" ht="16" thickBot="1">
      <c r="A40" s="27"/>
      <c r="B40" s="116"/>
      <c r="C40" s="66"/>
      <c r="D40" s="66"/>
      <c r="E40" s="66"/>
      <c r="F40" s="117"/>
      <c r="G40" s="1194" t="str">
        <f>G70</f>
        <v>fossil</v>
      </c>
      <c r="H40" s="1195"/>
      <c r="I40" s="30" t="str">
        <f>I70</f>
        <v>erneuerb.</v>
      </c>
      <c r="J40" s="118" t="e">
        <f>'[2]2.'!#REF!</f>
        <v>#REF!</v>
      </c>
      <c r="K40" s="119" t="str">
        <f>K70</f>
        <v>fossil</v>
      </c>
      <c r="L40" s="120" t="str">
        <f>L70</f>
        <v>erneuerb.</v>
      </c>
      <c r="M40" s="27"/>
      <c r="N40" s="27"/>
      <c r="O40" s="27"/>
      <c r="P40" s="27"/>
      <c r="Q40" s="27"/>
      <c r="R40" s="27"/>
      <c r="S40" s="27"/>
      <c r="T40" s="1194" t="str">
        <f>G40</f>
        <v>fossil</v>
      </c>
      <c r="U40" s="1195"/>
      <c r="V40" s="30" t="str">
        <f>I40</f>
        <v>erneuerb.</v>
      </c>
      <c r="W40" s="118"/>
      <c r="X40" s="119" t="str">
        <f>K40</f>
        <v>fossil</v>
      </c>
      <c r="Y40" s="141" t="str">
        <f>L40</f>
        <v>erneuerb.</v>
      </c>
    </row>
    <row r="41" spans="1:30" s="16" customFormat="1" ht="16" thickTop="1">
      <c r="A41" s="27"/>
      <c r="B41" s="121"/>
      <c r="C41" s="122" t="str">
        <f>C71</f>
        <v>Wärme</v>
      </c>
      <c r="D41" s="67"/>
      <c r="E41" s="67"/>
      <c r="F41" s="67"/>
      <c r="G41" s="1237">
        <f>G71*$C$2/$N$2</f>
        <v>148418.68482236017</v>
      </c>
      <c r="H41" s="1238"/>
      <c r="I41" s="1240"/>
      <c r="J41" s="1237">
        <f>J71*$C$2/$N$2</f>
        <v>57138.888888888883</v>
      </c>
      <c r="K41" s="1238"/>
      <c r="L41" s="1239"/>
      <c r="M41" s="27"/>
      <c r="N41" s="27"/>
      <c r="O41" s="27"/>
      <c r="P41" s="27"/>
      <c r="Q41" s="27"/>
      <c r="R41" s="27"/>
      <c r="S41" s="27"/>
      <c r="T41" s="1237">
        <f>G41*G$84%</f>
        <v>148418.68482236017</v>
      </c>
      <c r="U41" s="1238"/>
      <c r="V41" s="1240"/>
      <c r="W41" s="1237">
        <f>J41*J$84%</f>
        <v>57138.888888888883</v>
      </c>
      <c r="X41" s="1238"/>
      <c r="Y41" s="1240"/>
    </row>
    <row r="42" spans="1:30" s="16" customFormat="1">
      <c r="A42" s="27"/>
      <c r="B42" s="123"/>
      <c r="C42" s="124" t="str">
        <f>C72</f>
        <v>Fernheizwerke    fossil</v>
      </c>
      <c r="D42" s="17"/>
      <c r="E42" s="17"/>
      <c r="F42" s="17"/>
      <c r="G42" s="125"/>
      <c r="H42" s="126">
        <f>H72*$C$2/$N$2</f>
        <v>27609.710828753749</v>
      </c>
      <c r="I42" s="127"/>
      <c r="J42" s="17"/>
      <c r="K42" s="139">
        <f>K72*$C$2/$N$2</f>
        <v>0</v>
      </c>
      <c r="L42" s="140"/>
      <c r="M42" s="27"/>
      <c r="N42" s="27"/>
      <c r="O42" s="27"/>
      <c r="P42" s="27"/>
      <c r="Q42" s="27"/>
      <c r="R42" s="27"/>
      <c r="S42" s="27"/>
      <c r="T42" s="125"/>
      <c r="U42" s="126">
        <f>H42*$G$84%</f>
        <v>27609.710828753749</v>
      </c>
      <c r="V42" s="127"/>
      <c r="W42" s="17"/>
      <c r="X42" s="139">
        <f>K42*$G$84%</f>
        <v>0</v>
      </c>
      <c r="Y42" s="142"/>
    </row>
    <row r="43" spans="1:30" s="16" customFormat="1">
      <c r="A43" s="27"/>
      <c r="B43" s="128"/>
      <c r="C43" s="129" t="str">
        <f>C73</f>
        <v xml:space="preserve">                              erneuerbar</v>
      </c>
      <c r="D43" s="22"/>
      <c r="E43" s="22"/>
      <c r="F43" s="22"/>
      <c r="G43" s="130"/>
      <c r="H43" s="40"/>
      <c r="I43" s="41">
        <f>I73*$C$2/$N$2</f>
        <v>6500</v>
      </c>
      <c r="J43" s="22"/>
      <c r="K43" s="40"/>
      <c r="L43" s="131">
        <f>L73*$C$2/$N$2</f>
        <v>0</v>
      </c>
      <c r="M43" s="27"/>
      <c r="N43" s="27"/>
      <c r="O43" s="27"/>
      <c r="P43" s="27"/>
      <c r="Q43" s="27"/>
      <c r="R43" s="27"/>
      <c r="S43" s="27"/>
      <c r="T43" s="130"/>
      <c r="U43" s="40"/>
      <c r="V43" s="41">
        <f>I43*$G$84%</f>
        <v>6500</v>
      </c>
      <c r="W43" s="22"/>
      <c r="X43" s="40"/>
      <c r="Y43" s="41">
        <f>L43*$G$84%</f>
        <v>0</v>
      </c>
    </row>
    <row r="44" spans="1:30" s="16" customFormat="1">
      <c r="A44" s="27"/>
      <c r="B44" s="132"/>
      <c r="C44" s="133" t="str">
        <f>C74</f>
        <v>Fern-HeizKRAFTwerke</v>
      </c>
      <c r="D44" s="52"/>
      <c r="E44" s="52"/>
      <c r="F44" s="52"/>
      <c r="G44" s="21"/>
      <c r="H44" s="134">
        <f>H74*$C$2/$N$2</f>
        <v>76638.973993606443</v>
      </c>
      <c r="I44" s="135">
        <f>I74*$C$2/$N$2</f>
        <v>24240</v>
      </c>
      <c r="J44" s="52"/>
      <c r="K44" s="134">
        <f>K74*$C$2/$N$2</f>
        <v>32500</v>
      </c>
      <c r="L44" s="136">
        <f>L74*$C$2/$N$2</f>
        <v>0</v>
      </c>
      <c r="M44" s="27"/>
      <c r="N44" s="27"/>
      <c r="O44" s="27"/>
      <c r="P44" s="27"/>
      <c r="Q44" s="27"/>
      <c r="R44" s="27"/>
      <c r="S44" s="27"/>
      <c r="T44" s="21"/>
      <c r="U44" s="134">
        <f>H44*$G$84%</f>
        <v>76638.973993606443</v>
      </c>
      <c r="V44" s="135">
        <f>I44*$G$84%</f>
        <v>24240</v>
      </c>
      <c r="W44" s="52"/>
      <c r="X44" s="134">
        <f>K44*$G$84%</f>
        <v>32500</v>
      </c>
      <c r="Y44" s="135">
        <f>L44*$G$84%</f>
        <v>0</v>
      </c>
    </row>
    <row r="45" spans="1:30" s="16" customFormat="1" ht="16" thickBot="1">
      <c r="A45" s="27"/>
      <c r="B45" s="137"/>
      <c r="C45" s="138" t="str">
        <f>C75</f>
        <v xml:space="preserve">Nahwärme Abw./erneuerb. </v>
      </c>
      <c r="D45" s="18"/>
      <c r="E45" s="18"/>
      <c r="F45" s="18"/>
      <c r="G45" s="12"/>
      <c r="H45" s="300">
        <f>IFERROR(H75*$C$2/$N$2,0)</f>
        <v>0</v>
      </c>
      <c r="I45" s="301">
        <f>I75*$C$2/$N$2</f>
        <v>13429.999999999998</v>
      </c>
      <c r="J45" s="18"/>
      <c r="K45" s="300">
        <f>K75*$C$2/$N$2</f>
        <v>24638.888888888887</v>
      </c>
      <c r="L45" s="302">
        <f>L75*$C$2/$N$2</f>
        <v>0</v>
      </c>
      <c r="M45" s="27"/>
      <c r="N45" s="27"/>
      <c r="O45" s="27"/>
      <c r="P45" s="27"/>
      <c r="Q45" s="27"/>
      <c r="R45" s="27"/>
      <c r="S45" s="27"/>
      <c r="T45" s="130"/>
      <c r="U45" s="134">
        <f>H45*$G$84%</f>
        <v>0</v>
      </c>
      <c r="V45" s="135">
        <f>I45*$G$84%</f>
        <v>13429.999999999998</v>
      </c>
      <c r="W45" s="22"/>
      <c r="X45" s="134">
        <f>K45*$G$84%</f>
        <v>24638.888888888887</v>
      </c>
      <c r="Y45" s="135">
        <f>L45*$G$84%</f>
        <v>0</v>
      </c>
    </row>
    <row r="46" spans="1:30">
      <c r="A46" s="27"/>
      <c r="B46" s="6"/>
      <c r="C46" s="7"/>
      <c r="D46" s="6"/>
      <c r="E46" s="6"/>
      <c r="F46" s="6"/>
    </row>
    <row r="47" spans="1:30">
      <c r="A47" t="s">
        <v>0</v>
      </c>
      <c r="C47" s="8"/>
      <c r="D47" s="6"/>
      <c r="E47" s="6"/>
      <c r="F47" s="6"/>
    </row>
    <row r="48" spans="1:30" ht="20" thickBot="1">
      <c r="A48" s="1" t="str">
        <f>'[2]2.'!A4</f>
        <v>BS.2.4</v>
      </c>
      <c r="B48" s="71" t="str">
        <f>'[2]2.'!D4</f>
        <v>BS.2.a   Endenergie-Verbrauch+ / Einwohner (direkt/indirekt)</v>
      </c>
      <c r="C48" s="20"/>
      <c r="D48" s="20"/>
      <c r="E48" s="20"/>
      <c r="F48" s="20"/>
      <c r="G48" s="20"/>
      <c r="H48" s="20"/>
      <c r="I48" s="20"/>
      <c r="J48" s="20"/>
      <c r="K48" s="20"/>
      <c r="L48" s="20"/>
      <c r="M48" s="20"/>
      <c r="N48" s="20"/>
      <c r="O48" s="20"/>
      <c r="P48" s="20"/>
    </row>
    <row r="49" spans="1:18">
      <c r="A49" s="1" t="str">
        <f>'[2]2.'!A5</f>
        <v>BS.2.5</v>
      </c>
      <c r="B49" s="72"/>
      <c r="C49" s="73" t="str">
        <f>'[2]2.'!E5</f>
        <v>Endenergie (kWh)</v>
      </c>
      <c r="D49" s="1257" t="str">
        <f>'[2]2.'!F5</f>
        <v>Anwendung</v>
      </c>
      <c r="E49" s="1258"/>
      <c r="F49" s="1258"/>
      <c r="G49" s="1258"/>
      <c r="H49" s="1258"/>
      <c r="I49" s="1258"/>
      <c r="J49" s="1258"/>
      <c r="K49" s="1258"/>
      <c r="L49" s="1258"/>
      <c r="M49" s="1258"/>
      <c r="N49" s="1258"/>
      <c r="O49" s="1259"/>
      <c r="P49" s="74"/>
      <c r="Q49" s="194"/>
    </row>
    <row r="50" spans="1:18" ht="15" customHeight="1">
      <c r="A50" s="1" t="str">
        <f>'[2]2.'!A6</f>
        <v>BS.2.6</v>
      </c>
      <c r="B50" s="75"/>
      <c r="C50" s="76"/>
      <c r="D50" s="1174" t="str">
        <f>'[2]2.'!F6</f>
        <v>Kraft/Licht/
IKT/Kälte</v>
      </c>
      <c r="E50" s="1175"/>
      <c r="F50" s="1176"/>
      <c r="G50" s="1260" t="str">
        <f>'[2]2.'!I6</f>
        <v>Gebäudewärme</v>
      </c>
      <c r="H50" s="1261"/>
      <c r="I50" s="1262"/>
      <c r="J50" s="1183" t="str">
        <f>'[2]2.'!L6</f>
        <v>Prozess-
wärme</v>
      </c>
      <c r="K50" s="1184"/>
      <c r="L50" s="1185"/>
      <c r="M50" s="1263" t="str">
        <f>'[2]2.'!O6</f>
        <v>Mobile Anwend.</v>
      </c>
      <c r="N50" s="1264"/>
      <c r="O50" s="1264"/>
      <c r="P50" s="77" t="str">
        <f>'[2]2.'!R6</f>
        <v>insgesamt</v>
      </c>
      <c r="Q50" s="195" t="str">
        <f>'[2]2.'!S6</f>
        <v>Nicht-</v>
      </c>
    </row>
    <row r="51" spans="1:18" ht="16" thickBot="1">
      <c r="A51" s="1" t="str">
        <f>'[2]2.'!A7</f>
        <v>BS.2.7</v>
      </c>
      <c r="B51" s="78"/>
      <c r="C51" s="79"/>
      <c r="D51" s="1177"/>
      <c r="E51" s="1178"/>
      <c r="F51" s="1179"/>
      <c r="G51" s="1265" t="str">
        <f>'[2]2.'!I7</f>
        <v>Raumw.</v>
      </c>
      <c r="H51" s="1266"/>
      <c r="I51" s="80" t="str">
        <f>'[2]2.'!K7</f>
        <v>Warmwas.</v>
      </c>
      <c r="J51" s="1186"/>
      <c r="K51" s="1187"/>
      <c r="L51" s="1188"/>
      <c r="M51" s="1267" t="str">
        <f>'[2]2.'!O7</f>
        <v>Boden+</v>
      </c>
      <c r="N51" s="1268"/>
      <c r="O51" s="148" t="str">
        <f>'[2]2.'!Q7</f>
        <v>Luft</v>
      </c>
      <c r="P51" s="81"/>
      <c r="Q51" s="195" t="str">
        <f>'[2]2.'!S7</f>
        <v>energet.</v>
      </c>
    </row>
    <row r="52" spans="1:18" ht="16" thickTop="1">
      <c r="A52" s="1" t="str">
        <f>'[2]2.'!A8</f>
        <v>BS.2.8</v>
      </c>
      <c r="B52" s="1241" t="str">
        <f>'[2]2.'!D8</f>
        <v>Endenergie-Träger</v>
      </c>
      <c r="C52" s="82" t="str">
        <f>'[2]2.'!E8</f>
        <v>Strom</v>
      </c>
      <c r="D52" s="1201">
        <f>'[2]2.'!F8</f>
        <v>4696.6821991173192</v>
      </c>
      <c r="E52" s="1202"/>
      <c r="F52" s="1203"/>
      <c r="G52" s="1244">
        <f>'[2]2.'!I8</f>
        <v>492.60831291513273</v>
      </c>
      <c r="H52" s="1245"/>
      <c r="I52" s="1246"/>
      <c r="J52" s="1207">
        <f>'[2]2.'!L8</f>
        <v>1054.8993143518735</v>
      </c>
      <c r="K52" s="1202"/>
      <c r="L52" s="1203"/>
      <c r="M52" s="1244">
        <f>'[2]2.'!O8</f>
        <v>204.90849991007619</v>
      </c>
      <c r="N52" s="1245"/>
      <c r="O52" s="1247"/>
      <c r="P52" s="83">
        <f>'[2]2.'!R8</f>
        <v>6449.0983262944019</v>
      </c>
      <c r="Q52" s="202"/>
    </row>
    <row r="53" spans="1:18">
      <c r="A53" s="1" t="str">
        <f>'[2]2.'!A9</f>
        <v>BS.2.9</v>
      </c>
      <c r="B53" s="1242"/>
      <c r="C53" s="84"/>
      <c r="D53" s="151"/>
      <c r="E53" s="152"/>
      <c r="F53" s="109"/>
      <c r="G53" s="85"/>
      <c r="H53" s="86">
        <f>'[2]2.'!J9</f>
        <v>174.89664891314584</v>
      </c>
      <c r="I53" s="87">
        <f>'[2]2.'!K9</f>
        <v>317.71166400198689</v>
      </c>
      <c r="J53" s="113"/>
      <c r="K53" s="112"/>
      <c r="L53" s="42"/>
      <c r="M53" s="85"/>
      <c r="N53" s="86">
        <f>'[2]2.'!P9</f>
        <v>204.90849991007619</v>
      </c>
      <c r="O53" s="88">
        <f>'[2]2.'!Q9</f>
        <v>0</v>
      </c>
      <c r="P53" s="89"/>
      <c r="Q53" s="196"/>
    </row>
    <row r="54" spans="1:18">
      <c r="A54" s="1" t="str">
        <f>'[2]2.'!A10</f>
        <v>BS.2.10</v>
      </c>
      <c r="B54" s="1242"/>
      <c r="C54" s="90" t="str">
        <f>'[2]2.'!E10</f>
        <v>Brennst.gasförm.</v>
      </c>
      <c r="D54" s="1209">
        <f>'[2]2.'!F10</f>
        <v>0</v>
      </c>
      <c r="E54" s="1210"/>
      <c r="F54" s="1211"/>
      <c r="G54" s="1248">
        <f>'[2]2.'!I10</f>
        <v>4974.3780617900657</v>
      </c>
      <c r="H54" s="1249"/>
      <c r="I54" s="1250"/>
      <c r="J54" s="1212">
        <f>'[2]2.'!L10</f>
        <v>2858.715048408757</v>
      </c>
      <c r="K54" s="1210"/>
      <c r="L54" s="1211"/>
      <c r="M54" s="1248">
        <f>'[2]2.'!O10</f>
        <v>80.583544745780827</v>
      </c>
      <c r="N54" s="1249"/>
      <c r="O54" s="1251"/>
      <c r="P54" s="91">
        <f>'[2]2.'!R10</f>
        <v>7913.6766549446038</v>
      </c>
      <c r="Q54" s="197">
        <f>'[2]2.'!S10</f>
        <v>322.66189459745755</v>
      </c>
    </row>
    <row r="55" spans="1:18">
      <c r="A55" s="1" t="str">
        <f>'[2]2.'!A11</f>
        <v>BS.2.11</v>
      </c>
      <c r="B55" s="1242"/>
      <c r="C55" s="84"/>
      <c r="D55" s="151"/>
      <c r="E55" s="152"/>
      <c r="F55" s="109"/>
      <c r="G55" s="85"/>
      <c r="H55" s="86">
        <f>'[2]2.'!J11</f>
        <v>4225.1166782804939</v>
      </c>
      <c r="I55" s="87">
        <f>'[2]2.'!K11</f>
        <v>749.2613835095716</v>
      </c>
      <c r="J55" s="39"/>
      <c r="K55" s="152"/>
      <c r="L55" s="109"/>
      <c r="M55" s="85"/>
      <c r="N55" s="86">
        <f>'[2]2.'!P11</f>
        <v>80.583544745780827</v>
      </c>
      <c r="O55" s="88">
        <f>'[2]2.'!Q11</f>
        <v>0</v>
      </c>
      <c r="P55" s="89"/>
      <c r="Q55" s="196"/>
    </row>
    <row r="56" spans="1:18">
      <c r="A56" s="1" t="str">
        <f>'[2]2.'!A12</f>
        <v>BS.2.12</v>
      </c>
      <c r="B56" s="1242"/>
      <c r="C56" s="92" t="str">
        <f>'[2]2.'!E12</f>
        <v>Brennst.flüssig</v>
      </c>
      <c r="D56" s="1209">
        <f>'[2]2.'!F12</f>
        <v>0</v>
      </c>
      <c r="E56" s="1210"/>
      <c r="F56" s="1211"/>
      <c r="G56" s="1248">
        <f>'[2]2.'!I12</f>
        <v>2389.2193103993063</v>
      </c>
      <c r="H56" s="1249"/>
      <c r="I56" s="1250"/>
      <c r="J56" s="1212">
        <f>'[2]2.'!L12</f>
        <v>333.57999901185809</v>
      </c>
      <c r="K56" s="1210"/>
      <c r="L56" s="1211"/>
      <c r="M56" s="1248">
        <f>'[2]2.'!O12</f>
        <v>9384.7071865953403</v>
      </c>
      <c r="N56" s="1249"/>
      <c r="O56" s="1251"/>
      <c r="P56" s="93">
        <f>'[2]2.'!R12</f>
        <v>12107.506496006505</v>
      </c>
      <c r="Q56" s="198">
        <f>'[2]2.'!S12</f>
        <v>2962.259383986212</v>
      </c>
    </row>
    <row r="57" spans="1:18">
      <c r="A57" s="1" t="str">
        <f>'[2]2.'!A13</f>
        <v>BS.2.13</v>
      </c>
      <c r="B57" s="1242"/>
      <c r="C57" s="84"/>
      <c r="D57" s="151"/>
      <c r="E57" s="152"/>
      <c r="F57" s="109"/>
      <c r="G57" s="85"/>
      <c r="H57" s="86">
        <f>'[2]2.'!J13</f>
        <v>2056.3292389965727</v>
      </c>
      <c r="I57" s="87">
        <f>'[2]2.'!K13</f>
        <v>332.89007140273327</v>
      </c>
      <c r="J57" s="39"/>
      <c r="K57" s="152"/>
      <c r="L57" s="109"/>
      <c r="M57" s="85"/>
      <c r="N57" s="86">
        <f>'[2]2.'!P13</f>
        <v>8061.1466116122101</v>
      </c>
      <c r="O57" s="88">
        <f>'[2]2.'!Q13</f>
        <v>1323.5605749831304</v>
      </c>
      <c r="P57" s="89"/>
      <c r="Q57" s="196"/>
    </row>
    <row r="58" spans="1:18">
      <c r="A58" s="1" t="str">
        <f>'[2]2.'!A14</f>
        <v>BS.2.14</v>
      </c>
      <c r="B58" s="1242"/>
      <c r="C58" s="94" t="str">
        <f>'[2]2.'!E14</f>
        <v>Brennst.fest</v>
      </c>
      <c r="D58" s="1209">
        <f>'[2]2.'!F14</f>
        <v>0</v>
      </c>
      <c r="E58" s="1210"/>
      <c r="F58" s="1211"/>
      <c r="G58" s="1248">
        <f>'[2]2.'!I14</f>
        <v>1189.9181474576044</v>
      </c>
      <c r="H58" s="1249"/>
      <c r="I58" s="1250"/>
      <c r="J58" s="1212">
        <f>'[2]2.'!L14</f>
        <v>1502.9383037175421</v>
      </c>
      <c r="K58" s="1210"/>
      <c r="L58" s="1211"/>
      <c r="M58" s="1248">
        <f>'[2]2.'!O14</f>
        <v>0</v>
      </c>
      <c r="N58" s="1249"/>
      <c r="O58" s="1249"/>
      <c r="P58" s="95">
        <f>'[2]2.'!R14</f>
        <v>2692.8564511751465</v>
      </c>
      <c r="Q58" s="199">
        <f>'[2]2.'!S14</f>
        <v>82.54293915569535</v>
      </c>
    </row>
    <row r="59" spans="1:18">
      <c r="A59" s="1" t="str">
        <f>'[2]2.'!A15</f>
        <v>BS.2.15</v>
      </c>
      <c r="B59" s="1242"/>
      <c r="C59" s="96"/>
      <c r="D59" s="151"/>
      <c r="E59" s="152"/>
      <c r="F59" s="109"/>
      <c r="G59" s="85"/>
      <c r="H59" s="86">
        <f>'[2]2.'!J15</f>
        <v>1157.5079255424168</v>
      </c>
      <c r="I59" s="87">
        <f>'[2]2.'!K15</f>
        <v>32.410221915187549</v>
      </c>
      <c r="J59" s="39"/>
      <c r="K59" s="152"/>
      <c r="L59" s="109"/>
      <c r="M59" s="85"/>
      <c r="N59" s="86">
        <f>'[2]2.'!P15</f>
        <v>0</v>
      </c>
      <c r="O59" s="88">
        <f>'[2]2.'!Q15</f>
        <v>0</v>
      </c>
      <c r="P59" s="89"/>
      <c r="Q59" s="196"/>
    </row>
    <row r="60" spans="1:18">
      <c r="A60" s="1" t="str">
        <f>'[2]2.'!A16</f>
        <v>BS.2.16</v>
      </c>
      <c r="B60" s="1242"/>
      <c r="C60" s="97" t="str">
        <f>'[2]2.'!E16</f>
        <v xml:space="preserve">Wärme </v>
      </c>
      <c r="D60" s="1209">
        <f>'[2]2.'!F16</f>
        <v>0</v>
      </c>
      <c r="E60" s="1210"/>
      <c r="F60" s="1211"/>
      <c r="G60" s="1248">
        <f>'[2]2.'!I16</f>
        <v>1843.1666706409831</v>
      </c>
      <c r="H60" s="1249"/>
      <c r="I60" s="1250"/>
      <c r="J60" s="1212">
        <f>'[2]2.'!L16</f>
        <v>709.59054598489354</v>
      </c>
      <c r="K60" s="1210"/>
      <c r="L60" s="1211"/>
      <c r="M60" s="1248">
        <f>'[2]2.'!O16</f>
        <v>0</v>
      </c>
      <c r="N60" s="1249"/>
      <c r="O60" s="1249"/>
      <c r="P60" s="98">
        <f>'[2]2.'!R16</f>
        <v>2552.7572166258765</v>
      </c>
      <c r="Q60" s="201"/>
    </row>
    <row r="61" spans="1:18" ht="16" thickBot="1">
      <c r="A61" s="1" t="str">
        <f>'[2]2.'!A17</f>
        <v>BS.2.17</v>
      </c>
      <c r="B61" s="1243"/>
      <c r="C61" s="99"/>
      <c r="D61" s="110"/>
      <c r="E61" s="108"/>
      <c r="F61" s="111"/>
      <c r="G61" s="100"/>
      <c r="H61" s="101">
        <f>'[2]2.'!J17</f>
        <v>1670.8484569730244</v>
      </c>
      <c r="I61" s="102">
        <f>'[2]2.'!K17</f>
        <v>172.3182136679587</v>
      </c>
      <c r="J61" s="45"/>
      <c r="K61" s="108"/>
      <c r="L61" s="111"/>
      <c r="M61" s="100"/>
      <c r="N61" s="101">
        <f>'[2]2.'!P17</f>
        <v>0</v>
      </c>
      <c r="O61" s="101">
        <f>'[2]2.'!Q17</f>
        <v>0</v>
      </c>
      <c r="P61" s="103"/>
      <c r="Q61" s="200"/>
    </row>
    <row r="62" spans="1:18" ht="17" thickTop="1" thickBot="1">
      <c r="A62" s="1" t="str">
        <f>'[2]2.'!A18</f>
        <v>BS.2.18</v>
      </c>
      <c r="B62" s="104"/>
      <c r="C62" s="105" t="str">
        <f>'[2]2.'!E18</f>
        <v>insgesamt</v>
      </c>
      <c r="D62" s="1220">
        <f>'[2]2.'!F18</f>
        <v>4696.6821991173192</v>
      </c>
      <c r="E62" s="1221"/>
      <c r="F62" s="1222"/>
      <c r="G62" s="1252">
        <f>'[2]2.'!I18</f>
        <v>10889.290503203092</v>
      </c>
      <c r="H62" s="1253"/>
      <c r="I62" s="1254"/>
      <c r="J62" s="1226">
        <f>'[2]2.'!L18</f>
        <v>6459.7232114749249</v>
      </c>
      <c r="K62" s="1227"/>
      <c r="L62" s="1228"/>
      <c r="M62" s="1255">
        <f>'[2]2.'!O18</f>
        <v>9670.1992312511975</v>
      </c>
      <c r="N62" s="1256"/>
      <c r="O62" s="1256"/>
      <c r="P62" s="106">
        <f>'[2]2.'!R18</f>
        <v>31715.895145046532</v>
      </c>
      <c r="Q62" s="196">
        <f>'[2]2.'!S18</f>
        <v>3367.4642177393648</v>
      </c>
      <c r="R62" s="5"/>
    </row>
    <row r="63" spans="1:18">
      <c r="A63" s="1" t="str">
        <f>'[2]2.'!A19</f>
        <v>BS.2.19</v>
      </c>
      <c r="B63" s="11" t="str">
        <f>'[2]2.'!D19</f>
        <v>errechnet aus der Tabelle [4.4] mit:</v>
      </c>
      <c r="C63" s="11"/>
      <c r="D63" s="11"/>
      <c r="E63" s="11"/>
      <c r="F63" s="11"/>
      <c r="G63" s="11"/>
      <c r="H63" s="11"/>
      <c r="I63" s="11"/>
      <c r="J63" s="11"/>
      <c r="K63" s="11"/>
      <c r="L63" s="11"/>
      <c r="M63" s="11"/>
      <c r="N63" s="11"/>
      <c r="O63" s="11"/>
      <c r="P63" s="11"/>
    </row>
    <row r="64" spans="1:18">
      <c r="A64" s="1" t="str">
        <f>'[2]2.'!A20</f>
        <v>BS.2.20</v>
      </c>
      <c r="B64" s="11"/>
      <c r="C64" s="11">
        <f>'[2]2.'!E20</f>
        <v>3.6</v>
      </c>
      <c r="D64" s="11" t="str">
        <f>'[2]2.'!F20</f>
        <v>PJ/TWh</v>
      </c>
      <c r="E64" s="11"/>
      <c r="F64" s="11"/>
      <c r="G64" s="11"/>
      <c r="H64" s="11"/>
      <c r="I64" s="11"/>
      <c r="J64" s="11"/>
      <c r="K64" s="11"/>
      <c r="L64" s="11"/>
      <c r="M64" s="11"/>
      <c r="N64" s="11"/>
      <c r="O64" s="11"/>
      <c r="P64" s="11"/>
    </row>
    <row r="65" spans="1:19">
      <c r="A65" s="1" t="str">
        <f>'[2]2.'!A21</f>
        <v>BS.2.21</v>
      </c>
      <c r="B65" s="11"/>
      <c r="C65" s="11">
        <f>'[2]2.'!E21</f>
        <v>1000000000</v>
      </c>
      <c r="D65" s="11" t="str">
        <f>'[2]2.'!F21</f>
        <v>kWh/TWh</v>
      </c>
      <c r="E65" s="11"/>
      <c r="F65" s="11"/>
      <c r="G65" s="11"/>
      <c r="H65" s="11"/>
      <c r="I65" s="11"/>
      <c r="J65" s="11"/>
      <c r="K65" s="11"/>
      <c r="L65" s="11"/>
      <c r="M65" s="11"/>
      <c r="N65" s="11"/>
      <c r="O65" s="11"/>
      <c r="P65" s="11"/>
    </row>
    <row r="66" spans="1:19">
      <c r="A66" s="1" t="str">
        <f>'[2]2.'!A22</f>
        <v>BS.2.22</v>
      </c>
      <c r="B66" s="11"/>
      <c r="C66" s="11">
        <f>'[2]2.'!E22</f>
        <v>80523746</v>
      </c>
      <c r="D66" s="11" t="str">
        <f>'[2]2.'!F22</f>
        <v>Einwohner Deutschland am 31.12.2012</v>
      </c>
      <c r="E66" s="11"/>
      <c r="F66" s="11"/>
      <c r="G66" s="11"/>
      <c r="H66" s="11"/>
      <c r="I66" s="11"/>
      <c r="J66" s="11"/>
      <c r="K66" s="11"/>
      <c r="L66" s="11"/>
      <c r="M66" s="11"/>
      <c r="N66" s="11"/>
      <c r="O66" s="11"/>
      <c r="P66" s="11"/>
    </row>
    <row r="67" spans="1:19">
      <c r="A67" s="27" t="str">
        <f>'[2]2.'!A23</f>
        <v>BS.2.23</v>
      </c>
      <c r="B67" s="11"/>
      <c r="C67" s="11"/>
      <c r="D67" s="11"/>
      <c r="E67" s="11"/>
      <c r="F67" s="11"/>
      <c r="G67" s="11"/>
      <c r="H67" s="11"/>
      <c r="I67" s="11"/>
      <c r="J67" s="11"/>
      <c r="K67" s="11"/>
      <c r="L67" s="11"/>
      <c r="M67" s="11"/>
      <c r="N67" s="11"/>
      <c r="O67" s="11"/>
      <c r="P67" s="11"/>
    </row>
    <row r="68" spans="1:19" s="16" customFormat="1" ht="20" thickBot="1">
      <c r="A68" s="27" t="str">
        <f>'[2]2.'!A24</f>
        <v>BS.2.24</v>
      </c>
      <c r="B68" s="4" t="str">
        <f>'[2]2.'!D24</f>
        <v>BS.2.b   Wärme-Endverbrauch pro Einwohner nach Quellen</v>
      </c>
      <c r="M68" s="27"/>
      <c r="N68" s="27"/>
      <c r="O68" s="27"/>
      <c r="P68" s="27"/>
      <c r="Q68" s="27"/>
      <c r="R68" s="27"/>
      <c r="S68" s="27"/>
    </row>
    <row r="69" spans="1:19" s="16" customFormat="1" ht="15" customHeight="1">
      <c r="A69" s="27" t="str">
        <f>'[2]2.'!A25</f>
        <v>BS.2.25</v>
      </c>
      <c r="B69" s="114"/>
      <c r="C69" s="70" t="str">
        <f>'[2]2.'!E25</f>
        <v>Endenergie in kWh</v>
      </c>
      <c r="D69" s="115"/>
      <c r="E69" s="115"/>
      <c r="F69" s="115"/>
      <c r="G69" s="1214" t="str">
        <f>'[2]2.'!I25</f>
        <v>Gebäudewärme</v>
      </c>
      <c r="H69" s="1215"/>
      <c r="I69" s="1216"/>
      <c r="J69" s="1217" t="str">
        <f>'[2]2.'!L25</f>
        <v>Prozesswärme</v>
      </c>
      <c r="K69" s="1218"/>
      <c r="L69" s="1219"/>
      <c r="M69" s="27"/>
      <c r="N69" s="27"/>
      <c r="O69" s="27"/>
      <c r="P69" s="27"/>
      <c r="Q69" s="27"/>
      <c r="R69" s="27"/>
      <c r="S69" s="27"/>
    </row>
    <row r="70" spans="1:19" s="16" customFormat="1" ht="16" thickBot="1">
      <c r="A70" s="27" t="str">
        <f>'[2]2.'!A26</f>
        <v>BS.2.26</v>
      </c>
      <c r="B70" s="116"/>
      <c r="C70" s="66"/>
      <c r="D70" s="66"/>
      <c r="E70" s="66"/>
      <c r="F70" s="117"/>
      <c r="G70" s="1194" t="str">
        <f>'[2]2.'!I26</f>
        <v>fossil</v>
      </c>
      <c r="H70" s="1195"/>
      <c r="I70" s="30" t="str">
        <f>'[2]2.'!K26</f>
        <v>erneuerb.</v>
      </c>
      <c r="J70" s="118">
        <f>'[2]2.'!L26</f>
        <v>0</v>
      </c>
      <c r="K70" s="119" t="str">
        <f>'[2]2.'!M26</f>
        <v>fossil</v>
      </c>
      <c r="L70" s="120" t="str">
        <f>'[2]2.'!N26</f>
        <v>erneuerb.</v>
      </c>
      <c r="M70" s="27"/>
      <c r="N70" s="27"/>
      <c r="O70" s="27"/>
      <c r="P70" s="27"/>
      <c r="Q70" s="27"/>
      <c r="R70" s="27"/>
      <c r="S70" s="27"/>
    </row>
    <row r="71" spans="1:19" s="16" customFormat="1" ht="16" thickTop="1">
      <c r="A71" s="27" t="str">
        <f>'[2]2.'!A27</f>
        <v>BS.2.27</v>
      </c>
      <c r="B71" s="121"/>
      <c r="C71" s="122" t="str">
        <f>'[2]2.'!E27</f>
        <v>Wärme</v>
      </c>
      <c r="D71" s="67"/>
      <c r="E71" s="67"/>
      <c r="F71" s="67"/>
      <c r="G71" s="1237">
        <f>'[2]2.'!I27</f>
        <v>1843.1666706409831</v>
      </c>
      <c r="H71" s="1238"/>
      <c r="I71" s="1240"/>
      <c r="J71" s="1237">
        <f>'[2]2.'!L27</f>
        <v>709.59054598489354</v>
      </c>
      <c r="K71" s="1238"/>
      <c r="L71" s="1239"/>
      <c r="M71" s="27"/>
      <c r="N71" s="27"/>
      <c r="O71" s="27"/>
      <c r="P71" s="27"/>
      <c r="Q71" s="27"/>
      <c r="R71" s="27"/>
      <c r="S71" s="27"/>
    </row>
    <row r="72" spans="1:19" s="16" customFormat="1">
      <c r="A72" s="27" t="str">
        <f>'[2]2.'!A28</f>
        <v>BS.2.28</v>
      </c>
      <c r="B72" s="123"/>
      <c r="C72" s="124" t="str">
        <f>'[2]2.'!E28</f>
        <v>Fernheizwerke    fossil</v>
      </c>
      <c r="D72" s="17"/>
      <c r="E72" s="17"/>
      <c r="F72" s="17"/>
      <c r="G72" s="125"/>
      <c r="H72" s="126">
        <f>'[2]2.'!J28</f>
        <v>342.8766320527829</v>
      </c>
      <c r="I72" s="127"/>
      <c r="J72" s="17"/>
      <c r="K72" s="139">
        <f>'[2]2.'!M28</f>
        <v>0</v>
      </c>
      <c r="L72" s="140"/>
      <c r="M72" s="27"/>
      <c r="N72" s="27"/>
      <c r="O72" s="27"/>
      <c r="P72" s="27"/>
      <c r="Q72" s="27"/>
      <c r="R72" s="27"/>
      <c r="S72" s="27"/>
    </row>
    <row r="73" spans="1:19" s="16" customFormat="1">
      <c r="A73" s="27" t="str">
        <f>'[2]2.'!A29</f>
        <v>BS.2.29</v>
      </c>
      <c r="B73" s="128"/>
      <c r="C73" s="129" t="str">
        <f>'[2]2.'!E29</f>
        <v xml:space="preserve">                              erneuerbar</v>
      </c>
      <c r="D73" s="22"/>
      <c r="E73" s="22"/>
      <c r="F73" s="22"/>
      <c r="G73" s="130"/>
      <c r="H73" s="40"/>
      <c r="I73" s="41">
        <f>'[2]2.'!K29</f>
        <v>80.721530267605786</v>
      </c>
      <c r="J73" s="22"/>
      <c r="K73" s="40"/>
      <c r="L73" s="131">
        <f>'[2]2.'!N29</f>
        <v>0</v>
      </c>
      <c r="M73" s="27"/>
      <c r="N73" s="27"/>
      <c r="O73" s="27"/>
      <c r="P73" s="27"/>
      <c r="Q73" s="27"/>
      <c r="R73" s="27"/>
      <c r="S73" s="27"/>
    </row>
    <row r="74" spans="1:19" s="16" customFormat="1">
      <c r="A74" s="27" t="str">
        <f>'[2]2.'!A30</f>
        <v>BS.2.30</v>
      </c>
      <c r="B74" s="132"/>
      <c r="C74" s="133" t="str">
        <f>'[2]2.'!E30</f>
        <v>Fern-HeizKRAFTwerke</v>
      </c>
      <c r="D74" s="52"/>
      <c r="E74" s="52"/>
      <c r="F74" s="52"/>
      <c r="G74" s="21"/>
      <c r="H74" s="134">
        <f>'[2]2.'!J30</f>
        <v>951.75619367740853</v>
      </c>
      <c r="I74" s="135">
        <f>'[2]2.'!K30</f>
        <v>301.02921441334831</v>
      </c>
      <c r="J74" s="52"/>
      <c r="K74" s="134">
        <f>'[2]2.'!M30</f>
        <v>403.60765133802892</v>
      </c>
      <c r="L74" s="136">
        <f>'[2]2.'!N30</f>
        <v>0</v>
      </c>
      <c r="M74" s="27"/>
      <c r="N74" s="27"/>
      <c r="O74" s="27"/>
      <c r="P74" s="27"/>
      <c r="Q74" s="27"/>
      <c r="R74" s="27"/>
      <c r="S74" s="27"/>
    </row>
    <row r="75" spans="1:19" s="16" customFormat="1" ht="16" thickBot="1">
      <c r="A75" s="27" t="str">
        <f>'[2]2.'!A31</f>
        <v>BS.2.31</v>
      </c>
      <c r="B75" s="137"/>
      <c r="C75" s="138" t="str">
        <f>'[2]2.'!E31</f>
        <v xml:space="preserve">Nahwärme Abw./erneuerb. </v>
      </c>
      <c r="D75" s="18"/>
      <c r="E75" s="18"/>
      <c r="F75" s="18"/>
      <c r="G75" s="12"/>
      <c r="H75" s="300" t="str">
        <f>'[2]2.'!J31</f>
        <v>-</v>
      </c>
      <c r="I75" s="301">
        <f>'[2]2.'!K31</f>
        <v>166.78310022983777</v>
      </c>
      <c r="J75" s="18"/>
      <c r="K75" s="300">
        <f>'[2]2.'!M31</f>
        <v>305.98289464686462</v>
      </c>
      <c r="L75" s="302">
        <f>'[2]2.'!N31</f>
        <v>0</v>
      </c>
      <c r="M75" s="27"/>
      <c r="N75" s="27"/>
      <c r="O75" s="27"/>
      <c r="P75" s="27"/>
      <c r="Q75" s="27"/>
      <c r="R75" s="27"/>
      <c r="S75" s="27"/>
    </row>
    <row r="76" spans="1:19" s="16" customFormat="1">
      <c r="A76" s="27" t="str">
        <f>'[2]2.'!A32</f>
        <v>BS.2.32</v>
      </c>
      <c r="B76" s="11"/>
      <c r="C76" s="11"/>
      <c r="D76" s="11"/>
      <c r="E76" s="11"/>
      <c r="F76" s="11"/>
      <c r="G76" s="11"/>
      <c r="H76" s="11"/>
      <c r="I76" s="11"/>
      <c r="J76" s="11"/>
      <c r="K76" s="11"/>
      <c r="L76" s="11"/>
      <c r="M76" s="11"/>
      <c r="N76" s="11"/>
      <c r="O76" s="11"/>
      <c r="P76" s="11"/>
      <c r="Q76" s="54"/>
      <c r="R76" s="54"/>
    </row>
    <row r="77" spans="1:19" s="16" customFormat="1">
      <c r="A77" s="27" t="str">
        <f>'[2]2.'!A33</f>
        <v>BS.2.33</v>
      </c>
      <c r="B77" s="11"/>
      <c r="C77" s="11"/>
      <c r="D77" s="11"/>
      <c r="E77" s="11"/>
      <c r="F77" s="11"/>
      <c r="G77" s="11"/>
      <c r="H77" s="11"/>
      <c r="I77" s="11"/>
      <c r="J77" s="11"/>
      <c r="K77" s="11"/>
      <c r="L77" s="11"/>
      <c r="M77" s="11"/>
      <c r="N77" s="11"/>
      <c r="O77" s="11"/>
      <c r="P77" s="11"/>
      <c r="Q77" s="54"/>
      <c r="R77" s="54"/>
    </row>
    <row r="78" spans="1:19" ht="19">
      <c r="A78" s="27" t="str">
        <f>'[2]2.'!A34</f>
        <v>BS.2.34</v>
      </c>
      <c r="B78" s="71" t="str">
        <f>'[2]2.'!D34</f>
        <v>BS.2.c   Jahresnutzungsgrade Endenergie-Anwendung im Wärmebereich</v>
      </c>
      <c r="C78" s="23"/>
      <c r="D78" s="17"/>
      <c r="E78" s="17"/>
      <c r="F78" s="17"/>
      <c r="G78" s="50"/>
      <c r="H78" s="50"/>
      <c r="I78" s="51"/>
      <c r="J78" s="50"/>
      <c r="K78" s="50"/>
      <c r="L78" s="50"/>
      <c r="M78" s="11"/>
      <c r="N78" s="11"/>
      <c r="O78" s="11"/>
      <c r="P78" s="11"/>
    </row>
    <row r="79" spans="1:19">
      <c r="A79" s="27" t="str">
        <f>'[2]2.'!A35</f>
        <v>BS.2.35</v>
      </c>
      <c r="B79" s="21"/>
      <c r="C79" s="55" t="str">
        <f>'[2]2.'!E35</f>
        <v>Jahresnutzungsgrad in %</v>
      </c>
      <c r="D79" s="52"/>
      <c r="E79" s="52"/>
      <c r="F79" s="52"/>
      <c r="G79" s="1354" t="str">
        <f>'[2]2.'!I35</f>
        <v>Gebäudewärme</v>
      </c>
      <c r="H79" s="1355"/>
      <c r="I79" s="1356"/>
      <c r="J79" s="1353" t="str">
        <f>'[2]2.'!L35</f>
        <v>Prozesswärme</v>
      </c>
      <c r="K79" s="1353"/>
      <c r="L79" s="1353"/>
      <c r="M79" s="11"/>
      <c r="N79" s="11"/>
      <c r="O79" s="11"/>
      <c r="P79" s="11"/>
    </row>
    <row r="80" spans="1:19">
      <c r="A80" s="27" t="str">
        <f>'[2]2.'!A36</f>
        <v>BS.2.36</v>
      </c>
      <c r="B80" s="21"/>
      <c r="C80" s="53" t="str">
        <f>'[2]2.'!E36</f>
        <v>Strom</v>
      </c>
      <c r="D80" s="52"/>
      <c r="E80" s="52"/>
      <c r="F80" s="52"/>
      <c r="G80" s="1272">
        <f>'[2]2.'!I36</f>
        <v>100</v>
      </c>
      <c r="H80" s="1273"/>
      <c r="I80" s="1274"/>
      <c r="J80" s="1275">
        <f>'[2]2.'!L36</f>
        <v>100</v>
      </c>
      <c r="K80" s="1275"/>
      <c r="L80" s="1275"/>
      <c r="M80" s="11">
        <f>'[2]2.'!O36</f>
        <v>0</v>
      </c>
      <c r="N80" s="11"/>
      <c r="O80" s="11"/>
      <c r="P80" s="11"/>
    </row>
    <row r="81" spans="1:16">
      <c r="A81" s="27" t="str">
        <f>'[2]2.'!A37</f>
        <v>BS.2.37</v>
      </c>
      <c r="B81" s="21"/>
      <c r="C81" s="53" t="str">
        <f>'[2]2.'!E37</f>
        <v>Brennst.gasförmig</v>
      </c>
      <c r="D81" s="52"/>
      <c r="E81" s="52"/>
      <c r="F81" s="52"/>
      <c r="G81" s="1272">
        <f>'[2]2.'!I37</f>
        <v>85</v>
      </c>
      <c r="H81" s="1273"/>
      <c r="I81" s="1274"/>
      <c r="J81" s="1275">
        <f>'[2]2.'!L37</f>
        <v>90</v>
      </c>
      <c r="K81" s="1275"/>
      <c r="L81" s="1275"/>
      <c r="M81" s="11">
        <f>'[2]2.'!O37</f>
        <v>0</v>
      </c>
      <c r="N81" s="11"/>
      <c r="O81" s="11"/>
      <c r="P81" s="11"/>
    </row>
    <row r="82" spans="1:16">
      <c r="A82" s="27" t="str">
        <f>'[2]2.'!A38</f>
        <v>BS.2.38</v>
      </c>
      <c r="B82" s="21"/>
      <c r="C82" s="53" t="str">
        <f>'[2]2.'!E38</f>
        <v>Brennst.flüssig</v>
      </c>
      <c r="D82" s="52"/>
      <c r="E82" s="52"/>
      <c r="F82" s="52"/>
      <c r="G82" s="1272">
        <f>'[2]2.'!I38</f>
        <v>80</v>
      </c>
      <c r="H82" s="1273"/>
      <c r="I82" s="1274"/>
      <c r="J82" s="1275">
        <f>'[2]2.'!L38</f>
        <v>85</v>
      </c>
      <c r="K82" s="1275"/>
      <c r="L82" s="1275"/>
      <c r="M82" s="11">
        <f>'[2]2.'!O38</f>
        <v>0</v>
      </c>
      <c r="N82" s="11"/>
      <c r="O82" s="11"/>
      <c r="P82" s="11"/>
    </row>
    <row r="83" spans="1:16">
      <c r="A83" s="27" t="str">
        <f>'[2]2.'!A39</f>
        <v>BS.2.39</v>
      </c>
      <c r="B83" s="21"/>
      <c r="C83" s="53" t="str">
        <f>'[2]2.'!E39</f>
        <v>Brennst.fest</v>
      </c>
      <c r="D83" s="52"/>
      <c r="E83" s="52"/>
      <c r="F83" s="52"/>
      <c r="G83" s="1272">
        <f>'[2]2.'!I39</f>
        <v>75</v>
      </c>
      <c r="H83" s="1273"/>
      <c r="I83" s="1274"/>
      <c r="J83" s="1275">
        <f>'[2]2.'!L39</f>
        <v>80</v>
      </c>
      <c r="K83" s="1275"/>
      <c r="L83" s="1275"/>
      <c r="M83" s="11">
        <f>'[2]2.'!O39</f>
        <v>0</v>
      </c>
      <c r="N83" s="11"/>
      <c r="O83" s="11"/>
      <c r="P83" s="11"/>
    </row>
    <row r="84" spans="1:16">
      <c r="A84" s="27" t="str">
        <f>'[2]2.'!A40</f>
        <v>BS.2.40</v>
      </c>
      <c r="B84" s="21"/>
      <c r="C84" s="53" t="str">
        <f>'[2]2.'!E40</f>
        <v>Wärme-Endverbr.</v>
      </c>
      <c r="D84" s="52"/>
      <c r="E84" s="52"/>
      <c r="F84" s="52"/>
      <c r="G84" s="1272">
        <f>'[2]2.'!I40</f>
        <v>100</v>
      </c>
      <c r="H84" s="1273"/>
      <c r="I84" s="1274"/>
      <c r="J84" s="1275">
        <f>'[2]2.'!L40</f>
        <v>100</v>
      </c>
      <c r="K84" s="1275"/>
      <c r="L84" s="1275"/>
      <c r="M84" s="11">
        <f>'[2]2.'!O40</f>
        <v>0</v>
      </c>
      <c r="N84" s="11"/>
      <c r="O84" s="11"/>
      <c r="P84" s="11"/>
    </row>
  </sheetData>
  <mergeCells count="138">
    <mergeCell ref="G80:I80"/>
    <mergeCell ref="G81:I81"/>
    <mergeCell ref="G82:I82"/>
    <mergeCell ref="G83:I83"/>
    <mergeCell ref="G84:I84"/>
    <mergeCell ref="D22:O22"/>
    <mergeCell ref="G23:I23"/>
    <mergeCell ref="M23:O23"/>
    <mergeCell ref="D23:F24"/>
    <mergeCell ref="G79:I79"/>
    <mergeCell ref="G24:H24"/>
    <mergeCell ref="M24:N24"/>
    <mergeCell ref="G62:I62"/>
    <mergeCell ref="M62:O62"/>
    <mergeCell ref="G50:I50"/>
    <mergeCell ref="M50:O50"/>
    <mergeCell ref="G51:H51"/>
    <mergeCell ref="M51:N51"/>
    <mergeCell ref="D58:F58"/>
    <mergeCell ref="D60:F60"/>
    <mergeCell ref="M52:O52"/>
    <mergeCell ref="G54:I54"/>
    <mergeCell ref="M54:O54"/>
    <mergeCell ref="G56:I56"/>
    <mergeCell ref="B25:B34"/>
    <mergeCell ref="G25:I25"/>
    <mergeCell ref="M25:O25"/>
    <mergeCell ref="G27:I27"/>
    <mergeCell ref="M27:O27"/>
    <mergeCell ref="G29:I29"/>
    <mergeCell ref="M29:O29"/>
    <mergeCell ref="G31:I31"/>
    <mergeCell ref="M60:O60"/>
    <mergeCell ref="B52:B61"/>
    <mergeCell ref="G52:I52"/>
    <mergeCell ref="M31:O31"/>
    <mergeCell ref="G33:I33"/>
    <mergeCell ref="M33:O33"/>
    <mergeCell ref="G35:I35"/>
    <mergeCell ref="D25:F25"/>
    <mergeCell ref="D27:F27"/>
    <mergeCell ref="D29:F29"/>
    <mergeCell ref="D31:F31"/>
    <mergeCell ref="D33:F33"/>
    <mergeCell ref="G58:I58"/>
    <mergeCell ref="M58:O58"/>
    <mergeCell ref="G60:I60"/>
    <mergeCell ref="D49:O49"/>
    <mergeCell ref="M56:O56"/>
    <mergeCell ref="M35:O35"/>
    <mergeCell ref="J56:L56"/>
    <mergeCell ref="J58:L58"/>
    <mergeCell ref="J60:L60"/>
    <mergeCell ref="J62:L62"/>
    <mergeCell ref="G39:I39"/>
    <mergeCell ref="D35:F35"/>
    <mergeCell ref="D50:F51"/>
    <mergeCell ref="D52:F52"/>
    <mergeCell ref="D54:F54"/>
    <mergeCell ref="D56:F56"/>
    <mergeCell ref="J25:L25"/>
    <mergeCell ref="J27:L27"/>
    <mergeCell ref="J29:L29"/>
    <mergeCell ref="J31:L31"/>
    <mergeCell ref="J33:L33"/>
    <mergeCell ref="J35:L35"/>
    <mergeCell ref="J50:L51"/>
    <mergeCell ref="J52:L52"/>
    <mergeCell ref="J54:L54"/>
    <mergeCell ref="W23:Y24"/>
    <mergeCell ref="T31:V31"/>
    <mergeCell ref="T33:V33"/>
    <mergeCell ref="T35:V35"/>
    <mergeCell ref="T39:V39"/>
    <mergeCell ref="T40:U40"/>
    <mergeCell ref="T23:V23"/>
    <mergeCell ref="T24:U24"/>
    <mergeCell ref="T25:V25"/>
    <mergeCell ref="T27:V27"/>
    <mergeCell ref="T29:V29"/>
    <mergeCell ref="T41:V41"/>
    <mergeCell ref="W25:Y25"/>
    <mergeCell ref="W27:Y27"/>
    <mergeCell ref="W29:Y29"/>
    <mergeCell ref="W31:Y31"/>
    <mergeCell ref="W33:Y33"/>
    <mergeCell ref="W35:Y35"/>
    <mergeCell ref="W39:Y39"/>
    <mergeCell ref="W41:Y41"/>
    <mergeCell ref="G7:H7"/>
    <mergeCell ref="M7:N7"/>
    <mergeCell ref="J84:L84"/>
    <mergeCell ref="D5:O5"/>
    <mergeCell ref="D6:F7"/>
    <mergeCell ref="G6:I6"/>
    <mergeCell ref="J6:L7"/>
    <mergeCell ref="M6:O6"/>
    <mergeCell ref="J79:L79"/>
    <mergeCell ref="J80:L80"/>
    <mergeCell ref="J81:L81"/>
    <mergeCell ref="J82:L82"/>
    <mergeCell ref="J83:L83"/>
    <mergeCell ref="J39:L39"/>
    <mergeCell ref="G40:H40"/>
    <mergeCell ref="G41:I41"/>
    <mergeCell ref="J41:L41"/>
    <mergeCell ref="G69:I69"/>
    <mergeCell ref="J69:L69"/>
    <mergeCell ref="G70:H70"/>
    <mergeCell ref="G71:I71"/>
    <mergeCell ref="J71:L71"/>
    <mergeCell ref="D62:F62"/>
    <mergeCell ref="J23:L24"/>
    <mergeCell ref="B8:B17"/>
    <mergeCell ref="D8:F8"/>
    <mergeCell ref="G8:I8"/>
    <mergeCell ref="J8:L8"/>
    <mergeCell ref="M8:O8"/>
    <mergeCell ref="D12:F12"/>
    <mergeCell ref="G12:I12"/>
    <mergeCell ref="J12:L12"/>
    <mergeCell ref="M12:O12"/>
    <mergeCell ref="D16:F16"/>
    <mergeCell ref="G16:I16"/>
    <mergeCell ref="J16:L16"/>
    <mergeCell ref="M16:O16"/>
    <mergeCell ref="D18:F18"/>
    <mergeCell ref="G18:I18"/>
    <mergeCell ref="J18:L18"/>
    <mergeCell ref="M18:O18"/>
    <mergeCell ref="D14:F14"/>
    <mergeCell ref="G14:I14"/>
    <mergeCell ref="J14:L14"/>
    <mergeCell ref="M14:O14"/>
    <mergeCell ref="D10:F10"/>
    <mergeCell ref="G10:I10"/>
    <mergeCell ref="J10:L10"/>
    <mergeCell ref="M10:O10"/>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5"/>
  <dimension ref="B3:AB170"/>
  <sheetViews>
    <sheetView topLeftCell="A88" zoomScaleNormal="100" workbookViewId="0">
      <selection activeCell="C112" sqref="C112"/>
    </sheetView>
  </sheetViews>
  <sheetFormatPr baseColWidth="10" defaultColWidth="11.5" defaultRowHeight="15"/>
  <cols>
    <col min="1" max="1" width="6" style="16" customWidth="1"/>
    <col min="2" max="2" width="7.83203125" style="107" customWidth="1"/>
    <col min="3" max="3" width="14.1640625" style="16" customWidth="1"/>
    <col min="4" max="4" width="6.5" style="16" customWidth="1"/>
    <col min="5" max="7" width="9.1640625" style="16" customWidth="1"/>
    <col min="8" max="8" width="9.83203125" style="16" bestFit="1" customWidth="1"/>
    <col min="9" max="14" width="9.1640625" style="16" customWidth="1"/>
    <col min="15" max="15" width="4.83203125" style="54" bestFit="1" customWidth="1"/>
    <col min="16" max="16" width="4.5" style="16" customWidth="1"/>
    <col min="17" max="17" width="10" style="16" customWidth="1"/>
    <col min="18" max="16384" width="11.5" style="16"/>
  </cols>
  <sheetData>
    <row r="3" spans="2:27" ht="24">
      <c r="B3" s="188" t="s">
        <v>5</v>
      </c>
    </row>
    <row r="4" spans="2:27" ht="20" thickBot="1">
      <c r="B4" s="4" t="s">
        <v>35</v>
      </c>
      <c r="O4" s="16"/>
      <c r="P4" s="54"/>
      <c r="S4" s="19">
        <f>I_BS.2!C2</f>
        <v>80523746</v>
      </c>
      <c r="U4" s="16" t="s">
        <v>36</v>
      </c>
    </row>
    <row r="5" spans="2:27">
      <c r="B5" s="158"/>
      <c r="C5" s="115"/>
      <c r="D5" s="115"/>
      <c r="E5" s="166" t="s">
        <v>77</v>
      </c>
      <c r="F5" s="171" t="s">
        <v>41</v>
      </c>
      <c r="G5" s="258" t="str">
        <f>F123</f>
        <v>JNG
(NV+/UE)</v>
      </c>
      <c r="H5" s="258" t="s">
        <v>54</v>
      </c>
      <c r="I5" s="344" t="s">
        <v>105</v>
      </c>
      <c r="J5" s="360" t="s">
        <v>39</v>
      </c>
      <c r="K5" s="366" t="s">
        <v>110</v>
      </c>
      <c r="L5" s="371" t="s">
        <v>111</v>
      </c>
      <c r="O5" s="16"/>
      <c r="S5" s="54"/>
      <c r="X5" s="16" t="s">
        <v>37</v>
      </c>
    </row>
    <row r="6" spans="2:27" ht="16" thickBot="1">
      <c r="B6" s="116"/>
      <c r="C6" s="66"/>
      <c r="D6" s="66"/>
      <c r="E6" s="167" t="s">
        <v>30</v>
      </c>
      <c r="F6" s="172" t="s">
        <v>29</v>
      </c>
      <c r="G6" s="259" t="s">
        <v>30</v>
      </c>
      <c r="H6" s="259" t="s">
        <v>29</v>
      </c>
      <c r="I6" s="259" t="s">
        <v>30</v>
      </c>
      <c r="J6" s="361" t="s">
        <v>29</v>
      </c>
      <c r="K6" s="367" t="s">
        <v>29</v>
      </c>
      <c r="L6" s="372" t="s">
        <v>29</v>
      </c>
      <c r="O6" s="16"/>
      <c r="Q6" s="175" t="s">
        <v>31</v>
      </c>
      <c r="R6" s="175" t="s">
        <v>32</v>
      </c>
      <c r="S6" s="54"/>
      <c r="U6" s="16" t="s">
        <v>33</v>
      </c>
      <c r="V6" s="16" t="s">
        <v>34</v>
      </c>
      <c r="X6" s="16" t="s">
        <v>33</v>
      </c>
    </row>
    <row r="7" spans="2:27" ht="16" thickTop="1">
      <c r="B7" s="161" t="s">
        <v>23</v>
      </c>
      <c r="C7" s="67"/>
      <c r="D7" s="67"/>
      <c r="E7" s="168">
        <f>SUM(E8:E13)</f>
        <v>100</v>
      </c>
      <c r="F7" s="173" t="e">
        <f>E26</f>
        <v>#REF!</v>
      </c>
      <c r="G7" s="358"/>
      <c r="H7" s="358"/>
      <c r="I7" s="359"/>
      <c r="J7" s="362" t="e">
        <f>SUM(J8:J13)</f>
        <v>#REF!</v>
      </c>
      <c r="K7" s="387" t="e">
        <f>#REF!</f>
        <v>#REF!</v>
      </c>
      <c r="L7" s="389" t="e">
        <f>#REF!</f>
        <v>#REF!</v>
      </c>
      <c r="O7" s="16"/>
      <c r="Q7" s="16" t="e">
        <f t="shared" ref="Q7:Q13" si="0">J7*3.6/1000</f>
        <v>#REF!</v>
      </c>
      <c r="S7" s="54"/>
      <c r="U7" s="14" t="e">
        <f>SUM(U8:U13)</f>
        <v>#REF!</v>
      </c>
      <c r="V7" s="14" t="e">
        <f t="shared" ref="V7:V13" si="1">U7*1000000/S$4</f>
        <v>#REF!</v>
      </c>
      <c r="X7" s="14">
        <f>SUM(X8:X13)</f>
        <v>318</v>
      </c>
    </row>
    <row r="8" spans="2:27">
      <c r="B8" s="162" t="s">
        <v>24</v>
      </c>
      <c r="C8" s="52"/>
      <c r="D8" s="52"/>
      <c r="E8" s="169">
        <f>E126</f>
        <v>33.38305129813746</v>
      </c>
      <c r="F8" s="165" t="e">
        <f>E8*F$7%</f>
        <v>#REF!</v>
      </c>
      <c r="G8" s="260">
        <f t="shared" ref="G8:G13" si="2">F126</f>
        <v>34.830877011037032</v>
      </c>
      <c r="H8" s="261" t="e">
        <f>F8/G8%</f>
        <v>#REF!</v>
      </c>
      <c r="I8" s="346">
        <v>100</v>
      </c>
      <c r="J8" s="363" t="e">
        <f t="shared" ref="J8:J11" si="3">H8/I8%</f>
        <v>#REF!</v>
      </c>
      <c r="K8" s="388" t="e">
        <f>E8*C$14*K$7%</f>
        <v>#REF!</v>
      </c>
      <c r="L8" s="374" t="e">
        <f>E8*C$14*L$7%</f>
        <v>#REF!</v>
      </c>
      <c r="O8" s="16"/>
      <c r="Q8" s="16" t="e">
        <f t="shared" si="0"/>
        <v>#REF!</v>
      </c>
      <c r="R8" s="16" t="e">
        <f>#REF!</f>
        <v>#REF!</v>
      </c>
      <c r="S8" s="54"/>
      <c r="U8" s="14" t="e">
        <f>Q8*R8/1000</f>
        <v>#REF!</v>
      </c>
      <c r="V8" s="14" t="e">
        <f t="shared" si="1"/>
        <v>#REF!</v>
      </c>
      <c r="X8" s="16">
        <v>168</v>
      </c>
    </row>
    <row r="9" spans="2:27">
      <c r="B9" s="162" t="s">
        <v>25</v>
      </c>
      <c r="C9" s="52"/>
      <c r="D9" s="52"/>
      <c r="E9" s="169">
        <f t="shared" ref="E9:E13" si="4">E127</f>
        <v>24.180380654033602</v>
      </c>
      <c r="F9" s="165" t="e">
        <f t="shared" ref="F9:F13" si="5">E9*F$7%</f>
        <v>#REF!</v>
      </c>
      <c r="G9" s="260">
        <f t="shared" si="2"/>
        <v>34.854930032269486</v>
      </c>
      <c r="H9" s="261" t="e">
        <f t="shared" ref="H9:H13" si="6">F9/G9%</f>
        <v>#REF!</v>
      </c>
      <c r="I9" s="346">
        <v>100</v>
      </c>
      <c r="J9" s="363" t="e">
        <f t="shared" si="3"/>
        <v>#REF!</v>
      </c>
      <c r="K9" s="368" t="e">
        <f>E9*C$14*K$7%</f>
        <v>#REF!</v>
      </c>
      <c r="L9" s="374" t="e">
        <f>E9*C$14*L$7%</f>
        <v>#REF!</v>
      </c>
      <c r="O9" s="16"/>
      <c r="Q9" s="16" t="e">
        <f t="shared" si="0"/>
        <v>#REF!</v>
      </c>
      <c r="R9" s="16" t="e">
        <f>#REF!</f>
        <v>#REF!</v>
      </c>
      <c r="S9" s="54"/>
      <c r="U9" s="14" t="e">
        <f t="shared" ref="U9:U13" si="7">Q9*R9/1000</f>
        <v>#REF!</v>
      </c>
      <c r="V9" s="14" t="e">
        <f t="shared" si="1"/>
        <v>#REF!</v>
      </c>
      <c r="X9" s="16">
        <v>102</v>
      </c>
    </row>
    <row r="10" spans="2:27" ht="16" thickBot="1">
      <c r="B10" s="162" t="s">
        <v>26</v>
      </c>
      <c r="C10" s="52"/>
      <c r="D10" s="52"/>
      <c r="E10" s="169">
        <f t="shared" si="4"/>
        <v>20.669655284161017</v>
      </c>
      <c r="F10" s="165" t="e">
        <f t="shared" si="5"/>
        <v>#REF!</v>
      </c>
      <c r="G10" s="260">
        <f t="shared" si="2"/>
        <v>30.471815117070005</v>
      </c>
      <c r="H10" s="265" t="e">
        <f t="shared" si="6"/>
        <v>#REF!</v>
      </c>
      <c r="I10" s="285">
        <v>100</v>
      </c>
      <c r="J10" s="364" t="e">
        <f t="shared" si="3"/>
        <v>#REF!</v>
      </c>
      <c r="K10" s="369"/>
      <c r="L10" s="390"/>
      <c r="O10" s="16"/>
      <c r="Q10" s="144" t="e">
        <f t="shared" si="0"/>
        <v>#REF!</v>
      </c>
      <c r="S10" s="54"/>
      <c r="U10" s="14" t="e">
        <f t="shared" si="7"/>
        <v>#REF!</v>
      </c>
      <c r="V10" s="14" t="e">
        <f t="shared" si="1"/>
        <v>#REF!</v>
      </c>
    </row>
    <row r="11" spans="2:27" ht="16" thickBot="1">
      <c r="B11" s="162" t="s">
        <v>66</v>
      </c>
      <c r="C11" s="52"/>
      <c r="D11" s="52"/>
      <c r="E11" s="169">
        <f t="shared" si="4"/>
        <v>15.870971494571881</v>
      </c>
      <c r="F11" s="165" t="e">
        <f t="shared" si="5"/>
        <v>#REF!</v>
      </c>
      <c r="G11" s="264">
        <f t="shared" si="2"/>
        <v>37.053652723570224</v>
      </c>
      <c r="H11" s="267" t="e">
        <f t="shared" si="6"/>
        <v>#REF!</v>
      </c>
      <c r="I11" s="347">
        <f>$E$148</f>
        <v>100</v>
      </c>
      <c r="J11" s="363" t="e">
        <f t="shared" si="3"/>
        <v>#REF!</v>
      </c>
      <c r="K11" s="368" t="e">
        <f>E11*C$14*K$7%</f>
        <v>#REF!</v>
      </c>
      <c r="L11" s="374" t="e">
        <f>E11*C$14*L$7%</f>
        <v>#REF!</v>
      </c>
      <c r="O11" s="16"/>
      <c r="Q11" s="16" t="e">
        <f t="shared" si="0"/>
        <v>#REF!</v>
      </c>
      <c r="R11" s="16" t="e">
        <f>#REF!</f>
        <v>#REF!</v>
      </c>
      <c r="S11" s="54"/>
      <c r="U11" s="14" t="e">
        <f t="shared" si="7"/>
        <v>#REF!</v>
      </c>
      <c r="V11" s="14" t="e">
        <f t="shared" si="1"/>
        <v>#REF!</v>
      </c>
      <c r="X11" s="16">
        <v>32</v>
      </c>
    </row>
    <row r="12" spans="2:27" ht="16" thickBot="1">
      <c r="B12" s="162" t="s">
        <v>27</v>
      </c>
      <c r="C12" s="52"/>
      <c r="D12" s="52"/>
      <c r="E12" s="169">
        <f t="shared" si="4"/>
        <v>1.5787877402977262</v>
      </c>
      <c r="F12" s="165" t="e">
        <f t="shared" si="5"/>
        <v>#REF!</v>
      </c>
      <c r="G12" s="264">
        <f t="shared" si="2"/>
        <v>44.448010062121185</v>
      </c>
      <c r="H12" s="267" t="e">
        <f t="shared" si="6"/>
        <v>#REF!</v>
      </c>
      <c r="I12" s="347">
        <f>$E$155</f>
        <v>82.832498087589286</v>
      </c>
      <c r="J12" s="363" t="e">
        <f>H12/I12%</f>
        <v>#REF!</v>
      </c>
      <c r="K12" s="368" t="e">
        <f>E12*C$14*K$7%</f>
        <v>#REF!</v>
      </c>
      <c r="L12" s="374" t="e">
        <f>E12*C$14*L$7%</f>
        <v>#REF!</v>
      </c>
      <c r="O12" s="16"/>
      <c r="Q12" s="16" t="e">
        <f t="shared" si="0"/>
        <v>#REF!</v>
      </c>
      <c r="R12" s="16" t="e">
        <f>#REF!</f>
        <v>#REF!</v>
      </c>
      <c r="S12" s="54"/>
      <c r="U12" s="14" t="e">
        <f t="shared" si="7"/>
        <v>#REF!</v>
      </c>
      <c r="V12" s="14" t="e">
        <f t="shared" si="1"/>
        <v>#REF!</v>
      </c>
      <c r="X12" s="16">
        <v>1</v>
      </c>
    </row>
    <row r="13" spans="2:27" ht="16" thickBot="1">
      <c r="B13" s="163" t="s">
        <v>28</v>
      </c>
      <c r="C13" s="164"/>
      <c r="D13" s="164"/>
      <c r="E13" s="170">
        <f t="shared" si="4"/>
        <v>4.3171535287983298</v>
      </c>
      <c r="F13" s="174" t="e">
        <f t="shared" si="5"/>
        <v>#REF!</v>
      </c>
      <c r="G13" s="262">
        <f t="shared" si="2"/>
        <v>27.690330479051283</v>
      </c>
      <c r="H13" s="276" t="e">
        <f t="shared" si="6"/>
        <v>#REF!</v>
      </c>
      <c r="I13" s="348">
        <v>100</v>
      </c>
      <c r="J13" s="365" t="e">
        <f>H13/I13%</f>
        <v>#REF!</v>
      </c>
      <c r="K13" s="370" t="e">
        <f>E13*C$14*K$7%</f>
        <v>#REF!</v>
      </c>
      <c r="L13" s="375" t="e">
        <f>E13*C$14*L$7%</f>
        <v>#REF!</v>
      </c>
      <c r="O13" s="16"/>
      <c r="Q13" s="16" t="e">
        <f t="shared" si="0"/>
        <v>#REF!</v>
      </c>
      <c r="R13" s="16" t="e">
        <f>#REF!</f>
        <v>#REF!</v>
      </c>
      <c r="S13" s="54"/>
      <c r="U13" s="14" t="e">
        <f t="shared" si="7"/>
        <v>#REF!</v>
      </c>
      <c r="V13" s="14" t="e">
        <f t="shared" si="1"/>
        <v>#REF!</v>
      </c>
      <c r="X13" s="16">
        <v>15</v>
      </c>
    </row>
    <row r="14" spans="2:27">
      <c r="B14" s="179"/>
      <c r="C14" s="16">
        <f>100/(SUM(E8:E13)-E10)</f>
        <v>1.2605516887415484</v>
      </c>
      <c r="G14" s="16" t="str">
        <f>"Umrechnung von fossil/atomare auf fossile Anteile ohne Kernenergie"</f>
        <v>Umrechnung von fossil/atomare auf fossile Anteile ohne Kernenergie</v>
      </c>
    </row>
    <row r="15" spans="2:27">
      <c r="B15" s="27"/>
      <c r="C15" s="268"/>
      <c r="O15" s="16"/>
      <c r="Q15" s="144"/>
      <c r="R15" s="144"/>
      <c r="S15" s="272"/>
      <c r="T15" s="178"/>
      <c r="U15" s="178"/>
      <c r="V15" s="178"/>
      <c r="W15" s="144"/>
      <c r="X15" s="145"/>
      <c r="Y15" s="144"/>
      <c r="Z15" s="144"/>
      <c r="AA15" s="144"/>
    </row>
    <row r="16" spans="2:27" ht="25" thickBot="1">
      <c r="B16" s="188" t="s">
        <v>5</v>
      </c>
      <c r="O16" s="16"/>
      <c r="Q16" s="144"/>
      <c r="R16" s="144"/>
      <c r="S16" s="144"/>
      <c r="T16" s="144"/>
      <c r="U16" s="144"/>
      <c r="V16" s="144"/>
      <c r="W16" s="144"/>
      <c r="X16" s="144"/>
      <c r="Y16" s="144"/>
      <c r="Z16" s="144"/>
      <c r="AA16" s="144"/>
    </row>
    <row r="17" spans="2:27">
      <c r="B17" s="114"/>
      <c r="C17" s="115"/>
      <c r="D17" s="237"/>
      <c r="E17" s="238"/>
      <c r="F17" s="239"/>
      <c r="G17" s="239"/>
      <c r="H17" s="240" t="s">
        <v>113</v>
      </c>
      <c r="I17" s="392" t="s">
        <v>114</v>
      </c>
      <c r="J17" s="396" t="s">
        <v>59</v>
      </c>
      <c r="Q17" s="403"/>
      <c r="R17" s="404"/>
      <c r="S17" s="405"/>
      <c r="T17" s="406"/>
      <c r="U17" s="407"/>
      <c r="V17" s="407"/>
      <c r="W17" s="408" t="s">
        <v>113</v>
      </c>
      <c r="X17" s="409" t="s">
        <v>114</v>
      </c>
      <c r="Y17" s="410" t="s">
        <v>59</v>
      </c>
    </row>
    <row r="18" spans="2:27">
      <c r="B18" s="123" t="s">
        <v>1</v>
      </c>
      <c r="C18" s="17"/>
      <c r="D18" s="234" t="s">
        <v>65</v>
      </c>
      <c r="E18" s="443" t="s">
        <v>43</v>
      </c>
      <c r="F18" s="444" t="s">
        <v>44</v>
      </c>
      <c r="G18" s="444" t="s">
        <v>46</v>
      </c>
      <c r="H18" s="445" t="s">
        <v>45</v>
      </c>
      <c r="I18" s="394" t="s">
        <v>112</v>
      </c>
      <c r="J18" s="397" t="s">
        <v>42</v>
      </c>
      <c r="O18" s="16"/>
      <c r="Q18" s="411" t="s">
        <v>120</v>
      </c>
      <c r="R18" s="210"/>
      <c r="S18" s="412" t="s">
        <v>65</v>
      </c>
      <c r="T18" s="413" t="s">
        <v>43</v>
      </c>
      <c r="U18" s="146" t="s">
        <v>44</v>
      </c>
      <c r="V18" s="146" t="s">
        <v>46</v>
      </c>
      <c r="W18" s="412" t="s">
        <v>45</v>
      </c>
      <c r="X18" s="414" t="s">
        <v>112</v>
      </c>
      <c r="Y18" s="415" t="s">
        <v>42</v>
      </c>
    </row>
    <row r="19" spans="2:27" ht="16" thickBot="1">
      <c r="B19" s="116"/>
      <c r="C19" s="66"/>
      <c r="D19" s="315"/>
      <c r="E19" s="316"/>
      <c r="F19" s="317"/>
      <c r="G19" s="317"/>
      <c r="H19" s="315"/>
      <c r="I19" s="68"/>
      <c r="J19" s="398"/>
      <c r="O19" s="16"/>
      <c r="Q19" s="416"/>
      <c r="R19" s="417"/>
      <c r="S19" s="418"/>
      <c r="T19" s="419"/>
      <c r="U19" s="420"/>
      <c r="V19" s="420"/>
      <c r="W19" s="418"/>
      <c r="X19" s="421"/>
      <c r="Y19" s="422"/>
    </row>
    <row r="20" spans="2:27" ht="16" thickTop="1">
      <c r="B20" s="121" t="s">
        <v>116</v>
      </c>
      <c r="C20" s="67"/>
      <c r="D20" s="180"/>
      <c r="E20" s="309">
        <f>I_BS.2!D8</f>
        <v>378194.44444444444</v>
      </c>
      <c r="F20" s="310" t="e">
        <f>I_BS.2!G8</f>
        <v>#REF!</v>
      </c>
      <c r="G20" s="310" t="e">
        <f>I_BS.2!J8</f>
        <v>#REF!</v>
      </c>
      <c r="H20" s="311">
        <f>I_BS.2!M8</f>
        <v>16499.999999999996</v>
      </c>
      <c r="I20" s="391"/>
      <c r="J20" s="399"/>
      <c r="O20" s="17"/>
      <c r="Q20" s="423" t="s">
        <v>116</v>
      </c>
      <c r="R20" s="181"/>
      <c r="S20" s="424"/>
      <c r="T20" s="425">
        <f>E20*3.6/1000</f>
        <v>1361.5</v>
      </c>
      <c r="U20" s="425" t="e">
        <f t="shared" ref="U20:W20" si="8">F20*3.6/1000</f>
        <v>#REF!</v>
      </c>
      <c r="V20" s="425" t="e">
        <f t="shared" si="8"/>
        <v>#REF!</v>
      </c>
      <c r="W20" s="425">
        <f t="shared" si="8"/>
        <v>59.399999999999984</v>
      </c>
      <c r="X20" s="426"/>
      <c r="Y20" s="427"/>
    </row>
    <row r="21" spans="2:27">
      <c r="B21" s="128" t="s">
        <v>117</v>
      </c>
      <c r="C21" s="22"/>
      <c r="D21" s="393">
        <f>H119%</f>
        <v>5.4902915217972754E-2</v>
      </c>
      <c r="E21" s="1406" t="e">
        <f>SUM(E20:H20)</f>
        <v>#REF!</v>
      </c>
      <c r="F21" s="1407"/>
      <c r="G21" s="1407"/>
      <c r="H21" s="1408"/>
      <c r="I21" s="395" t="e">
        <f>E21*D21</f>
        <v>#REF!</v>
      </c>
      <c r="J21" s="399"/>
      <c r="O21" s="17"/>
      <c r="Q21" s="428" t="s">
        <v>117</v>
      </c>
      <c r="R21" s="386"/>
      <c r="S21" s="429">
        <f>D21</f>
        <v>5.4902915217972754E-2</v>
      </c>
      <c r="T21" s="1389" t="e">
        <f>SUM(T20:W20)</f>
        <v>#REF!</v>
      </c>
      <c r="U21" s="1390"/>
      <c r="V21" s="1390"/>
      <c r="W21" s="1391"/>
      <c r="X21" s="430" t="e">
        <f>T21*S21</f>
        <v>#REF!</v>
      </c>
      <c r="Y21" s="427"/>
    </row>
    <row r="22" spans="2:27">
      <c r="B22" s="128" t="s">
        <v>115</v>
      </c>
      <c r="C22" s="22"/>
      <c r="D22" s="22"/>
      <c r="E22" s="1409" t="e">
        <f>E21+I21</f>
        <v>#REF!</v>
      </c>
      <c r="F22" s="1410"/>
      <c r="G22" s="1410"/>
      <c r="H22" s="1410"/>
      <c r="I22" s="1411"/>
      <c r="J22" s="399"/>
      <c r="O22" s="17"/>
      <c r="Q22" s="428" t="s">
        <v>115</v>
      </c>
      <c r="R22" s="386"/>
      <c r="S22" s="386"/>
      <c r="T22" s="1392" t="e">
        <f>T21+X21</f>
        <v>#REF!</v>
      </c>
      <c r="U22" s="1393"/>
      <c r="V22" s="1393"/>
      <c r="W22" s="1393"/>
      <c r="X22" s="1394"/>
      <c r="Y22" s="427"/>
    </row>
    <row r="23" spans="2:27">
      <c r="B23" s="244" t="s">
        <v>119</v>
      </c>
      <c r="C23" s="233"/>
      <c r="D23" s="393">
        <f>H120%</f>
        <v>2.5009875054572667E-2</v>
      </c>
      <c r="E23" s="1412"/>
      <c r="F23" s="1413"/>
      <c r="G23" s="1413"/>
      <c r="H23" s="1413"/>
      <c r="I23" s="1414"/>
      <c r="J23" s="400" t="e">
        <f>E22*D23</f>
        <v>#REF!</v>
      </c>
      <c r="O23" s="17"/>
      <c r="Q23" s="319" t="s">
        <v>74</v>
      </c>
      <c r="R23" s="320"/>
      <c r="S23" s="429">
        <f>D23</f>
        <v>2.5009875054572667E-2</v>
      </c>
      <c r="T23" s="1395"/>
      <c r="U23" s="1396"/>
      <c r="V23" s="1396"/>
      <c r="W23" s="1396"/>
      <c r="X23" s="1397"/>
      <c r="Y23" s="431" t="e">
        <f>T22*S23</f>
        <v>#REF!</v>
      </c>
    </row>
    <row r="24" spans="2:27">
      <c r="B24" s="132" t="s">
        <v>118</v>
      </c>
      <c r="C24" s="52"/>
      <c r="D24" s="52"/>
      <c r="E24" s="1415" t="e">
        <f>E22+J23</f>
        <v>#REF!</v>
      </c>
      <c r="F24" s="1273"/>
      <c r="G24" s="1273"/>
      <c r="H24" s="1273"/>
      <c r="I24" s="1273"/>
      <c r="J24" s="1357"/>
      <c r="O24" s="17"/>
      <c r="Q24" s="321" t="s">
        <v>118</v>
      </c>
      <c r="R24" s="322"/>
      <c r="S24" s="322"/>
      <c r="T24" s="1398" t="e">
        <f>T22+Y23</f>
        <v>#REF!</v>
      </c>
      <c r="U24" s="1399"/>
      <c r="V24" s="1399"/>
      <c r="W24" s="1399"/>
      <c r="X24" s="1399"/>
      <c r="Y24" s="1371"/>
    </row>
    <row r="25" spans="2:27">
      <c r="B25" s="242" t="s">
        <v>48</v>
      </c>
      <c r="C25" s="231"/>
      <c r="D25" s="52"/>
      <c r="E25" s="1386" t="e">
        <f>#REF!</f>
        <v>#REF!</v>
      </c>
      <c r="F25" s="1387"/>
      <c r="G25" s="1387"/>
      <c r="H25" s="1387"/>
      <c r="I25" s="1387"/>
      <c r="J25" s="1388"/>
      <c r="O25" s="17"/>
      <c r="Q25" s="432" t="s">
        <v>48</v>
      </c>
      <c r="R25" s="433"/>
      <c r="S25" s="322"/>
      <c r="T25" s="1400" t="e">
        <f>E25*3.6/1000</f>
        <v>#REF!</v>
      </c>
      <c r="U25" s="1401"/>
      <c r="V25" s="1401"/>
      <c r="W25" s="1401"/>
      <c r="X25" s="1401"/>
      <c r="Y25" s="1402"/>
    </row>
    <row r="26" spans="2:27" ht="16" thickBot="1">
      <c r="B26" s="401" t="s">
        <v>50</v>
      </c>
      <c r="C26" s="402"/>
      <c r="D26" s="164"/>
      <c r="E26" s="1364" t="e">
        <f>E24-E25</f>
        <v>#REF!</v>
      </c>
      <c r="F26" s="1326"/>
      <c r="G26" s="1326"/>
      <c r="H26" s="1326"/>
      <c r="I26" s="1326"/>
      <c r="J26" s="1365"/>
      <c r="O26" s="17"/>
      <c r="Q26" s="434" t="s">
        <v>50</v>
      </c>
      <c r="R26" s="435"/>
      <c r="S26" s="436"/>
      <c r="T26" s="1403" t="e">
        <f>T24-T25</f>
        <v>#REF!</v>
      </c>
      <c r="U26" s="1404"/>
      <c r="V26" s="1404"/>
      <c r="W26" s="1404"/>
      <c r="X26" s="1404"/>
      <c r="Y26" s="1405"/>
    </row>
    <row r="27" spans="2:27">
      <c r="B27" s="16"/>
      <c r="O27" s="16"/>
      <c r="Q27" s="437"/>
      <c r="R27" s="144"/>
      <c r="S27" s="144"/>
      <c r="T27" s="144"/>
      <c r="U27" s="144"/>
      <c r="V27" s="144"/>
      <c r="W27" s="144"/>
      <c r="X27" s="144"/>
      <c r="Y27" s="144"/>
    </row>
    <row r="28" spans="2:27">
      <c r="B28" s="179"/>
    </row>
    <row r="29" spans="2:27" ht="25" thickBot="1">
      <c r="B29" s="188" t="e">
        <f>#REF!</f>
        <v>#REF!</v>
      </c>
      <c r="O29" s="16"/>
      <c r="Q29" s="144"/>
      <c r="R29" s="144"/>
      <c r="S29" s="144"/>
      <c r="T29" s="144"/>
      <c r="U29" s="144">
        <f>(30.292-1.26)/3.6*1000</f>
        <v>8064.4444444444434</v>
      </c>
      <c r="V29" s="144"/>
      <c r="W29" s="144"/>
      <c r="X29" s="144"/>
      <c r="Y29" s="144"/>
      <c r="Z29" s="144"/>
      <c r="AA29" s="144"/>
    </row>
    <row r="30" spans="2:27">
      <c r="B30" s="114"/>
      <c r="C30" s="115"/>
      <c r="D30" s="237"/>
      <c r="E30" s="238"/>
      <c r="F30" s="239"/>
      <c r="G30" s="239"/>
      <c r="H30" s="240" t="s">
        <v>68</v>
      </c>
      <c r="I30" s="241"/>
      <c r="J30" s="239"/>
      <c r="K30" s="239"/>
      <c r="L30" s="239"/>
      <c r="M30" s="277" t="s">
        <v>59</v>
      </c>
      <c r="N30" s="54"/>
      <c r="Q30" s="144"/>
      <c r="R30" s="144"/>
      <c r="S30" s="144"/>
      <c r="T30" s="144"/>
      <c r="U30" s="144"/>
      <c r="V30" s="144"/>
      <c r="W30" s="144"/>
      <c r="X30" s="144"/>
      <c r="Y30" s="144"/>
      <c r="Z30" s="144"/>
      <c r="AA30" s="144"/>
    </row>
    <row r="31" spans="2:27">
      <c r="B31" s="123" t="s">
        <v>1</v>
      </c>
      <c r="C31" s="17"/>
      <c r="D31" s="234" t="s">
        <v>65</v>
      </c>
      <c r="E31" s="235" t="s">
        <v>43</v>
      </c>
      <c r="F31" s="236" t="s">
        <v>44</v>
      </c>
      <c r="G31" s="236" t="s">
        <v>46</v>
      </c>
      <c r="H31" s="234" t="s">
        <v>45</v>
      </c>
      <c r="I31" s="235" t="s">
        <v>51</v>
      </c>
      <c r="J31" s="236" t="s">
        <v>52</v>
      </c>
      <c r="K31" s="236" t="s">
        <v>64</v>
      </c>
      <c r="L31" s="236" t="s">
        <v>57</v>
      </c>
      <c r="M31" s="278" t="s">
        <v>42</v>
      </c>
      <c r="N31" s="54"/>
      <c r="O31" s="16"/>
      <c r="Q31" s="223" t="s">
        <v>58</v>
      </c>
      <c r="R31" s="144"/>
      <c r="S31" s="144" t="s">
        <v>43</v>
      </c>
      <c r="T31" s="144" t="s">
        <v>44</v>
      </c>
      <c r="U31" s="144" t="s">
        <v>46</v>
      </c>
      <c r="V31" s="144" t="s">
        <v>45</v>
      </c>
      <c r="W31" s="144" t="s">
        <v>51</v>
      </c>
      <c r="X31" s="144" t="s">
        <v>52</v>
      </c>
      <c r="Y31" s="144" t="s">
        <v>56</v>
      </c>
      <c r="Z31" s="144" t="s">
        <v>57</v>
      </c>
      <c r="AA31" s="144" t="s">
        <v>42</v>
      </c>
    </row>
    <row r="32" spans="2:27" ht="16" thickBot="1">
      <c r="B32" s="116"/>
      <c r="C32" s="66"/>
      <c r="D32" s="315"/>
      <c r="E32" s="316"/>
      <c r="F32" s="317"/>
      <c r="G32" s="317"/>
      <c r="H32" s="315"/>
      <c r="I32" s="316"/>
      <c r="J32" s="317"/>
      <c r="K32" s="317"/>
      <c r="L32" s="317"/>
      <c r="M32" s="318"/>
      <c r="N32" s="54"/>
      <c r="O32" s="16"/>
      <c r="Q32" s="144"/>
      <c r="R32" s="144"/>
      <c r="S32" s="144"/>
      <c r="T32" s="144"/>
      <c r="U32" s="144"/>
      <c r="V32" s="144"/>
      <c r="W32" s="144"/>
      <c r="X32" s="144"/>
      <c r="Y32" s="144"/>
      <c r="Z32" s="144"/>
      <c r="AA32" s="210"/>
    </row>
    <row r="33" spans="2:28" ht="16" thickTop="1">
      <c r="B33" s="128" t="s">
        <v>47</v>
      </c>
      <c r="C33" s="22"/>
      <c r="D33" s="22"/>
      <c r="E33" s="309">
        <f>I_BS.2!D10</f>
        <v>0</v>
      </c>
      <c r="F33" s="310" t="e">
        <f>I_BS.2!G10</f>
        <v>#REF!</v>
      </c>
      <c r="G33" s="310" t="e">
        <f>I_BS.2!J10</f>
        <v>#REF!</v>
      </c>
      <c r="H33" s="311">
        <f>I_BS.2!M10</f>
        <v>6488.8888888888905</v>
      </c>
      <c r="I33" s="312"/>
      <c r="J33" s="313"/>
      <c r="K33" s="313"/>
      <c r="L33" s="313"/>
      <c r="M33" s="314"/>
      <c r="N33" s="54"/>
      <c r="O33" s="17"/>
      <c r="Q33" s="211" t="str">
        <f t="shared" ref="Q33:Q40" si="9">B33</f>
        <v>EV Brennst.gasf.</v>
      </c>
      <c r="R33" s="212"/>
      <c r="S33" s="213">
        <f t="shared" ref="S33:AA36" si="10">E33*3.6/1000</f>
        <v>0</v>
      </c>
      <c r="T33" s="213" t="e">
        <f t="shared" si="10"/>
        <v>#REF!</v>
      </c>
      <c r="U33" s="213" t="e">
        <f t="shared" si="10"/>
        <v>#REF!</v>
      </c>
      <c r="V33" s="213">
        <f t="shared" si="10"/>
        <v>23.360000000000007</v>
      </c>
      <c r="W33" s="214">
        <f t="shared" si="10"/>
        <v>0</v>
      </c>
      <c r="X33" s="214">
        <f t="shared" si="10"/>
        <v>0</v>
      </c>
      <c r="Y33" s="214">
        <f t="shared" si="10"/>
        <v>0</v>
      </c>
      <c r="Z33" s="214">
        <f t="shared" si="10"/>
        <v>0</v>
      </c>
      <c r="AA33" s="214">
        <f t="shared" si="10"/>
        <v>0</v>
      </c>
      <c r="AB33" s="17"/>
    </row>
    <row r="34" spans="2:28">
      <c r="B34" s="242" t="s">
        <v>48</v>
      </c>
      <c r="C34" s="231"/>
      <c r="D34" s="52"/>
      <c r="E34" s="249" t="s">
        <v>49</v>
      </c>
      <c r="F34" s="208" t="e">
        <f>#REF!</f>
        <v>#REF!</v>
      </c>
      <c r="G34" s="208" t="e">
        <f>#REF!</f>
        <v>#REF!</v>
      </c>
      <c r="H34" s="246" t="e">
        <f>#REF!</f>
        <v>#REF!</v>
      </c>
      <c r="I34" s="247"/>
      <c r="J34" s="206"/>
      <c r="K34" s="206"/>
      <c r="L34" s="206"/>
      <c r="M34" s="279"/>
      <c r="N34" s="54"/>
      <c r="O34" s="17"/>
      <c r="Q34" s="215" t="str">
        <f t="shared" si="9"/>
        <v>dav.ern.b.gedeckt</v>
      </c>
      <c r="R34" s="212"/>
      <c r="S34" s="216" t="e">
        <f t="shared" si="10"/>
        <v>#VALUE!</v>
      </c>
      <c r="T34" s="217" t="e">
        <f t="shared" si="10"/>
        <v>#REF!</v>
      </c>
      <c r="U34" s="213" t="e">
        <f t="shared" si="10"/>
        <v>#REF!</v>
      </c>
      <c r="V34" s="217" t="e">
        <f t="shared" si="10"/>
        <v>#REF!</v>
      </c>
      <c r="W34" s="214">
        <f t="shared" si="10"/>
        <v>0</v>
      </c>
      <c r="X34" s="214">
        <f t="shared" si="10"/>
        <v>0</v>
      </c>
      <c r="Y34" s="214">
        <f t="shared" si="10"/>
        <v>0</v>
      </c>
      <c r="Z34" s="214">
        <f t="shared" si="10"/>
        <v>0</v>
      </c>
      <c r="AA34" s="214">
        <f t="shared" si="10"/>
        <v>0</v>
      </c>
      <c r="AB34" s="17"/>
    </row>
    <row r="35" spans="2:28">
      <c r="B35" s="242" t="s">
        <v>50</v>
      </c>
      <c r="C35" s="231"/>
      <c r="D35" s="52"/>
      <c r="E35" s="250">
        <f>E33-SUM(E34)</f>
        <v>0</v>
      </c>
      <c r="F35" s="207" t="e">
        <f>F33-SUM(F34)</f>
        <v>#REF!</v>
      </c>
      <c r="G35" s="207" t="e">
        <f>G33-SUM(G34)</f>
        <v>#REF!</v>
      </c>
      <c r="H35" s="251" t="e">
        <f>H33-SUM(H34)</f>
        <v>#REF!</v>
      </c>
      <c r="I35" s="247"/>
      <c r="J35" s="206"/>
      <c r="K35" s="206"/>
      <c r="L35" s="206"/>
      <c r="M35" s="279"/>
      <c r="N35" s="54"/>
      <c r="O35" s="17"/>
      <c r="Q35" s="215" t="str">
        <f t="shared" si="9"/>
        <v>dav.fossil gedeckt</v>
      </c>
      <c r="R35" s="212"/>
      <c r="S35" s="218">
        <f t="shared" si="10"/>
        <v>0</v>
      </c>
      <c r="T35" s="218" t="e">
        <f t="shared" si="10"/>
        <v>#REF!</v>
      </c>
      <c r="U35" s="218" t="e">
        <f t="shared" si="10"/>
        <v>#REF!</v>
      </c>
      <c r="V35" s="218" t="e">
        <f t="shared" si="10"/>
        <v>#REF!</v>
      </c>
      <c r="W35" s="214">
        <f t="shared" si="10"/>
        <v>0</v>
      </c>
      <c r="X35" s="214">
        <f t="shared" si="10"/>
        <v>0</v>
      </c>
      <c r="Y35" s="214">
        <f t="shared" si="10"/>
        <v>0</v>
      </c>
      <c r="Z35" s="214">
        <f t="shared" si="10"/>
        <v>0</v>
      </c>
      <c r="AA35" s="214">
        <f t="shared" si="10"/>
        <v>0</v>
      </c>
      <c r="AB35" s="17"/>
    </row>
    <row r="36" spans="2:28">
      <c r="B36" s="243" t="s">
        <v>60</v>
      </c>
      <c r="C36" s="232"/>
      <c r="D36" s="232"/>
      <c r="E36" s="250">
        <f>E35</f>
        <v>0</v>
      </c>
      <c r="F36" s="207" t="e">
        <f t="shared" ref="F36:H36" si="11">F35</f>
        <v>#REF!</v>
      </c>
      <c r="G36" s="207" t="e">
        <f t="shared" si="11"/>
        <v>#REF!</v>
      </c>
      <c r="H36" s="251" t="e">
        <f t="shared" si="11"/>
        <v>#REF!</v>
      </c>
      <c r="I36" s="247"/>
      <c r="J36" s="206"/>
      <c r="K36" s="206"/>
      <c r="L36" s="206"/>
      <c r="M36" s="279"/>
      <c r="N36" s="54"/>
      <c r="O36" s="17"/>
      <c r="Q36" s="219" t="str">
        <f t="shared" si="9"/>
        <v>NV.fos Brennst.gasf.</v>
      </c>
      <c r="R36" s="220"/>
      <c r="S36" s="218">
        <f t="shared" si="10"/>
        <v>0</v>
      </c>
      <c r="T36" s="218" t="e">
        <f t="shared" si="10"/>
        <v>#REF!</v>
      </c>
      <c r="U36" s="218" t="e">
        <f t="shared" si="10"/>
        <v>#REF!</v>
      </c>
      <c r="V36" s="218" t="e">
        <f t="shared" si="10"/>
        <v>#REF!</v>
      </c>
      <c r="W36" s="214">
        <f t="shared" si="10"/>
        <v>0</v>
      </c>
      <c r="X36" s="214">
        <f t="shared" si="10"/>
        <v>0</v>
      </c>
      <c r="Y36" s="214">
        <f t="shared" si="10"/>
        <v>0</v>
      </c>
      <c r="Z36" s="214">
        <f t="shared" si="10"/>
        <v>0</v>
      </c>
      <c r="AA36" s="214">
        <f t="shared" si="10"/>
        <v>0</v>
      </c>
      <c r="AB36" s="17"/>
    </row>
    <row r="37" spans="2:28">
      <c r="B37" s="244" t="s">
        <v>73</v>
      </c>
      <c r="C37" s="233"/>
      <c r="D37" s="281">
        <f>E146</f>
        <v>0.88273805160108509</v>
      </c>
      <c r="E37" s="1358" t="e">
        <f>SUM(E36:H36)</f>
        <v>#REF!</v>
      </c>
      <c r="F37" s="1359"/>
      <c r="G37" s="1359"/>
      <c r="H37" s="1360"/>
      <c r="I37" s="247"/>
      <c r="J37" s="206"/>
      <c r="K37" s="206"/>
      <c r="L37" s="283" t="e">
        <f>E37*D37%</f>
        <v>#REF!</v>
      </c>
      <c r="M37" s="279"/>
      <c r="N37" s="54"/>
      <c r="O37" s="17"/>
      <c r="Q37" s="221" t="str">
        <f t="shared" si="9"/>
        <v>FV Brennst.gasf.</v>
      </c>
      <c r="R37" s="222"/>
      <c r="S37" s="1380" t="e">
        <f>E37*3.6/1000</f>
        <v>#REF!</v>
      </c>
      <c r="T37" s="1381"/>
      <c r="U37" s="1381"/>
      <c r="V37" s="1382"/>
      <c r="W37" s="214">
        <f t="shared" ref="W37:AA40" si="12">I37*3.6/1000</f>
        <v>0</v>
      </c>
      <c r="X37" s="214">
        <f t="shared" si="12"/>
        <v>0</v>
      </c>
      <c r="Y37" s="214">
        <f t="shared" si="12"/>
        <v>0</v>
      </c>
      <c r="Z37" s="213" t="e">
        <f t="shared" si="12"/>
        <v>#REF!</v>
      </c>
      <c r="AA37" s="214">
        <f t="shared" si="12"/>
        <v>0</v>
      </c>
      <c r="AB37" s="17"/>
    </row>
    <row r="38" spans="2:28">
      <c r="B38" s="244" t="s">
        <v>74</v>
      </c>
      <c r="C38" s="233"/>
      <c r="D38" s="282">
        <f>E147</f>
        <v>3.7822483581768225</v>
      </c>
      <c r="E38" s="1361"/>
      <c r="F38" s="1362"/>
      <c r="G38" s="1362"/>
      <c r="H38" s="1363"/>
      <c r="I38" s="247"/>
      <c r="J38" s="206"/>
      <c r="K38" s="206"/>
      <c r="L38" s="206"/>
      <c r="M38" s="284" t="e">
        <f>E37*D38%</f>
        <v>#REF!</v>
      </c>
      <c r="N38" s="54"/>
      <c r="O38" s="17"/>
      <c r="Q38" s="211" t="str">
        <f t="shared" si="9"/>
        <v>VU Brenst.gasf.</v>
      </c>
      <c r="R38" s="212"/>
      <c r="S38" s="1383"/>
      <c r="T38" s="1384"/>
      <c r="U38" s="1384"/>
      <c r="V38" s="1385"/>
      <c r="W38" s="213">
        <f t="shared" si="12"/>
        <v>0</v>
      </c>
      <c r="X38" s="230">
        <f t="shared" si="12"/>
        <v>0</v>
      </c>
      <c r="Y38" s="213">
        <f t="shared" si="12"/>
        <v>0</v>
      </c>
      <c r="Z38" s="214">
        <f t="shared" si="12"/>
        <v>0</v>
      </c>
      <c r="AA38" s="213" t="e">
        <f t="shared" si="12"/>
        <v>#REF!</v>
      </c>
      <c r="AB38" s="17"/>
    </row>
    <row r="39" spans="2:28">
      <c r="B39" s="132" t="s">
        <v>55</v>
      </c>
      <c r="C39" s="52"/>
      <c r="D39" s="52"/>
      <c r="E39" s="252"/>
      <c r="F39" s="206"/>
      <c r="G39" s="206"/>
      <c r="H39" s="248"/>
      <c r="I39" s="253" t="e">
        <f>H11</f>
        <v>#REF!</v>
      </c>
      <c r="J39" s="208" t="e">
        <f>H102</f>
        <v>#REF!</v>
      </c>
      <c r="K39" s="208">
        <f>I_BS.2!Q10</f>
        <v>25981.944444444442</v>
      </c>
      <c r="L39" s="206"/>
      <c r="M39" s="279"/>
      <c r="N39" s="54"/>
      <c r="O39" s="17"/>
      <c r="Q39" s="211" t="str">
        <f t="shared" si="9"/>
        <v>UE foss.Brennst.gasf.</v>
      </c>
      <c r="R39" s="212"/>
      <c r="S39" s="214">
        <f t="shared" ref="S39:V40" si="13">E39*3.6/1000</f>
        <v>0</v>
      </c>
      <c r="T39" s="214">
        <f t="shared" si="13"/>
        <v>0</v>
      </c>
      <c r="U39" s="214">
        <f t="shared" si="13"/>
        <v>0</v>
      </c>
      <c r="V39" s="214">
        <f t="shared" si="13"/>
        <v>0</v>
      </c>
      <c r="W39" s="213" t="e">
        <f t="shared" si="12"/>
        <v>#REF!</v>
      </c>
      <c r="X39" s="230" t="e">
        <f t="shared" si="12"/>
        <v>#REF!</v>
      </c>
      <c r="Y39" s="213">
        <f t="shared" si="12"/>
        <v>93.534999999999982</v>
      </c>
      <c r="Z39" s="214">
        <f t="shared" si="12"/>
        <v>0</v>
      </c>
      <c r="AA39" s="214">
        <f t="shared" si="12"/>
        <v>0</v>
      </c>
      <c r="AB39" s="17"/>
    </row>
    <row r="40" spans="2:28">
      <c r="B40" s="132" t="s">
        <v>61</v>
      </c>
      <c r="C40" s="52"/>
      <c r="D40" s="52"/>
      <c r="E40" s="250">
        <f>E36</f>
        <v>0</v>
      </c>
      <c r="F40" s="207" t="e">
        <f t="shared" ref="F40:H40" si="14">F36</f>
        <v>#REF!</v>
      </c>
      <c r="G40" s="207" t="e">
        <f t="shared" si="14"/>
        <v>#REF!</v>
      </c>
      <c r="H40" s="251" t="e">
        <f t="shared" si="14"/>
        <v>#REF!</v>
      </c>
      <c r="I40" s="254" t="e">
        <f>I39</f>
        <v>#REF!</v>
      </c>
      <c r="J40" s="207" t="e">
        <f t="shared" ref="J40:K40" si="15">J39</f>
        <v>#REF!</v>
      </c>
      <c r="K40" s="207">
        <f t="shared" si="15"/>
        <v>25981.944444444442</v>
      </c>
      <c r="L40" s="1272" t="e">
        <f>L37+M38</f>
        <v>#REF!</v>
      </c>
      <c r="M40" s="1357"/>
      <c r="N40" s="54"/>
      <c r="O40" s="17"/>
      <c r="Q40" s="211" t="str">
        <f t="shared" si="9"/>
        <v>NV+.fos Brennst.gasf.</v>
      </c>
      <c r="R40" s="212"/>
      <c r="S40" s="218">
        <f t="shared" si="13"/>
        <v>0</v>
      </c>
      <c r="T40" s="218" t="e">
        <f t="shared" si="13"/>
        <v>#REF!</v>
      </c>
      <c r="U40" s="218" t="e">
        <f t="shared" si="13"/>
        <v>#REF!</v>
      </c>
      <c r="V40" s="218" t="e">
        <f t="shared" si="13"/>
        <v>#REF!</v>
      </c>
      <c r="W40" s="218" t="e">
        <f t="shared" si="12"/>
        <v>#REF!</v>
      </c>
      <c r="X40" s="218" t="e">
        <f t="shared" si="12"/>
        <v>#REF!</v>
      </c>
      <c r="Y40" s="218">
        <f t="shared" si="12"/>
        <v>93.534999999999982</v>
      </c>
      <c r="Z40" s="218" t="e">
        <f t="shared" si="12"/>
        <v>#REF!</v>
      </c>
      <c r="AA40" s="218">
        <f t="shared" si="12"/>
        <v>0</v>
      </c>
      <c r="AB40" s="17"/>
    </row>
    <row r="41" spans="2:28">
      <c r="B41" s="132" t="s">
        <v>62</v>
      </c>
      <c r="C41" s="52"/>
      <c r="D41" s="275">
        <f>E148</f>
        <v>100</v>
      </c>
      <c r="E41" s="255">
        <f t="shared" ref="E41:L41" si="16">E40/$D41%</f>
        <v>0</v>
      </c>
      <c r="F41" s="256" t="e">
        <f t="shared" si="16"/>
        <v>#REF!</v>
      </c>
      <c r="G41" s="256" t="e">
        <f t="shared" si="16"/>
        <v>#REF!</v>
      </c>
      <c r="H41" s="251" t="e">
        <f t="shared" si="16"/>
        <v>#REF!</v>
      </c>
      <c r="I41" s="256" t="e">
        <f t="shared" si="16"/>
        <v>#REF!</v>
      </c>
      <c r="J41" s="256" t="e">
        <f t="shared" si="16"/>
        <v>#REF!</v>
      </c>
      <c r="K41" s="256">
        <f t="shared" si="16"/>
        <v>25981.944444444442</v>
      </c>
      <c r="L41" s="1272" t="e">
        <f t="shared" si="16"/>
        <v>#REF!</v>
      </c>
      <c r="M41" s="1357"/>
      <c r="N41" s="54"/>
      <c r="O41" s="17"/>
      <c r="Q41" s="211" t="str">
        <f t="shared" ref="Q41" si="17">B41</f>
        <v>NV+.fos/UE.fos</v>
      </c>
      <c r="R41" s="212"/>
      <c r="S41" s="1375">
        <f>D41</f>
        <v>100</v>
      </c>
      <c r="T41" s="1376" t="e">
        <f>#REF!*3.6/1000</f>
        <v>#REF!</v>
      </c>
      <c r="U41" s="1376" t="e">
        <f>#REF!*3.6/1000</f>
        <v>#REF!</v>
      </c>
      <c r="V41" s="1376" t="e">
        <f>#REF!*3.6/1000</f>
        <v>#REF!</v>
      </c>
      <c r="W41" s="1376" t="e">
        <f>#REF!*3.6/1000</f>
        <v>#REF!</v>
      </c>
      <c r="X41" s="1376" t="e">
        <f>#REF!*3.6/1000</f>
        <v>#REF!</v>
      </c>
      <c r="Y41" s="1376" t="e">
        <f>#REF!*3.6/1000</f>
        <v>#REF!</v>
      </c>
      <c r="Z41" s="1376" t="e">
        <f>#REF!*3.6/1000</f>
        <v>#REF!</v>
      </c>
      <c r="AA41" s="1377" t="e">
        <f>#REF!*3.6/1000</f>
        <v>#REF!</v>
      </c>
      <c r="AB41" s="17"/>
    </row>
    <row r="42" spans="2:28" ht="16" thickBot="1">
      <c r="B42" s="280" t="s">
        <v>63</v>
      </c>
      <c r="C42" s="245"/>
      <c r="D42" s="245"/>
      <c r="E42" s="1364" t="e">
        <f>SUM(E41:M41)</f>
        <v>#REF!</v>
      </c>
      <c r="F42" s="1326"/>
      <c r="G42" s="1326"/>
      <c r="H42" s="1326"/>
      <c r="I42" s="1326"/>
      <c r="J42" s="1326"/>
      <c r="K42" s="1326"/>
      <c r="L42" s="1326"/>
      <c r="M42" s="1365"/>
      <c r="N42" s="54"/>
      <c r="O42" s="17"/>
      <c r="Q42" s="1378" t="e">
        <f>#REF!</f>
        <v>#REF!</v>
      </c>
      <c r="R42" s="1379"/>
      <c r="S42" s="1375" t="e">
        <f>E42*3.6/1000</f>
        <v>#REF!</v>
      </c>
      <c r="T42" s="1376">
        <f t="shared" ref="T42" si="18">F42*3.6/1000</f>
        <v>0</v>
      </c>
      <c r="U42" s="1376">
        <f t="shared" ref="U42" si="19">G42*3.6/1000</f>
        <v>0</v>
      </c>
      <c r="V42" s="1376">
        <f t="shared" ref="V42" si="20">H42*3.6/1000</f>
        <v>0</v>
      </c>
      <c r="W42" s="1376">
        <f t="shared" ref="W42" si="21">I42*3.6/1000</f>
        <v>0</v>
      </c>
      <c r="X42" s="1376">
        <f t="shared" ref="X42" si="22">J42*3.6/1000</f>
        <v>0</v>
      </c>
      <c r="Y42" s="1376">
        <f t="shared" ref="Y42" si="23">K42*3.6/1000</f>
        <v>0</v>
      </c>
      <c r="Z42" s="1376">
        <f t="shared" ref="Z42" si="24">L42*3.6/1000</f>
        <v>0</v>
      </c>
      <c r="AA42" s="1377">
        <f>M42*3.6/1000</f>
        <v>0</v>
      </c>
      <c r="AB42" s="17"/>
    </row>
    <row r="43" spans="2:28">
      <c r="B43" s="27"/>
      <c r="O43" s="16"/>
    </row>
    <row r="44" spans="2:28">
      <c r="B44" s="27"/>
      <c r="O44" s="16"/>
      <c r="Q44" s="144"/>
      <c r="R44" s="144"/>
      <c r="S44" s="1373" t="e">
        <f>SUM(S49:V49)</f>
        <v>#REF!</v>
      </c>
      <c r="T44" s="1374"/>
      <c r="U44" s="1374"/>
      <c r="V44" s="1374"/>
      <c r="W44" s="144">
        <f>2185.517</f>
        <v>2185.5169999999998</v>
      </c>
      <c r="X44" s="145" t="e">
        <f>S44-W44</f>
        <v>#REF!</v>
      </c>
      <c r="Y44" s="144"/>
      <c r="Z44" s="144"/>
      <c r="AA44" s="144"/>
    </row>
    <row r="45" spans="2:28" ht="25" thickBot="1">
      <c r="B45" s="188" t="e">
        <f>#REF!</f>
        <v>#REF!</v>
      </c>
      <c r="O45" s="16"/>
      <c r="Q45" s="144"/>
      <c r="R45" s="144"/>
      <c r="S45" s="144"/>
      <c r="T45" s="144"/>
      <c r="U45" s="144">
        <f>(30.292-1.26)/3.6*1000</f>
        <v>8064.4444444444434</v>
      </c>
      <c r="V45" s="144"/>
      <c r="W45" s="144"/>
      <c r="X45" s="144"/>
      <c r="Y45" s="144"/>
      <c r="Z45" s="144"/>
      <c r="AA45" s="144"/>
    </row>
    <row r="46" spans="2:28">
      <c r="B46" s="114"/>
      <c r="C46" s="115"/>
      <c r="D46" s="237"/>
      <c r="E46" s="238"/>
      <c r="F46" s="239"/>
      <c r="G46" s="239"/>
      <c r="H46" s="240" t="s">
        <v>68</v>
      </c>
      <c r="I46" s="241"/>
      <c r="J46" s="239"/>
      <c r="K46" s="239"/>
      <c r="L46" s="239"/>
      <c r="M46" s="277" t="s">
        <v>59</v>
      </c>
      <c r="N46" s="54"/>
      <c r="Q46" s="144"/>
      <c r="R46" s="144"/>
      <c r="S46" s="144"/>
      <c r="T46" s="144"/>
      <c r="U46" s="144"/>
      <c r="V46" s="144"/>
      <c r="W46" s="144"/>
      <c r="X46" s="144"/>
      <c r="Y46" s="144"/>
      <c r="Z46" s="144"/>
      <c r="AA46" s="144"/>
    </row>
    <row r="47" spans="2:28">
      <c r="B47" s="123" t="s">
        <v>1</v>
      </c>
      <c r="C47" s="17"/>
      <c r="D47" s="234" t="s">
        <v>65</v>
      </c>
      <c r="E47" s="235" t="s">
        <v>43</v>
      </c>
      <c r="F47" s="236" t="s">
        <v>44</v>
      </c>
      <c r="G47" s="236" t="s">
        <v>46</v>
      </c>
      <c r="H47" s="234" t="s">
        <v>45</v>
      </c>
      <c r="I47" s="235" t="s">
        <v>51</v>
      </c>
      <c r="J47" s="236" t="s">
        <v>52</v>
      </c>
      <c r="K47" s="236" t="s">
        <v>64</v>
      </c>
      <c r="L47" s="236" t="s">
        <v>57</v>
      </c>
      <c r="M47" s="278" t="s">
        <v>42</v>
      </c>
      <c r="N47" s="54"/>
      <c r="O47" s="16"/>
      <c r="Q47" s="223" t="s">
        <v>58</v>
      </c>
      <c r="R47" s="144"/>
      <c r="S47" s="144" t="s">
        <v>43</v>
      </c>
      <c r="T47" s="144" t="s">
        <v>44</v>
      </c>
      <c r="U47" s="144" t="s">
        <v>46</v>
      </c>
      <c r="V47" s="144" t="s">
        <v>45</v>
      </c>
      <c r="W47" s="144" t="s">
        <v>51</v>
      </c>
      <c r="X47" s="144" t="s">
        <v>52</v>
      </c>
      <c r="Y47" s="144" t="s">
        <v>56</v>
      </c>
      <c r="Z47" s="144" t="s">
        <v>57</v>
      </c>
      <c r="AA47" s="144" t="s">
        <v>42</v>
      </c>
    </row>
    <row r="48" spans="2:28" ht="16" thickBot="1">
      <c r="B48" s="116"/>
      <c r="C48" s="66"/>
      <c r="D48" s="315"/>
      <c r="E48" s="316"/>
      <c r="F48" s="317"/>
      <c r="G48" s="317"/>
      <c r="H48" s="315"/>
      <c r="I48" s="316"/>
      <c r="J48" s="317"/>
      <c r="K48" s="317"/>
      <c r="L48" s="317"/>
      <c r="M48" s="318"/>
      <c r="N48" s="54"/>
      <c r="O48" s="16"/>
      <c r="Q48" s="144"/>
      <c r="R48" s="144"/>
      <c r="S48" s="144"/>
      <c r="T48" s="144"/>
      <c r="U48" s="144"/>
      <c r="V48" s="144"/>
      <c r="W48" s="144"/>
      <c r="X48" s="144"/>
      <c r="Y48" s="144"/>
      <c r="Z48" s="144"/>
      <c r="AA48" s="210"/>
    </row>
    <row r="49" spans="2:28" ht="16" thickTop="1">
      <c r="B49" s="128" t="s">
        <v>67</v>
      </c>
      <c r="C49" s="22"/>
      <c r="D49" s="22"/>
      <c r="E49" s="309">
        <f>I_BS.2!D12</f>
        <v>0</v>
      </c>
      <c r="F49" s="310" t="e">
        <f>I_BS.2!G12</f>
        <v>#REF!</v>
      </c>
      <c r="G49" s="310" t="e">
        <f>I_BS.2!J12</f>
        <v>#REF!</v>
      </c>
      <c r="H49" s="311">
        <f>I_BS.2!M12</f>
        <v>755691.77777777787</v>
      </c>
      <c r="I49" s="312"/>
      <c r="J49" s="313"/>
      <c r="K49" s="313"/>
      <c r="L49" s="313"/>
      <c r="M49" s="314"/>
      <c r="N49" s="54"/>
      <c r="O49" s="17"/>
      <c r="Q49" s="211" t="str">
        <f>B49</f>
        <v>EV Brennst.flüssig.</v>
      </c>
      <c r="R49" s="212"/>
      <c r="S49" s="213">
        <f t="shared" ref="S49:AA52" si="25">E49*3.6/1000</f>
        <v>0</v>
      </c>
      <c r="T49" s="213" t="e">
        <f t="shared" si="25"/>
        <v>#REF!</v>
      </c>
      <c r="U49" s="213" t="e">
        <f t="shared" si="25"/>
        <v>#REF!</v>
      </c>
      <c r="V49" s="213">
        <f t="shared" si="25"/>
        <v>2720.4904000000006</v>
      </c>
      <c r="W49" s="214">
        <f t="shared" si="25"/>
        <v>0</v>
      </c>
      <c r="X49" s="214">
        <f t="shared" si="25"/>
        <v>0</v>
      </c>
      <c r="Y49" s="214">
        <f t="shared" si="25"/>
        <v>0</v>
      </c>
      <c r="Z49" s="214">
        <f t="shared" si="25"/>
        <v>0</v>
      </c>
      <c r="AA49" s="214">
        <f t="shared" si="25"/>
        <v>0</v>
      </c>
      <c r="AB49" s="69" t="e">
        <f>SUM(S49:AA49)</f>
        <v>#REF!</v>
      </c>
    </row>
    <row r="50" spans="2:28">
      <c r="B50" s="242" t="s">
        <v>48</v>
      </c>
      <c r="C50" s="231"/>
      <c r="D50" s="52"/>
      <c r="E50" s="249" t="s">
        <v>49</v>
      </c>
      <c r="F50" s="208" t="e">
        <f>#REF!</f>
        <v>#REF!</v>
      </c>
      <c r="G50" s="208" t="e">
        <f>#REF!</f>
        <v>#REF!</v>
      </c>
      <c r="H50" s="246" t="e">
        <f>#REF!</f>
        <v>#REF!</v>
      </c>
      <c r="I50" s="247"/>
      <c r="J50" s="206"/>
      <c r="K50" s="206"/>
      <c r="L50" s="206"/>
      <c r="M50" s="279"/>
      <c r="N50" s="54"/>
      <c r="O50" s="17"/>
      <c r="Q50" s="215" t="str">
        <f>B50</f>
        <v>dav.ern.b.gedeckt</v>
      </c>
      <c r="R50" s="212"/>
      <c r="S50" s="216" t="e">
        <f t="shared" si="25"/>
        <v>#VALUE!</v>
      </c>
      <c r="T50" s="217" t="e">
        <f t="shared" si="25"/>
        <v>#REF!</v>
      </c>
      <c r="U50" s="213" t="e">
        <f t="shared" si="25"/>
        <v>#REF!</v>
      </c>
      <c r="V50" s="217" t="e">
        <f t="shared" si="25"/>
        <v>#REF!</v>
      </c>
      <c r="W50" s="214">
        <f t="shared" si="25"/>
        <v>0</v>
      </c>
      <c r="X50" s="214">
        <f t="shared" si="25"/>
        <v>0</v>
      </c>
      <c r="Y50" s="214">
        <f t="shared" si="25"/>
        <v>0</v>
      </c>
      <c r="Z50" s="214">
        <f t="shared" si="25"/>
        <v>0</v>
      </c>
      <c r="AA50" s="214">
        <f t="shared" si="25"/>
        <v>0</v>
      </c>
      <c r="AB50" s="69"/>
    </row>
    <row r="51" spans="2:28">
      <c r="B51" s="242" t="s">
        <v>50</v>
      </c>
      <c r="C51" s="231"/>
      <c r="D51" s="52"/>
      <c r="E51" s="250">
        <f>E49-SUM(E50)</f>
        <v>0</v>
      </c>
      <c r="F51" s="207" t="e">
        <f>F49-SUM(F50)</f>
        <v>#REF!</v>
      </c>
      <c r="G51" s="207" t="e">
        <f>G49-SUM(G50)</f>
        <v>#REF!</v>
      </c>
      <c r="H51" s="251" t="e">
        <f>H49-SUM(H50)</f>
        <v>#REF!</v>
      </c>
      <c r="I51" s="247"/>
      <c r="J51" s="206"/>
      <c r="K51" s="206"/>
      <c r="L51" s="206"/>
      <c r="M51" s="279"/>
      <c r="N51" s="54"/>
      <c r="O51" s="17"/>
      <c r="Q51" s="215" t="str">
        <f>B51</f>
        <v>dav.fossil gedeckt</v>
      </c>
      <c r="R51" s="212"/>
      <c r="S51" s="218">
        <f t="shared" si="25"/>
        <v>0</v>
      </c>
      <c r="T51" s="218" t="e">
        <f t="shared" si="25"/>
        <v>#REF!</v>
      </c>
      <c r="U51" s="218" t="e">
        <f t="shared" si="25"/>
        <v>#REF!</v>
      </c>
      <c r="V51" s="218" t="e">
        <f t="shared" si="25"/>
        <v>#REF!</v>
      </c>
      <c r="W51" s="214">
        <f t="shared" si="25"/>
        <v>0</v>
      </c>
      <c r="X51" s="214">
        <f t="shared" si="25"/>
        <v>0</v>
      </c>
      <c r="Y51" s="214">
        <f t="shared" si="25"/>
        <v>0</v>
      </c>
      <c r="Z51" s="214">
        <f t="shared" si="25"/>
        <v>0</v>
      </c>
      <c r="AA51" s="214">
        <f t="shared" si="25"/>
        <v>0</v>
      </c>
      <c r="AB51" s="69" t="e">
        <f t="shared" ref="AB51:AB58" si="26">SUM(S51:AA51)</f>
        <v>#REF!</v>
      </c>
    </row>
    <row r="52" spans="2:28">
      <c r="B52" s="243" t="s">
        <v>69</v>
      </c>
      <c r="C52" s="232"/>
      <c r="D52" s="232"/>
      <c r="E52" s="250">
        <f>E51</f>
        <v>0</v>
      </c>
      <c r="F52" s="207" t="e">
        <f t="shared" ref="F52" si="27">F51</f>
        <v>#REF!</v>
      </c>
      <c r="G52" s="207" t="e">
        <f t="shared" ref="G52" si="28">G51</f>
        <v>#REF!</v>
      </c>
      <c r="H52" s="251" t="e">
        <f t="shared" ref="H52" si="29">H51</f>
        <v>#REF!</v>
      </c>
      <c r="I52" s="247"/>
      <c r="J52" s="206"/>
      <c r="K52" s="206"/>
      <c r="L52" s="206"/>
      <c r="M52" s="279"/>
      <c r="N52" s="54"/>
      <c r="O52" s="17"/>
      <c r="Q52" s="219" t="str">
        <f>B52</f>
        <v>NV.fos Brennst.flüssig</v>
      </c>
      <c r="R52" s="220"/>
      <c r="S52" s="218">
        <f t="shared" si="25"/>
        <v>0</v>
      </c>
      <c r="T52" s="218" t="e">
        <f t="shared" si="25"/>
        <v>#REF!</v>
      </c>
      <c r="U52" s="218" t="e">
        <f t="shared" si="25"/>
        <v>#REF!</v>
      </c>
      <c r="V52" s="218" t="e">
        <f t="shared" si="25"/>
        <v>#REF!</v>
      </c>
      <c r="W52" s="214">
        <f t="shared" si="25"/>
        <v>0</v>
      </c>
      <c r="X52" s="214">
        <f t="shared" si="25"/>
        <v>0</v>
      </c>
      <c r="Y52" s="214">
        <f t="shared" si="25"/>
        <v>0</v>
      </c>
      <c r="Z52" s="214">
        <f t="shared" si="25"/>
        <v>0</v>
      </c>
      <c r="AA52" s="214">
        <f t="shared" si="25"/>
        <v>0</v>
      </c>
      <c r="AB52" s="69" t="e">
        <f t="shared" si="26"/>
        <v>#REF!</v>
      </c>
    </row>
    <row r="53" spans="2:28">
      <c r="B53" s="244" t="s">
        <v>75</v>
      </c>
      <c r="C53" s="233"/>
      <c r="D53" s="281">
        <f>E153</f>
        <v>0</v>
      </c>
      <c r="E53" s="1358" t="e">
        <f>SUM(E52:H52)</f>
        <v>#REF!</v>
      </c>
      <c r="F53" s="1359"/>
      <c r="G53" s="1359"/>
      <c r="H53" s="1360"/>
      <c r="I53" s="247"/>
      <c r="J53" s="206"/>
      <c r="K53" s="206"/>
      <c r="L53" s="283" t="e">
        <f>E53*D53%</f>
        <v>#REF!</v>
      </c>
      <c r="M53" s="279"/>
      <c r="N53" s="54"/>
      <c r="O53" s="17"/>
      <c r="Q53" s="221" t="str">
        <f>B53</f>
        <v>FV Brennst.flüssig</v>
      </c>
      <c r="R53" s="222"/>
      <c r="S53" s="1375" t="e">
        <f t="shared" ref="S53:Z53" si="30">E53*3.6/1000</f>
        <v>#REF!</v>
      </c>
      <c r="T53" s="1376">
        <f t="shared" si="30"/>
        <v>0</v>
      </c>
      <c r="U53" s="1376">
        <f t="shared" si="30"/>
        <v>0</v>
      </c>
      <c r="V53" s="1377">
        <f t="shared" si="30"/>
        <v>0</v>
      </c>
      <c r="W53" s="214">
        <f t="shared" si="30"/>
        <v>0</v>
      </c>
      <c r="X53" s="214">
        <f t="shared" si="30"/>
        <v>0</v>
      </c>
      <c r="Y53" s="214">
        <f t="shared" si="30"/>
        <v>0</v>
      </c>
      <c r="Z53" s="213" t="e">
        <f t="shared" si="30"/>
        <v>#REF!</v>
      </c>
      <c r="AA53" s="213" t="e">
        <f>M54*3.6/1000</f>
        <v>#REF!</v>
      </c>
      <c r="AB53" s="69" t="e">
        <f t="shared" si="26"/>
        <v>#REF!</v>
      </c>
    </row>
    <row r="54" spans="2:28">
      <c r="B54" s="244" t="s">
        <v>76</v>
      </c>
      <c r="C54" s="233"/>
      <c r="D54" s="282">
        <f>E154</f>
        <v>2.8453107541523628</v>
      </c>
      <c r="E54" s="1361"/>
      <c r="F54" s="1362"/>
      <c r="G54" s="1362"/>
      <c r="H54" s="1363"/>
      <c r="I54" s="247"/>
      <c r="J54" s="206"/>
      <c r="K54" s="206"/>
      <c r="L54" s="206"/>
      <c r="M54" s="284" t="e">
        <f>E53*D54%</f>
        <v>#REF!</v>
      </c>
      <c r="N54" s="54"/>
      <c r="O54" s="17"/>
      <c r="Q54" s="221"/>
      <c r="R54" s="222"/>
      <c r="S54" s="227"/>
      <c r="T54" s="228"/>
      <c r="U54" s="228"/>
      <c r="V54" s="229"/>
      <c r="W54" s="214"/>
      <c r="X54" s="214"/>
      <c r="Y54" s="214"/>
      <c r="Z54" s="213"/>
      <c r="AA54" s="213"/>
      <c r="AB54" s="69"/>
    </row>
    <row r="55" spans="2:28">
      <c r="B55" s="132" t="s">
        <v>72</v>
      </c>
      <c r="C55" s="52"/>
      <c r="D55" s="52"/>
      <c r="E55" s="252"/>
      <c r="F55" s="206"/>
      <c r="G55" s="206"/>
      <c r="H55" s="248"/>
      <c r="I55" s="253" t="e">
        <f>H12</f>
        <v>#REF!</v>
      </c>
      <c r="J55" s="208" t="e">
        <f>H103</f>
        <v>#REF!</v>
      </c>
      <c r="K55" s="208">
        <f>I_BS.2!Q12</f>
        <v>238532.22222222219</v>
      </c>
      <c r="L55" s="206"/>
      <c r="M55" s="279"/>
      <c r="N55" s="54"/>
      <c r="O55" s="17"/>
      <c r="Q55" s="211" t="str">
        <f>B55</f>
        <v>UE.fos Brennst.flüssig</v>
      </c>
      <c r="R55" s="212"/>
      <c r="S55" s="214">
        <f t="shared" ref="S55:AA56" si="31">E55*3.6/1000</f>
        <v>0</v>
      </c>
      <c r="T55" s="214">
        <f t="shared" si="31"/>
        <v>0</v>
      </c>
      <c r="U55" s="214">
        <f t="shared" si="31"/>
        <v>0</v>
      </c>
      <c r="V55" s="214">
        <f t="shared" si="31"/>
        <v>0</v>
      </c>
      <c r="W55" s="213" t="e">
        <f t="shared" si="31"/>
        <v>#REF!</v>
      </c>
      <c r="X55" s="230" t="e">
        <f t="shared" si="31"/>
        <v>#REF!</v>
      </c>
      <c r="Y55" s="213">
        <f t="shared" si="31"/>
        <v>858.71599999999989</v>
      </c>
      <c r="Z55" s="214">
        <f t="shared" si="31"/>
        <v>0</v>
      </c>
      <c r="AA55" s="214">
        <f t="shared" si="31"/>
        <v>0</v>
      </c>
      <c r="AB55" s="69" t="e">
        <f t="shared" si="26"/>
        <v>#REF!</v>
      </c>
    </row>
    <row r="56" spans="2:28">
      <c r="B56" s="132" t="s">
        <v>70</v>
      </c>
      <c r="C56" s="52"/>
      <c r="D56" s="52"/>
      <c r="E56" s="250">
        <f>E52</f>
        <v>0</v>
      </c>
      <c r="F56" s="207" t="e">
        <f t="shared" ref="F56:H56" si="32">F52</f>
        <v>#REF!</v>
      </c>
      <c r="G56" s="207" t="e">
        <f t="shared" si="32"/>
        <v>#REF!</v>
      </c>
      <c r="H56" s="251" t="e">
        <f t="shared" si="32"/>
        <v>#REF!</v>
      </c>
      <c r="I56" s="254" t="e">
        <f>I55</f>
        <v>#REF!</v>
      </c>
      <c r="J56" s="207" t="e">
        <f t="shared" ref="J56" si="33">J55</f>
        <v>#REF!</v>
      </c>
      <c r="K56" s="207">
        <f t="shared" ref="K56" si="34">K55</f>
        <v>238532.22222222219</v>
      </c>
      <c r="L56" s="1272" t="e">
        <f>SUM(L53:M54)</f>
        <v>#REF!</v>
      </c>
      <c r="M56" s="1357"/>
      <c r="N56" s="54"/>
      <c r="O56" s="17"/>
      <c r="Q56" s="211" t="str">
        <f>B56</f>
        <v>NV+.fos Brennst.flüssig</v>
      </c>
      <c r="R56" s="212"/>
      <c r="S56" s="218">
        <f t="shared" si="31"/>
        <v>0</v>
      </c>
      <c r="T56" s="218" t="e">
        <f t="shared" si="31"/>
        <v>#REF!</v>
      </c>
      <c r="U56" s="218" t="e">
        <f t="shared" si="31"/>
        <v>#REF!</v>
      </c>
      <c r="V56" s="218" t="e">
        <f t="shared" si="31"/>
        <v>#REF!</v>
      </c>
      <c r="W56" s="218" t="e">
        <f t="shared" si="31"/>
        <v>#REF!</v>
      </c>
      <c r="X56" s="218" t="e">
        <f t="shared" si="31"/>
        <v>#REF!</v>
      </c>
      <c r="Y56" s="218">
        <f t="shared" si="31"/>
        <v>858.71599999999989</v>
      </c>
      <c r="Z56" s="218" t="e">
        <f t="shared" si="31"/>
        <v>#REF!</v>
      </c>
      <c r="AA56" s="218">
        <f t="shared" si="31"/>
        <v>0</v>
      </c>
      <c r="AB56" s="69" t="e">
        <f t="shared" si="26"/>
        <v>#REF!</v>
      </c>
    </row>
    <row r="57" spans="2:28">
      <c r="B57" s="132" t="s">
        <v>62</v>
      </c>
      <c r="C57" s="52"/>
      <c r="D57" s="275">
        <f>E155</f>
        <v>82.832498087589286</v>
      </c>
      <c r="E57" s="255">
        <f t="shared" ref="E57:L57" si="35">E56/$D57%</f>
        <v>0</v>
      </c>
      <c r="F57" s="256" t="e">
        <f t="shared" si="35"/>
        <v>#REF!</v>
      </c>
      <c r="G57" s="256" t="e">
        <f t="shared" si="35"/>
        <v>#REF!</v>
      </c>
      <c r="H57" s="251" t="e">
        <f t="shared" si="35"/>
        <v>#REF!</v>
      </c>
      <c r="I57" s="256" t="e">
        <f t="shared" si="35"/>
        <v>#REF!</v>
      </c>
      <c r="J57" s="256" t="e">
        <f t="shared" si="35"/>
        <v>#REF!</v>
      </c>
      <c r="K57" s="256">
        <f t="shared" si="35"/>
        <v>287969.36918405123</v>
      </c>
      <c r="L57" s="1272" t="e">
        <f t="shared" si="35"/>
        <v>#REF!</v>
      </c>
      <c r="M57" s="1357"/>
      <c r="N57" s="54"/>
      <c r="O57" s="17"/>
      <c r="Q57" s="211" t="str">
        <f t="shared" ref="Q57" si="36">B57</f>
        <v>NV+.fos/UE.fos</v>
      </c>
      <c r="R57" s="212"/>
      <c r="S57" s="1375">
        <f>D57</f>
        <v>82.832498087589286</v>
      </c>
      <c r="T57" s="1376" t="e">
        <f>#REF!*3.6/1000</f>
        <v>#REF!</v>
      </c>
      <c r="U57" s="1376" t="e">
        <f>#REF!*3.6/1000</f>
        <v>#REF!</v>
      </c>
      <c r="V57" s="1376" t="e">
        <f>#REF!*3.6/1000</f>
        <v>#REF!</v>
      </c>
      <c r="W57" s="1376" t="e">
        <f>#REF!*3.6/1000</f>
        <v>#REF!</v>
      </c>
      <c r="X57" s="1376" t="e">
        <f>#REF!*3.6/1000</f>
        <v>#REF!</v>
      </c>
      <c r="Y57" s="1376" t="e">
        <f>#REF!*3.6/1000</f>
        <v>#REF!</v>
      </c>
      <c r="Z57" s="1376" t="e">
        <f>#REF!*3.6/1000</f>
        <v>#REF!</v>
      </c>
      <c r="AA57" s="1377" t="e">
        <f>#REF!*3.6/1000</f>
        <v>#REF!</v>
      </c>
      <c r="AB57" s="69"/>
    </row>
    <row r="58" spans="2:28" ht="16" thickBot="1">
      <c r="B58" s="280" t="s">
        <v>71</v>
      </c>
      <c r="C58" s="245"/>
      <c r="D58" s="245"/>
      <c r="E58" s="1364" t="e">
        <f>SUM(E57:M57)</f>
        <v>#REF!</v>
      </c>
      <c r="F58" s="1326"/>
      <c r="G58" s="1326"/>
      <c r="H58" s="1326"/>
      <c r="I58" s="1326"/>
      <c r="J58" s="1326"/>
      <c r="K58" s="1326"/>
      <c r="L58" s="1326"/>
      <c r="M58" s="1365"/>
      <c r="N58" s="54"/>
      <c r="O58" s="17"/>
      <c r="Q58" s="1378" t="e">
        <f>#REF!</f>
        <v>#REF!</v>
      </c>
      <c r="R58" s="1379"/>
      <c r="S58" s="1375" t="e">
        <f>E58*3.6/1000</f>
        <v>#REF!</v>
      </c>
      <c r="T58" s="1376">
        <f t="shared" ref="T58" si="37">F58*3.6/1000</f>
        <v>0</v>
      </c>
      <c r="U58" s="1376">
        <f t="shared" ref="U58" si="38">G58*3.6/1000</f>
        <v>0</v>
      </c>
      <c r="V58" s="1376">
        <f t="shared" ref="V58" si="39">H58*3.6/1000</f>
        <v>0</v>
      </c>
      <c r="W58" s="1376">
        <f t="shared" ref="W58" si="40">I58*3.6/1000</f>
        <v>0</v>
      </c>
      <c r="X58" s="1376">
        <f t="shared" ref="X58" si="41">J58*3.6/1000</f>
        <v>0</v>
      </c>
      <c r="Y58" s="1376">
        <f t="shared" ref="Y58" si="42">K58*3.6/1000</f>
        <v>0</v>
      </c>
      <c r="Z58" s="1376">
        <f t="shared" ref="Z58" si="43">L58*3.6/1000</f>
        <v>0</v>
      </c>
      <c r="AA58" s="1377">
        <f>M58*3.6/1000</f>
        <v>0</v>
      </c>
      <c r="AB58" s="69" t="e">
        <f t="shared" si="26"/>
        <v>#REF!</v>
      </c>
    </row>
    <row r="59" spans="2:28">
      <c r="B59" s="27"/>
      <c r="O59" s="16"/>
    </row>
    <row r="60" spans="2:28" ht="25" thickBot="1">
      <c r="B60" s="188" t="s">
        <v>91</v>
      </c>
      <c r="O60" s="16"/>
      <c r="Q60" s="144"/>
      <c r="R60" s="144"/>
      <c r="S60" s="144"/>
      <c r="T60" s="144"/>
      <c r="U60" s="144">
        <f>(30.292-1.26)/3.6*1000</f>
        <v>8064.4444444444434</v>
      </c>
      <c r="V60" s="144"/>
      <c r="W60" s="144"/>
      <c r="X60" s="144"/>
      <c r="Y60" s="144"/>
      <c r="Z60" s="144"/>
      <c r="AA60" s="144"/>
    </row>
    <row r="61" spans="2:28">
      <c r="B61" s="114"/>
      <c r="C61" s="115"/>
      <c r="D61" s="237"/>
      <c r="E61" s="238"/>
      <c r="F61" s="239"/>
      <c r="G61" s="239"/>
      <c r="H61" s="240" t="s">
        <v>68</v>
      </c>
      <c r="I61" s="241"/>
      <c r="J61" s="239"/>
      <c r="K61" s="239"/>
      <c r="L61" s="239"/>
      <c r="M61" s="277" t="s">
        <v>59</v>
      </c>
      <c r="N61" s="54"/>
      <c r="Q61" s="144"/>
      <c r="R61" s="144"/>
      <c r="S61" s="144"/>
      <c r="T61" s="144"/>
      <c r="U61" s="144"/>
      <c r="V61" s="144"/>
      <c r="W61" s="144"/>
      <c r="X61" s="144"/>
      <c r="Y61" s="144"/>
      <c r="Z61" s="144"/>
      <c r="AA61" s="144"/>
    </row>
    <row r="62" spans="2:28">
      <c r="B62" s="123" t="s">
        <v>1</v>
      </c>
      <c r="C62" s="17"/>
      <c r="D62" s="234" t="s">
        <v>65</v>
      </c>
      <c r="E62" s="235" t="s">
        <v>43</v>
      </c>
      <c r="F62" s="236" t="s">
        <v>44</v>
      </c>
      <c r="G62" s="236" t="s">
        <v>46</v>
      </c>
      <c r="H62" s="234" t="s">
        <v>45</v>
      </c>
      <c r="I62" s="235" t="s">
        <v>51</v>
      </c>
      <c r="J62" s="236" t="s">
        <v>52</v>
      </c>
      <c r="K62" s="236" t="s">
        <v>64</v>
      </c>
      <c r="L62" s="236" t="s">
        <v>57</v>
      </c>
      <c r="M62" s="278" t="s">
        <v>42</v>
      </c>
      <c r="N62" s="54"/>
      <c r="O62" s="16"/>
      <c r="Q62" s="223" t="s">
        <v>58</v>
      </c>
      <c r="R62" s="144"/>
      <c r="S62" s="144" t="s">
        <v>43</v>
      </c>
      <c r="T62" s="144" t="s">
        <v>44</v>
      </c>
      <c r="U62" s="144" t="s">
        <v>46</v>
      </c>
      <c r="V62" s="144" t="s">
        <v>45</v>
      </c>
      <c r="W62" s="144" t="s">
        <v>51</v>
      </c>
      <c r="X62" s="144" t="s">
        <v>52</v>
      </c>
      <c r="Y62" s="144" t="s">
        <v>56</v>
      </c>
      <c r="Z62" s="144" t="s">
        <v>57</v>
      </c>
      <c r="AA62" s="144" t="s">
        <v>42</v>
      </c>
    </row>
    <row r="63" spans="2:28" ht="16" thickBot="1">
      <c r="B63" s="116"/>
      <c r="C63" s="66"/>
      <c r="D63" s="315"/>
      <c r="E63" s="316"/>
      <c r="F63" s="317"/>
      <c r="G63" s="317"/>
      <c r="H63" s="315"/>
      <c r="I63" s="316"/>
      <c r="J63" s="317"/>
      <c r="K63" s="317"/>
      <c r="L63" s="317"/>
      <c r="M63" s="318"/>
      <c r="N63" s="54"/>
      <c r="O63" s="16"/>
      <c r="Q63" s="144"/>
      <c r="R63" s="144"/>
      <c r="S63" s="144"/>
      <c r="T63" s="144"/>
      <c r="U63" s="144"/>
      <c r="V63" s="144"/>
      <c r="W63" s="144"/>
      <c r="X63" s="144"/>
      <c r="Y63" s="144"/>
      <c r="Z63" s="144"/>
      <c r="AA63" s="210"/>
    </row>
    <row r="64" spans="2:28" ht="16" thickTop="1">
      <c r="B64" s="128" t="s">
        <v>87</v>
      </c>
      <c r="C64" s="22"/>
      <c r="D64" s="22"/>
      <c r="E64" s="309">
        <f>I_BS.2!D14</f>
        <v>0</v>
      </c>
      <c r="F64" s="310" t="e">
        <f>I_BS.2!G14</f>
        <v>#REF!</v>
      </c>
      <c r="G64" s="310" t="e">
        <f>I_BS.2!J14</f>
        <v>#REF!</v>
      </c>
      <c r="H64" s="311">
        <f>I_BS.2!M14</f>
        <v>0</v>
      </c>
      <c r="I64" s="312"/>
      <c r="J64" s="313"/>
      <c r="K64" s="313"/>
      <c r="L64" s="313"/>
      <c r="M64" s="314"/>
      <c r="N64" s="54"/>
      <c r="O64" s="17"/>
      <c r="Q64" s="211" t="str">
        <f>B64</f>
        <v>EV Brennst.fest</v>
      </c>
      <c r="R64" s="212"/>
      <c r="S64" s="213">
        <f t="shared" ref="S64:AA67" si="44">E64*3.6/1000</f>
        <v>0</v>
      </c>
      <c r="T64" s="213" t="e">
        <f t="shared" si="44"/>
        <v>#REF!</v>
      </c>
      <c r="U64" s="213" t="e">
        <f t="shared" si="44"/>
        <v>#REF!</v>
      </c>
      <c r="V64" s="213">
        <f t="shared" si="44"/>
        <v>0</v>
      </c>
      <c r="W64" s="214">
        <f t="shared" si="44"/>
        <v>0</v>
      </c>
      <c r="X64" s="214">
        <f t="shared" si="44"/>
        <v>0</v>
      </c>
      <c r="Y64" s="214">
        <f t="shared" si="44"/>
        <v>0</v>
      </c>
      <c r="Z64" s="214">
        <f t="shared" si="44"/>
        <v>0</v>
      </c>
      <c r="AA64" s="214">
        <f t="shared" si="44"/>
        <v>0</v>
      </c>
      <c r="AB64" s="69" t="e">
        <f>SUM(S64:AA64)</f>
        <v>#REF!</v>
      </c>
    </row>
    <row r="65" spans="2:28">
      <c r="B65" s="242" t="s">
        <v>48</v>
      </c>
      <c r="C65" s="231"/>
      <c r="D65" s="52"/>
      <c r="E65" s="249" t="s">
        <v>49</v>
      </c>
      <c r="F65" s="208" t="e">
        <f>#REF!+#REF!</f>
        <v>#REF!</v>
      </c>
      <c r="G65" s="208" t="e">
        <f>#REF!+#REF!</f>
        <v>#REF!</v>
      </c>
      <c r="H65" s="303" t="s">
        <v>49</v>
      </c>
      <c r="I65" s="247"/>
      <c r="J65" s="206"/>
      <c r="K65" s="206"/>
      <c r="L65" s="206"/>
      <c r="M65" s="279"/>
      <c r="N65" s="54"/>
      <c r="O65" s="17"/>
      <c r="Q65" s="215" t="str">
        <f>B65</f>
        <v>dav.ern.b.gedeckt</v>
      </c>
      <c r="R65" s="212"/>
      <c r="S65" s="216" t="e">
        <f t="shared" si="44"/>
        <v>#VALUE!</v>
      </c>
      <c r="T65" s="217" t="e">
        <f t="shared" si="44"/>
        <v>#REF!</v>
      </c>
      <c r="U65" s="213" t="e">
        <f t="shared" si="44"/>
        <v>#REF!</v>
      </c>
      <c r="V65" s="217" t="e">
        <f t="shared" si="44"/>
        <v>#VALUE!</v>
      </c>
      <c r="W65" s="214">
        <f t="shared" si="44"/>
        <v>0</v>
      </c>
      <c r="X65" s="214">
        <f t="shared" si="44"/>
        <v>0</v>
      </c>
      <c r="Y65" s="214">
        <f t="shared" si="44"/>
        <v>0</v>
      </c>
      <c r="Z65" s="214">
        <f t="shared" si="44"/>
        <v>0</v>
      </c>
      <c r="AA65" s="214">
        <f t="shared" si="44"/>
        <v>0</v>
      </c>
      <c r="AB65" s="69"/>
    </row>
    <row r="66" spans="2:28">
      <c r="B66" s="242" t="s">
        <v>50</v>
      </c>
      <c r="C66" s="231"/>
      <c r="D66" s="52"/>
      <c r="E66" s="250">
        <f>E64-SUM(E65)</f>
        <v>0</v>
      </c>
      <c r="F66" s="207" t="e">
        <f>F64-SUM(F65)</f>
        <v>#REF!</v>
      </c>
      <c r="G66" s="207" t="e">
        <f>G64-SUM(G65)</f>
        <v>#REF!</v>
      </c>
      <c r="H66" s="251">
        <f>H64-SUM(H65)</f>
        <v>0</v>
      </c>
      <c r="I66" s="247"/>
      <c r="J66" s="206"/>
      <c r="K66" s="206"/>
      <c r="L66" s="206"/>
      <c r="M66" s="279"/>
      <c r="N66" s="54"/>
      <c r="O66" s="17"/>
      <c r="Q66" s="215" t="str">
        <f>B66</f>
        <v>dav.fossil gedeckt</v>
      </c>
      <c r="R66" s="212"/>
      <c r="S66" s="218">
        <f t="shared" si="44"/>
        <v>0</v>
      </c>
      <c r="T66" s="218" t="e">
        <f t="shared" si="44"/>
        <v>#REF!</v>
      </c>
      <c r="U66" s="218" t="e">
        <f t="shared" si="44"/>
        <v>#REF!</v>
      </c>
      <c r="V66" s="218">
        <f t="shared" si="44"/>
        <v>0</v>
      </c>
      <c r="W66" s="214">
        <f t="shared" si="44"/>
        <v>0</v>
      </c>
      <c r="X66" s="214">
        <f t="shared" si="44"/>
        <v>0</v>
      </c>
      <c r="Y66" s="214">
        <f t="shared" si="44"/>
        <v>0</v>
      </c>
      <c r="Z66" s="214">
        <f t="shared" si="44"/>
        <v>0</v>
      </c>
      <c r="AA66" s="214">
        <f t="shared" si="44"/>
        <v>0</v>
      </c>
      <c r="AB66" s="69" t="e">
        <f t="shared" ref="AB66:AB67" si="45">SUM(S66:AA66)</f>
        <v>#REF!</v>
      </c>
    </row>
    <row r="67" spans="2:28">
      <c r="B67" s="243" t="s">
        <v>88</v>
      </c>
      <c r="C67" s="232"/>
      <c r="D67" s="232"/>
      <c r="E67" s="250">
        <f>E66</f>
        <v>0</v>
      </c>
      <c r="F67" s="207" t="e">
        <f t="shared" ref="F67" si="46">F66</f>
        <v>#REF!</v>
      </c>
      <c r="G67" s="207" t="e">
        <f t="shared" ref="G67" si="47">G66</f>
        <v>#REF!</v>
      </c>
      <c r="H67" s="251">
        <f t="shared" ref="H67" si="48">H66</f>
        <v>0</v>
      </c>
      <c r="I67" s="247"/>
      <c r="J67" s="206"/>
      <c r="K67" s="206"/>
      <c r="L67" s="206"/>
      <c r="M67" s="279"/>
      <c r="N67" s="54"/>
      <c r="O67" s="17"/>
      <c r="Q67" s="219" t="str">
        <f>B67</f>
        <v>NV.fos Brennst.fest</v>
      </c>
      <c r="R67" s="220"/>
      <c r="S67" s="218">
        <f t="shared" si="44"/>
        <v>0</v>
      </c>
      <c r="T67" s="218" t="e">
        <f t="shared" si="44"/>
        <v>#REF!</v>
      </c>
      <c r="U67" s="218" t="e">
        <f t="shared" si="44"/>
        <v>#REF!</v>
      </c>
      <c r="V67" s="218">
        <f t="shared" si="44"/>
        <v>0</v>
      </c>
      <c r="W67" s="214">
        <f t="shared" si="44"/>
        <v>0</v>
      </c>
      <c r="X67" s="214">
        <f t="shared" si="44"/>
        <v>0</v>
      </c>
      <c r="Y67" s="214">
        <f t="shared" si="44"/>
        <v>0</v>
      </c>
      <c r="Z67" s="214">
        <f t="shared" si="44"/>
        <v>0</v>
      </c>
      <c r="AA67" s="214">
        <f t="shared" si="44"/>
        <v>0</v>
      </c>
      <c r="AB67" s="69" t="e">
        <f t="shared" si="45"/>
        <v>#REF!</v>
      </c>
    </row>
    <row r="68" spans="2:28">
      <c r="B68" s="307" t="s">
        <v>89</v>
      </c>
      <c r="C68" s="233"/>
      <c r="D68" s="232"/>
      <c r="E68" s="325" t="s">
        <v>49</v>
      </c>
      <c r="F68" s="207" t="e">
        <f>F$67*E135%</f>
        <v>#REF!</v>
      </c>
      <c r="G68" s="207" t="e">
        <f>G$67*E136%</f>
        <v>#REF!</v>
      </c>
      <c r="H68" s="325" t="s">
        <v>49</v>
      </c>
      <c r="I68" s="247"/>
      <c r="J68" s="206"/>
      <c r="K68" s="206"/>
      <c r="L68" s="206"/>
      <c r="M68" s="279"/>
      <c r="N68" s="54"/>
      <c r="O68" s="17"/>
      <c r="Q68" s="221"/>
      <c r="R68" s="222"/>
      <c r="S68" s="304"/>
      <c r="T68" s="305"/>
      <c r="U68" s="305"/>
      <c r="V68" s="306"/>
      <c r="W68" s="214"/>
      <c r="X68" s="214"/>
      <c r="Y68" s="214"/>
      <c r="Z68" s="214"/>
      <c r="AA68" s="214"/>
      <c r="AB68" s="69"/>
    </row>
    <row r="69" spans="2:28" ht="16" thickBot="1">
      <c r="B69" s="336" t="s">
        <v>90</v>
      </c>
      <c r="C69" s="245"/>
      <c r="D69" s="337"/>
      <c r="E69" s="338" t="s">
        <v>49</v>
      </c>
      <c r="F69" s="339" t="e">
        <f>F$67*F135%</f>
        <v>#REF!</v>
      </c>
      <c r="G69" s="339" t="e">
        <f>G$67*F136%</f>
        <v>#REF!</v>
      </c>
      <c r="H69" s="338" t="s">
        <v>49</v>
      </c>
      <c r="I69" s="340"/>
      <c r="J69" s="341"/>
      <c r="K69" s="341"/>
      <c r="L69" s="341"/>
      <c r="M69" s="342"/>
      <c r="N69" s="54"/>
      <c r="O69" s="17"/>
      <c r="Q69" s="221"/>
      <c r="R69" s="222"/>
      <c r="S69" s="304"/>
      <c r="T69" s="305"/>
      <c r="U69" s="305"/>
      <c r="V69" s="306"/>
      <c r="W69" s="214"/>
      <c r="X69" s="214"/>
      <c r="Y69" s="214"/>
      <c r="Z69" s="214"/>
      <c r="AA69" s="214"/>
      <c r="AB69" s="69"/>
    </row>
    <row r="70" spans="2:28">
      <c r="B70" s="27"/>
      <c r="E70" s="1372" t="e">
        <f>SUM(E67:H67)</f>
        <v>#REF!</v>
      </c>
      <c r="F70" s="1372"/>
      <c r="G70" s="1372"/>
      <c r="H70" s="1372"/>
      <c r="O70" s="16"/>
    </row>
    <row r="71" spans="2:28" ht="22" thickBot="1">
      <c r="B71" s="349" t="s">
        <v>106</v>
      </c>
      <c r="O71" s="16"/>
      <c r="Q71" s="144"/>
      <c r="R71" s="144"/>
      <c r="S71" s="144"/>
      <c r="T71" s="144"/>
      <c r="U71" s="144">
        <f>(30.292-1.26)/3.6*1000</f>
        <v>8064.4444444444434</v>
      </c>
      <c r="V71" s="144"/>
      <c r="W71" s="144"/>
      <c r="X71" s="144"/>
      <c r="Y71" s="144"/>
      <c r="Z71" s="144"/>
      <c r="AA71" s="144"/>
    </row>
    <row r="72" spans="2:28">
      <c r="B72" s="114"/>
      <c r="C72" s="115"/>
      <c r="D72" s="237"/>
      <c r="E72" s="238"/>
      <c r="F72" s="239"/>
      <c r="G72" s="239"/>
      <c r="H72" s="240" t="s">
        <v>68</v>
      </c>
      <c r="I72" s="241"/>
      <c r="J72" s="239"/>
      <c r="K72" s="239"/>
      <c r="L72" s="239"/>
      <c r="M72" s="277" t="s">
        <v>59</v>
      </c>
      <c r="N72" s="54"/>
      <c r="Q72" s="144"/>
      <c r="R72" s="144"/>
      <c r="S72" s="144"/>
      <c r="T72" s="144"/>
      <c r="U72" s="144"/>
      <c r="V72" s="144"/>
      <c r="W72" s="144"/>
      <c r="X72" s="144"/>
      <c r="Y72" s="144"/>
      <c r="Z72" s="144"/>
      <c r="AA72" s="144"/>
    </row>
    <row r="73" spans="2:28">
      <c r="B73" s="123" t="s">
        <v>1</v>
      </c>
      <c r="C73" s="17"/>
      <c r="D73" s="234" t="s">
        <v>65</v>
      </c>
      <c r="E73" s="235" t="s">
        <v>43</v>
      </c>
      <c r="F73" s="236" t="s">
        <v>44</v>
      </c>
      <c r="G73" s="236" t="s">
        <v>46</v>
      </c>
      <c r="H73" s="234" t="s">
        <v>45</v>
      </c>
      <c r="I73" s="235" t="s">
        <v>51</v>
      </c>
      <c r="J73" s="236" t="s">
        <v>52</v>
      </c>
      <c r="K73" s="236" t="s">
        <v>64</v>
      </c>
      <c r="L73" s="236" t="s">
        <v>57</v>
      </c>
      <c r="M73" s="278" t="s">
        <v>42</v>
      </c>
      <c r="N73" s="54"/>
      <c r="O73" s="16"/>
      <c r="Q73" s="223" t="s">
        <v>58</v>
      </c>
      <c r="R73" s="144"/>
      <c r="S73" s="144" t="s">
        <v>43</v>
      </c>
      <c r="T73" s="144" t="s">
        <v>44</v>
      </c>
      <c r="U73" s="144" t="s">
        <v>46</v>
      </c>
      <c r="V73" s="144" t="s">
        <v>45</v>
      </c>
      <c r="W73" s="144" t="s">
        <v>51</v>
      </c>
      <c r="X73" s="144" t="s">
        <v>52</v>
      </c>
      <c r="Y73" s="144" t="s">
        <v>56</v>
      </c>
      <c r="Z73" s="144" t="s">
        <v>57</v>
      </c>
      <c r="AA73" s="144" t="s">
        <v>42</v>
      </c>
    </row>
    <row r="74" spans="2:28" ht="16" thickBot="1">
      <c r="B74" s="116"/>
      <c r="C74" s="66"/>
      <c r="D74" s="315"/>
      <c r="E74" s="316"/>
      <c r="F74" s="317"/>
      <c r="G74" s="317"/>
      <c r="H74" s="315"/>
      <c r="I74" s="316"/>
      <c r="J74" s="317"/>
      <c r="K74" s="317"/>
      <c r="L74" s="317"/>
      <c r="M74" s="318"/>
      <c r="N74" s="54"/>
      <c r="O74" s="16"/>
      <c r="Q74" s="144"/>
      <c r="R74" s="144"/>
      <c r="S74" s="144"/>
      <c r="T74" s="144"/>
      <c r="U74" s="144"/>
      <c r="V74" s="144"/>
      <c r="W74" s="144"/>
      <c r="X74" s="144"/>
      <c r="Y74" s="144"/>
      <c r="Z74" s="144"/>
      <c r="AA74" s="210"/>
    </row>
    <row r="75" spans="2:28" ht="16" thickTop="1">
      <c r="B75" s="327" t="s">
        <v>103</v>
      </c>
      <c r="C75" s="233"/>
      <c r="D75" s="233"/>
      <c r="E75" s="343" t="str">
        <f>E68</f>
        <v>-</v>
      </c>
      <c r="F75" s="324" t="e">
        <f>F68</f>
        <v>#REF!</v>
      </c>
      <c r="G75" s="324" t="e">
        <f>G68</f>
        <v>#REF!</v>
      </c>
      <c r="H75" s="326" t="str">
        <f>H68</f>
        <v>-</v>
      </c>
      <c r="I75" s="312"/>
      <c r="J75" s="313"/>
      <c r="K75" s="313"/>
      <c r="L75" s="313"/>
      <c r="M75" s="314"/>
      <c r="N75" s="54"/>
      <c r="O75" s="17"/>
      <c r="Q75" s="221"/>
      <c r="R75" s="222"/>
      <c r="S75" s="304"/>
      <c r="T75" s="305"/>
      <c r="U75" s="305"/>
      <c r="V75" s="306"/>
      <c r="W75" s="214"/>
      <c r="X75" s="214"/>
      <c r="Y75" s="214"/>
      <c r="Z75" s="214"/>
      <c r="AA75" s="214"/>
      <c r="AB75" s="69"/>
    </row>
    <row r="76" spans="2:28">
      <c r="B76" s="244" t="s">
        <v>102</v>
      </c>
      <c r="C76" s="233"/>
      <c r="D76" s="281">
        <f>E139</f>
        <v>0</v>
      </c>
      <c r="E76" s="1358" t="e">
        <f>SUM(E75:H75)</f>
        <v>#REF!</v>
      </c>
      <c r="F76" s="1359"/>
      <c r="G76" s="1359"/>
      <c r="H76" s="1369"/>
      <c r="I76" s="247"/>
      <c r="J76" s="206"/>
      <c r="K76" s="206"/>
      <c r="L76" s="283" t="e">
        <f>E76*D76%</f>
        <v>#REF!</v>
      </c>
      <c r="M76" s="279"/>
      <c r="N76" s="54"/>
      <c r="O76" s="17"/>
      <c r="Q76" s="221" t="str">
        <f>B76</f>
        <v>FV.Braunkohle</v>
      </c>
      <c r="R76" s="222"/>
      <c r="S76" s="1375" t="e">
        <f t="shared" ref="S76" si="49">E76*3.6/1000</f>
        <v>#REF!</v>
      </c>
      <c r="T76" s="1376">
        <f t="shared" ref="T76" si="50">F76*3.6/1000</f>
        <v>0</v>
      </c>
      <c r="U76" s="1376">
        <f t="shared" ref="U76" si="51">G76*3.6/1000</f>
        <v>0</v>
      </c>
      <c r="V76" s="1377">
        <f t="shared" ref="V76" si="52">H76*3.6/1000</f>
        <v>0</v>
      </c>
      <c r="W76" s="214">
        <f t="shared" ref="W76" si="53">I76*3.6/1000</f>
        <v>0</v>
      </c>
      <c r="X76" s="214">
        <f t="shared" ref="X76" si="54">J76*3.6/1000</f>
        <v>0</v>
      </c>
      <c r="Y76" s="214">
        <f t="shared" ref="Y76" si="55">K76*3.6/1000</f>
        <v>0</v>
      </c>
      <c r="Z76" s="213" t="e">
        <f t="shared" ref="Z76" si="56">L76*3.6/1000</f>
        <v>#REF!</v>
      </c>
      <c r="AA76" s="213" t="e">
        <f>M77*3.6/1000</f>
        <v>#REF!</v>
      </c>
      <c r="AB76" s="69" t="e">
        <f t="shared" ref="AB76" si="57">SUM(S76:AA76)</f>
        <v>#REF!</v>
      </c>
    </row>
    <row r="77" spans="2:28">
      <c r="B77" s="244" t="s">
        <v>101</v>
      </c>
      <c r="C77" s="233"/>
      <c r="D77" s="282">
        <f>E140</f>
        <v>11.180662349195348</v>
      </c>
      <c r="E77" s="1361"/>
      <c r="F77" s="1362"/>
      <c r="G77" s="1362"/>
      <c r="H77" s="1363"/>
      <c r="I77" s="247"/>
      <c r="J77" s="206"/>
      <c r="K77" s="206"/>
      <c r="L77" s="206"/>
      <c r="M77" s="284" t="e">
        <f>E76*D77%</f>
        <v>#REF!</v>
      </c>
      <c r="N77" s="54"/>
      <c r="O77" s="17"/>
      <c r="Q77" s="221"/>
      <c r="R77" s="222"/>
      <c r="S77" s="227"/>
      <c r="T77" s="228"/>
      <c r="U77" s="228"/>
      <c r="V77" s="229"/>
      <c r="W77" s="214"/>
      <c r="X77" s="214"/>
      <c r="Y77" s="214"/>
      <c r="Z77" s="213"/>
      <c r="AA77" s="213"/>
      <c r="AB77" s="69"/>
    </row>
    <row r="78" spans="2:28">
      <c r="B78" s="132" t="s">
        <v>92</v>
      </c>
      <c r="C78" s="52"/>
      <c r="D78" s="52"/>
      <c r="E78" s="252"/>
      <c r="F78" s="206"/>
      <c r="G78" s="206"/>
      <c r="H78" s="248"/>
      <c r="I78" s="253" t="e">
        <f>H8</f>
        <v>#REF!</v>
      </c>
      <c r="J78" s="208" t="e">
        <f>H100</f>
        <v>#REF!</v>
      </c>
      <c r="K78" s="208">
        <f>I_BS.2!Q14</f>
        <v>6646.666666666667</v>
      </c>
      <c r="L78" s="206"/>
      <c r="M78" s="279"/>
      <c r="N78" s="54"/>
      <c r="O78" s="17"/>
      <c r="Q78" s="211" t="str">
        <f>B78</f>
        <v>UE.Braunkohle</v>
      </c>
      <c r="R78" s="212"/>
      <c r="S78" s="214">
        <f t="shared" ref="S78:S79" si="58">E78*3.6/1000</f>
        <v>0</v>
      </c>
      <c r="T78" s="214">
        <f t="shared" ref="T78:T79" si="59">F78*3.6/1000</f>
        <v>0</v>
      </c>
      <c r="U78" s="214">
        <f t="shared" ref="U78:U79" si="60">G78*3.6/1000</f>
        <v>0</v>
      </c>
      <c r="V78" s="214">
        <f t="shared" ref="V78:V79" si="61">H78*3.6/1000</f>
        <v>0</v>
      </c>
      <c r="W78" s="213" t="e">
        <f t="shared" ref="W78:W79" si="62">I78*3.6/1000</f>
        <v>#REF!</v>
      </c>
      <c r="X78" s="230" t="e">
        <f t="shared" ref="X78:X79" si="63">J78*3.6/1000</f>
        <v>#REF!</v>
      </c>
      <c r="Y78" s="213">
        <f t="shared" ref="Y78:Y79" si="64">K78*3.6/1000</f>
        <v>23.928000000000001</v>
      </c>
      <c r="Z78" s="214">
        <f t="shared" ref="Z78:Z79" si="65">L78*3.6/1000</f>
        <v>0</v>
      </c>
      <c r="AA78" s="214">
        <f t="shared" ref="AA78:AA79" si="66">M78*3.6/1000</f>
        <v>0</v>
      </c>
      <c r="AB78" s="69" t="e">
        <f t="shared" ref="AB78:AB79" si="67">SUM(S78:AA78)</f>
        <v>#REF!</v>
      </c>
    </row>
    <row r="79" spans="2:28">
      <c r="B79" s="132" t="s">
        <v>100</v>
      </c>
      <c r="C79" s="52"/>
      <c r="D79" s="52"/>
      <c r="E79" s="250">
        <f>SUM(E75)</f>
        <v>0</v>
      </c>
      <c r="F79" s="207" t="e">
        <f>F75</f>
        <v>#REF!</v>
      </c>
      <c r="G79" s="207" t="e">
        <f>G75</f>
        <v>#REF!</v>
      </c>
      <c r="H79" s="251">
        <f>SUM(H75)</f>
        <v>0</v>
      </c>
      <c r="I79" s="254" t="e">
        <f>I78</f>
        <v>#REF!</v>
      </c>
      <c r="J79" s="207" t="e">
        <f t="shared" ref="J79:K79" si="68">J78</f>
        <v>#REF!</v>
      </c>
      <c r="K79" s="207">
        <f t="shared" si="68"/>
        <v>6646.666666666667</v>
      </c>
      <c r="L79" s="1272" t="e">
        <f>SUM(L76:M77)</f>
        <v>#REF!</v>
      </c>
      <c r="M79" s="1357"/>
      <c r="N79" s="54"/>
      <c r="O79" s="17"/>
      <c r="Q79" s="211" t="str">
        <f>B79</f>
        <v>NV+.Braunkohle</v>
      </c>
      <c r="R79" s="212"/>
      <c r="S79" s="218">
        <f t="shared" si="58"/>
        <v>0</v>
      </c>
      <c r="T79" s="218" t="e">
        <f t="shared" si="59"/>
        <v>#REF!</v>
      </c>
      <c r="U79" s="218" t="e">
        <f t="shared" si="60"/>
        <v>#REF!</v>
      </c>
      <c r="V79" s="218">
        <f t="shared" si="61"/>
        <v>0</v>
      </c>
      <c r="W79" s="218" t="e">
        <f t="shared" si="62"/>
        <v>#REF!</v>
      </c>
      <c r="X79" s="218" t="e">
        <f t="shared" si="63"/>
        <v>#REF!</v>
      </c>
      <c r="Y79" s="218">
        <f t="shared" si="64"/>
        <v>23.928000000000001</v>
      </c>
      <c r="Z79" s="218" t="e">
        <f t="shared" si="65"/>
        <v>#REF!</v>
      </c>
      <c r="AA79" s="218">
        <f t="shared" si="66"/>
        <v>0</v>
      </c>
      <c r="AB79" s="69" t="e">
        <f t="shared" si="67"/>
        <v>#REF!</v>
      </c>
    </row>
    <row r="80" spans="2:28">
      <c r="B80" s="132" t="s">
        <v>94</v>
      </c>
      <c r="C80" s="52"/>
      <c r="D80" s="275">
        <f>E141</f>
        <v>100</v>
      </c>
      <c r="E80" s="255">
        <f>E79/$D80%</f>
        <v>0</v>
      </c>
      <c r="F80" s="256" t="e">
        <f>F79/$D80%</f>
        <v>#REF!</v>
      </c>
      <c r="G80" s="256" t="e">
        <f>G79/$D80%</f>
        <v>#REF!</v>
      </c>
      <c r="H80" s="251">
        <f>H79/$D80%</f>
        <v>0</v>
      </c>
      <c r="I80" s="323" t="e">
        <f>I79</f>
        <v>#REF!</v>
      </c>
      <c r="J80" s="323" t="e">
        <f t="shared" ref="J80:K80" si="69">J79</f>
        <v>#REF!</v>
      </c>
      <c r="K80" s="323">
        <f t="shared" si="69"/>
        <v>6646.666666666667</v>
      </c>
      <c r="L80" s="1370" t="e">
        <f>L79</f>
        <v>#REF!</v>
      </c>
      <c r="M80" s="1371"/>
      <c r="N80" s="54"/>
      <c r="O80" s="17"/>
      <c r="Q80" s="211" t="str">
        <f t="shared" ref="Q80" si="70">B80</f>
        <v>NV+/PEV</v>
      </c>
      <c r="R80" s="212"/>
      <c r="S80" s="1375">
        <f>D80</f>
        <v>100</v>
      </c>
      <c r="T80" s="1376" t="e">
        <f>#REF!*3.6/1000</f>
        <v>#REF!</v>
      </c>
      <c r="U80" s="1376" t="e">
        <f>#REF!*3.6/1000</f>
        <v>#REF!</v>
      </c>
      <c r="V80" s="1376" t="e">
        <f>#REF!*3.6/1000</f>
        <v>#REF!</v>
      </c>
      <c r="W80" s="1376" t="e">
        <f>#REF!*3.6/1000</f>
        <v>#REF!</v>
      </c>
      <c r="X80" s="1376" t="e">
        <f>#REF!*3.6/1000</f>
        <v>#REF!</v>
      </c>
      <c r="Y80" s="1376" t="e">
        <f>#REF!*3.6/1000</f>
        <v>#REF!</v>
      </c>
      <c r="Z80" s="1376" t="e">
        <f>#REF!*3.6/1000</f>
        <v>#REF!</v>
      </c>
      <c r="AA80" s="1377" t="e">
        <f>#REF!*3.6/1000</f>
        <v>#REF!</v>
      </c>
      <c r="AB80" s="69"/>
    </row>
    <row r="81" spans="2:28" ht="16" thickBot="1">
      <c r="B81" s="132" t="s">
        <v>93</v>
      </c>
      <c r="C81" s="245"/>
      <c r="D81" s="245"/>
      <c r="E81" s="1364" t="e">
        <f>SUM(E80:M80)</f>
        <v>#REF!</v>
      </c>
      <c r="F81" s="1326"/>
      <c r="G81" s="1326"/>
      <c r="H81" s="1326"/>
      <c r="I81" s="1326"/>
      <c r="J81" s="1326"/>
      <c r="K81" s="1326"/>
      <c r="L81" s="1326"/>
      <c r="M81" s="1365"/>
      <c r="N81" s="54"/>
      <c r="O81" s="17"/>
      <c r="Q81" s="1378" t="str">
        <f>B81</f>
        <v>NV+ Braunkohle</v>
      </c>
      <c r="R81" s="1379"/>
      <c r="S81" s="1375" t="e">
        <f>E81*3.6/1000</f>
        <v>#REF!</v>
      </c>
      <c r="T81" s="1376">
        <f t="shared" ref="T81" si="71">F81*3.6/1000</f>
        <v>0</v>
      </c>
      <c r="U81" s="1376">
        <f t="shared" ref="U81" si="72">G81*3.6/1000</f>
        <v>0</v>
      </c>
      <c r="V81" s="1376">
        <f t="shared" ref="V81" si="73">H81*3.6/1000</f>
        <v>0</v>
      </c>
      <c r="W81" s="1376">
        <f t="shared" ref="W81" si="74">I81*3.6/1000</f>
        <v>0</v>
      </c>
      <c r="X81" s="1376">
        <f t="shared" ref="X81" si="75">J81*3.6/1000</f>
        <v>0</v>
      </c>
      <c r="Y81" s="1376">
        <f t="shared" ref="Y81" si="76">K81*3.6/1000</f>
        <v>0</v>
      </c>
      <c r="Z81" s="1376">
        <f t="shared" ref="Z81" si="77">L81*3.6/1000</f>
        <v>0</v>
      </c>
      <c r="AA81" s="1377">
        <f>M81*3.6/1000</f>
        <v>0</v>
      </c>
      <c r="AB81" s="69" t="e">
        <f t="shared" ref="AB81" si="78">SUM(S81:AA81)</f>
        <v>#REF!</v>
      </c>
    </row>
    <row r="82" spans="2:28">
      <c r="B82" s="27"/>
      <c r="O82" s="16"/>
    </row>
    <row r="83" spans="2:28" ht="22" thickBot="1">
      <c r="B83" s="349" t="s">
        <v>107</v>
      </c>
      <c r="O83" s="16"/>
      <c r="Q83" s="144"/>
      <c r="R83" s="144"/>
      <c r="S83" s="144"/>
      <c r="T83" s="144"/>
      <c r="U83" s="144">
        <f>(30.292-1.26)/3.6*1000</f>
        <v>8064.4444444444434</v>
      </c>
      <c r="V83" s="144"/>
      <c r="W83" s="144"/>
      <c r="X83" s="144"/>
      <c r="Y83" s="144"/>
      <c r="Z83" s="144"/>
      <c r="AA83" s="144"/>
    </row>
    <row r="84" spans="2:28">
      <c r="B84" s="114"/>
      <c r="C84" s="115"/>
      <c r="D84" s="237"/>
      <c r="E84" s="238"/>
      <c r="F84" s="239"/>
      <c r="G84" s="239"/>
      <c r="H84" s="240" t="s">
        <v>68</v>
      </c>
      <c r="I84" s="241"/>
      <c r="J84" s="239"/>
      <c r="K84" s="239"/>
      <c r="L84" s="239"/>
      <c r="M84" s="277" t="s">
        <v>59</v>
      </c>
      <c r="N84" s="54"/>
      <c r="Q84" s="144"/>
      <c r="R84" s="144"/>
      <c r="S84" s="144"/>
      <c r="T84" s="144"/>
      <c r="U84" s="144"/>
      <c r="V84" s="144"/>
      <c r="W84" s="144"/>
      <c r="X84" s="144"/>
      <c r="Y84" s="144"/>
      <c r="Z84" s="144"/>
      <c r="AA84" s="144"/>
    </row>
    <row r="85" spans="2:28">
      <c r="B85" s="123" t="s">
        <v>1</v>
      </c>
      <c r="C85" s="17"/>
      <c r="D85" s="234" t="s">
        <v>65</v>
      </c>
      <c r="E85" s="235" t="s">
        <v>43</v>
      </c>
      <c r="F85" s="236" t="s">
        <v>44</v>
      </c>
      <c r="G85" s="236" t="s">
        <v>46</v>
      </c>
      <c r="H85" s="234" t="s">
        <v>45</v>
      </c>
      <c r="I85" s="235" t="s">
        <v>51</v>
      </c>
      <c r="J85" s="236" t="s">
        <v>52</v>
      </c>
      <c r="K85" s="236" t="s">
        <v>64</v>
      </c>
      <c r="L85" s="236" t="s">
        <v>57</v>
      </c>
      <c r="M85" s="278" t="s">
        <v>42</v>
      </c>
      <c r="N85" s="54"/>
      <c r="O85" s="16"/>
      <c r="Q85" s="223" t="s">
        <v>58</v>
      </c>
      <c r="R85" s="144"/>
      <c r="S85" s="144" t="s">
        <v>43</v>
      </c>
      <c r="T85" s="144" t="s">
        <v>44</v>
      </c>
      <c r="U85" s="144" t="s">
        <v>46</v>
      </c>
      <c r="V85" s="144" t="s">
        <v>45</v>
      </c>
      <c r="W85" s="144" t="s">
        <v>51</v>
      </c>
      <c r="X85" s="144" t="s">
        <v>52</v>
      </c>
      <c r="Y85" s="144" t="s">
        <v>56</v>
      </c>
      <c r="Z85" s="144" t="s">
        <v>57</v>
      </c>
      <c r="AA85" s="144" t="s">
        <v>42</v>
      </c>
    </row>
    <row r="86" spans="2:28" ht="16" thickBot="1">
      <c r="B86" s="116"/>
      <c r="C86" s="66"/>
      <c r="D86" s="315"/>
      <c r="E86" s="316"/>
      <c r="F86" s="317"/>
      <c r="G86" s="317"/>
      <c r="H86" s="315"/>
      <c r="I86" s="316"/>
      <c r="J86" s="317"/>
      <c r="K86" s="317"/>
      <c r="L86" s="317"/>
      <c r="M86" s="318"/>
      <c r="N86" s="54"/>
      <c r="O86" s="16"/>
      <c r="Q86" s="144"/>
      <c r="R86" s="144"/>
      <c r="S86" s="144"/>
      <c r="T86" s="144"/>
      <c r="U86" s="144"/>
      <c r="V86" s="144"/>
      <c r="W86" s="144"/>
      <c r="X86" s="144"/>
      <c r="Y86" s="144"/>
      <c r="Z86" s="144"/>
      <c r="AA86" s="210"/>
    </row>
    <row r="87" spans="2:28" ht="16" thickTop="1">
      <c r="B87" s="327" t="s">
        <v>104</v>
      </c>
      <c r="C87" s="233"/>
      <c r="D87" s="233"/>
      <c r="E87" s="343" t="str">
        <f>E69</f>
        <v>-</v>
      </c>
      <c r="F87" s="324" t="e">
        <f t="shared" ref="F87:H87" si="79">F69</f>
        <v>#REF!</v>
      </c>
      <c r="G87" s="324" t="e">
        <f t="shared" si="79"/>
        <v>#REF!</v>
      </c>
      <c r="H87" s="326" t="str">
        <f t="shared" si="79"/>
        <v>-</v>
      </c>
      <c r="I87" s="312"/>
      <c r="J87" s="313"/>
      <c r="K87" s="313"/>
      <c r="L87" s="313"/>
      <c r="M87" s="314"/>
      <c r="N87" s="54"/>
      <c r="O87" s="17"/>
      <c r="Q87" s="221"/>
      <c r="R87" s="222"/>
      <c r="S87" s="304"/>
      <c r="T87" s="305"/>
      <c r="U87" s="305"/>
      <c r="V87" s="306"/>
      <c r="W87" s="214"/>
      <c r="X87" s="214"/>
      <c r="Y87" s="214"/>
      <c r="Z87" s="214"/>
      <c r="AA87" s="214"/>
      <c r="AB87" s="69"/>
    </row>
    <row r="88" spans="2:28">
      <c r="B88" s="244" t="s">
        <v>99</v>
      </c>
      <c r="C88" s="233"/>
      <c r="D88" s="282">
        <f>F139</f>
        <v>0</v>
      </c>
      <c r="E88" s="1358" t="e">
        <f>SUM(E87:H87)</f>
        <v>#REF!</v>
      </c>
      <c r="F88" s="1359"/>
      <c r="G88" s="1359"/>
      <c r="H88" s="1369"/>
      <c r="I88" s="247"/>
      <c r="J88" s="206"/>
      <c r="K88" s="206"/>
      <c r="L88" s="283" t="e">
        <f>E88*D88%</f>
        <v>#REF!</v>
      </c>
      <c r="M88" s="279"/>
      <c r="N88" s="54"/>
      <c r="O88" s="17"/>
      <c r="Q88" s="221" t="str">
        <f>B88</f>
        <v>FV.Steinkohle</v>
      </c>
      <c r="R88" s="222"/>
      <c r="S88" s="1375" t="e">
        <f t="shared" ref="S88" si="80">E88*3.6/1000</f>
        <v>#REF!</v>
      </c>
      <c r="T88" s="1376">
        <f t="shared" ref="T88" si="81">F88*3.6/1000</f>
        <v>0</v>
      </c>
      <c r="U88" s="1376">
        <f t="shared" ref="U88" si="82">G88*3.6/1000</f>
        <v>0</v>
      </c>
      <c r="V88" s="1377">
        <f t="shared" ref="V88" si="83">H88*3.6/1000</f>
        <v>0</v>
      </c>
      <c r="W88" s="214">
        <f t="shared" ref="W88" si="84">I88*3.6/1000</f>
        <v>0</v>
      </c>
      <c r="X88" s="214">
        <f t="shared" ref="X88" si="85">J88*3.6/1000</f>
        <v>0</v>
      </c>
      <c r="Y88" s="214">
        <f t="shared" ref="Y88" si="86">K88*3.6/1000</f>
        <v>0</v>
      </c>
      <c r="Z88" s="213" t="e">
        <f t="shared" ref="Z88" si="87">L88*3.6/1000</f>
        <v>#REF!</v>
      </c>
      <c r="AA88" s="213" t="e">
        <f>M89*3.6/1000</f>
        <v>#REF!</v>
      </c>
      <c r="AB88" s="69" t="e">
        <f t="shared" ref="AB88" si="88">SUM(S88:AA88)</f>
        <v>#REF!</v>
      </c>
    </row>
    <row r="89" spans="2:28">
      <c r="B89" s="244" t="s">
        <v>98</v>
      </c>
      <c r="C89" s="233"/>
      <c r="D89" s="282">
        <f>F140</f>
        <v>0.7327825471462599</v>
      </c>
      <c r="E89" s="1361"/>
      <c r="F89" s="1362"/>
      <c r="G89" s="1362"/>
      <c r="H89" s="1363"/>
      <c r="I89" s="247"/>
      <c r="J89" s="206"/>
      <c r="K89" s="206"/>
      <c r="L89" s="206"/>
      <c r="M89" s="284" t="e">
        <f>E88*D89%</f>
        <v>#REF!</v>
      </c>
      <c r="N89" s="54"/>
      <c r="O89" s="17"/>
      <c r="Q89" s="221"/>
      <c r="R89" s="222"/>
      <c r="S89" s="227"/>
      <c r="T89" s="228"/>
      <c r="U89" s="228"/>
      <c r="V89" s="229"/>
      <c r="W89" s="214"/>
      <c r="X89" s="214"/>
      <c r="Y89" s="214"/>
      <c r="Z89" s="213"/>
      <c r="AA89" s="213"/>
      <c r="AB89" s="69"/>
    </row>
    <row r="90" spans="2:28">
      <c r="B90" s="132" t="s">
        <v>97</v>
      </c>
      <c r="C90" s="52"/>
      <c r="D90" s="52"/>
      <c r="E90" s="252"/>
      <c r="F90" s="206"/>
      <c r="G90" s="206"/>
      <c r="H90" s="248"/>
      <c r="I90" s="253" t="e">
        <f>H9</f>
        <v>#REF!</v>
      </c>
      <c r="J90" s="208" t="e">
        <f>H101</f>
        <v>#REF!</v>
      </c>
      <c r="K90" s="208">
        <f>I_BS.2!Q27</f>
        <v>0</v>
      </c>
      <c r="L90" s="206"/>
      <c r="M90" s="279"/>
      <c r="N90" s="54"/>
      <c r="O90" s="17"/>
      <c r="Q90" s="211" t="str">
        <f>B90</f>
        <v>UE.Steinkohle</v>
      </c>
      <c r="R90" s="212"/>
      <c r="S90" s="214">
        <f t="shared" ref="S90:S91" si="89">E90*3.6/1000</f>
        <v>0</v>
      </c>
      <c r="T90" s="214">
        <f t="shared" ref="T90:T91" si="90">F90*3.6/1000</f>
        <v>0</v>
      </c>
      <c r="U90" s="214">
        <f t="shared" ref="U90:U91" si="91">G90*3.6/1000</f>
        <v>0</v>
      </c>
      <c r="V90" s="214">
        <f t="shared" ref="V90:V91" si="92">H90*3.6/1000</f>
        <v>0</v>
      </c>
      <c r="W90" s="213" t="e">
        <f t="shared" ref="W90:W91" si="93">I90*3.6/1000</f>
        <v>#REF!</v>
      </c>
      <c r="X90" s="230" t="e">
        <f t="shared" ref="X90:X91" si="94">J90*3.6/1000</f>
        <v>#REF!</v>
      </c>
      <c r="Y90" s="213">
        <f t="shared" ref="Y90:Y91" si="95">K90*3.6/1000</f>
        <v>0</v>
      </c>
      <c r="Z90" s="214">
        <f t="shared" ref="Z90:Z91" si="96">L90*3.6/1000</f>
        <v>0</v>
      </c>
      <c r="AA90" s="214">
        <f t="shared" ref="AA90:AA91" si="97">M90*3.6/1000</f>
        <v>0</v>
      </c>
      <c r="AB90" s="69" t="e">
        <f t="shared" ref="AB90:AB91" si="98">SUM(S90:AA90)</f>
        <v>#REF!</v>
      </c>
    </row>
    <row r="91" spans="2:28">
      <c r="B91" s="132" t="s">
        <v>96</v>
      </c>
      <c r="C91" s="52"/>
      <c r="D91" s="52"/>
      <c r="E91" s="250">
        <f>SUM(E87)</f>
        <v>0</v>
      </c>
      <c r="F91" s="207" t="e">
        <f>F87</f>
        <v>#REF!</v>
      </c>
      <c r="G91" s="207" t="e">
        <f>G87</f>
        <v>#REF!</v>
      </c>
      <c r="H91" s="251">
        <f>SUM(H87)</f>
        <v>0</v>
      </c>
      <c r="I91" s="254" t="e">
        <f>I90</f>
        <v>#REF!</v>
      </c>
      <c r="J91" s="207" t="e">
        <f t="shared" ref="J91:K92" si="99">J90</f>
        <v>#REF!</v>
      </c>
      <c r="K91" s="207">
        <f t="shared" si="99"/>
        <v>0</v>
      </c>
      <c r="L91" s="1272" t="e">
        <f>SUM(L88:M89)</f>
        <v>#REF!</v>
      </c>
      <c r="M91" s="1357"/>
      <c r="N91" s="54"/>
      <c r="O91" s="17"/>
      <c r="Q91" s="211" t="str">
        <f>B91</f>
        <v>NV+.Steinkohle</v>
      </c>
      <c r="R91" s="212"/>
      <c r="S91" s="218">
        <f t="shared" si="89"/>
        <v>0</v>
      </c>
      <c r="T91" s="218" t="e">
        <f t="shared" si="90"/>
        <v>#REF!</v>
      </c>
      <c r="U91" s="218" t="e">
        <f t="shared" si="91"/>
        <v>#REF!</v>
      </c>
      <c r="V91" s="218">
        <f t="shared" si="92"/>
        <v>0</v>
      </c>
      <c r="W91" s="218" t="e">
        <f t="shared" si="93"/>
        <v>#REF!</v>
      </c>
      <c r="X91" s="218" t="e">
        <f t="shared" si="94"/>
        <v>#REF!</v>
      </c>
      <c r="Y91" s="218">
        <f t="shared" si="95"/>
        <v>0</v>
      </c>
      <c r="Z91" s="218" t="e">
        <f t="shared" si="96"/>
        <v>#REF!</v>
      </c>
      <c r="AA91" s="218">
        <f t="shared" si="97"/>
        <v>0</v>
      </c>
      <c r="AB91" s="69" t="e">
        <f t="shared" si="98"/>
        <v>#REF!</v>
      </c>
    </row>
    <row r="92" spans="2:28">
      <c r="B92" s="132" t="s">
        <v>94</v>
      </c>
      <c r="C92" s="52"/>
      <c r="D92" s="275">
        <f>F141</f>
        <v>97.720252047452846</v>
      </c>
      <c r="E92" s="255">
        <f>E91/$D92%</f>
        <v>0</v>
      </c>
      <c r="F92" s="256" t="e">
        <f>F91/$D92%</f>
        <v>#REF!</v>
      </c>
      <c r="G92" s="256" t="e">
        <f>G91/$D92%</f>
        <v>#REF!</v>
      </c>
      <c r="H92" s="251">
        <f>H91/$D92%</f>
        <v>0</v>
      </c>
      <c r="I92" s="323" t="e">
        <f>I91</f>
        <v>#REF!</v>
      </c>
      <c r="J92" s="323" t="e">
        <f t="shared" si="99"/>
        <v>#REF!</v>
      </c>
      <c r="K92" s="323">
        <f t="shared" si="99"/>
        <v>0</v>
      </c>
      <c r="L92" s="1370" t="e">
        <f>L91</f>
        <v>#REF!</v>
      </c>
      <c r="M92" s="1371"/>
      <c r="N92" s="54"/>
      <c r="O92" s="17"/>
      <c r="Q92" s="211" t="str">
        <f t="shared" ref="Q92" si="100">B92</f>
        <v>NV+/PEV</v>
      </c>
      <c r="R92" s="212"/>
      <c r="S92" s="1375">
        <f>D92</f>
        <v>97.720252047452846</v>
      </c>
      <c r="T92" s="1376" t="e">
        <f>#REF!*3.6/1000</f>
        <v>#REF!</v>
      </c>
      <c r="U92" s="1376" t="e">
        <f>#REF!*3.6/1000</f>
        <v>#REF!</v>
      </c>
      <c r="V92" s="1376" t="e">
        <f>#REF!*3.6/1000</f>
        <v>#REF!</v>
      </c>
      <c r="W92" s="1376" t="e">
        <f>#REF!*3.6/1000</f>
        <v>#REF!</v>
      </c>
      <c r="X92" s="1376" t="e">
        <f>#REF!*3.6/1000</f>
        <v>#REF!</v>
      </c>
      <c r="Y92" s="1376" t="e">
        <f>#REF!*3.6/1000</f>
        <v>#REF!</v>
      </c>
      <c r="Z92" s="1376" t="e">
        <f>#REF!*3.6/1000</f>
        <v>#REF!</v>
      </c>
      <c r="AA92" s="1377" t="e">
        <f>#REF!*3.6/1000</f>
        <v>#REF!</v>
      </c>
      <c r="AB92" s="69"/>
    </row>
    <row r="93" spans="2:28" ht="16" thickBot="1">
      <c r="B93" s="280" t="s">
        <v>95</v>
      </c>
      <c r="C93" s="245"/>
      <c r="D93" s="245"/>
      <c r="E93" s="1364" t="e">
        <f>SUM(E92:M92)</f>
        <v>#REF!</v>
      </c>
      <c r="F93" s="1326"/>
      <c r="G93" s="1326"/>
      <c r="H93" s="1326"/>
      <c r="I93" s="1326"/>
      <c r="J93" s="1326"/>
      <c r="K93" s="1326"/>
      <c r="L93" s="1326"/>
      <c r="M93" s="1365"/>
      <c r="N93" s="54"/>
      <c r="O93" s="17"/>
      <c r="Q93" s="1378" t="str">
        <f>B93</f>
        <v>PEV.Steinkohle</v>
      </c>
      <c r="R93" s="1379"/>
      <c r="S93" s="1375" t="e">
        <f>E93*3.6/1000</f>
        <v>#REF!</v>
      </c>
      <c r="T93" s="1376">
        <f t="shared" ref="T93" si="101">F93*3.6/1000</f>
        <v>0</v>
      </c>
      <c r="U93" s="1376">
        <f t="shared" ref="U93" si="102">G93*3.6/1000</f>
        <v>0</v>
      </c>
      <c r="V93" s="1376">
        <f t="shared" ref="V93" si="103">H93*3.6/1000</f>
        <v>0</v>
      </c>
      <c r="W93" s="1376">
        <f t="shared" ref="W93" si="104">I93*3.6/1000</f>
        <v>0</v>
      </c>
      <c r="X93" s="1376">
        <f t="shared" ref="X93" si="105">J93*3.6/1000</f>
        <v>0</v>
      </c>
      <c r="Y93" s="1376">
        <f t="shared" ref="Y93" si="106">K93*3.6/1000</f>
        <v>0</v>
      </c>
      <c r="Z93" s="1376">
        <f t="shared" ref="Z93" si="107">L93*3.6/1000</f>
        <v>0</v>
      </c>
      <c r="AA93" s="1377">
        <f>M93*3.6/1000</f>
        <v>0</v>
      </c>
      <c r="AB93" s="69" t="e">
        <f t="shared" ref="AB93" si="108">SUM(S93:AA93)</f>
        <v>#REF!</v>
      </c>
    </row>
    <row r="94" spans="2:28">
      <c r="B94" s="27"/>
      <c r="O94" s="16"/>
    </row>
    <row r="95" spans="2:28" ht="24">
      <c r="B95" s="188" t="s">
        <v>78</v>
      </c>
      <c r="O95" s="16"/>
    </row>
    <row r="96" spans="2:28" ht="20" thickBot="1">
      <c r="B96" s="4" t="s">
        <v>79</v>
      </c>
      <c r="K96" s="373" t="e">
        <f>#REF!/(SUM(#REF!))</f>
        <v>#REF!</v>
      </c>
      <c r="L96" s="373" t="e">
        <f>#REF!/(SUM(#REF!))</f>
        <v>#REF!</v>
      </c>
      <c r="O96" s="16"/>
    </row>
    <row r="97" spans="2:15">
      <c r="B97" s="158"/>
      <c r="C97" s="115"/>
      <c r="D97" s="115"/>
      <c r="E97" s="166" t="s">
        <v>84</v>
      </c>
      <c r="F97" s="171" t="s">
        <v>41</v>
      </c>
      <c r="G97" s="258" t="s">
        <v>53</v>
      </c>
      <c r="H97" s="258" t="s">
        <v>83</v>
      </c>
      <c r="I97" s="344" t="s">
        <v>105</v>
      </c>
      <c r="J97" s="360" t="s">
        <v>39</v>
      </c>
      <c r="K97" s="378" t="s">
        <v>108</v>
      </c>
      <c r="L97" s="381" t="s">
        <v>109</v>
      </c>
      <c r="M97" s="371" t="s">
        <v>94</v>
      </c>
      <c r="O97" s="16"/>
    </row>
    <row r="98" spans="2:15" ht="16" thickBot="1">
      <c r="B98" s="116"/>
      <c r="C98" s="66"/>
      <c r="D98" s="66"/>
      <c r="E98" s="167" t="s">
        <v>30</v>
      </c>
      <c r="F98" s="172" t="s">
        <v>29</v>
      </c>
      <c r="G98" s="259" t="s">
        <v>30</v>
      </c>
      <c r="H98" s="259" t="s">
        <v>29</v>
      </c>
      <c r="I98" s="259" t="s">
        <v>30</v>
      </c>
      <c r="J98" s="361" t="s">
        <v>29</v>
      </c>
      <c r="K98" s="376" t="s">
        <v>29</v>
      </c>
      <c r="L98" s="361" t="s">
        <v>29</v>
      </c>
      <c r="M98" s="345" t="s">
        <v>30</v>
      </c>
      <c r="O98" s="16"/>
    </row>
    <row r="99" spans="2:15" ht="16" thickTop="1">
      <c r="B99" s="161" t="s">
        <v>23</v>
      </c>
      <c r="C99" s="67"/>
      <c r="D99" s="67"/>
      <c r="E99" s="168">
        <v>100</v>
      </c>
      <c r="F99" s="173" t="e">
        <f>C112</f>
        <v>#REF!</v>
      </c>
      <c r="G99" s="1366">
        <f>F168</f>
        <v>71.410358904386044</v>
      </c>
      <c r="H99" s="261" t="e">
        <f t="shared" ref="H99:H104" si="109">F99/G$99%</f>
        <v>#REF!</v>
      </c>
      <c r="I99" s="359"/>
      <c r="J99" s="362" t="e">
        <f>SUM(J100:J104)</f>
        <v>#REF!</v>
      </c>
      <c r="K99" s="377" t="e">
        <f>SUM(K100:K104)</f>
        <v>#REF!</v>
      </c>
      <c r="L99" s="382" t="e">
        <f>SUM(L100:L104)</f>
        <v>#REF!</v>
      </c>
      <c r="M99" s="385"/>
      <c r="O99" s="16"/>
    </row>
    <row r="100" spans="2:15">
      <c r="B100" s="162" t="s">
        <v>24</v>
      </c>
      <c r="C100" s="52"/>
      <c r="D100" s="52"/>
      <c r="E100" s="169">
        <v>33.38305129813746</v>
      </c>
      <c r="F100" s="165" t="e">
        <f>E100*F$99%</f>
        <v>#REF!</v>
      </c>
      <c r="G100" s="1367"/>
      <c r="H100" s="261" t="e">
        <f t="shared" si="109"/>
        <v>#REF!</v>
      </c>
      <c r="I100" s="346">
        <v>100</v>
      </c>
      <c r="J100" s="363" t="e">
        <f t="shared" ref="J100:J102" si="110">H100/I100%</f>
        <v>#REF!</v>
      </c>
      <c r="K100" s="368" t="e">
        <f>F100*K$96</f>
        <v>#REF!</v>
      </c>
      <c r="L100" s="379" t="e">
        <f>F100*L$96</f>
        <v>#REF!</v>
      </c>
      <c r="M100" s="383" t="e">
        <f>F100/J100%</f>
        <v>#REF!</v>
      </c>
    </row>
    <row r="101" spans="2:15" ht="16" thickBot="1">
      <c r="B101" s="162" t="s">
        <v>25</v>
      </c>
      <c r="C101" s="52"/>
      <c r="D101" s="52"/>
      <c r="E101" s="169">
        <v>24.180380654033602</v>
      </c>
      <c r="F101" s="165" t="e">
        <f>E101*F$99%</f>
        <v>#REF!</v>
      </c>
      <c r="G101" s="1367"/>
      <c r="H101" s="265" t="e">
        <f t="shared" si="109"/>
        <v>#REF!</v>
      </c>
      <c r="I101" s="346">
        <v>100</v>
      </c>
      <c r="J101" s="363" t="e">
        <f t="shared" si="110"/>
        <v>#REF!</v>
      </c>
      <c r="K101" s="368" t="e">
        <f>F101*K$96</f>
        <v>#REF!</v>
      </c>
      <c r="L101" s="379" t="e">
        <f>F101*L$96</f>
        <v>#REF!</v>
      </c>
      <c r="M101" s="383" t="e">
        <f t="shared" ref="M101:M104" si="111">F101/J101%</f>
        <v>#REF!</v>
      </c>
    </row>
    <row r="102" spans="2:15" ht="16" thickBot="1">
      <c r="B102" s="162" t="s">
        <v>66</v>
      </c>
      <c r="C102" s="52"/>
      <c r="D102" s="52"/>
      <c r="E102" s="169">
        <v>15.870971494571881</v>
      </c>
      <c r="F102" s="165" t="e">
        <f>E102*F$99%</f>
        <v>#REF!</v>
      </c>
      <c r="G102" s="1367"/>
      <c r="H102" s="267" t="e">
        <f t="shared" si="109"/>
        <v>#REF!</v>
      </c>
      <c r="I102" s="347">
        <f>$E$148</f>
        <v>100</v>
      </c>
      <c r="J102" s="363" t="e">
        <f t="shared" si="110"/>
        <v>#REF!</v>
      </c>
      <c r="K102" s="368" t="e">
        <f>F102*K$96</f>
        <v>#REF!</v>
      </c>
      <c r="L102" s="379" t="e">
        <f>F102*L$96</f>
        <v>#REF!</v>
      </c>
      <c r="M102" s="383" t="e">
        <f t="shared" si="111"/>
        <v>#REF!</v>
      </c>
    </row>
    <row r="103" spans="2:15">
      <c r="B103" s="162" t="s">
        <v>27</v>
      </c>
      <c r="C103" s="52"/>
      <c r="D103" s="52"/>
      <c r="E103" s="169">
        <v>1.5787877402977262</v>
      </c>
      <c r="F103" s="165" t="e">
        <f>E103*F$99%</f>
        <v>#REF!</v>
      </c>
      <c r="G103" s="1367"/>
      <c r="H103" s="266" t="e">
        <f t="shared" si="109"/>
        <v>#REF!</v>
      </c>
      <c r="I103" s="347">
        <f>$E$155</f>
        <v>82.832498087589286</v>
      </c>
      <c r="J103" s="363" t="e">
        <f>H103/I103%</f>
        <v>#REF!</v>
      </c>
      <c r="K103" s="368" t="e">
        <f>F103*K$96</f>
        <v>#REF!</v>
      </c>
      <c r="L103" s="379" t="e">
        <f>F103*L$96</f>
        <v>#REF!</v>
      </c>
      <c r="M103" s="383" t="e">
        <f t="shared" si="111"/>
        <v>#REF!</v>
      </c>
    </row>
    <row r="104" spans="2:15" ht="16" thickBot="1">
      <c r="B104" s="163" t="s">
        <v>28</v>
      </c>
      <c r="C104" s="164"/>
      <c r="D104" s="164"/>
      <c r="E104" s="170">
        <v>4.3171535287983298</v>
      </c>
      <c r="F104" s="193" t="e">
        <f>E104*F$99%</f>
        <v>#REF!</v>
      </c>
      <c r="G104" s="1368"/>
      <c r="H104" s="263" t="e">
        <f t="shared" si="109"/>
        <v>#REF!</v>
      </c>
      <c r="I104" s="348">
        <v>100</v>
      </c>
      <c r="J104" s="365" t="e">
        <f>H104/I104%</f>
        <v>#REF!</v>
      </c>
      <c r="K104" s="370" t="e">
        <f>F104*K$96</f>
        <v>#REF!</v>
      </c>
      <c r="L104" s="380" t="e">
        <f>F104*L$96</f>
        <v>#REF!</v>
      </c>
      <c r="M104" s="384" t="e">
        <f t="shared" si="111"/>
        <v>#REF!</v>
      </c>
    </row>
    <row r="106" spans="2:15">
      <c r="B106" s="149"/>
      <c r="C106" s="19" t="e">
        <f>SUM(#REF!)</f>
        <v>#REF!</v>
      </c>
      <c r="D106" s="16" t="s">
        <v>21</v>
      </c>
      <c r="E106" s="16" t="e">
        <f t="shared" ref="E106:E107" si="112">C106*3.6/1000</f>
        <v>#REF!</v>
      </c>
      <c r="F106" s="16" t="s">
        <v>4</v>
      </c>
      <c r="G106" s="16" t="s">
        <v>85</v>
      </c>
    </row>
    <row r="107" spans="2:15">
      <c r="B107" s="149"/>
      <c r="C107" s="19" t="e">
        <f>#REF!</f>
        <v>#REF!</v>
      </c>
      <c r="E107" s="16" t="e">
        <f t="shared" si="112"/>
        <v>#REF!</v>
      </c>
      <c r="F107" s="16" t="s">
        <v>4</v>
      </c>
      <c r="G107" s="16" t="s">
        <v>86</v>
      </c>
    </row>
    <row r="108" spans="2:15">
      <c r="B108" s="149"/>
      <c r="C108" s="19" t="e">
        <f>C106-C107</f>
        <v>#REF!</v>
      </c>
      <c r="D108" s="16" t="s">
        <v>21</v>
      </c>
      <c r="E108" s="16" t="e">
        <f>C108*3.6/1000</f>
        <v>#REF!</v>
      </c>
      <c r="F108" s="16" t="s">
        <v>4</v>
      </c>
      <c r="G108" s="16" t="str">
        <f>"Fossiler Anteil am Fernwärme-Endverbrauch gemäß ["&amp;I_BS.2!A107&amp;"]"</f>
        <v>Fossiler Anteil am Fernwärme-Endverbrauch gemäß []</v>
      </c>
    </row>
    <row r="109" spans="2:15">
      <c r="B109" s="149"/>
      <c r="C109" s="19" t="e">
        <f>C108*E109%</f>
        <v>#REF!</v>
      </c>
      <c r="D109" s="16" t="s">
        <v>21</v>
      </c>
      <c r="E109" s="177">
        <f>F166</f>
        <v>9.4469735680772988</v>
      </c>
      <c r="F109" s="16" t="s">
        <v>80</v>
      </c>
      <c r="G109" s="16" t="s">
        <v>22</v>
      </c>
    </row>
    <row r="110" spans="2:15">
      <c r="B110" s="149"/>
      <c r="C110" s="19" t="e">
        <f>C108+C109</f>
        <v>#REF!</v>
      </c>
      <c r="D110" s="16" t="s">
        <v>21</v>
      </c>
      <c r="E110" s="16" t="e">
        <f t="shared" ref="E110" si="113">C110*3.6/1000</f>
        <v>#REF!</v>
      </c>
      <c r="F110" s="16" t="s">
        <v>4</v>
      </c>
      <c r="G110" s="16" t="str">
        <f>"Nettoverbrauch (fossiler Anteil) = Endverbrauch ["&amp;B108&amp;"] + Leitungsverluste ["&amp;B175&amp;"]"</f>
        <v>Nettoverbrauch (fossiler Anteil) = Endverbrauch [] + Leitungsverluste []</v>
      </c>
    </row>
    <row r="111" spans="2:15">
      <c r="B111" s="149"/>
      <c r="C111" s="19" t="e">
        <f>C110*E111%</f>
        <v>#REF!</v>
      </c>
      <c r="D111" s="16" t="s">
        <v>21</v>
      </c>
      <c r="E111" s="177">
        <f>F167</f>
        <v>9.8987779069519242</v>
      </c>
      <c r="F111" s="16" t="s">
        <v>81</v>
      </c>
      <c r="G111" s="16" t="s">
        <v>82</v>
      </c>
    </row>
    <row r="112" spans="2:15">
      <c r="B112" s="149"/>
      <c r="C112" s="19" t="e">
        <f>C110+C111</f>
        <v>#REF!</v>
      </c>
      <c r="D112" s="16" t="s">
        <v>21</v>
      </c>
      <c r="E112" s="16" t="e">
        <f t="shared" ref="E112" si="114">C112*3.6/1000</f>
        <v>#REF!</v>
      </c>
      <c r="F112" s="16" t="s">
        <v>4</v>
      </c>
      <c r="G112" s="16" t="s">
        <v>40</v>
      </c>
    </row>
    <row r="113" spans="2:18">
      <c r="B113" s="179"/>
    </row>
    <row r="114" spans="2:18">
      <c r="B114" s="179"/>
    </row>
    <row r="115" spans="2:18">
      <c r="B115" s="179"/>
    </row>
    <row r="116" spans="2:18">
      <c r="B116" s="16" t="s">
        <v>0</v>
      </c>
    </row>
    <row r="117" spans="2:18" ht="20" thickBot="1">
      <c r="B117" s="27" t="str">
        <f>'[2]3.'!A16</f>
        <v>BS.3.16</v>
      </c>
      <c r="C117" s="4" t="str">
        <f>'[2]3.'!D16</f>
        <v>BS.3.b   Strom: Leitungsverluste / Verbrauch im Umwandlungsbereich</v>
      </c>
    </row>
    <row r="118" spans="2:18" ht="16" thickBot="1">
      <c r="B118" s="27" t="str">
        <f>'[2]3.'!A17</f>
        <v>BS.3.17</v>
      </c>
      <c r="C118" s="153">
        <f>'[2]3.'!D17</f>
        <v>0</v>
      </c>
      <c r="D118" s="154"/>
      <c r="E118" s="154"/>
      <c r="F118" s="154"/>
      <c r="G118" s="154"/>
      <c r="H118" s="185"/>
      <c r="O118" s="16"/>
      <c r="R118" s="54"/>
    </row>
    <row r="119" spans="2:18" ht="16" thickTop="1">
      <c r="B119" s="27" t="str">
        <f>'[2]3.'!A18</f>
        <v>BS.3.18</v>
      </c>
      <c r="C119" s="446" t="str">
        <f>'[2]3.'!D18</f>
        <v xml:space="preserve">Leitungsverluste </v>
      </c>
      <c r="D119" s="156"/>
      <c r="E119" s="156"/>
      <c r="F119" s="156"/>
      <c r="G119" s="156"/>
      <c r="H119" s="186">
        <f>'[2]3.'!H18</f>
        <v>5.4902915217972756</v>
      </c>
      <c r="O119" s="16"/>
      <c r="R119" s="54"/>
    </row>
    <row r="120" spans="2:18" ht="16" thickBot="1">
      <c r="B120" s="27" t="str">
        <f>'[2]3.'!A19</f>
        <v>BS.3.19</v>
      </c>
      <c r="C120" s="447" t="str">
        <f>'[2]3.'!D19</f>
        <v>Verbr.im Umwandlungsbereich (VU/NV)</v>
      </c>
      <c r="D120" s="157"/>
      <c r="E120" s="157"/>
      <c r="F120" s="157"/>
      <c r="G120" s="157"/>
      <c r="H120" s="187">
        <f>'[2]3.'!H19</f>
        <v>2.5009875054572666</v>
      </c>
      <c r="O120" s="16"/>
      <c r="R120" s="54"/>
    </row>
    <row r="121" spans="2:18">
      <c r="B121" s="27">
        <f>'[2]3.'!A3</f>
        <v>0</v>
      </c>
    </row>
    <row r="122" spans="2:18" ht="20" thickBot="1">
      <c r="B122" s="27" t="str">
        <f>'[2]3.'!A4</f>
        <v>BS.3.4</v>
      </c>
      <c r="C122" s="4" t="str">
        <f>'[2]3.'!D4</f>
        <v>BS.3.a   Strommix und Jahresnutzungsgrad (JNG) Kraftwerke</v>
      </c>
    </row>
    <row r="123" spans="2:18">
      <c r="B123" s="27" t="str">
        <f>'[2]3.'!A5</f>
        <v>BS.3.5</v>
      </c>
      <c r="C123" s="158">
        <f>'[2]3.'!D5</f>
        <v>0</v>
      </c>
      <c r="D123" s="115"/>
      <c r="E123" s="159" t="str">
        <f>'[2]3.'!H5</f>
        <v>Mix-
Anteil</v>
      </c>
      <c r="F123" s="189" t="str">
        <f>'[2]3.'!I5</f>
        <v>JNG
(NV+/UE)</v>
      </c>
      <c r="L123" s="54"/>
      <c r="O123" s="16"/>
    </row>
    <row r="124" spans="2:18" ht="16" thickBot="1">
      <c r="B124" s="27" t="str">
        <f>'[2]3.'!A6</f>
        <v>BS.3.6</v>
      </c>
      <c r="C124" s="116"/>
      <c r="D124" s="66"/>
      <c r="E124" s="160" t="str">
        <f>'[2]3.'!H6</f>
        <v>(%)</v>
      </c>
      <c r="F124" s="190" t="str">
        <f>'[2]3.'!I6</f>
        <v>(%)</v>
      </c>
      <c r="L124" s="54"/>
      <c r="O124" s="16"/>
    </row>
    <row r="125" spans="2:18" ht="16" thickTop="1">
      <c r="B125" s="27" t="str">
        <f>'[2]3.'!A7</f>
        <v>BS.3.7</v>
      </c>
      <c r="C125" s="161" t="str">
        <f>'[2]3.'!D7</f>
        <v>Fossil/atomar</v>
      </c>
      <c r="D125" s="67"/>
      <c r="E125" s="155">
        <f>'[2]3.'!H7</f>
        <v>100</v>
      </c>
      <c r="F125" s="191"/>
      <c r="L125" s="54"/>
      <c r="O125" s="16"/>
    </row>
    <row r="126" spans="2:18">
      <c r="B126" s="27" t="str">
        <f>'[2]3.'!A8</f>
        <v>BS.3.8</v>
      </c>
      <c r="C126" s="162" t="str">
        <f>'[2]3.'!D8</f>
        <v>Braunkohle</v>
      </c>
      <c r="D126" s="52"/>
      <c r="E126" s="182">
        <f>'[2]3.'!H8</f>
        <v>33.38305129813746</v>
      </c>
      <c r="F126" s="184">
        <f>'[2]3.'!I8</f>
        <v>34.830877011037032</v>
      </c>
      <c r="L126" s="54"/>
      <c r="O126" s="16"/>
    </row>
    <row r="127" spans="2:18">
      <c r="B127" s="27" t="str">
        <f>'[2]3.'!A9</f>
        <v>BS.3.9</v>
      </c>
      <c r="C127" s="162" t="str">
        <f>'[2]3.'!D9</f>
        <v>Steinkohle</v>
      </c>
      <c r="D127" s="52"/>
      <c r="E127" s="182">
        <f>'[2]3.'!H9</f>
        <v>24.180380654033602</v>
      </c>
      <c r="F127" s="184">
        <f>'[2]3.'!I9</f>
        <v>34.854930032269486</v>
      </c>
      <c r="L127" s="54"/>
      <c r="O127" s="16"/>
    </row>
    <row r="128" spans="2:18">
      <c r="B128" s="27" t="str">
        <f>'[2]3.'!A10</f>
        <v>BS.3.10</v>
      </c>
      <c r="C128" s="162" t="str">
        <f>'[2]3.'!D10</f>
        <v>Kernenergie</v>
      </c>
      <c r="D128" s="52"/>
      <c r="E128" s="182">
        <f>'[2]3.'!H10</f>
        <v>20.669655284161017</v>
      </c>
      <c r="F128" s="184">
        <f>'[2]3.'!I10</f>
        <v>30.471815117070005</v>
      </c>
      <c r="O128" s="16"/>
    </row>
    <row r="129" spans="2:27">
      <c r="B129" s="27" t="str">
        <f>'[2]3.'!A11</f>
        <v>BS.3.11</v>
      </c>
      <c r="C129" s="162" t="str">
        <f>'[2]3.'!D11</f>
        <v>Naturgase</v>
      </c>
      <c r="D129" s="52"/>
      <c r="E129" s="182">
        <f>'[2]3.'!H11</f>
        <v>15.870971494571881</v>
      </c>
      <c r="F129" s="184">
        <f>'[2]3.'!I11</f>
        <v>37.053652723570224</v>
      </c>
      <c r="O129" s="16"/>
    </row>
    <row r="130" spans="2:27">
      <c r="B130" s="27" t="str">
        <f>'[2]3.'!A12</f>
        <v>BS.3.12</v>
      </c>
      <c r="C130" s="162" t="str">
        <f>'[2]3.'!D12</f>
        <v>Erdöl</v>
      </c>
      <c r="D130" s="52"/>
      <c r="E130" s="182">
        <f>'[2]3.'!H12</f>
        <v>1.5787877402977262</v>
      </c>
      <c r="F130" s="184">
        <f>'[2]3.'!I12</f>
        <v>44.448010062121185</v>
      </c>
      <c r="O130" s="16"/>
    </row>
    <row r="131" spans="2:27" ht="16" thickBot="1">
      <c r="B131" s="27" t="str">
        <f>'[2]3.'!A13</f>
        <v>BS.3.13</v>
      </c>
      <c r="C131" s="163" t="str">
        <f>'[2]3.'!D13</f>
        <v>Abfall u.sonst.</v>
      </c>
      <c r="D131" s="164"/>
      <c r="E131" s="183">
        <f>'[2]3.'!H13</f>
        <v>4.3171535287983298</v>
      </c>
      <c r="F131" s="192">
        <f>'[2]3.'!I13</f>
        <v>27.690330479051283</v>
      </c>
      <c r="O131" s="16"/>
    </row>
    <row r="132" spans="2:27">
      <c r="B132" s="27" t="str">
        <f>'[2]3.'!A38</f>
        <v>BS.3.38</v>
      </c>
      <c r="C132" s="27"/>
      <c r="D132" s="27"/>
      <c r="E132" s="27"/>
      <c r="F132" s="27"/>
      <c r="G132" s="27"/>
      <c r="H132" s="27"/>
      <c r="I132" s="27"/>
      <c r="J132" s="27"/>
      <c r="O132" s="16"/>
      <c r="Q132" s="144"/>
      <c r="R132" s="144"/>
      <c r="S132" s="272"/>
      <c r="T132" s="178"/>
      <c r="U132" s="178"/>
      <c r="V132" s="178"/>
      <c r="W132" s="144"/>
      <c r="X132" s="145"/>
      <c r="Y132" s="144"/>
      <c r="Z132" s="144"/>
      <c r="AA132" s="144"/>
    </row>
    <row r="133" spans="2:27" ht="20" thickBot="1">
      <c r="B133" s="27" t="str">
        <f>'[2]3.'!A39</f>
        <v>BS.3.39</v>
      </c>
      <c r="C133" s="4" t="str">
        <f>'[2]3.'!D39</f>
        <v>BS.3.c   Braun-/Steinkohleversorgung</v>
      </c>
      <c r="G133" s="27"/>
      <c r="H133" s="27"/>
      <c r="I133" s="27"/>
      <c r="J133" s="27"/>
      <c r="O133" s="16"/>
      <c r="Q133" s="144"/>
      <c r="R133" s="144"/>
      <c r="S133" s="272"/>
      <c r="T133" s="178"/>
      <c r="U133" s="178"/>
      <c r="V133" s="178"/>
      <c r="W133" s="144"/>
      <c r="X133" s="145"/>
      <c r="Y133" s="144"/>
      <c r="Z133" s="144"/>
      <c r="AA133" s="144"/>
    </row>
    <row r="134" spans="2:27" ht="16" thickBot="1">
      <c r="B134" s="27" t="str">
        <f>'[2]3.'!A40</f>
        <v>BS.3.40</v>
      </c>
      <c r="C134" s="286" t="str">
        <f>'[2]3.'!D40</f>
        <v>Kohle-Mix</v>
      </c>
      <c r="D134" s="154"/>
      <c r="E134" s="328" t="str">
        <f>'[2]3.'!H40</f>
        <v>Braunk.</v>
      </c>
      <c r="F134" s="329" t="str">
        <f>'[2]3.'!I40</f>
        <v>Steink.</v>
      </c>
      <c r="G134" s="27"/>
      <c r="H134" s="27"/>
      <c r="I134" s="27"/>
      <c r="J134" s="27"/>
      <c r="O134" s="16"/>
      <c r="Q134" s="144"/>
      <c r="R134" s="144"/>
      <c r="S134" s="272"/>
      <c r="T134" s="178"/>
      <c r="U134" s="178"/>
      <c r="V134" s="178"/>
      <c r="W134" s="144"/>
      <c r="X134" s="145"/>
      <c r="Y134" s="144"/>
      <c r="Z134" s="144"/>
      <c r="AA134" s="144"/>
    </row>
    <row r="135" spans="2:27" ht="16" thickTop="1">
      <c r="B135" s="27" t="str">
        <f>'[2]3.'!A41</f>
        <v>BS.3.41</v>
      </c>
      <c r="C135" s="330" t="str">
        <f>'[2]3.'!D41</f>
        <v>Gebäudewärme (%)</v>
      </c>
      <c r="D135" s="67"/>
      <c r="E135" s="308">
        <f>'[2]3.'!H41</f>
        <v>57.767910173374439</v>
      </c>
      <c r="F135" s="331">
        <f>'[2]3.'!I41</f>
        <v>42.232089826625561</v>
      </c>
      <c r="G135" s="27"/>
      <c r="H135" s="27"/>
      <c r="I135" s="27"/>
      <c r="J135" s="27"/>
      <c r="O135" s="16"/>
      <c r="Q135" s="144"/>
      <c r="R135" s="144"/>
      <c r="S135" s="272"/>
      <c r="T135" s="178"/>
      <c r="U135" s="178"/>
      <c r="V135" s="178"/>
      <c r="W135" s="144"/>
      <c r="X135" s="145"/>
      <c r="Y135" s="144"/>
      <c r="Z135" s="144"/>
      <c r="AA135" s="144"/>
    </row>
    <row r="136" spans="2:27" ht="16" thickBot="1">
      <c r="B136" s="27" t="str">
        <f>'[2]3.'!A42</f>
        <v>BS.3.42</v>
      </c>
      <c r="C136" s="332" t="str">
        <f>'[2]3.'!D42</f>
        <v>Prozesswärme (%)</v>
      </c>
      <c r="D136" s="17"/>
      <c r="E136" s="333">
        <f>'[2]3.'!H42</f>
        <v>18.092959362357345</v>
      </c>
      <c r="F136" s="334">
        <f>'[2]3.'!I42</f>
        <v>81.907040637642652</v>
      </c>
      <c r="G136" s="27"/>
      <c r="H136" s="27"/>
      <c r="I136" s="27"/>
      <c r="J136" s="27"/>
      <c r="O136" s="16"/>
      <c r="Q136" s="144"/>
      <c r="R136" s="144"/>
      <c r="S136" s="272"/>
      <c r="T136" s="178"/>
      <c r="U136" s="178"/>
      <c r="V136" s="178"/>
      <c r="W136" s="144"/>
      <c r="X136" s="145"/>
      <c r="Y136" s="144"/>
      <c r="Z136" s="144"/>
      <c r="AA136" s="144"/>
    </row>
    <row r="137" spans="2:27" ht="16" thickBot="1">
      <c r="B137" s="27" t="str">
        <f>'[2]3.'!A44</f>
        <v>BS.3.44</v>
      </c>
      <c r="C137" s="286" t="str">
        <f>'[2]3.'!D44</f>
        <v>Umwandlung (%):</v>
      </c>
      <c r="D137" s="154"/>
      <c r="E137" s="328" t="str">
        <f>'[2]3.'!H44</f>
        <v>Braunk.</v>
      </c>
      <c r="F137" s="335" t="str">
        <f>'[2]3.'!I44</f>
        <v>Steink.</v>
      </c>
      <c r="G137" s="27"/>
      <c r="H137" s="27"/>
      <c r="I137" s="27"/>
      <c r="J137" s="27"/>
      <c r="O137" s="16"/>
      <c r="Q137" s="144"/>
      <c r="R137" s="144"/>
      <c r="S137" s="272"/>
      <c r="T137" s="178"/>
      <c r="U137" s="178"/>
      <c r="V137" s="178"/>
      <c r="W137" s="144"/>
      <c r="X137" s="145"/>
      <c r="Y137" s="144"/>
      <c r="Z137" s="144"/>
      <c r="AA137" s="144"/>
    </row>
    <row r="138" spans="2:27" ht="16" thickTop="1">
      <c r="B138" s="27" t="str">
        <f>'[2]3.'!A45</f>
        <v>BS.3.45</v>
      </c>
      <c r="C138" s="351" t="str">
        <f>'[2]3.'!D45</f>
        <v xml:space="preserve">Leitungsverluste </v>
      </c>
      <c r="D138" s="257"/>
      <c r="E138" s="438">
        <f>'[2]3.'!H45</f>
        <v>0</v>
      </c>
      <c r="F138" s="353">
        <f>'[2]3.'!I45</f>
        <v>0</v>
      </c>
      <c r="G138" s="27"/>
      <c r="H138" s="27"/>
      <c r="I138" s="27"/>
      <c r="J138" s="27"/>
      <c r="O138" s="16"/>
      <c r="Q138" s="144"/>
      <c r="R138" s="144"/>
      <c r="S138" s="272"/>
      <c r="T138" s="178"/>
      <c r="U138" s="178"/>
      <c r="V138" s="178"/>
      <c r="W138" s="144"/>
      <c r="X138" s="145"/>
      <c r="Y138" s="144"/>
      <c r="Z138" s="144"/>
      <c r="AA138" s="144"/>
    </row>
    <row r="139" spans="2:27">
      <c r="B139" s="27" t="str">
        <f>'[2]3.'!A46</f>
        <v>BS.3.46</v>
      </c>
      <c r="C139" s="354" t="str">
        <f>'[2]3.'!D46</f>
        <v>Fackelverluste</v>
      </c>
      <c r="D139" s="355"/>
      <c r="E139" s="439">
        <f>'[2]3.'!H46</f>
        <v>0</v>
      </c>
      <c r="F139" s="356">
        <f>'[2]3.'!I46</f>
        <v>0</v>
      </c>
      <c r="G139" s="27"/>
      <c r="H139" s="27"/>
      <c r="I139" s="27"/>
      <c r="J139" s="27"/>
      <c r="O139" s="16"/>
      <c r="Q139" s="144"/>
      <c r="R139" s="144"/>
      <c r="S139" s="272"/>
      <c r="T139" s="178"/>
      <c r="U139" s="178"/>
      <c r="V139" s="178"/>
      <c r="W139" s="144"/>
      <c r="X139" s="145"/>
      <c r="Y139" s="144"/>
      <c r="Z139" s="144"/>
      <c r="AA139" s="144"/>
    </row>
    <row r="140" spans="2:27">
      <c r="B140" s="27" t="str">
        <f>'[2]3.'!A47</f>
        <v>BS.3.47</v>
      </c>
      <c r="C140" s="269" t="str">
        <f>'[2]3.'!D47</f>
        <v>Verbr.im Umwandlungsbereich</v>
      </c>
      <c r="D140" s="270"/>
      <c r="E140" s="440">
        <f>'[2]3.'!H47</f>
        <v>11.180662349195348</v>
      </c>
      <c r="F140" s="273">
        <f>'[2]3.'!I47</f>
        <v>0.7327825471462599</v>
      </c>
      <c r="G140" s="27"/>
      <c r="H140" s="27"/>
      <c r="I140" s="27"/>
      <c r="J140" s="27"/>
      <c r="O140" s="16"/>
      <c r="Q140" s="144"/>
      <c r="R140" s="144"/>
      <c r="S140" s="272"/>
      <c r="T140" s="178"/>
      <c r="U140" s="178"/>
      <c r="V140" s="178"/>
      <c r="W140" s="144"/>
      <c r="X140" s="145"/>
      <c r="Y140" s="144"/>
      <c r="Z140" s="144"/>
      <c r="AA140" s="144"/>
    </row>
    <row r="141" spans="2:27" ht="16" thickBot="1">
      <c r="B141" s="27" t="str">
        <f>'[2]3.'!A48</f>
        <v>BS.3.48</v>
      </c>
      <c r="C141" s="296" t="str">
        <f>'[2]3.'!D48</f>
        <v>Jahresnutzungsgrad Umwandl.</v>
      </c>
      <c r="D141" s="298"/>
      <c r="E141" s="441">
        <f>'[2]3.'!H48</f>
        <v>100</v>
      </c>
      <c r="F141" s="442">
        <f>'[2]3.'!I48</f>
        <v>97.720252047452846</v>
      </c>
      <c r="G141" s="27"/>
      <c r="H141" s="27"/>
      <c r="I141" s="27"/>
      <c r="J141" s="27"/>
      <c r="O141" s="16"/>
      <c r="Q141" s="144"/>
      <c r="R141" s="144"/>
      <c r="S141" s="272"/>
      <c r="T141" s="178"/>
      <c r="U141" s="178"/>
      <c r="V141" s="178"/>
      <c r="W141" s="144"/>
      <c r="X141" s="145"/>
      <c r="Y141" s="144"/>
      <c r="Z141" s="144"/>
      <c r="AA141" s="144"/>
    </row>
    <row r="142" spans="2:27">
      <c r="B142" s="27" t="str">
        <f>'[2]3.'!A49</f>
        <v>BS.3.49</v>
      </c>
      <c r="C142" s="27"/>
      <c r="D142" s="27"/>
      <c r="E142" s="27"/>
      <c r="F142" s="27"/>
      <c r="G142" s="27"/>
      <c r="H142" s="27"/>
      <c r="I142" s="27"/>
      <c r="J142" s="27"/>
      <c r="O142" s="16"/>
      <c r="Q142" s="144"/>
      <c r="R142" s="144"/>
      <c r="S142" s="272"/>
      <c r="T142" s="178"/>
      <c r="U142" s="178"/>
      <c r="V142" s="178"/>
      <c r="W142" s="144"/>
      <c r="X142" s="145"/>
      <c r="Y142" s="144"/>
      <c r="Z142" s="144"/>
      <c r="AA142" s="144"/>
    </row>
    <row r="143" spans="2:27" ht="20" thickBot="1">
      <c r="B143" s="27" t="str">
        <f>'[2]3.'!A22</f>
        <v>BS.3.22</v>
      </c>
      <c r="C143" s="4" t="str">
        <f>'[2]3.'!D22</f>
        <v>BS.3.d   Gasversorgung</v>
      </c>
      <c r="F143" s="27"/>
      <c r="G143" s="27"/>
      <c r="H143" s="27"/>
      <c r="I143" s="27"/>
      <c r="O143" s="16"/>
    </row>
    <row r="144" spans="2:27" ht="16" thickBot="1">
      <c r="B144" s="27" t="str">
        <f>'[2]3.'!A23</f>
        <v>BS.3.23</v>
      </c>
      <c r="C144" s="153">
        <f>'[2]3.'!D23</f>
        <v>0</v>
      </c>
      <c r="D144" s="154"/>
      <c r="E144" s="185"/>
      <c r="F144" s="27"/>
      <c r="G144" s="27"/>
      <c r="H144" s="27"/>
      <c r="I144" s="27"/>
      <c r="O144" s="16"/>
    </row>
    <row r="145" spans="2:27" ht="16" thickTop="1">
      <c r="B145" s="27" t="str">
        <f>'[2]3.'!A24</f>
        <v>BS.3.24</v>
      </c>
      <c r="C145" s="351" t="str">
        <f>'[2]3.'!D24</f>
        <v xml:space="preserve">Leitungsverluste </v>
      </c>
      <c r="D145" s="257"/>
      <c r="E145" s="357">
        <f>'[2]3.'!H24</f>
        <v>0</v>
      </c>
      <c r="F145" s="27"/>
      <c r="G145" s="27"/>
      <c r="H145" s="27"/>
      <c r="I145" s="27"/>
      <c r="O145" s="16"/>
    </row>
    <row r="146" spans="2:27">
      <c r="B146" s="27" t="str">
        <f>'[2]3.'!A25</f>
        <v>BS.3.25</v>
      </c>
      <c r="C146" s="224" t="str">
        <f>'[2]3.'!D25</f>
        <v>Fackelverluste</v>
      </c>
      <c r="D146" s="225"/>
      <c r="E146" s="226">
        <f>'[2]3.'!H25</f>
        <v>0.88273805160108509</v>
      </c>
      <c r="F146" s="27"/>
      <c r="G146" s="27"/>
      <c r="H146" s="27"/>
      <c r="I146" s="27"/>
      <c r="O146" s="16"/>
    </row>
    <row r="147" spans="2:27">
      <c r="B147" s="27" t="str">
        <f>'[2]3.'!A26</f>
        <v>BS.3.26</v>
      </c>
      <c r="C147" s="269" t="str">
        <f>'[2]3.'!D26</f>
        <v>Verbr.im Umwandlungsbereich</v>
      </c>
      <c r="D147" s="270"/>
      <c r="E147" s="271">
        <f>'[2]3.'!H26</f>
        <v>3.7822483581768225</v>
      </c>
      <c r="F147" s="27"/>
      <c r="G147" s="27"/>
      <c r="H147" s="27"/>
      <c r="I147" s="27"/>
      <c r="O147" s="16"/>
    </row>
    <row r="148" spans="2:27" ht="16" thickBot="1">
      <c r="B148" s="27" t="str">
        <f>'[2]3.'!A27</f>
        <v>BS.3.27</v>
      </c>
      <c r="C148" s="203" t="str">
        <f>'[2]3.'!D27</f>
        <v>Jahresnutzungsgrad Umwandl.</v>
      </c>
      <c r="D148" s="204"/>
      <c r="E148" s="209">
        <f>'[2]3.'!H27</f>
        <v>100</v>
      </c>
      <c r="F148" s="27"/>
      <c r="G148" s="27"/>
      <c r="H148" s="27"/>
      <c r="I148" s="27"/>
      <c r="O148" s="16"/>
    </row>
    <row r="149" spans="2:27">
      <c r="B149" s="27" t="str">
        <f>'[2]3.'!A30</f>
        <v>BS.3.30</v>
      </c>
      <c r="O149" s="16"/>
      <c r="Q149" s="144"/>
      <c r="R149" s="144"/>
      <c r="S149" s="1373" t="e">
        <f>SUM(S33:V33)</f>
        <v>#REF!</v>
      </c>
      <c r="T149" s="1374"/>
      <c r="U149" s="1374"/>
      <c r="V149" s="1374"/>
      <c r="W149" s="144">
        <f>2185.517</f>
        <v>2185.5169999999998</v>
      </c>
      <c r="X149" s="145" t="e">
        <f>S149-W149</f>
        <v>#REF!</v>
      </c>
      <c r="Y149" s="144"/>
      <c r="Z149" s="144"/>
      <c r="AA149" s="144"/>
    </row>
    <row r="150" spans="2:27" ht="20" thickBot="1">
      <c r="B150" s="27" t="str">
        <f>'[2]3.'!A31</f>
        <v>BS.3.31</v>
      </c>
      <c r="C150" s="4" t="str">
        <f>'[2]3.'!D31</f>
        <v>BS.3.e   Mineralölversorgung</v>
      </c>
      <c r="O150" s="16"/>
      <c r="Q150" s="144"/>
      <c r="R150" s="144"/>
      <c r="S150" s="272"/>
      <c r="T150" s="150"/>
      <c r="U150" s="150"/>
      <c r="V150" s="150"/>
      <c r="W150" s="144"/>
      <c r="X150" s="145"/>
      <c r="Y150" s="144"/>
      <c r="Z150" s="144"/>
      <c r="AA150" s="144"/>
    </row>
    <row r="151" spans="2:27" ht="16" thickBot="1">
      <c r="B151" s="27" t="str">
        <f>'[2]3.'!A32</f>
        <v>BS.3.32</v>
      </c>
      <c r="C151" s="153">
        <f>'[2]3.'!D32</f>
        <v>0</v>
      </c>
      <c r="D151" s="154"/>
      <c r="E151" s="185"/>
      <c r="O151" s="16"/>
      <c r="Q151" s="144"/>
      <c r="R151" s="144"/>
      <c r="S151" s="272"/>
      <c r="T151" s="150"/>
      <c r="U151" s="150"/>
      <c r="V151" s="150"/>
      <c r="W151" s="144"/>
      <c r="X151" s="145"/>
      <c r="Y151" s="144"/>
      <c r="Z151" s="144"/>
      <c r="AA151" s="144"/>
    </row>
    <row r="152" spans="2:27" ht="16" thickTop="1">
      <c r="B152" s="27" t="str">
        <f>'[2]3.'!A33</f>
        <v>BS.3.33</v>
      </c>
      <c r="C152" s="351" t="str">
        <f>'[2]3.'!D33</f>
        <v xml:space="preserve">Leitungsverluste </v>
      </c>
      <c r="D152" s="352"/>
      <c r="E152" s="353">
        <f>'[2]3.'!H33</f>
        <v>0</v>
      </c>
      <c r="O152" s="16"/>
      <c r="Q152" s="144"/>
      <c r="R152" s="144"/>
      <c r="S152" s="272"/>
      <c r="T152" s="150"/>
      <c r="U152" s="150"/>
      <c r="V152" s="150"/>
      <c r="W152" s="144"/>
      <c r="X152" s="145"/>
      <c r="Y152" s="144"/>
      <c r="Z152" s="144"/>
      <c r="AA152" s="144"/>
    </row>
    <row r="153" spans="2:27">
      <c r="B153" s="27" t="str">
        <f>'[2]3.'!A34</f>
        <v>BS.3.34</v>
      </c>
      <c r="C153" s="354" t="str">
        <f>'[2]3.'!D34</f>
        <v>Fackelverluste</v>
      </c>
      <c r="D153" s="355"/>
      <c r="E153" s="356">
        <f>'[2]3.'!H34</f>
        <v>0</v>
      </c>
      <c r="O153" s="16"/>
      <c r="Q153" s="144"/>
      <c r="R153" s="144"/>
      <c r="S153" s="272"/>
      <c r="T153" s="150"/>
      <c r="U153" s="150"/>
      <c r="V153" s="150"/>
      <c r="W153" s="144"/>
      <c r="X153" s="145"/>
      <c r="Y153" s="144"/>
      <c r="Z153" s="144"/>
      <c r="AA153" s="144"/>
    </row>
    <row r="154" spans="2:27">
      <c r="B154" s="27" t="str">
        <f>'[2]3.'!A35</f>
        <v>BS.3.35</v>
      </c>
      <c r="C154" s="269" t="str">
        <f>'[2]3.'!D35</f>
        <v>Verbr.im Umwandlungsbereich</v>
      </c>
      <c r="D154" s="270"/>
      <c r="E154" s="274">
        <f>'[2]3.'!H35</f>
        <v>2.8453107541523628</v>
      </c>
      <c r="O154" s="16"/>
      <c r="Q154" s="144"/>
      <c r="R154" s="144"/>
      <c r="S154" s="272"/>
      <c r="T154" s="150"/>
      <c r="U154" s="150"/>
      <c r="V154" s="150"/>
      <c r="W154" s="144"/>
      <c r="X154" s="145"/>
      <c r="Y154" s="144"/>
      <c r="Z154" s="144"/>
      <c r="AA154" s="144"/>
    </row>
    <row r="155" spans="2:27" ht="16" thickBot="1">
      <c r="B155" s="27" t="str">
        <f>'[2]3.'!A36</f>
        <v>BS.3.36</v>
      </c>
      <c r="C155" s="203" t="str">
        <f>'[2]3.'!D36</f>
        <v>Jahresnutzungsgrad Umwandl.</v>
      </c>
      <c r="D155" s="204"/>
      <c r="E155" s="205">
        <f>'[2]3.'!H36</f>
        <v>82.832498087589286</v>
      </c>
      <c r="O155" s="16"/>
      <c r="Q155" s="144"/>
      <c r="R155" s="144"/>
      <c r="S155" s="272"/>
      <c r="T155" s="150"/>
      <c r="U155" s="150"/>
      <c r="V155" s="150"/>
      <c r="W155" s="144"/>
      <c r="X155" s="145"/>
      <c r="Y155" s="144"/>
      <c r="Z155" s="144"/>
      <c r="AA155" s="144"/>
    </row>
    <row r="156" spans="2:27">
      <c r="B156" s="27" t="str">
        <f>'[2]3.'!A37</f>
        <v>BS.3.37</v>
      </c>
      <c r="C156" s="268"/>
      <c r="O156" s="16"/>
      <c r="Q156" s="144"/>
      <c r="R156" s="144"/>
      <c r="S156" s="272"/>
      <c r="T156" s="150"/>
      <c r="U156" s="150"/>
      <c r="V156" s="150"/>
      <c r="W156" s="144"/>
      <c r="X156" s="145"/>
      <c r="Y156" s="144"/>
      <c r="Z156" s="144"/>
      <c r="AA156" s="144"/>
    </row>
    <row r="157" spans="2:27" ht="20" thickBot="1">
      <c r="B157" s="27" t="str">
        <f>'[2]3.'!A51</f>
        <v>BS.3.51</v>
      </c>
      <c r="C157" s="4" t="str">
        <f>'[2]3.'!D51</f>
        <v>BS.3.f   Fernheizwerke: Fossiler Brennstoffmix</v>
      </c>
      <c r="G157" s="27"/>
      <c r="H157" s="27"/>
      <c r="O157" s="16"/>
      <c r="Q157" s="144"/>
      <c r="R157" s="144"/>
      <c r="S157" s="272"/>
      <c r="T157" s="150"/>
      <c r="U157" s="150"/>
      <c r="V157" s="150"/>
      <c r="W157" s="144"/>
      <c r="X157" s="145"/>
      <c r="Y157" s="144"/>
      <c r="Z157" s="144"/>
      <c r="AA157" s="144"/>
    </row>
    <row r="158" spans="2:27" ht="16" thickBot="1">
      <c r="B158" s="27" t="str">
        <f>'[2]3.'!A52</f>
        <v>BS.3.52</v>
      </c>
      <c r="C158" s="286" t="str">
        <f>'[2]3.'!D52</f>
        <v>Mix fossiler Brennstoffe:</v>
      </c>
      <c r="D158" s="154"/>
      <c r="E158" s="154"/>
      <c r="F158" s="287" t="str">
        <f>'[2]3.'!H52</f>
        <v>(%)</v>
      </c>
      <c r="G158" s="27"/>
      <c r="H158" s="27"/>
      <c r="O158" s="16"/>
      <c r="Q158" s="144"/>
      <c r="R158" s="144"/>
      <c r="S158" s="272"/>
      <c r="T158" s="150"/>
      <c r="U158" s="150"/>
      <c r="V158" s="150"/>
      <c r="W158" s="144"/>
      <c r="X158" s="145"/>
      <c r="Y158" s="144"/>
      <c r="Z158" s="144"/>
      <c r="AA158" s="144"/>
    </row>
    <row r="159" spans="2:27" ht="16" thickTop="1">
      <c r="B159" s="27" t="str">
        <f>'[2]3.'!A53</f>
        <v>BS.3.53</v>
      </c>
      <c r="C159" s="288" t="str">
        <f>'[2]3.'!D53</f>
        <v>Fossile</v>
      </c>
      <c r="D159" s="22"/>
      <c r="E159" s="22"/>
      <c r="F159" s="289">
        <f>'[2]3.'!H53</f>
        <v>100</v>
      </c>
      <c r="G159" s="27"/>
      <c r="H159" s="27"/>
      <c r="O159" s="16"/>
      <c r="Q159" s="144"/>
      <c r="R159" s="144"/>
      <c r="S159" s="272"/>
      <c r="T159" s="150"/>
      <c r="U159" s="150"/>
      <c r="V159" s="150"/>
      <c r="W159" s="144"/>
      <c r="X159" s="145"/>
      <c r="Y159" s="144"/>
      <c r="Z159" s="144"/>
      <c r="AA159" s="144"/>
    </row>
    <row r="160" spans="2:27">
      <c r="B160" s="27" t="str">
        <f>'[2]3.'!A54</f>
        <v>BS.3.54</v>
      </c>
      <c r="C160" s="162" t="str">
        <f>'[2]3.'!D54</f>
        <v>Braunkohle</v>
      </c>
      <c r="D160" s="52"/>
      <c r="E160" s="52"/>
      <c r="F160" s="290">
        <f>'[2]3.'!H54</f>
        <v>1.8174723660063772</v>
      </c>
      <c r="G160" s="27"/>
      <c r="H160" s="27"/>
      <c r="O160" s="16"/>
      <c r="Q160" s="144"/>
      <c r="R160" s="144"/>
      <c r="S160" s="272"/>
      <c r="T160" s="150"/>
      <c r="U160" s="150"/>
      <c r="V160" s="150"/>
      <c r="W160" s="144"/>
      <c r="X160" s="145"/>
      <c r="Y160" s="144"/>
      <c r="Z160" s="144"/>
      <c r="AA160" s="144"/>
    </row>
    <row r="161" spans="2:27">
      <c r="B161" s="27" t="str">
        <f>'[2]3.'!A55</f>
        <v>BS.3.55</v>
      </c>
      <c r="C161" s="162" t="str">
        <f>'[2]3.'!D55</f>
        <v>Steinkohle</v>
      </c>
      <c r="D161" s="52"/>
      <c r="E161" s="52"/>
      <c r="F161" s="290">
        <f>'[2]3.'!H55</f>
        <v>20.737841347648743</v>
      </c>
      <c r="G161" s="27"/>
      <c r="H161" s="27"/>
      <c r="O161" s="16"/>
      <c r="Q161" s="144"/>
      <c r="R161" s="144"/>
      <c r="S161" s="272"/>
      <c r="T161" s="150"/>
      <c r="U161" s="150"/>
      <c r="V161" s="150"/>
      <c r="W161" s="144"/>
      <c r="X161" s="145"/>
      <c r="Y161" s="144"/>
      <c r="Z161" s="144"/>
      <c r="AA161" s="144"/>
    </row>
    <row r="162" spans="2:27">
      <c r="B162" s="27" t="str">
        <f>'[2]3.'!A56</f>
        <v>BS.3.56</v>
      </c>
      <c r="C162" s="162" t="str">
        <f>'[2]3.'!D56</f>
        <v>Erdgas</v>
      </c>
      <c r="D162" s="52"/>
      <c r="E162" s="52"/>
      <c r="F162" s="290">
        <f>'[2]3.'!H56</f>
        <v>55.499058035959251</v>
      </c>
      <c r="G162" s="27"/>
      <c r="H162" s="27"/>
      <c r="O162" s="16"/>
      <c r="Q162" s="144"/>
      <c r="R162" s="144"/>
      <c r="S162" s="272"/>
      <c r="T162" s="150"/>
      <c r="U162" s="150"/>
      <c r="V162" s="150"/>
      <c r="W162" s="144"/>
      <c r="X162" s="145"/>
      <c r="Y162" s="144"/>
      <c r="Z162" s="144"/>
      <c r="AA162" s="144"/>
    </row>
    <row r="163" spans="2:27">
      <c r="B163" s="27" t="str">
        <f>'[2]3.'!A57</f>
        <v>BS.3.57</v>
      </c>
      <c r="C163" s="162" t="str">
        <f>'[2]3.'!D57</f>
        <v>Mineralölprodukte</v>
      </c>
      <c r="D163" s="52"/>
      <c r="E163" s="52"/>
      <c r="F163" s="290">
        <f>'[2]3.'!H57</f>
        <v>4.4202196087038699</v>
      </c>
      <c r="G163" s="27"/>
      <c r="H163" s="27"/>
      <c r="O163" s="16"/>
      <c r="Q163" s="144"/>
      <c r="R163" s="144"/>
      <c r="S163" s="272"/>
      <c r="T163" s="150"/>
      <c r="U163" s="150"/>
      <c r="V163" s="150"/>
      <c r="W163" s="144"/>
      <c r="X163" s="145"/>
      <c r="Y163" s="144"/>
      <c r="Z163" s="144"/>
      <c r="AA163" s="144"/>
    </row>
    <row r="164" spans="2:27" ht="16" thickBot="1">
      <c r="B164" s="27" t="str">
        <f>'[2]3.'!A58</f>
        <v>BS.3.58</v>
      </c>
      <c r="C164" s="163" t="str">
        <f>'[2]3.'!D58</f>
        <v>nicht erneuerb.Abfälle</v>
      </c>
      <c r="D164" s="164"/>
      <c r="E164" s="164"/>
      <c r="F164" s="291">
        <f>'[2]3.'!H58</f>
        <v>17.525408641681757</v>
      </c>
      <c r="G164" s="27"/>
      <c r="H164" s="27"/>
      <c r="O164" s="16"/>
      <c r="Q164" s="144"/>
      <c r="R164" s="144"/>
      <c r="S164" s="272"/>
      <c r="T164" s="150"/>
      <c r="U164" s="150"/>
      <c r="V164" s="150"/>
      <c r="W164" s="144"/>
      <c r="X164" s="145"/>
      <c r="Y164" s="144"/>
      <c r="Z164" s="144"/>
      <c r="AA164" s="144"/>
    </row>
    <row r="165" spans="2:27" ht="16" thickBot="1">
      <c r="B165" s="27" t="str">
        <f>'[2]3.'!A60</f>
        <v>BS.3.60</v>
      </c>
      <c r="C165" s="286" t="str">
        <f>'[2]3.'!D60</f>
        <v>Umwandlung:</v>
      </c>
      <c r="D165" s="154"/>
      <c r="E165" s="154"/>
      <c r="F165" s="292" t="str">
        <f>'[2]3.'!H60</f>
        <v>(%)</v>
      </c>
      <c r="G165" s="27"/>
      <c r="H165" s="27"/>
      <c r="O165" s="16"/>
      <c r="Q165" s="144"/>
      <c r="R165" s="144"/>
      <c r="S165" s="272"/>
      <c r="T165" s="150"/>
      <c r="U165" s="150"/>
      <c r="V165" s="150"/>
      <c r="W165" s="144"/>
      <c r="X165" s="145"/>
      <c r="Y165" s="144"/>
      <c r="Z165" s="144"/>
      <c r="AA165" s="144"/>
    </row>
    <row r="166" spans="2:27" ht="16" thickTop="1">
      <c r="B166" s="27" t="str">
        <f>'[2]3.'!A61</f>
        <v>BS.3.61</v>
      </c>
      <c r="C166" s="224" t="str">
        <f>'[2]3.'!D61</f>
        <v xml:space="preserve">Leitungsverluste </v>
      </c>
      <c r="D166" s="293"/>
      <c r="E166" s="225"/>
      <c r="F166" s="294">
        <f>'[2]3.'!H61</f>
        <v>9.4469735680772988</v>
      </c>
      <c r="G166" s="27"/>
      <c r="H166" s="27"/>
      <c r="O166" s="16"/>
      <c r="Q166" s="144"/>
      <c r="R166" s="144"/>
      <c r="S166" s="272"/>
      <c r="T166" s="150"/>
      <c r="U166" s="150"/>
      <c r="V166" s="150"/>
      <c r="W166" s="144"/>
      <c r="X166" s="145"/>
      <c r="Y166" s="144"/>
      <c r="Z166" s="144"/>
      <c r="AA166" s="144"/>
    </row>
    <row r="167" spans="2:27">
      <c r="B167" s="27" t="str">
        <f>'[2]3.'!A62</f>
        <v>BS.3.62</v>
      </c>
      <c r="C167" s="269" t="str">
        <f>'[2]3.'!D62</f>
        <v>Verbr.im Umwandlungsbereich</v>
      </c>
      <c r="D167" s="295"/>
      <c r="E167" s="270"/>
      <c r="F167" s="273">
        <f>'[2]3.'!H62</f>
        <v>9.8987779069519242</v>
      </c>
      <c r="G167" s="27"/>
      <c r="H167" s="27"/>
      <c r="O167" s="16"/>
      <c r="Q167" s="144"/>
      <c r="R167" s="144"/>
      <c r="S167" s="272"/>
      <c r="T167" s="150"/>
      <c r="U167" s="150"/>
      <c r="V167" s="150"/>
      <c r="W167" s="144"/>
      <c r="X167" s="145"/>
      <c r="Y167" s="144"/>
      <c r="Z167" s="144"/>
      <c r="AA167" s="144"/>
    </row>
    <row r="168" spans="2:27" ht="16" thickBot="1">
      <c r="B168" s="27" t="str">
        <f>'[2]3.'!A63</f>
        <v>BS.3.63</v>
      </c>
      <c r="C168" s="296" t="str">
        <f>'[2]3.'!D63</f>
        <v>Jahresnutzungsgrad Umwandl.</v>
      </c>
      <c r="D168" s="297"/>
      <c r="E168" s="298"/>
      <c r="F168" s="299">
        <f>'[2]3.'!H63</f>
        <v>71.410358904386044</v>
      </c>
      <c r="G168" s="27"/>
      <c r="H168" s="27"/>
      <c r="O168" s="16"/>
      <c r="Q168" s="144"/>
      <c r="R168" s="144"/>
      <c r="S168" s="272"/>
      <c r="T168" s="150"/>
      <c r="U168" s="150"/>
      <c r="V168" s="150"/>
      <c r="W168" s="144"/>
      <c r="X168" s="145"/>
      <c r="Y168" s="144"/>
      <c r="Z168" s="144"/>
      <c r="AA168" s="144"/>
    </row>
    <row r="169" spans="2:27">
      <c r="B169" s="27"/>
      <c r="C169" s="27"/>
      <c r="D169" s="27"/>
      <c r="E169" s="27"/>
      <c r="F169" s="27"/>
      <c r="G169" s="27"/>
      <c r="H169" s="27"/>
      <c r="O169" s="16"/>
      <c r="Q169" s="144"/>
      <c r="R169" s="144"/>
      <c r="S169" s="272"/>
      <c r="T169" s="150"/>
      <c r="U169" s="150"/>
      <c r="V169" s="150"/>
      <c r="W169" s="144"/>
      <c r="X169" s="145"/>
      <c r="Y169" s="144"/>
      <c r="Z169" s="144"/>
      <c r="AA169" s="144"/>
    </row>
    <row r="170" spans="2:27">
      <c r="B170" s="27"/>
      <c r="C170" s="268"/>
      <c r="O170" s="16"/>
      <c r="Q170" s="144"/>
      <c r="R170" s="144"/>
      <c r="S170" s="272"/>
      <c r="T170" s="150"/>
      <c r="U170" s="150"/>
      <c r="V170" s="150"/>
      <c r="W170" s="144"/>
      <c r="X170" s="145"/>
      <c r="Y170" s="144"/>
      <c r="Z170" s="144"/>
      <c r="AA170" s="144"/>
    </row>
  </sheetData>
  <mergeCells count="46">
    <mergeCell ref="S88:V88"/>
    <mergeCell ref="L91:M91"/>
    <mergeCell ref="E25:J25"/>
    <mergeCell ref="E26:J26"/>
    <mergeCell ref="T21:W21"/>
    <mergeCell ref="T22:X23"/>
    <mergeCell ref="T24:Y24"/>
    <mergeCell ref="T25:Y25"/>
    <mergeCell ref="T26:Y26"/>
    <mergeCell ref="E21:H21"/>
    <mergeCell ref="E22:I23"/>
    <mergeCell ref="E24:J24"/>
    <mergeCell ref="S58:AA58"/>
    <mergeCell ref="L40:M40"/>
    <mergeCell ref="L41:M41"/>
    <mergeCell ref="L56:M56"/>
    <mergeCell ref="S149:V149"/>
    <mergeCell ref="S41:AA41"/>
    <mergeCell ref="Q42:R42"/>
    <mergeCell ref="S37:V38"/>
    <mergeCell ref="S42:AA42"/>
    <mergeCell ref="S44:V44"/>
    <mergeCell ref="S53:V53"/>
    <mergeCell ref="S57:AA57"/>
    <mergeCell ref="Q58:R58"/>
    <mergeCell ref="S76:V76"/>
    <mergeCell ref="S80:AA80"/>
    <mergeCell ref="Q81:R81"/>
    <mergeCell ref="Q93:R93"/>
    <mergeCell ref="S93:AA93"/>
    <mergeCell ref="S92:AA92"/>
    <mergeCell ref="S81:AA81"/>
    <mergeCell ref="L57:M57"/>
    <mergeCell ref="E37:H38"/>
    <mergeCell ref="E53:H54"/>
    <mergeCell ref="E42:M42"/>
    <mergeCell ref="G99:G104"/>
    <mergeCell ref="E76:H77"/>
    <mergeCell ref="L79:M79"/>
    <mergeCell ref="L80:M80"/>
    <mergeCell ref="E81:M81"/>
    <mergeCell ref="E93:M93"/>
    <mergeCell ref="L92:M92"/>
    <mergeCell ref="E58:M58"/>
    <mergeCell ref="E70:H70"/>
    <mergeCell ref="E88:H89"/>
  </mergeCells>
  <pageMargins left="0.7" right="0.7" top="0.78740157499999996" bottom="0.78740157499999996"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6"/>
  <dimension ref="A1:S199"/>
  <sheetViews>
    <sheetView workbookViewId="0">
      <pane ySplit="2" topLeftCell="A72" activePane="bottomLeft" state="frozen"/>
      <selection activeCell="A9" sqref="A9"/>
      <selection pane="bottomLeft" activeCell="A9" sqref="A9"/>
    </sheetView>
  </sheetViews>
  <sheetFormatPr baseColWidth="10" defaultColWidth="11.5" defaultRowHeight="15" outlineLevelCol="1"/>
  <cols>
    <col min="1" max="1" width="25.33203125" style="16" customWidth="1"/>
    <col min="2" max="2" width="50.83203125" style="54" customWidth="1"/>
    <col min="3" max="4" width="11.5" style="449"/>
    <col min="5" max="5" width="5.1640625" style="16" customWidth="1"/>
    <col min="6" max="6" width="5.33203125" style="16" customWidth="1"/>
    <col min="7" max="8" width="6.5" style="449" hidden="1" customWidth="1" outlineLevel="1"/>
    <col min="9" max="9" width="3.83203125" style="16" hidden="1" customWidth="1" outlineLevel="1"/>
    <col min="10" max="10" width="3.6640625" style="16" hidden="1" customWidth="1" outlineLevel="1"/>
    <col min="11" max="11" width="29.6640625" style="16" hidden="1" customWidth="1" outlineLevel="1"/>
    <col min="12" max="12" width="3.5" style="16" hidden="1" customWidth="1" outlineLevel="1"/>
    <col min="13" max="13" width="4" style="16" hidden="1" customWidth="1" outlineLevel="1"/>
    <col min="14" max="14" width="29.5" style="16" hidden="1" customWidth="1" outlineLevel="1"/>
    <col min="15" max="15" width="4.5" style="458" hidden="1" customWidth="1" outlineLevel="1"/>
    <col min="16" max="16" width="29.5" style="16" hidden="1" customWidth="1" outlineLevel="1"/>
    <col min="17" max="17" width="30" style="16" hidden="1" customWidth="1" outlineLevel="1"/>
    <col min="18" max="18" width="0" style="16" hidden="1" customWidth="1" outlineLevel="1"/>
    <col min="19" max="19" width="11.5" style="16" collapsed="1"/>
    <col min="20" max="16384" width="11.5" style="16"/>
  </cols>
  <sheetData>
    <row r="1" spans="1:19">
      <c r="A1" s="454"/>
      <c r="B1" s="455"/>
      <c r="C1" s="456"/>
      <c r="D1" s="456"/>
      <c r="E1" s="1416" t="s">
        <v>134</v>
      </c>
      <c r="F1" s="1416"/>
      <c r="G1" s="1416" t="s">
        <v>133</v>
      </c>
      <c r="H1" s="1416"/>
      <c r="I1" s="16" t="s">
        <v>129</v>
      </c>
      <c r="K1" s="457" t="s">
        <v>130</v>
      </c>
      <c r="O1" s="458" t="s">
        <v>135</v>
      </c>
    </row>
    <row r="2" spans="1:19">
      <c r="A2" s="454" t="s">
        <v>136</v>
      </c>
      <c r="B2" s="455" t="s">
        <v>137</v>
      </c>
      <c r="C2" s="456" t="s">
        <v>138</v>
      </c>
      <c r="D2" s="456" t="s">
        <v>139</v>
      </c>
      <c r="E2" s="456" t="s">
        <v>127</v>
      </c>
      <c r="F2" s="456" t="s">
        <v>128</v>
      </c>
      <c r="G2" s="456" t="s">
        <v>127</v>
      </c>
      <c r="H2" s="456" t="s">
        <v>128</v>
      </c>
    </row>
    <row r="3" spans="1:19">
      <c r="A3" s="453">
        <v>0</v>
      </c>
      <c r="B3" s="54" t="s">
        <v>1287</v>
      </c>
      <c r="C3" s="449">
        <v>5</v>
      </c>
      <c r="D3" s="449" t="s">
        <v>1288</v>
      </c>
      <c r="E3" s="449" t="s">
        <v>1289</v>
      </c>
      <c r="F3" s="449">
        <v>0</v>
      </c>
      <c r="G3" s="449" t="s">
        <v>1290</v>
      </c>
      <c r="H3" s="449" t="s">
        <v>1288</v>
      </c>
      <c r="I3" s="16" t="str">
        <f t="shared" ref="I3:I40" si="0">LEFT(G3,2)</f>
        <v>Ba</v>
      </c>
      <c r="J3" s="16" t="str">
        <f t="shared" ref="J3:J40" si="1">SUBSTITUTE(G3,I3,"")</f>
        <v>41</v>
      </c>
      <c r="K3" s="16" t="str">
        <f>"["&amp;IF(I3=$I$1,$K$1&amp;".xls]PARAMETER!Z"&amp;J3&amp;"S6",I3&amp;".xls]TEXT!Z"&amp;J3&amp;"S5")</f>
        <v>[Ba.xls]TEXT!Z41S5</v>
      </c>
      <c r="O3" s="458">
        <f>ROW()</f>
        <v>3</v>
      </c>
      <c r="P3" s="459" t="str">
        <f t="shared" ref="P3:P34" si="2">"["&amp;$K$1&amp;".xls]PARAMETER!Z"&amp;VALUE(E3)&amp;"S6"</f>
        <v>[Region.xls]PARAMETER!Z85S6</v>
      </c>
      <c r="Q3" s="459" t="str">
        <f t="shared" ref="Q3:Q34" si="3">"["&amp;$K$1&amp;".xls]PARAMETER!Z"&amp;VALUE(F3)&amp;"S6"</f>
        <v>[Region.xls]PARAMETER!Z0S6</v>
      </c>
      <c r="S3" s="16">
        <f>COUNTIF('1.'!CW:CW,I_Region!O3)+IF(SUM(C3:F3)=0,1,0)</f>
        <v>1</v>
      </c>
    </row>
    <row r="4" spans="1:19" s="459" customFormat="1">
      <c r="A4" s="459" t="s">
        <v>148</v>
      </c>
      <c r="B4" s="54" t="s">
        <v>1291</v>
      </c>
      <c r="C4" s="449">
        <v>8.7477573165495173</v>
      </c>
      <c r="D4" s="449">
        <v>0</v>
      </c>
      <c r="E4" s="449">
        <v>4</v>
      </c>
      <c r="F4" s="449">
        <v>0</v>
      </c>
      <c r="G4" s="449" t="s">
        <v>1292</v>
      </c>
      <c r="H4" s="449">
        <v>0</v>
      </c>
      <c r="I4" s="16" t="str">
        <f t="shared" si="0"/>
        <v>Ba</v>
      </c>
      <c r="J4" s="16" t="str">
        <f t="shared" si="1"/>
        <v>46</v>
      </c>
      <c r="K4" s="16" t="str">
        <f>"["&amp;IF(I4=$I$1,$K$1&amp;".xls]PARAMETER!Z"&amp;J4&amp;"S6",I4&amp;".xls]TEXT!Z"&amp;J4&amp;"S5")</f>
        <v>[Ba.xls]TEXT!Z46S5</v>
      </c>
      <c r="L4" s="16" t="str">
        <f t="shared" ref="L4:L40" si="4">LEFT(H4,2)</f>
        <v>0</v>
      </c>
      <c r="M4" s="16" t="str">
        <f t="shared" ref="M4:M40" si="5">SUBSTITUTE(H4,L4,"")</f>
        <v/>
      </c>
      <c r="N4" s="16" t="str">
        <f>"["&amp;IF(L4=$I$1,$K$1&amp;".xls]PARAMETER!Z"&amp;M4&amp;"S6",L4&amp;".xls]TEXT!Z"&amp;M4&amp;"S5")</f>
        <v>[0.xls]TEXT!ZS5</v>
      </c>
      <c r="O4" s="458">
        <f>ROW()</f>
        <v>4</v>
      </c>
      <c r="P4" s="459" t="str">
        <f t="shared" si="2"/>
        <v>[Region.xls]PARAMETER!Z4S6</v>
      </c>
      <c r="Q4" s="459" t="str">
        <f t="shared" si="3"/>
        <v>[Region.xls]PARAMETER!Z0S6</v>
      </c>
      <c r="S4" s="16">
        <f>COUNTIF('1.'!CW:CW,I_Region!O4)+IF(SUM(C4:F4)=0,1,0)</f>
        <v>0</v>
      </c>
    </row>
    <row r="5" spans="1:19" s="459" customFormat="1">
      <c r="A5" s="459" t="s">
        <v>149</v>
      </c>
      <c r="B5" s="54" t="s">
        <v>1293</v>
      </c>
      <c r="C5" s="449">
        <v>13.435510585152322</v>
      </c>
      <c r="D5" s="449">
        <v>0</v>
      </c>
      <c r="E5" s="449">
        <v>5</v>
      </c>
      <c r="F5" s="449">
        <v>0</v>
      </c>
      <c r="G5" s="449" t="s">
        <v>1294</v>
      </c>
      <c r="H5" s="449">
        <v>0</v>
      </c>
      <c r="I5" s="16" t="str">
        <f t="shared" si="0"/>
        <v>Ba</v>
      </c>
      <c r="J5" s="16" t="str">
        <f t="shared" si="1"/>
        <v>47</v>
      </c>
      <c r="K5" s="16" t="str">
        <f>"["&amp;IF(I5=$I$1,$K$1&amp;".xls]PARAMETER!Z"&amp;J5&amp;"S6",I5&amp;".xls]TEXT!Z"&amp;J5&amp;"S5")</f>
        <v>[Ba.xls]TEXT!Z47S5</v>
      </c>
      <c r="L5" s="16" t="str">
        <f t="shared" si="4"/>
        <v>0</v>
      </c>
      <c r="M5" s="16" t="str">
        <f t="shared" si="5"/>
        <v/>
      </c>
      <c r="N5" s="16" t="str">
        <f>"["&amp;IF(L5=$I$1,$K$1&amp;".xls]PARAMETER!Z"&amp;M5&amp;"S6",L5&amp;".xls]TEXT!Z"&amp;M5&amp;"S5")</f>
        <v>[0.xls]TEXT!ZS5</v>
      </c>
      <c r="O5" s="458">
        <f>ROW()</f>
        <v>5</v>
      </c>
      <c r="P5" s="459" t="str">
        <f t="shared" si="2"/>
        <v>[Region.xls]PARAMETER!Z5S6</v>
      </c>
      <c r="Q5" s="459" t="str">
        <f t="shared" si="3"/>
        <v>[Region.xls]PARAMETER!Z0S6</v>
      </c>
      <c r="S5" s="16">
        <f>COUNTIF('1.'!CW:CW,I_Region!O5)+IF(SUM(C5:F5)=0,1,0)</f>
        <v>0</v>
      </c>
    </row>
    <row r="6" spans="1:19" s="459" customFormat="1">
      <c r="A6" s="459" t="s">
        <v>150</v>
      </c>
      <c r="B6" s="54" t="s">
        <v>1295</v>
      </c>
      <c r="C6" s="449">
        <v>22.078016388732927</v>
      </c>
      <c r="D6" s="449">
        <v>0</v>
      </c>
      <c r="E6" s="449">
        <v>6</v>
      </c>
      <c r="F6" s="449">
        <v>0</v>
      </c>
      <c r="G6" s="449" t="s">
        <v>1296</v>
      </c>
      <c r="H6" s="449">
        <v>0</v>
      </c>
      <c r="I6" s="16" t="str">
        <f t="shared" si="0"/>
        <v>Ba</v>
      </c>
      <c r="J6" s="16" t="str">
        <f t="shared" si="1"/>
        <v>48</v>
      </c>
      <c r="K6" s="16" t="str">
        <f>"["&amp;IF(I6=$I$1,$K$1&amp;".xls]PARAMETER!Z"&amp;J6&amp;"S6",I6&amp;".xls]TEXT!Z"&amp;J6&amp;"S5")</f>
        <v>[Ba.xls]TEXT!Z48S5</v>
      </c>
      <c r="L6" s="16" t="str">
        <f t="shared" si="4"/>
        <v>0</v>
      </c>
      <c r="M6" s="16" t="str">
        <f t="shared" si="5"/>
        <v/>
      </c>
      <c r="N6" s="16" t="str">
        <f>"["&amp;IF(L6=$I$1,$K$1&amp;".xls]PARAMETER!Z"&amp;M6&amp;"S6",L6&amp;".xls]TEXT!Z"&amp;M6&amp;"S5")</f>
        <v>[0.xls]TEXT!ZS5</v>
      </c>
      <c r="O6" s="458">
        <f>ROW()</f>
        <v>6</v>
      </c>
      <c r="P6" s="459" t="str">
        <f t="shared" si="2"/>
        <v>[Region.xls]PARAMETER!Z6S6</v>
      </c>
      <c r="Q6" s="459" t="str">
        <f t="shared" si="3"/>
        <v>[Region.xls]PARAMETER!Z0S6</v>
      </c>
      <c r="S6" s="16">
        <f>COUNTIF('1.'!CW:CW,I_Region!O6)+IF(SUM(C6:F6)=0,1,0)</f>
        <v>0</v>
      </c>
    </row>
    <row r="7" spans="1:19" s="459" customFormat="1">
      <c r="A7" s="459" t="s">
        <v>151</v>
      </c>
      <c r="B7" s="54" t="s">
        <v>1297</v>
      </c>
      <c r="C7" s="449">
        <v>30.772999737723644</v>
      </c>
      <c r="D7" s="449">
        <v>0</v>
      </c>
      <c r="E7" s="449">
        <v>7</v>
      </c>
      <c r="F7" s="449">
        <v>0</v>
      </c>
      <c r="G7" s="449" t="s">
        <v>1298</v>
      </c>
      <c r="H7" s="449">
        <v>0</v>
      </c>
      <c r="I7" s="16" t="str">
        <f t="shared" si="0"/>
        <v>Ba</v>
      </c>
      <c r="J7" s="16" t="str">
        <f t="shared" si="1"/>
        <v>49</v>
      </c>
      <c r="K7" s="16" t="str">
        <f t="shared" ref="K7:K36" si="6">"["&amp;IF(I7=$I$1,$K$1&amp;".xls]PARAMETER!Z"&amp;J7&amp;"S6",I7&amp;".xls]TEXT!Z"&amp;J7&amp;"S5")</f>
        <v>[Ba.xls]TEXT!Z49S5</v>
      </c>
      <c r="L7" s="16" t="str">
        <f t="shared" si="4"/>
        <v>0</v>
      </c>
      <c r="M7" s="16" t="str">
        <f t="shared" si="5"/>
        <v/>
      </c>
      <c r="N7" s="16" t="str">
        <f t="shared" ref="N7:N36" si="7">"["&amp;IF(L7=$I$1,$K$1&amp;".xls]PARAMETER!Z"&amp;M7&amp;"S6",L7&amp;".xls]TEXT!Z"&amp;M7&amp;"S5")</f>
        <v>[0.xls]TEXT!ZS5</v>
      </c>
      <c r="O7" s="458">
        <f>ROW()</f>
        <v>7</v>
      </c>
      <c r="P7" s="459" t="str">
        <f t="shared" si="2"/>
        <v>[Region.xls]PARAMETER!Z7S6</v>
      </c>
      <c r="Q7" s="459" t="str">
        <f t="shared" si="3"/>
        <v>[Region.xls]PARAMETER!Z0S6</v>
      </c>
      <c r="S7" s="16">
        <f>COUNTIF('1.'!CW:CW,I_Region!O7)+IF(SUM(C7:F7)=0,1,0)</f>
        <v>0</v>
      </c>
    </row>
    <row r="8" spans="1:19" s="459" customFormat="1">
      <c r="A8" s="459" t="s">
        <v>152</v>
      </c>
      <c r="B8" s="54" t="s">
        <v>1299</v>
      </c>
      <c r="C8" s="449">
        <v>19.732105189140512</v>
      </c>
      <c r="D8" s="449">
        <v>0</v>
      </c>
      <c r="E8" s="449">
        <v>8</v>
      </c>
      <c r="F8" s="449">
        <v>0</v>
      </c>
      <c r="G8" s="449" t="s">
        <v>1292</v>
      </c>
      <c r="H8" s="449">
        <v>0</v>
      </c>
      <c r="I8" s="16" t="str">
        <f t="shared" si="0"/>
        <v>Ba</v>
      </c>
      <c r="J8" s="16" t="str">
        <f t="shared" si="1"/>
        <v>46</v>
      </c>
      <c r="K8" s="16" t="str">
        <f t="shared" si="6"/>
        <v>[Ba.xls]TEXT!Z46S5</v>
      </c>
      <c r="L8" s="16" t="str">
        <f t="shared" si="4"/>
        <v>0</v>
      </c>
      <c r="M8" s="16" t="str">
        <f t="shared" si="5"/>
        <v/>
      </c>
      <c r="N8" s="16" t="str">
        <f t="shared" si="7"/>
        <v>[0.xls]TEXT!ZS5</v>
      </c>
      <c r="O8" s="458">
        <f>ROW()</f>
        <v>8</v>
      </c>
      <c r="P8" s="459" t="str">
        <f t="shared" si="2"/>
        <v>[Region.xls]PARAMETER!Z8S6</v>
      </c>
      <c r="Q8" s="459" t="str">
        <f t="shared" si="3"/>
        <v>[Region.xls]PARAMETER!Z0S6</v>
      </c>
      <c r="S8" s="16">
        <f>COUNTIF('1.'!CW:CW,I_Region!O8)+IF(SUM(C8:F8)=0,1,0)</f>
        <v>0</v>
      </c>
    </row>
    <row r="9" spans="1:19" s="459" customFormat="1">
      <c r="A9" s="459" t="s">
        <v>153</v>
      </c>
      <c r="B9" s="54" t="s">
        <v>1300</v>
      </c>
      <c r="C9" s="449">
        <v>25.614027755615105</v>
      </c>
      <c r="D9" s="449">
        <v>0</v>
      </c>
      <c r="E9" s="449">
        <v>9</v>
      </c>
      <c r="F9" s="449">
        <v>0</v>
      </c>
      <c r="G9" s="449" t="s">
        <v>1294</v>
      </c>
      <c r="H9" s="449">
        <v>0</v>
      </c>
      <c r="I9" s="16" t="str">
        <f t="shared" si="0"/>
        <v>Ba</v>
      </c>
      <c r="J9" s="16" t="str">
        <f t="shared" si="1"/>
        <v>47</v>
      </c>
      <c r="K9" s="16" t="str">
        <f t="shared" si="6"/>
        <v>[Ba.xls]TEXT!Z47S5</v>
      </c>
      <c r="L9" s="16" t="str">
        <f t="shared" si="4"/>
        <v>0</v>
      </c>
      <c r="M9" s="16" t="str">
        <f t="shared" si="5"/>
        <v/>
      </c>
      <c r="N9" s="16" t="str">
        <f t="shared" si="7"/>
        <v>[0.xls]TEXT!ZS5</v>
      </c>
      <c r="O9" s="458">
        <f>ROW()</f>
        <v>9</v>
      </c>
      <c r="P9" s="459" t="str">
        <f t="shared" si="2"/>
        <v>[Region.xls]PARAMETER!Z9S6</v>
      </c>
      <c r="Q9" s="459" t="str">
        <f t="shared" si="3"/>
        <v>[Region.xls]PARAMETER!Z0S6</v>
      </c>
      <c r="S9" s="16">
        <f>COUNTIF('1.'!CW:CW,I_Region!O9)+IF(SUM(C9:F9)=0,1,0)</f>
        <v>0</v>
      </c>
    </row>
    <row r="10" spans="1:19" s="459" customFormat="1">
      <c r="A10" s="459" t="s">
        <v>154</v>
      </c>
      <c r="B10" s="54" t="s">
        <v>1301</v>
      </c>
      <c r="C10" s="449">
        <v>27.713143313984773</v>
      </c>
      <c r="D10" s="449">
        <v>0</v>
      </c>
      <c r="E10" s="449">
        <v>10</v>
      </c>
      <c r="F10" s="449">
        <v>0</v>
      </c>
      <c r="G10" s="449" t="s">
        <v>1296</v>
      </c>
      <c r="H10" s="449">
        <v>0</v>
      </c>
      <c r="I10" s="16" t="str">
        <f t="shared" si="0"/>
        <v>Ba</v>
      </c>
      <c r="J10" s="16" t="str">
        <f t="shared" si="1"/>
        <v>48</v>
      </c>
      <c r="K10" s="16" t="str">
        <f t="shared" si="6"/>
        <v>[Ba.xls]TEXT!Z48S5</v>
      </c>
      <c r="L10" s="16" t="str">
        <f t="shared" si="4"/>
        <v>0</v>
      </c>
      <c r="M10" s="16" t="str">
        <f t="shared" si="5"/>
        <v/>
      </c>
      <c r="N10" s="16" t="str">
        <f t="shared" si="7"/>
        <v>[0.xls]TEXT!ZS5</v>
      </c>
      <c r="O10" s="458">
        <f>ROW()</f>
        <v>10</v>
      </c>
      <c r="P10" s="459" t="str">
        <f t="shared" si="2"/>
        <v>[Region.xls]PARAMETER!Z10S6</v>
      </c>
      <c r="Q10" s="459" t="str">
        <f t="shared" si="3"/>
        <v>[Region.xls]PARAMETER!Z0S6</v>
      </c>
      <c r="S10" s="16">
        <f>COUNTIF('1.'!CW:CW,I_Region!O10)+IF(SUM(C10:F10)=0,1,0)</f>
        <v>0</v>
      </c>
    </row>
    <row r="11" spans="1:19" s="459" customFormat="1">
      <c r="A11" s="459" t="s">
        <v>155</v>
      </c>
      <c r="B11" s="54" t="s">
        <v>1302</v>
      </c>
      <c r="C11" s="449">
        <v>20.539124406042561</v>
      </c>
      <c r="D11" s="449">
        <v>0</v>
      </c>
      <c r="E11" s="449">
        <v>11</v>
      </c>
      <c r="F11" s="449">
        <v>0</v>
      </c>
      <c r="G11" s="449" t="s">
        <v>1298</v>
      </c>
      <c r="H11" s="449">
        <v>0</v>
      </c>
      <c r="I11" s="16" t="str">
        <f t="shared" si="0"/>
        <v>Ba</v>
      </c>
      <c r="J11" s="16" t="str">
        <f t="shared" si="1"/>
        <v>49</v>
      </c>
      <c r="K11" s="16" t="str">
        <f t="shared" si="6"/>
        <v>[Ba.xls]TEXT!Z49S5</v>
      </c>
      <c r="L11" s="16" t="str">
        <f t="shared" si="4"/>
        <v>0</v>
      </c>
      <c r="M11" s="16" t="str">
        <f t="shared" si="5"/>
        <v/>
      </c>
      <c r="N11" s="16" t="str">
        <f t="shared" si="7"/>
        <v>[0.xls]TEXT!ZS5</v>
      </c>
      <c r="O11" s="458">
        <f>ROW()</f>
        <v>11</v>
      </c>
      <c r="P11" s="459" t="str">
        <f t="shared" si="2"/>
        <v>[Region.xls]PARAMETER!Z11S6</v>
      </c>
      <c r="Q11" s="459" t="str">
        <f t="shared" si="3"/>
        <v>[Region.xls]PARAMETER!Z0S6</v>
      </c>
      <c r="S11" s="16">
        <f>COUNTIF('1.'!CW:CW,I_Region!O11)+IF(SUM(C11:F11)=0,1,0)</f>
        <v>0</v>
      </c>
    </row>
    <row r="12" spans="1:19" s="459" customFormat="1">
      <c r="A12" s="459" t="s">
        <v>156</v>
      </c>
      <c r="B12" s="54" t="s">
        <v>1303</v>
      </c>
      <c r="C12" s="449">
        <v>80.267894810859502</v>
      </c>
      <c r="D12" s="449">
        <v>0</v>
      </c>
      <c r="E12" s="449">
        <v>12</v>
      </c>
      <c r="F12" s="449">
        <v>0</v>
      </c>
      <c r="G12" s="449" t="s">
        <v>1292</v>
      </c>
      <c r="H12" s="449">
        <v>0</v>
      </c>
      <c r="I12" s="16" t="str">
        <f t="shared" si="0"/>
        <v>Ba</v>
      </c>
      <c r="J12" s="16" t="str">
        <f t="shared" si="1"/>
        <v>46</v>
      </c>
      <c r="K12" s="16" t="str">
        <f t="shared" si="6"/>
        <v>[Ba.xls]TEXT!Z46S5</v>
      </c>
      <c r="L12" s="16" t="str">
        <f t="shared" si="4"/>
        <v>0</v>
      </c>
      <c r="M12" s="16" t="str">
        <f t="shared" si="5"/>
        <v/>
      </c>
      <c r="N12" s="16" t="str">
        <f t="shared" si="7"/>
        <v>[0.xls]TEXT!ZS5</v>
      </c>
      <c r="O12" s="458">
        <f>ROW()</f>
        <v>12</v>
      </c>
      <c r="P12" s="459" t="str">
        <f t="shared" si="2"/>
        <v>[Region.xls]PARAMETER!Z12S6</v>
      </c>
      <c r="Q12" s="459" t="str">
        <f t="shared" si="3"/>
        <v>[Region.xls]PARAMETER!Z0S6</v>
      </c>
      <c r="S12" s="16">
        <f>COUNTIF('1.'!CW:CW,I_Region!O12)+IF(SUM(C12:F12)=0,1,0)</f>
        <v>0</v>
      </c>
    </row>
    <row r="13" spans="1:19" s="459" customFormat="1">
      <c r="A13" s="459" t="s">
        <v>157</v>
      </c>
      <c r="B13" s="54" t="s">
        <v>1304</v>
      </c>
      <c r="C13" s="449">
        <v>74.385972244384902</v>
      </c>
      <c r="D13" s="449">
        <v>0</v>
      </c>
      <c r="E13" s="449">
        <v>13</v>
      </c>
      <c r="F13" s="449">
        <v>0</v>
      </c>
      <c r="G13" s="449" t="s">
        <v>1294</v>
      </c>
      <c r="H13" s="449">
        <v>0</v>
      </c>
      <c r="I13" s="16" t="str">
        <f t="shared" si="0"/>
        <v>Ba</v>
      </c>
      <c r="J13" s="16" t="str">
        <f t="shared" si="1"/>
        <v>47</v>
      </c>
      <c r="K13" s="16" t="str">
        <f t="shared" si="6"/>
        <v>[Ba.xls]TEXT!Z47S5</v>
      </c>
      <c r="L13" s="16" t="str">
        <f t="shared" si="4"/>
        <v>0</v>
      </c>
      <c r="M13" s="16" t="str">
        <f t="shared" si="5"/>
        <v/>
      </c>
      <c r="N13" s="16" t="str">
        <f t="shared" si="7"/>
        <v>[0.xls]TEXT!ZS5</v>
      </c>
      <c r="O13" s="458">
        <f>ROW()</f>
        <v>13</v>
      </c>
      <c r="P13" s="459" t="str">
        <f t="shared" si="2"/>
        <v>[Region.xls]PARAMETER!Z13S6</v>
      </c>
      <c r="Q13" s="459" t="str">
        <f t="shared" si="3"/>
        <v>[Region.xls]PARAMETER!Z0S6</v>
      </c>
      <c r="S13" s="16">
        <f>COUNTIF('1.'!CW:CW,I_Region!O13)+IF(SUM(C13:F13)=0,1,0)</f>
        <v>0</v>
      </c>
    </row>
    <row r="14" spans="1:19" s="459" customFormat="1">
      <c r="A14" s="459" t="s">
        <v>158</v>
      </c>
      <c r="B14" s="54" t="s">
        <v>1305</v>
      </c>
      <c r="C14" s="449">
        <v>72.286856686015227</v>
      </c>
      <c r="D14" s="449">
        <v>0</v>
      </c>
      <c r="E14" s="449">
        <v>14</v>
      </c>
      <c r="F14" s="449">
        <v>0</v>
      </c>
      <c r="G14" s="449" t="s">
        <v>1296</v>
      </c>
      <c r="H14" s="449">
        <v>0</v>
      </c>
      <c r="I14" s="16" t="str">
        <f t="shared" si="0"/>
        <v>Ba</v>
      </c>
      <c r="J14" s="16" t="str">
        <f t="shared" si="1"/>
        <v>48</v>
      </c>
      <c r="K14" s="16" t="str">
        <f t="shared" si="6"/>
        <v>[Ba.xls]TEXT!Z48S5</v>
      </c>
      <c r="L14" s="16" t="str">
        <f t="shared" si="4"/>
        <v>0</v>
      </c>
      <c r="M14" s="16" t="str">
        <f t="shared" si="5"/>
        <v/>
      </c>
      <c r="N14" s="16" t="str">
        <f t="shared" si="7"/>
        <v>[0.xls]TEXT!ZS5</v>
      </c>
      <c r="O14" s="458">
        <f>ROW()</f>
        <v>14</v>
      </c>
      <c r="P14" s="459" t="str">
        <f t="shared" si="2"/>
        <v>[Region.xls]PARAMETER!Z14S6</v>
      </c>
      <c r="Q14" s="459" t="str">
        <f t="shared" si="3"/>
        <v>[Region.xls]PARAMETER!Z0S6</v>
      </c>
      <c r="S14" s="16">
        <f>COUNTIF('1.'!CW:CW,I_Region!O14)+IF(SUM(C14:F14)=0,1,0)</f>
        <v>0</v>
      </c>
    </row>
    <row r="15" spans="1:19" s="459" customFormat="1">
      <c r="A15" s="459" t="s">
        <v>159</v>
      </c>
      <c r="B15" s="54" t="s">
        <v>1306</v>
      </c>
      <c r="C15" s="449">
        <v>51.969690189279127</v>
      </c>
      <c r="D15" s="449">
        <v>0</v>
      </c>
      <c r="E15" s="449">
        <v>15</v>
      </c>
      <c r="F15" s="449">
        <v>0</v>
      </c>
      <c r="G15" s="449" t="s">
        <v>1298</v>
      </c>
      <c r="H15" s="449">
        <v>0</v>
      </c>
      <c r="I15" s="16" t="str">
        <f t="shared" si="0"/>
        <v>Ba</v>
      </c>
      <c r="J15" s="16" t="str">
        <f t="shared" si="1"/>
        <v>49</v>
      </c>
      <c r="K15" s="16" t="str">
        <f t="shared" si="6"/>
        <v>[Ba.xls]TEXT!Z49S5</v>
      </c>
      <c r="L15" s="16" t="str">
        <f t="shared" si="4"/>
        <v>0</v>
      </c>
      <c r="M15" s="16" t="str">
        <f t="shared" si="5"/>
        <v/>
      </c>
      <c r="N15" s="16" t="str">
        <f t="shared" si="7"/>
        <v>[0.xls]TEXT!ZS5</v>
      </c>
      <c r="O15" s="458">
        <f>ROW()</f>
        <v>15</v>
      </c>
      <c r="P15" s="459" t="str">
        <f t="shared" si="2"/>
        <v>[Region.xls]PARAMETER!Z15S6</v>
      </c>
      <c r="Q15" s="459" t="str">
        <f t="shared" si="3"/>
        <v>[Region.xls]PARAMETER!Z0S6</v>
      </c>
      <c r="S15" s="16">
        <f>COUNTIF('1.'!CW:CW,I_Region!O15)+IF(SUM(C15:F15)=0,1,0)</f>
        <v>0</v>
      </c>
    </row>
    <row r="16" spans="1:19">
      <c r="A16" s="16" t="s">
        <v>130</v>
      </c>
      <c r="B16" s="463" t="s">
        <v>1307</v>
      </c>
      <c r="C16" s="464" t="s">
        <v>1308</v>
      </c>
      <c r="D16" s="464" t="s">
        <v>1288</v>
      </c>
      <c r="E16" s="464" t="s">
        <v>1309</v>
      </c>
      <c r="F16" s="464">
        <v>0</v>
      </c>
      <c r="G16" s="449" t="s">
        <v>1310</v>
      </c>
      <c r="H16" s="449" t="s">
        <v>1288</v>
      </c>
      <c r="I16" s="16" t="str">
        <f t="shared" si="0"/>
        <v>Ba</v>
      </c>
      <c r="J16" s="16" t="str">
        <f t="shared" si="1"/>
        <v>221</v>
      </c>
      <c r="K16" s="16" t="str">
        <f t="shared" si="6"/>
        <v>[Ba.xls]TEXT!Z221S5</v>
      </c>
      <c r="L16" s="16" t="str">
        <f t="shared" si="4"/>
        <v>#</v>
      </c>
      <c r="M16" s="16" t="str">
        <f t="shared" si="5"/>
        <v/>
      </c>
      <c r="N16" s="16" t="str">
        <f t="shared" si="7"/>
        <v>[#.xls]TEXT!ZS5</v>
      </c>
      <c r="O16" s="458">
        <f>ROW()</f>
        <v>16</v>
      </c>
      <c r="P16" s="459" t="str">
        <f t="shared" si="2"/>
        <v>[Region.xls]PARAMETER!Z4S6</v>
      </c>
      <c r="Q16" s="459" t="str">
        <f t="shared" si="3"/>
        <v>[Region.xls]PARAMETER!Z0S6</v>
      </c>
      <c r="S16" s="16">
        <f>COUNTIF('1.'!CW:CW,I_Region!O16)+IF(SUM(C16:F16)=0,1,0)</f>
        <v>2</v>
      </c>
    </row>
    <row r="17" spans="1:19">
      <c r="B17" s="463" t="s">
        <v>1311</v>
      </c>
      <c r="C17" s="464" t="s">
        <v>1312</v>
      </c>
      <c r="D17" s="464" t="s">
        <v>1288</v>
      </c>
      <c r="E17" s="464" t="s">
        <v>1313</v>
      </c>
      <c r="F17" s="464">
        <v>0</v>
      </c>
      <c r="G17" s="449" t="s">
        <v>1314</v>
      </c>
      <c r="H17" s="449" t="s">
        <v>1288</v>
      </c>
      <c r="I17" s="16" t="str">
        <f t="shared" si="0"/>
        <v>Ba</v>
      </c>
      <c r="J17" s="16" t="str">
        <f t="shared" si="1"/>
        <v>278</v>
      </c>
      <c r="K17" s="16" t="str">
        <f t="shared" si="6"/>
        <v>[Ba.xls]TEXT!Z278S5</v>
      </c>
      <c r="L17" s="16" t="str">
        <f t="shared" si="4"/>
        <v>#</v>
      </c>
      <c r="M17" s="16" t="str">
        <f t="shared" si="5"/>
        <v/>
      </c>
      <c r="N17" s="16" t="str">
        <f t="shared" si="7"/>
        <v>[#.xls]TEXT!ZS5</v>
      </c>
      <c r="O17" s="458">
        <f>ROW()</f>
        <v>17</v>
      </c>
      <c r="P17" s="459" t="str">
        <f t="shared" si="2"/>
        <v>[Region.xls]PARAMETER!Z5S6</v>
      </c>
      <c r="Q17" s="459" t="str">
        <f t="shared" si="3"/>
        <v>[Region.xls]PARAMETER!Z0S6</v>
      </c>
      <c r="S17" s="16">
        <f>COUNTIF('1.'!CW:CW,I_Region!O17)+IF(SUM(C17:F17)=0,1,0)</f>
        <v>2</v>
      </c>
    </row>
    <row r="18" spans="1:19">
      <c r="B18" s="463" t="s">
        <v>1315</v>
      </c>
      <c r="C18" s="464" t="s">
        <v>1316</v>
      </c>
      <c r="D18" s="464" t="s">
        <v>1317</v>
      </c>
      <c r="E18" s="464" t="s">
        <v>1318</v>
      </c>
      <c r="F18" s="464">
        <v>0</v>
      </c>
      <c r="G18" s="449" t="s">
        <v>1319</v>
      </c>
      <c r="H18" s="449">
        <v>0</v>
      </c>
      <c r="I18" s="16" t="str">
        <f t="shared" si="0"/>
        <v>Ba</v>
      </c>
      <c r="J18" s="16" t="str">
        <f t="shared" si="1"/>
        <v>271</v>
      </c>
      <c r="K18" s="16" t="str">
        <f t="shared" si="6"/>
        <v>[Ba.xls]TEXT!Z271S5</v>
      </c>
      <c r="L18" s="16" t="str">
        <f t="shared" si="4"/>
        <v>0</v>
      </c>
      <c r="M18" s="16" t="str">
        <f t="shared" si="5"/>
        <v/>
      </c>
      <c r="N18" s="16" t="str">
        <f t="shared" si="7"/>
        <v>[0.xls]TEXT!ZS5</v>
      </c>
      <c r="O18" s="458">
        <f>ROW()</f>
        <v>18</v>
      </c>
      <c r="P18" s="459" t="str">
        <f t="shared" si="2"/>
        <v>[Region.xls]PARAMETER!Z6S6</v>
      </c>
      <c r="Q18" s="459" t="str">
        <f t="shared" si="3"/>
        <v>[Region.xls]PARAMETER!Z0S6</v>
      </c>
      <c r="S18" s="16">
        <f>COUNTIF('1.'!CW:CW,I_Region!O18)+IF(SUM(C18:F18)=0,1,0)</f>
        <v>3</v>
      </c>
    </row>
    <row r="19" spans="1:19">
      <c r="A19" s="453" t="s">
        <v>140</v>
      </c>
      <c r="B19" s="54" t="s">
        <v>140</v>
      </c>
      <c r="C19" s="449">
        <v>0</v>
      </c>
      <c r="D19" s="449">
        <v>0</v>
      </c>
      <c r="E19" s="449">
        <v>19</v>
      </c>
      <c r="F19" s="449">
        <v>0</v>
      </c>
      <c r="G19" s="449" t="s">
        <v>1298</v>
      </c>
      <c r="H19" s="449">
        <v>0</v>
      </c>
      <c r="I19" s="16" t="str">
        <f t="shared" si="0"/>
        <v>Ba</v>
      </c>
      <c r="J19" s="16" t="str">
        <f t="shared" si="1"/>
        <v>49</v>
      </c>
      <c r="K19" s="16" t="str">
        <f t="shared" si="6"/>
        <v>[Ba.xls]TEXT!Z49S5</v>
      </c>
      <c r="L19" s="16" t="str">
        <f t="shared" si="4"/>
        <v>0</v>
      </c>
      <c r="M19" s="16" t="str">
        <f t="shared" si="5"/>
        <v/>
      </c>
      <c r="N19" s="16" t="str">
        <f t="shared" si="7"/>
        <v>[0.xls]TEXT!ZS5</v>
      </c>
      <c r="O19" s="458">
        <f>ROW()</f>
        <v>19</v>
      </c>
      <c r="P19" s="459" t="str">
        <f t="shared" si="2"/>
        <v>[Region.xls]PARAMETER!Z19S6</v>
      </c>
      <c r="Q19" s="459" t="str">
        <f t="shared" si="3"/>
        <v>[Region.xls]PARAMETER!Z0S6</v>
      </c>
      <c r="S19" s="16">
        <f>COUNTIF('1.'!CW:CW,I_Region!O19)+IF(SUM(C19:F19)=0,1,0)</f>
        <v>0</v>
      </c>
    </row>
    <row r="20" spans="1:19" s="459" customFormat="1">
      <c r="A20" s="460" t="s">
        <v>160</v>
      </c>
      <c r="B20" s="465" t="s">
        <v>1320</v>
      </c>
      <c r="C20" s="449">
        <v>7913502</v>
      </c>
      <c r="D20" s="449">
        <v>7913502</v>
      </c>
      <c r="E20" s="464" t="s">
        <v>1321</v>
      </c>
      <c r="F20" s="464" t="s">
        <v>1322</v>
      </c>
      <c r="G20" s="449" t="s">
        <v>1323</v>
      </c>
      <c r="H20" s="449" t="s">
        <v>1324</v>
      </c>
      <c r="I20" s="16" t="str">
        <f t="shared" si="0"/>
        <v>Ba</v>
      </c>
      <c r="J20" s="16" t="str">
        <f t="shared" si="1"/>
        <v>56</v>
      </c>
      <c r="K20" s="16" t="str">
        <f t="shared" si="6"/>
        <v>[Ba.xls]TEXT!Z56S5</v>
      </c>
      <c r="L20" s="16" t="str">
        <f t="shared" si="4"/>
        <v>Ba</v>
      </c>
      <c r="M20" s="16" t="str">
        <f t="shared" si="5"/>
        <v>63</v>
      </c>
      <c r="N20" s="16" t="str">
        <f t="shared" si="7"/>
        <v>[Ba.xls]TEXT!Z63S5</v>
      </c>
      <c r="O20" s="458">
        <f>ROW()</f>
        <v>20</v>
      </c>
      <c r="P20" s="459" t="str">
        <f t="shared" si="2"/>
        <v>[Region.xls]PARAMETER!Z9S6</v>
      </c>
      <c r="Q20" s="459" t="str">
        <f t="shared" si="3"/>
        <v>[Region.xls]PARAMETER!Z10S6</v>
      </c>
      <c r="S20" s="16">
        <f>COUNTIF('1.'!CW:CW,I_Region!O20)+IF(SUM(C20:F20)=0,1,0)</f>
        <v>2</v>
      </c>
    </row>
    <row r="21" spans="1:19">
      <c r="A21" s="16">
        <v>0</v>
      </c>
      <c r="B21" s="465" t="s">
        <v>1325</v>
      </c>
      <c r="C21" s="449">
        <v>4761378</v>
      </c>
      <c r="D21" s="449">
        <v>4761378</v>
      </c>
      <c r="E21" s="464" t="s">
        <v>1326</v>
      </c>
      <c r="F21" s="464" t="s">
        <v>1327</v>
      </c>
      <c r="G21" s="449" t="s">
        <v>1328</v>
      </c>
      <c r="H21" s="449" t="s">
        <v>1329</v>
      </c>
      <c r="I21" s="16" t="str">
        <f t="shared" si="0"/>
        <v>Ba</v>
      </c>
      <c r="J21" s="16" t="str">
        <f t="shared" si="1"/>
        <v>222</v>
      </c>
      <c r="K21" s="16" t="str">
        <f t="shared" si="6"/>
        <v>[Ba.xls]TEXT!Z222S5</v>
      </c>
      <c r="L21" s="16" t="str">
        <f t="shared" si="4"/>
        <v>Ba</v>
      </c>
      <c r="M21" s="16" t="str">
        <f t="shared" si="5"/>
        <v>223</v>
      </c>
      <c r="N21" s="16" t="str">
        <f t="shared" si="7"/>
        <v>[Ba.xls]TEXT!Z223S5</v>
      </c>
      <c r="O21" s="458">
        <f>ROW()</f>
        <v>21</v>
      </c>
      <c r="P21" s="459" t="str">
        <f t="shared" si="2"/>
        <v>[Region.xls]PARAMETER!Z18S6</v>
      </c>
      <c r="Q21" s="459" t="str">
        <f t="shared" si="3"/>
        <v>[Region.xls]PARAMETER!Z19S6</v>
      </c>
      <c r="S21" s="16">
        <f>COUNTIF('1.'!CW:CW,I_Region!O21)+IF(SUM(C21:F21)=0,1,0)</f>
        <v>1</v>
      </c>
    </row>
    <row r="22" spans="1:19">
      <c r="A22" s="16" t="s">
        <v>161</v>
      </c>
      <c r="B22" s="465" t="s">
        <v>1330</v>
      </c>
      <c r="C22" s="449">
        <v>351478</v>
      </c>
      <c r="D22" s="449">
        <v>351478</v>
      </c>
      <c r="E22" s="464" t="s">
        <v>1331</v>
      </c>
      <c r="F22" s="464" t="s">
        <v>1332</v>
      </c>
      <c r="G22" s="449" t="s">
        <v>1333</v>
      </c>
      <c r="H22" s="449" t="s">
        <v>1334</v>
      </c>
      <c r="I22" s="16" t="str">
        <f t="shared" si="0"/>
        <v>Ba</v>
      </c>
      <c r="J22" s="16" t="str">
        <f t="shared" si="1"/>
        <v>228</v>
      </c>
      <c r="K22" s="16" t="str">
        <f t="shared" si="6"/>
        <v>[Ba.xls]TEXT!Z228S5</v>
      </c>
      <c r="L22" s="16" t="str">
        <f t="shared" si="4"/>
        <v>Ba</v>
      </c>
      <c r="M22" s="16" t="str">
        <f t="shared" si="5"/>
        <v>230</v>
      </c>
      <c r="N22" s="16" t="str">
        <f t="shared" si="7"/>
        <v>[Ba.xls]TEXT!Z230S5</v>
      </c>
      <c r="O22" s="458">
        <f>ROW()</f>
        <v>22</v>
      </c>
      <c r="P22" s="459" t="str">
        <f t="shared" si="2"/>
        <v>[Region.xls]PARAMETER!Z22S6</v>
      </c>
      <c r="Q22" s="459" t="str">
        <f t="shared" si="3"/>
        <v>[Region.xls]PARAMETER!Z23S6</v>
      </c>
      <c r="S22" s="16">
        <f>COUNTIF('1.'!CW:CW,I_Region!O22)+IF(SUM(C22:F22)=0,1,0)</f>
        <v>1</v>
      </c>
    </row>
    <row r="23" spans="1:19">
      <c r="A23" s="16" t="s">
        <v>162</v>
      </c>
      <c r="B23" s="465" t="s">
        <v>1335</v>
      </c>
      <c r="C23" s="449">
        <v>2858645</v>
      </c>
      <c r="D23" s="449">
        <v>2858645</v>
      </c>
      <c r="E23" s="464" t="s">
        <v>1336</v>
      </c>
      <c r="F23" s="464" t="s">
        <v>1337</v>
      </c>
      <c r="G23" s="449" t="s">
        <v>1338</v>
      </c>
      <c r="H23" s="449" t="s">
        <v>1339</v>
      </c>
      <c r="I23" s="16" t="str">
        <f t="shared" si="0"/>
        <v>Ba</v>
      </c>
      <c r="J23" s="16" t="str">
        <f t="shared" si="1"/>
        <v>235</v>
      </c>
      <c r="K23" s="16" t="str">
        <f t="shared" si="6"/>
        <v>[Ba.xls]TEXT!Z235S5</v>
      </c>
      <c r="L23" s="16" t="str">
        <f t="shared" si="4"/>
        <v>Ba</v>
      </c>
      <c r="M23" s="16" t="str">
        <f t="shared" si="5"/>
        <v>237</v>
      </c>
      <c r="N23" s="16" t="str">
        <f t="shared" si="7"/>
        <v>[Ba.xls]TEXT!Z237S5</v>
      </c>
      <c r="O23" s="458">
        <f>ROW()</f>
        <v>23</v>
      </c>
      <c r="P23" s="459" t="str">
        <f t="shared" si="2"/>
        <v>[Region.xls]PARAMETER!Z34S6</v>
      </c>
      <c r="Q23" s="459" t="str">
        <f t="shared" si="3"/>
        <v>[Region.xls]PARAMETER!Z35S6</v>
      </c>
      <c r="S23" s="16">
        <f>COUNTIF('1.'!CW:CW,I_Region!O23)+IF(SUM(C23:F23)=0,1,0)</f>
        <v>1</v>
      </c>
    </row>
    <row r="24" spans="1:19">
      <c r="A24" s="16" t="s">
        <v>163</v>
      </c>
      <c r="B24" s="465" t="s">
        <v>1340</v>
      </c>
      <c r="C24" s="449">
        <v>1042106</v>
      </c>
      <c r="D24" s="449">
        <v>1042106</v>
      </c>
      <c r="E24" s="464" t="s">
        <v>1341</v>
      </c>
      <c r="F24" s="464" t="s">
        <v>1342</v>
      </c>
      <c r="G24" s="449" t="s">
        <v>1343</v>
      </c>
      <c r="H24" s="449" t="s">
        <v>1344</v>
      </c>
      <c r="I24" s="16" t="str">
        <f t="shared" si="0"/>
        <v>Ba</v>
      </c>
      <c r="J24" s="16" t="str">
        <f t="shared" si="1"/>
        <v>244</v>
      </c>
      <c r="K24" s="16" t="str">
        <f t="shared" si="6"/>
        <v>[Ba.xls]TEXT!Z244S5</v>
      </c>
      <c r="L24" s="16" t="str">
        <f t="shared" si="4"/>
        <v>Ba</v>
      </c>
      <c r="M24" s="16" t="str">
        <f t="shared" si="5"/>
        <v>246</v>
      </c>
      <c r="N24" s="16" t="str">
        <f t="shared" si="7"/>
        <v>[Ba.xls]TEXT!Z246S5</v>
      </c>
      <c r="O24" s="458">
        <f>ROW()</f>
        <v>24</v>
      </c>
      <c r="P24" s="459" t="str">
        <f t="shared" si="2"/>
        <v>[Region.xls]PARAMETER!Z72S6</v>
      </c>
      <c r="Q24" s="459" t="str">
        <f t="shared" si="3"/>
        <v>[Region.xls]PARAMETER!Z73S6</v>
      </c>
      <c r="S24" s="16">
        <f>COUNTIF('1.'!CW:CW,I_Region!O24)+IF(SUM(C24:F24)=0,1,0)</f>
        <v>2</v>
      </c>
    </row>
    <row r="25" spans="1:19">
      <c r="A25" s="16" t="s">
        <v>164</v>
      </c>
      <c r="B25" s="466" t="s">
        <v>1345</v>
      </c>
      <c r="C25" s="449">
        <v>1468.6592427616933</v>
      </c>
      <c r="D25" s="449">
        <v>24603.46</v>
      </c>
      <c r="E25" s="449" t="s">
        <v>1346</v>
      </c>
      <c r="F25" s="449" t="s">
        <v>1347</v>
      </c>
      <c r="G25" s="449" t="s">
        <v>1348</v>
      </c>
      <c r="H25" s="449" t="s">
        <v>1349</v>
      </c>
      <c r="I25" s="16" t="str">
        <f t="shared" si="0"/>
        <v>So</v>
      </c>
      <c r="J25" s="16" t="str">
        <f t="shared" si="1"/>
        <v xml:space="preserve">60 </v>
      </c>
      <c r="K25" s="16" t="str">
        <f t="shared" si="6"/>
        <v>[So.xls]TEXT!Z60 S5</v>
      </c>
      <c r="L25" s="16" t="str">
        <f t="shared" si="4"/>
        <v>So</v>
      </c>
      <c r="M25" s="16" t="str">
        <f t="shared" si="5"/>
        <v xml:space="preserve">24 </v>
      </c>
      <c r="N25" s="16" t="str">
        <f t="shared" si="7"/>
        <v>[So.xls]TEXT!Z24 S5</v>
      </c>
      <c r="O25" s="458">
        <f>ROW()</f>
        <v>25</v>
      </c>
      <c r="P25" s="459" t="str">
        <f t="shared" si="2"/>
        <v>[Region.xls]PARAMETER!Z27S6</v>
      </c>
      <c r="Q25" s="459" t="str">
        <f t="shared" si="3"/>
        <v>[Region.xls]PARAMETER!Z30S6</v>
      </c>
      <c r="S25" s="16">
        <f>COUNTIF('1.'!CW:CW,I_Region!O25)+IF(SUM(C25:F25)=0,1,0)</f>
        <v>1</v>
      </c>
    </row>
    <row r="26" spans="1:19">
      <c r="A26" s="16" t="s">
        <v>165</v>
      </c>
      <c r="B26" s="466" t="s">
        <v>1350</v>
      </c>
      <c r="C26" s="449">
        <v>1296.6592427616929</v>
      </c>
      <c r="D26" s="449">
        <v>37010.633399999999</v>
      </c>
      <c r="E26" s="449" t="s">
        <v>1351</v>
      </c>
      <c r="F26" s="449" t="s">
        <v>1352</v>
      </c>
      <c r="G26" s="449" t="s">
        <v>1348</v>
      </c>
      <c r="H26" s="449" t="s">
        <v>1353</v>
      </c>
      <c r="I26" s="16" t="str">
        <f t="shared" si="0"/>
        <v>So</v>
      </c>
      <c r="J26" s="16" t="str">
        <f t="shared" si="1"/>
        <v xml:space="preserve">60 </v>
      </c>
      <c r="K26" s="16" t="str">
        <f t="shared" si="6"/>
        <v>[So.xls]TEXT!Z60 S5</v>
      </c>
      <c r="L26" s="16" t="str">
        <f t="shared" si="4"/>
        <v>So</v>
      </c>
      <c r="M26" s="16" t="str">
        <f t="shared" si="5"/>
        <v xml:space="preserve">36 </v>
      </c>
      <c r="N26" s="16" t="str">
        <f t="shared" si="7"/>
        <v>[So.xls]TEXT!Z36 S5</v>
      </c>
      <c r="O26" s="458">
        <f>ROW()</f>
        <v>26</v>
      </c>
      <c r="P26" s="459" t="str">
        <f t="shared" si="2"/>
        <v>[Region.xls]PARAMETER!Z31S6</v>
      </c>
      <c r="Q26" s="459" t="str">
        <f t="shared" si="3"/>
        <v>[Region.xls]PARAMETER!Z33S6</v>
      </c>
      <c r="S26" s="16">
        <f>COUNTIF('1.'!CW:CW,I_Region!O26)+IF(SUM(C26:F26)=0,1,0)</f>
        <v>1</v>
      </c>
    </row>
    <row r="27" spans="1:19">
      <c r="A27" s="16" t="s">
        <v>124</v>
      </c>
      <c r="B27" s="466" t="s">
        <v>1354</v>
      </c>
      <c r="C27" s="449">
        <v>942180</v>
      </c>
      <c r="D27" s="449">
        <v>942180</v>
      </c>
      <c r="E27" s="449" t="s">
        <v>1355</v>
      </c>
      <c r="F27" s="449" t="s">
        <v>1356</v>
      </c>
      <c r="G27" s="449" t="s">
        <v>1357</v>
      </c>
      <c r="H27" s="449" t="s">
        <v>1358</v>
      </c>
      <c r="I27" s="16" t="str">
        <f t="shared" si="0"/>
        <v>SR</v>
      </c>
      <c r="J27" s="16" t="str">
        <f t="shared" si="1"/>
        <v>24</v>
      </c>
      <c r="K27" s="16" t="str">
        <f t="shared" si="6"/>
        <v>[SR.xls]TEXT!Z24S5</v>
      </c>
      <c r="L27" s="16" t="str">
        <f t="shared" si="4"/>
        <v>SR</v>
      </c>
      <c r="M27" s="16" t="str">
        <f t="shared" si="5"/>
        <v>22</v>
      </c>
      <c r="N27" s="16" t="str">
        <f t="shared" si="7"/>
        <v>[SR.xls]TEXT!Z22S5</v>
      </c>
      <c r="O27" s="458">
        <f>ROW()</f>
        <v>27</v>
      </c>
      <c r="P27" s="459" t="str">
        <f t="shared" si="2"/>
        <v>[Region.xls]PARAMETER!Z36S6</v>
      </c>
      <c r="Q27" s="459" t="str">
        <f t="shared" si="3"/>
        <v>[Region.xls]PARAMETER!Z37S6</v>
      </c>
      <c r="S27" s="16">
        <f>COUNTIF('1.'!CW:CW,I_Region!O27)+IF(SUM(C27:F27)=0,1,0)</f>
        <v>1</v>
      </c>
    </row>
    <row r="28" spans="1:19">
      <c r="A28" s="16" t="s">
        <v>166</v>
      </c>
      <c r="B28" s="466" t="s">
        <v>1359</v>
      </c>
      <c r="C28" s="449">
        <v>260000</v>
      </c>
      <c r="D28" s="449">
        <v>259999.99999999997</v>
      </c>
      <c r="E28" s="449" t="s">
        <v>1360</v>
      </c>
      <c r="F28" s="449" t="s">
        <v>1361</v>
      </c>
      <c r="G28" s="449" t="s">
        <v>1362</v>
      </c>
      <c r="H28" s="449" t="s">
        <v>1363</v>
      </c>
      <c r="I28" s="16" t="str">
        <f t="shared" si="0"/>
        <v>EP</v>
      </c>
      <c r="J28" s="16" t="str">
        <f t="shared" si="1"/>
        <v>23</v>
      </c>
      <c r="K28" s="16" t="str">
        <f t="shared" si="6"/>
        <v>[EP.xls]TEXT!Z23S5</v>
      </c>
      <c r="L28" s="16" t="str">
        <f t="shared" si="4"/>
        <v>EP</v>
      </c>
      <c r="M28" s="16" t="str">
        <f t="shared" si="5"/>
        <v>45</v>
      </c>
      <c r="N28" s="16" t="str">
        <f t="shared" si="7"/>
        <v>[EP.xls]TEXT!Z45S5</v>
      </c>
      <c r="O28" s="458">
        <f>ROW()</f>
        <v>28</v>
      </c>
      <c r="P28" s="459" t="str">
        <f t="shared" si="2"/>
        <v>[Region.xls]PARAMETER!Z41S6</v>
      </c>
      <c r="Q28" s="459" t="str">
        <f t="shared" si="3"/>
        <v>[Region.xls]PARAMETER!Z44S6</v>
      </c>
      <c r="S28" s="16">
        <f>COUNTIF('1.'!CW:CW,I_Region!O28)+IF(SUM(C28:F28)=0,1,0)</f>
        <v>1</v>
      </c>
    </row>
    <row r="29" spans="1:19">
      <c r="A29" s="16" t="s">
        <v>167</v>
      </c>
      <c r="B29" s="466" t="s">
        <v>1364</v>
      </c>
      <c r="C29" s="449">
        <v>117016.23066776665</v>
      </c>
      <c r="D29" s="449">
        <v>28586.45</v>
      </c>
      <c r="E29" s="449" t="s">
        <v>1365</v>
      </c>
      <c r="F29" s="449" t="s">
        <v>1366</v>
      </c>
      <c r="G29" s="449" t="s">
        <v>1367</v>
      </c>
      <c r="H29" s="449" t="s">
        <v>1363</v>
      </c>
      <c r="I29" s="16" t="str">
        <f t="shared" si="0"/>
        <v>EP</v>
      </c>
      <c r="J29" s="16" t="str">
        <f t="shared" si="1"/>
        <v>33</v>
      </c>
      <c r="K29" s="16" t="str">
        <f t="shared" si="6"/>
        <v>[EP.xls]TEXT!Z33S5</v>
      </c>
      <c r="L29" s="16" t="str">
        <f t="shared" si="4"/>
        <v>EP</v>
      </c>
      <c r="M29" s="16" t="str">
        <f t="shared" si="5"/>
        <v>45</v>
      </c>
      <c r="N29" s="16" t="str">
        <f t="shared" si="7"/>
        <v>[EP.xls]TEXT!Z45S5</v>
      </c>
      <c r="O29" s="458">
        <f>ROW()</f>
        <v>29</v>
      </c>
      <c r="P29" s="459" t="str">
        <f t="shared" si="2"/>
        <v>[Region.xls]PARAMETER!Z48S6</v>
      </c>
      <c r="Q29" s="459" t="str">
        <f t="shared" si="3"/>
        <v>[Region.xls]PARAMETER!Z51S6</v>
      </c>
      <c r="S29" s="16">
        <f>COUNTIF('1.'!CW:CW,I_Region!O29)+IF(SUM(C29:F29)=0,1,0)</f>
        <v>3</v>
      </c>
    </row>
    <row r="30" spans="1:19">
      <c r="A30" s="16" t="s">
        <v>168</v>
      </c>
      <c r="B30" s="466" t="s">
        <v>1368</v>
      </c>
      <c r="C30" s="449">
        <v>36590.400000000001</v>
      </c>
      <c r="D30" s="449">
        <v>119034.45</v>
      </c>
      <c r="E30" s="449" t="s">
        <v>1369</v>
      </c>
      <c r="F30" s="449" t="s">
        <v>1370</v>
      </c>
      <c r="G30" s="449" t="s">
        <v>1371</v>
      </c>
      <c r="H30" s="449" t="s">
        <v>1372</v>
      </c>
      <c r="I30" s="16" t="str">
        <f t="shared" si="0"/>
        <v>Wi</v>
      </c>
      <c r="J30" s="16" t="str">
        <f t="shared" si="1"/>
        <v>20</v>
      </c>
      <c r="K30" s="16" t="str">
        <f t="shared" si="6"/>
        <v>[Wi.xls]TEXT!Z20S5</v>
      </c>
      <c r="L30" s="16" t="str">
        <f t="shared" si="4"/>
        <v>Wi</v>
      </c>
      <c r="M30" s="16" t="str">
        <f t="shared" si="5"/>
        <v>40</v>
      </c>
      <c r="N30" s="16" t="str">
        <f t="shared" si="7"/>
        <v>[Wi.xls]TEXT!Z40S5</v>
      </c>
      <c r="O30" s="458">
        <f>ROW()</f>
        <v>30</v>
      </c>
      <c r="P30" s="459" t="str">
        <f t="shared" si="2"/>
        <v>[Region.xls]PARAMETER!Z191S6</v>
      </c>
      <c r="Q30" s="459" t="str">
        <f t="shared" si="3"/>
        <v>[Region.xls]PARAMETER!Z59S6</v>
      </c>
      <c r="S30" s="16">
        <f>COUNTIF('1.'!CW:CW,I_Region!O30)+IF(SUM(C30:F30)=0,1,0)</f>
        <v>10</v>
      </c>
    </row>
    <row r="31" spans="1:19">
      <c r="A31" s="144" t="s">
        <v>169</v>
      </c>
      <c r="B31" s="437" t="s">
        <v>1373</v>
      </c>
      <c r="C31" s="449">
        <v>10421.06</v>
      </c>
      <c r="D31" s="449">
        <v>52105.3</v>
      </c>
      <c r="E31" s="448" t="s">
        <v>1374</v>
      </c>
      <c r="F31" s="448" t="s">
        <v>1375</v>
      </c>
      <c r="G31" s="448" t="s">
        <v>1376</v>
      </c>
      <c r="H31" s="448" t="s">
        <v>1377</v>
      </c>
      <c r="I31" s="144" t="str">
        <f t="shared" si="0"/>
        <v>Ba</v>
      </c>
      <c r="J31" s="144" t="str">
        <f t="shared" si="1"/>
        <v>249</v>
      </c>
      <c r="K31" s="144" t="str">
        <f t="shared" si="6"/>
        <v>[Ba.xls]TEXT!Z249S5</v>
      </c>
      <c r="L31" s="144" t="str">
        <f t="shared" si="4"/>
        <v>Ba</v>
      </c>
      <c r="M31" s="144" t="str">
        <f t="shared" si="5"/>
        <v>255</v>
      </c>
      <c r="N31" s="144" t="str">
        <f t="shared" si="7"/>
        <v>[Ba.xls]TEXT!Z255S5</v>
      </c>
      <c r="O31" s="458">
        <f>ROW()</f>
        <v>31</v>
      </c>
      <c r="P31" s="459" t="str">
        <f t="shared" si="2"/>
        <v>[Region.xls]PARAMETER!Z76S6</v>
      </c>
      <c r="Q31" s="459" t="str">
        <f t="shared" si="3"/>
        <v>[Region.xls]PARAMETER!Z77S6</v>
      </c>
      <c r="S31" s="16">
        <f>COUNTIF('1.'!CW:CW,I_Region!O31)+IF(SUM(C31:F31)=0,1,0)</f>
        <v>0</v>
      </c>
    </row>
    <row r="32" spans="1:19">
      <c r="A32" s="16" t="s">
        <v>170</v>
      </c>
      <c r="B32" s="466" t="s">
        <v>1378</v>
      </c>
      <c r="C32" s="449">
        <v>1031684.94</v>
      </c>
      <c r="D32" s="449">
        <v>990000.7</v>
      </c>
      <c r="E32" s="449" t="s">
        <v>1379</v>
      </c>
      <c r="F32" s="449" t="s">
        <v>1380</v>
      </c>
      <c r="G32" s="449" t="s">
        <v>1381</v>
      </c>
      <c r="H32" s="449" t="s">
        <v>1382</v>
      </c>
      <c r="I32" s="16" t="str">
        <f t="shared" si="0"/>
        <v>Ba</v>
      </c>
      <c r="J32" s="16" t="str">
        <f t="shared" si="1"/>
        <v>250</v>
      </c>
      <c r="K32" s="16" t="str">
        <f t="shared" si="6"/>
        <v>[Ba.xls]TEXT!Z250S5</v>
      </c>
      <c r="L32" s="16" t="str">
        <f t="shared" si="4"/>
        <v>Ba</v>
      </c>
      <c r="M32" s="16" t="str">
        <f t="shared" si="5"/>
        <v>256</v>
      </c>
      <c r="N32" s="16" t="str">
        <f t="shared" si="7"/>
        <v>[Ba.xls]TEXT!Z256S5</v>
      </c>
      <c r="O32" s="458">
        <f>ROW()</f>
        <v>32</v>
      </c>
      <c r="P32" s="459" t="str">
        <f t="shared" si="2"/>
        <v>[Region.xls]PARAMETER!Z80S6</v>
      </c>
      <c r="Q32" s="459" t="str">
        <f t="shared" si="3"/>
        <v>[Region.xls]PARAMETER!Z81S6</v>
      </c>
      <c r="S32" s="16">
        <f>COUNTIF('1.'!CW:CW,I_Region!O32)+IF(SUM(C32:F32)=0,1,0)</f>
        <v>1</v>
      </c>
    </row>
    <row r="33" spans="1:19">
      <c r="A33" s="16" t="s">
        <v>171</v>
      </c>
      <c r="B33" s="54" t="s">
        <v>1288</v>
      </c>
      <c r="C33" s="449">
        <v>0</v>
      </c>
      <c r="D33" s="449">
        <v>0</v>
      </c>
      <c r="E33" s="449">
        <v>0</v>
      </c>
      <c r="F33" s="449">
        <v>0</v>
      </c>
      <c r="G33" s="449">
        <v>0</v>
      </c>
      <c r="H33" s="449">
        <v>0</v>
      </c>
      <c r="I33" s="16" t="str">
        <f t="shared" si="0"/>
        <v>0</v>
      </c>
      <c r="J33" s="16" t="str">
        <f t="shared" si="1"/>
        <v/>
      </c>
      <c r="K33" s="16" t="str">
        <f t="shared" si="6"/>
        <v>[0.xls]TEXT!ZS5</v>
      </c>
      <c r="L33" s="16" t="str">
        <f t="shared" si="4"/>
        <v>0</v>
      </c>
      <c r="M33" s="16" t="str">
        <f t="shared" si="5"/>
        <v/>
      </c>
      <c r="N33" s="16" t="str">
        <f t="shared" si="7"/>
        <v>[0.xls]TEXT!ZS5</v>
      </c>
      <c r="O33" s="458">
        <f>ROW()</f>
        <v>33</v>
      </c>
      <c r="P33" s="459" t="str">
        <f t="shared" si="2"/>
        <v>[Region.xls]PARAMETER!Z0S6</v>
      </c>
      <c r="Q33" s="459" t="str">
        <f t="shared" si="3"/>
        <v>[Region.xls]PARAMETER!Z0S6</v>
      </c>
      <c r="S33" s="16">
        <f>COUNTIF('1.'!CW:CW,I_Region!O33)+IF(SUM(C33:F33)=0,1,0)</f>
        <v>1</v>
      </c>
    </row>
    <row r="34" spans="1:19">
      <c r="A34" s="16" t="s">
        <v>172</v>
      </c>
      <c r="B34" s="54" t="s">
        <v>1383</v>
      </c>
      <c r="C34" s="449">
        <v>10899662.098242724</v>
      </c>
      <c r="D34" s="449">
        <v>10899662.098242724</v>
      </c>
      <c r="E34" s="449" t="s">
        <v>1384</v>
      </c>
      <c r="F34" s="449" t="s">
        <v>1385</v>
      </c>
      <c r="G34" s="449" t="s">
        <v>1298</v>
      </c>
      <c r="H34" s="449" t="s">
        <v>1324</v>
      </c>
      <c r="I34" s="16" t="str">
        <f t="shared" si="0"/>
        <v>Ba</v>
      </c>
      <c r="J34" s="16" t="str">
        <f t="shared" si="1"/>
        <v>49</v>
      </c>
      <c r="K34" s="16" t="str">
        <f t="shared" si="6"/>
        <v>[Ba.xls]TEXT!Z49S5</v>
      </c>
      <c r="L34" s="16" t="str">
        <f t="shared" si="4"/>
        <v>Ba</v>
      </c>
      <c r="M34" s="16" t="str">
        <f t="shared" si="5"/>
        <v>63</v>
      </c>
      <c r="N34" s="16" t="str">
        <f t="shared" si="7"/>
        <v>[Ba.xls]TEXT!Z63S5</v>
      </c>
      <c r="O34" s="458">
        <f>ROW()</f>
        <v>34</v>
      </c>
      <c r="P34" s="459" t="str">
        <f t="shared" si="2"/>
        <v>[Region.xls]PARAMETER!Z12S6</v>
      </c>
      <c r="Q34" s="459" t="str">
        <f t="shared" si="3"/>
        <v>[Region.xls]PARAMETER!Z13S6</v>
      </c>
      <c r="S34" s="16">
        <f>COUNTIF('1.'!CW:CW,I_Region!O34)+IF(SUM(C34:F34)=0,1,0)</f>
        <v>2</v>
      </c>
    </row>
    <row r="35" spans="1:19">
      <c r="B35" s="54">
        <v>0</v>
      </c>
      <c r="C35" s="449">
        <v>0</v>
      </c>
      <c r="D35" s="449">
        <v>0</v>
      </c>
      <c r="E35" s="449">
        <v>0</v>
      </c>
      <c r="F35" s="449">
        <v>0</v>
      </c>
      <c r="G35" s="449">
        <v>0</v>
      </c>
      <c r="H35" s="449">
        <v>0</v>
      </c>
      <c r="I35" s="16" t="str">
        <f t="shared" si="0"/>
        <v>0</v>
      </c>
      <c r="J35" s="16" t="str">
        <f t="shared" si="1"/>
        <v/>
      </c>
      <c r="K35" s="16" t="str">
        <f t="shared" si="6"/>
        <v>[0.xls]TEXT!ZS5</v>
      </c>
      <c r="L35" s="16" t="str">
        <f t="shared" si="4"/>
        <v>0</v>
      </c>
      <c r="M35" s="16" t="str">
        <f t="shared" si="5"/>
        <v/>
      </c>
      <c r="N35" s="16" t="str">
        <f t="shared" si="7"/>
        <v>[0.xls]TEXT!ZS5</v>
      </c>
      <c r="O35" s="458">
        <f>ROW()</f>
        <v>35</v>
      </c>
      <c r="P35" s="459" t="str">
        <f t="shared" ref="P35:P66" si="8">"["&amp;$K$1&amp;".xls]PARAMETER!Z"&amp;VALUE(E35)&amp;"S6"</f>
        <v>[Region.xls]PARAMETER!Z0S6</v>
      </c>
      <c r="Q35" s="459" t="str">
        <f t="shared" ref="Q35:Q66" si="9">"["&amp;$K$1&amp;".xls]PARAMETER!Z"&amp;VALUE(F35)&amp;"S6"</f>
        <v>[Region.xls]PARAMETER!Z0S6</v>
      </c>
      <c r="S35" s="16">
        <f>COUNTIF('1.'!CW:CW,I_Region!O35)+IF(SUM(C35:F35)=0,1,0)</f>
        <v>1</v>
      </c>
    </row>
    <row r="36" spans="1:19">
      <c r="B36" s="463" t="s">
        <v>1386</v>
      </c>
      <c r="C36" s="464" t="s">
        <v>1387</v>
      </c>
      <c r="D36" s="464">
        <v>0</v>
      </c>
      <c r="E36" s="464" t="s">
        <v>1388</v>
      </c>
      <c r="F36" s="464">
        <v>0</v>
      </c>
      <c r="G36" s="449" t="s">
        <v>1389</v>
      </c>
      <c r="H36" s="449">
        <v>0</v>
      </c>
      <c r="I36" s="16" t="str">
        <f t="shared" si="0"/>
        <v>Ba</v>
      </c>
      <c r="J36" s="16" t="str">
        <f t="shared" si="1"/>
        <v>270</v>
      </c>
      <c r="K36" s="16" t="str">
        <f t="shared" si="6"/>
        <v>[Ba.xls]TEXT!Z270S5</v>
      </c>
      <c r="L36" s="16" t="str">
        <f t="shared" si="4"/>
        <v>0</v>
      </c>
      <c r="M36" s="16" t="str">
        <f t="shared" si="5"/>
        <v/>
      </c>
      <c r="N36" s="16" t="str">
        <f t="shared" si="7"/>
        <v>[0.xls]TEXT!ZS5</v>
      </c>
      <c r="O36" s="458">
        <f>ROW()</f>
        <v>36</v>
      </c>
      <c r="P36" s="459" t="str">
        <f t="shared" si="8"/>
        <v>[Region.xls]PARAMETER!Z3S6</v>
      </c>
      <c r="Q36" s="459" t="str">
        <f t="shared" si="9"/>
        <v>[Region.xls]PARAMETER!Z0S6</v>
      </c>
      <c r="S36" s="16">
        <f>COUNTIF('1.'!CW:CW,I_Region!O36)+IF(SUM(C36:F36)=0,1,0)</f>
        <v>2</v>
      </c>
    </row>
    <row r="37" spans="1:19">
      <c r="B37" s="467" t="s">
        <v>1390</v>
      </c>
      <c r="C37" s="449" t="s">
        <v>1391</v>
      </c>
      <c r="D37" s="449" t="s">
        <v>1392</v>
      </c>
      <c r="E37" s="449" t="s">
        <v>1393</v>
      </c>
      <c r="F37" s="449" t="s">
        <v>1394</v>
      </c>
      <c r="G37" s="449" t="s">
        <v>1395</v>
      </c>
      <c r="H37" s="449" t="s">
        <v>1396</v>
      </c>
      <c r="I37" s="16" t="str">
        <f t="shared" si="0"/>
        <v>Ba</v>
      </c>
      <c r="J37" s="16" t="str">
        <f t="shared" si="1"/>
        <v>15</v>
      </c>
      <c r="K37" s="16" t="str">
        <f>"["&amp;IF(I37=$I$1,$K$1&amp;".xls]PARAMETER!Z"&amp;J37&amp;"S6",I37&amp;".xls]TEXT!Z"&amp;J37&amp;"S5")</f>
        <v>[Ba.xls]TEXT!Z15S5</v>
      </c>
      <c r="L37" s="16" t="str">
        <f t="shared" si="4"/>
        <v>Ba</v>
      </c>
      <c r="M37" s="16" t="str">
        <f t="shared" si="5"/>
        <v>9</v>
      </c>
      <c r="N37" s="16" t="str">
        <f>"["&amp;IF(L37=$I$1,$K$1&amp;".xls]PARAMETER!Z"&amp;M37&amp;"S6",L37&amp;".xls]TEXT!Z"&amp;M37&amp;"S5")</f>
        <v>[Ba.xls]TEXT!Z9S5</v>
      </c>
      <c r="O37" s="458">
        <f>ROW()</f>
        <v>37</v>
      </c>
      <c r="P37" s="459" t="str">
        <f t="shared" si="8"/>
        <v>[Region.xls]PARAMETER!Z15S6</v>
      </c>
      <c r="Q37" s="459" t="str">
        <f t="shared" si="9"/>
        <v>[Region.xls]PARAMETER!Z17S6</v>
      </c>
      <c r="S37" s="16">
        <f>COUNTIF('1.'!CW:CW,I_Region!O37)+IF(SUM(C37:F37)=0,1,0)</f>
        <v>3</v>
      </c>
    </row>
    <row r="38" spans="1:19">
      <c r="A38" s="16" t="s">
        <v>173</v>
      </c>
      <c r="B38" s="54">
        <v>0</v>
      </c>
      <c r="C38" s="449">
        <v>0</v>
      </c>
      <c r="D38" s="449">
        <v>0</v>
      </c>
      <c r="E38" s="449">
        <v>0</v>
      </c>
      <c r="F38" s="449">
        <v>0</v>
      </c>
      <c r="G38" s="449">
        <v>0</v>
      </c>
      <c r="H38" s="449">
        <v>0</v>
      </c>
      <c r="I38" s="16" t="str">
        <f t="shared" si="0"/>
        <v>0</v>
      </c>
      <c r="J38" s="16" t="str">
        <f t="shared" si="1"/>
        <v/>
      </c>
      <c r="K38" s="16" t="str">
        <f>"["&amp;IF(I38=$I$1,$K$1&amp;".xls]PARAMETER!Z"&amp;J38&amp;"S6",I38&amp;".xls]TEXT!Z"&amp;J38&amp;"S5")</f>
        <v>[0.xls]TEXT!ZS5</v>
      </c>
      <c r="L38" s="16" t="str">
        <f t="shared" si="4"/>
        <v>0</v>
      </c>
      <c r="M38" s="16" t="str">
        <f t="shared" si="5"/>
        <v/>
      </c>
      <c r="N38" s="16" t="str">
        <f>"["&amp;IF(L38=$I$1,$K$1&amp;".xls]PARAMETER!Z"&amp;M38&amp;"S6",L38&amp;".xls]TEXT!Z"&amp;M38&amp;"S5")</f>
        <v>[0.xls]TEXT!ZS5</v>
      </c>
      <c r="O38" s="458">
        <f>ROW()</f>
        <v>38</v>
      </c>
      <c r="P38" s="459" t="str">
        <f t="shared" si="8"/>
        <v>[Region.xls]PARAMETER!Z0S6</v>
      </c>
      <c r="Q38" s="459" t="str">
        <f t="shared" si="9"/>
        <v>[Region.xls]PARAMETER!Z0S6</v>
      </c>
      <c r="S38" s="16">
        <f>COUNTIF('1.'!CW:CW,I_Region!O38)+IF(SUM(C38:F38)=0,1,0)</f>
        <v>1</v>
      </c>
    </row>
    <row r="39" spans="1:19">
      <c r="A39" s="16" t="s">
        <v>174</v>
      </c>
      <c r="B39" s="467" t="s">
        <v>1397</v>
      </c>
      <c r="C39" s="449">
        <v>6.2198983914666863</v>
      </c>
      <c r="D39" s="449">
        <v>6.5</v>
      </c>
      <c r="E39" s="449" t="s">
        <v>1398</v>
      </c>
      <c r="F39" s="449" t="s">
        <v>1399</v>
      </c>
      <c r="G39" s="449" t="s">
        <v>1400</v>
      </c>
      <c r="H39" s="449" t="s">
        <v>1401</v>
      </c>
      <c r="I39" s="16" t="str">
        <f t="shared" si="0"/>
        <v>So</v>
      </c>
      <c r="J39" s="16" t="str">
        <f t="shared" si="1"/>
        <v xml:space="preserve">65 </v>
      </c>
      <c r="K39" s="16" t="str">
        <f>"["&amp;IF(I39=$I$1,$K$1&amp;".xls]PARAMETER!Z"&amp;J39&amp;"S6",I39&amp;".xls]TEXT!Z"&amp;J39&amp;"S5")</f>
        <v>[So.xls]TEXT!Z65 S5</v>
      </c>
      <c r="L39" s="16" t="str">
        <f t="shared" si="4"/>
        <v>So</v>
      </c>
      <c r="M39" s="16" t="str">
        <f t="shared" si="5"/>
        <v xml:space="preserve">30 </v>
      </c>
      <c r="N39" s="16" t="str">
        <f>"["&amp;IF(L39=$I$1,$K$1&amp;".xls]PARAMETER!Z"&amp;M39&amp;"S6",L39&amp;".xls]TEXT!Z"&amp;M39&amp;"S5")</f>
        <v>[So.xls]TEXT!Z30 S5</v>
      </c>
      <c r="O39" s="458">
        <f>ROW()</f>
        <v>39</v>
      </c>
      <c r="P39" s="459" t="str">
        <f t="shared" si="8"/>
        <v>[Region.xls]PARAMETER!Z146S6</v>
      </c>
      <c r="Q39" s="459" t="str">
        <f t="shared" si="9"/>
        <v>[Region.xls]PARAMETER!Z147S6</v>
      </c>
      <c r="R39" s="462" t="s">
        <v>141</v>
      </c>
      <c r="S39" s="16">
        <f>COUNTIF('1.'!CW:CW,I_Region!O39)+IF(SUM(C39:F39)=0,1,0)</f>
        <v>1</v>
      </c>
    </row>
    <row r="40" spans="1:19">
      <c r="A40" s="16" t="s">
        <v>8</v>
      </c>
      <c r="B40" s="467" t="s">
        <v>1402</v>
      </c>
      <c r="C40" s="449">
        <v>3430.7545367717285</v>
      </c>
      <c r="D40" s="449">
        <v>3430.7545367717285</v>
      </c>
      <c r="E40" s="449" t="s">
        <v>1403</v>
      </c>
      <c r="F40" s="449" t="s">
        <v>1404</v>
      </c>
      <c r="G40" s="449" t="s">
        <v>1405</v>
      </c>
      <c r="H40" s="449" t="s">
        <v>1406</v>
      </c>
      <c r="I40" s="16" t="str">
        <f t="shared" si="0"/>
        <v>So</v>
      </c>
      <c r="J40" s="16" t="str">
        <f t="shared" si="1"/>
        <v xml:space="preserve">44 </v>
      </c>
      <c r="K40" s="16" t="str">
        <f>"["&amp;IF(I40=$I$1,$K$1&amp;".xls]PARAMETER!Z"&amp;J40&amp;"S6",I40&amp;".xls]TEXT!Z"&amp;J40&amp;"S5")</f>
        <v>[So.xls]TEXT!Z44 S5</v>
      </c>
      <c r="L40" s="16" t="str">
        <f t="shared" si="4"/>
        <v>So</v>
      </c>
      <c r="M40" s="16" t="str">
        <f t="shared" si="5"/>
        <v xml:space="preserve">46 </v>
      </c>
      <c r="N40" s="16" t="str">
        <f>"["&amp;IF(L40=$I$1,$K$1&amp;".xls]PARAMETER!Z"&amp;M40&amp;"S6",L40&amp;".xls]TEXT!Z"&amp;M40&amp;"S5")</f>
        <v>[So.xls]TEXT!Z46 S5</v>
      </c>
      <c r="O40" s="458">
        <f>ROW()</f>
        <v>40</v>
      </c>
      <c r="P40" s="459" t="str">
        <f t="shared" si="8"/>
        <v>[Region.xls]PARAMETER!Z153S6</v>
      </c>
      <c r="Q40" s="459" t="str">
        <f t="shared" si="9"/>
        <v>[Region.xls]PARAMETER!Z154S6</v>
      </c>
      <c r="S40" s="16">
        <f>COUNTIF('1.'!CW:CW,I_Region!O40)+IF(SUM(C40:F40)=0,1,0)</f>
        <v>1</v>
      </c>
    </row>
    <row r="41" spans="1:19">
      <c r="B41" s="54">
        <v>0</v>
      </c>
      <c r="C41" s="449">
        <v>0</v>
      </c>
      <c r="D41" s="449">
        <v>0</v>
      </c>
      <c r="E41" s="449">
        <v>0</v>
      </c>
      <c r="F41" s="449">
        <v>0</v>
      </c>
      <c r="G41" s="449">
        <v>0</v>
      </c>
      <c r="H41" s="449">
        <v>0</v>
      </c>
      <c r="O41" s="458">
        <f>ROW()</f>
        <v>41</v>
      </c>
      <c r="P41" s="459" t="str">
        <f t="shared" si="8"/>
        <v>[Region.xls]PARAMETER!Z0S6</v>
      </c>
      <c r="Q41" s="459" t="str">
        <f t="shared" si="9"/>
        <v>[Region.xls]PARAMETER!Z0S6</v>
      </c>
      <c r="S41" s="16">
        <f>COUNTIF('1.'!CW:CW,I_Region!O41)+IF(SUM(C41:F41)=0,1,0)</f>
        <v>1</v>
      </c>
    </row>
    <row r="42" spans="1:19">
      <c r="A42" s="16" t="s">
        <v>6</v>
      </c>
      <c r="B42" s="467" t="s">
        <v>1407</v>
      </c>
      <c r="C42" s="449">
        <v>93.780101608533315</v>
      </c>
      <c r="D42" s="449">
        <v>93.5</v>
      </c>
      <c r="E42" s="449" t="s">
        <v>1408</v>
      </c>
      <c r="F42" s="449" t="s">
        <v>1409</v>
      </c>
      <c r="G42" s="449" t="s">
        <v>1410</v>
      </c>
      <c r="H42" s="449" t="s">
        <v>1411</v>
      </c>
      <c r="I42" s="16" t="str">
        <f>LEFT(G42,2)</f>
        <v>So</v>
      </c>
      <c r="J42" s="16" t="str">
        <f>SUBSTITUTE(G42,I42,"")</f>
        <v xml:space="preserve">66 </v>
      </c>
      <c r="K42" s="16" t="str">
        <f>"["&amp;IF(I42=$I$1,$K$1&amp;".xls]PARAMETER!Z"&amp;J42&amp;"S6",I42&amp;".xls]TEXT!Z"&amp;J42&amp;"S5")</f>
        <v>[So.xls]TEXT!Z66 S5</v>
      </c>
      <c r="L42" s="16" t="str">
        <f>LEFT(H42,2)</f>
        <v>So</v>
      </c>
      <c r="M42" s="16" t="str">
        <f>SUBSTITUTE(H42,L42,"")</f>
        <v xml:space="preserve">31 </v>
      </c>
      <c r="N42" s="16" t="str">
        <f>"["&amp;IF(L42=$I$1,$K$1&amp;".xls]PARAMETER!Z"&amp;M42&amp;"S6",L42&amp;".xls]TEXT!Z"&amp;M42&amp;"S5")</f>
        <v>[So.xls]TEXT!Z31 S5</v>
      </c>
      <c r="O42" s="458">
        <f>ROW()</f>
        <v>42</v>
      </c>
      <c r="P42" s="459" t="str">
        <f t="shared" si="8"/>
        <v>[Region.xls]PARAMETER!Z163S6</v>
      </c>
      <c r="Q42" s="459" t="str">
        <f t="shared" si="9"/>
        <v>[Region.xls]PARAMETER!Z164S6</v>
      </c>
      <c r="S42" s="16">
        <f>COUNTIF('1.'!CW:CW,I_Region!O42)+IF(SUM(C42:F42)=0,1,0)</f>
        <v>1</v>
      </c>
    </row>
    <row r="43" spans="1:19">
      <c r="A43" s="16" t="s">
        <v>5</v>
      </c>
      <c r="B43" s="467" t="s">
        <v>1412</v>
      </c>
      <c r="C43" s="449">
        <v>1122.4999999999998</v>
      </c>
      <c r="D43" s="449">
        <v>1500</v>
      </c>
      <c r="E43" s="449" t="s">
        <v>1413</v>
      </c>
      <c r="F43" s="449" t="s">
        <v>1414</v>
      </c>
      <c r="G43" s="449" t="s">
        <v>1415</v>
      </c>
      <c r="H43" s="449" t="s">
        <v>1416</v>
      </c>
      <c r="I43" s="16" t="str">
        <f>LEFT(G43,2)</f>
        <v>So</v>
      </c>
      <c r="J43" s="16" t="str">
        <f>SUBSTITUTE(G43,I43,"")</f>
        <v xml:space="preserve">57 </v>
      </c>
      <c r="K43" s="16" t="str">
        <f>"["&amp;IF(I43=$I$1,$K$1&amp;".xls]PARAMETER!Z"&amp;J43&amp;"S6",I43&amp;".xls]TEXT!Z"&amp;J43&amp;"S5")</f>
        <v>[So.xls]TEXT!Z57 S5</v>
      </c>
      <c r="L43" s="16" t="str">
        <f>LEFT(H43,2)</f>
        <v>So</v>
      </c>
      <c r="M43" s="16" t="str">
        <f>SUBSTITUTE(H43,L43,"")</f>
        <v xml:space="preserve">56 </v>
      </c>
      <c r="N43" s="16" t="str">
        <f>"["&amp;IF(L43=$I$1,$K$1&amp;".xls]PARAMETER!Z"&amp;M43&amp;"S6",L43&amp;".xls]TEXT!Z"&amp;M43&amp;"S5")</f>
        <v>[So.xls]TEXT!Z56 S5</v>
      </c>
      <c r="O43" s="458">
        <f>ROW()</f>
        <v>43</v>
      </c>
      <c r="P43" s="459" t="str">
        <f t="shared" si="8"/>
        <v>[Region.xls]PARAMETER!Z170S6</v>
      </c>
      <c r="Q43" s="459" t="str">
        <f t="shared" si="9"/>
        <v>[Region.xls]PARAMETER!Z171S6</v>
      </c>
      <c r="S43" s="16">
        <f>COUNTIF('1.'!CW:CW,I_Region!O43)+IF(SUM(C43:F43)=0,1,0)</f>
        <v>1</v>
      </c>
    </row>
    <row r="44" spans="1:19">
      <c r="B44" s="54">
        <v>0</v>
      </c>
      <c r="C44" s="449">
        <v>0</v>
      </c>
      <c r="D44" s="449">
        <v>0</v>
      </c>
      <c r="E44" s="449">
        <v>0</v>
      </c>
      <c r="F44" s="449">
        <v>0</v>
      </c>
      <c r="G44" s="449">
        <v>0</v>
      </c>
      <c r="H44" s="449">
        <v>0</v>
      </c>
      <c r="O44" s="458">
        <f>ROW()</f>
        <v>44</v>
      </c>
      <c r="P44" s="459" t="str">
        <f t="shared" si="8"/>
        <v>[Region.xls]PARAMETER!Z0S6</v>
      </c>
      <c r="Q44" s="459" t="str">
        <f t="shared" si="9"/>
        <v>[Region.xls]PARAMETER!Z0S6</v>
      </c>
      <c r="S44" s="16">
        <f>COUNTIF('1.'!CW:CW,I_Region!O44)+IF(SUM(C44:F44)=0,1,0)</f>
        <v>1</v>
      </c>
    </row>
    <row r="45" spans="1:19">
      <c r="A45" s="16" t="s">
        <v>175</v>
      </c>
      <c r="B45" s="54">
        <v>0</v>
      </c>
      <c r="C45" s="449">
        <v>0</v>
      </c>
      <c r="D45" s="449">
        <v>0</v>
      </c>
      <c r="E45" s="449">
        <v>0</v>
      </c>
      <c r="F45" s="449">
        <v>0</v>
      </c>
      <c r="G45" s="449">
        <v>0</v>
      </c>
      <c r="H45" s="449">
        <v>0</v>
      </c>
      <c r="O45" s="458">
        <f>ROW()</f>
        <v>45</v>
      </c>
      <c r="P45" s="459" t="str">
        <f t="shared" si="8"/>
        <v>[Region.xls]PARAMETER!Z0S6</v>
      </c>
      <c r="Q45" s="459" t="str">
        <f t="shared" si="9"/>
        <v>[Region.xls]PARAMETER!Z0S6</v>
      </c>
      <c r="S45" s="16">
        <f>COUNTIF('1.'!CW:CW,I_Region!O45)+IF(SUM(C45:F45)=0,1,0)</f>
        <v>1</v>
      </c>
    </row>
    <row r="46" spans="1:19">
      <c r="A46" s="16" t="s">
        <v>176</v>
      </c>
      <c r="B46" s="467" t="s">
        <v>1417</v>
      </c>
      <c r="C46" s="449">
        <v>100</v>
      </c>
      <c r="D46" s="449">
        <v>100</v>
      </c>
      <c r="E46" s="449" t="s">
        <v>1418</v>
      </c>
      <c r="F46" s="449" t="s">
        <v>1419</v>
      </c>
      <c r="G46" s="449" t="s">
        <v>1420</v>
      </c>
      <c r="H46" s="449" t="s">
        <v>1420</v>
      </c>
      <c r="I46" s="16" t="str">
        <f>LEFT(G46,2)</f>
        <v>Wi</v>
      </c>
      <c r="J46" s="16" t="str">
        <f>SUBSTITUTE(G46,I46,"")</f>
        <v>43</v>
      </c>
      <c r="K46" s="16" t="str">
        <f>"["&amp;IF(I46=$I$1,$K$1&amp;".xls]PARAMETER!Z"&amp;J46&amp;"S6",I46&amp;".xls]TEXT!Z"&amp;J46&amp;"S5")</f>
        <v>[Wi.xls]TEXT!Z43S5</v>
      </c>
      <c r="L46" s="16" t="str">
        <f>LEFT(H46,2)</f>
        <v>Wi</v>
      </c>
      <c r="M46" s="16" t="str">
        <f>SUBSTITUTE(H46,L46,"")</f>
        <v>43</v>
      </c>
      <c r="N46" s="16" t="str">
        <f>"["&amp;IF(L46=$I$1,$K$1&amp;".xls]PARAMETER!Z"&amp;M46&amp;"S6",L46&amp;".xls]TEXT!Z"&amp;M46&amp;"S5")</f>
        <v>[Wi.xls]TEXT!Z43S5</v>
      </c>
      <c r="O46" s="458">
        <f>ROW()</f>
        <v>46</v>
      </c>
      <c r="P46" s="459" t="str">
        <f t="shared" si="8"/>
        <v>[Region.xls]PARAMETER!Z174S6</v>
      </c>
      <c r="Q46" s="459" t="str">
        <f t="shared" si="9"/>
        <v>[Region.xls]PARAMETER!Z175S6</v>
      </c>
      <c r="S46" s="16">
        <f>COUNTIF('1.'!CW:CW,I_Region!O46)+IF(SUM(C46:F46)=0,1,0)</f>
        <v>0</v>
      </c>
    </row>
    <row r="47" spans="1:19">
      <c r="A47" s="16" t="s">
        <v>5</v>
      </c>
      <c r="B47" s="467" t="s">
        <v>1421</v>
      </c>
      <c r="C47" s="449">
        <v>373.89588525952161</v>
      </c>
      <c r="D47" s="449">
        <v>448.6750623114259</v>
      </c>
      <c r="E47" s="449" t="s">
        <v>1422</v>
      </c>
      <c r="F47" s="449" t="s">
        <v>1423</v>
      </c>
      <c r="G47" s="449" t="s">
        <v>1424</v>
      </c>
      <c r="H47" s="449" t="s">
        <v>1425</v>
      </c>
      <c r="I47" s="16" t="str">
        <f>LEFT(G47,2)</f>
        <v>Wi</v>
      </c>
      <c r="J47" s="16" t="str">
        <f>SUBSTITUTE(G47,I47,"")</f>
        <v>51</v>
      </c>
      <c r="K47" s="16" t="str">
        <f>"["&amp;IF(I47=$I$1,$K$1&amp;".xls]PARAMETER!Z"&amp;J47&amp;"S6",I47&amp;".xls]TEXT!Z"&amp;J47&amp;"S5")</f>
        <v>[Wi.xls]TEXT!Z51S5</v>
      </c>
      <c r="L47" s="16" t="str">
        <f>LEFT(H47,2)</f>
        <v>Wi</v>
      </c>
      <c r="M47" s="16" t="str">
        <f>SUBSTITUTE(H47,L47,"")</f>
        <v>56</v>
      </c>
      <c r="N47" s="16" t="str">
        <f>"["&amp;IF(L47=$I$1,$K$1&amp;".xls]PARAMETER!Z"&amp;M47&amp;"S6",L47&amp;".xls]TEXT!Z"&amp;M47&amp;"S5")</f>
        <v>[Wi.xls]TEXT!Z56S5</v>
      </c>
      <c r="O47" s="458">
        <f>ROW()</f>
        <v>47</v>
      </c>
      <c r="P47" s="459" t="str">
        <f t="shared" si="8"/>
        <v>[Region.xls]PARAMETER!Z183S6</v>
      </c>
      <c r="Q47" s="459" t="str">
        <f t="shared" si="9"/>
        <v>[Region.xls]PARAMETER!Z184S6</v>
      </c>
      <c r="S47" s="16">
        <f>COUNTIF('1.'!CW:CW,I_Region!O47)+IF(SUM(C47:F47)=0,1,0)</f>
        <v>1</v>
      </c>
    </row>
    <row r="48" spans="1:19">
      <c r="B48" s="54">
        <v>0</v>
      </c>
      <c r="C48" s="449">
        <v>0</v>
      </c>
      <c r="D48" s="449">
        <v>0</v>
      </c>
      <c r="E48" s="449">
        <v>0</v>
      </c>
      <c r="F48" s="449">
        <v>0</v>
      </c>
      <c r="G48" s="449">
        <v>0</v>
      </c>
      <c r="H48" s="449">
        <v>0</v>
      </c>
      <c r="O48" s="458">
        <f>ROW()</f>
        <v>48</v>
      </c>
      <c r="P48" s="459" t="str">
        <f t="shared" si="8"/>
        <v>[Region.xls]PARAMETER!Z0S6</v>
      </c>
      <c r="Q48" s="459" t="str">
        <f t="shared" si="9"/>
        <v>[Region.xls]PARAMETER!Z0S6</v>
      </c>
      <c r="S48" s="16">
        <f>COUNTIF('1.'!CW:CW,I_Region!O48)+IF(SUM(C48:F48)=0,1,0)</f>
        <v>1</v>
      </c>
    </row>
    <row r="49" spans="1:19">
      <c r="A49" s="16" t="s">
        <v>10</v>
      </c>
      <c r="B49" s="54">
        <v>0</v>
      </c>
      <c r="C49" s="449">
        <v>0</v>
      </c>
      <c r="D49" s="449">
        <v>0</v>
      </c>
      <c r="E49" s="449">
        <v>0</v>
      </c>
      <c r="F49" s="449">
        <v>0</v>
      </c>
      <c r="G49" s="449">
        <v>0</v>
      </c>
      <c r="H49" s="449">
        <v>0</v>
      </c>
      <c r="O49" s="458">
        <f>ROW()</f>
        <v>49</v>
      </c>
      <c r="P49" s="459" t="str">
        <f t="shared" si="8"/>
        <v>[Region.xls]PARAMETER!Z0S6</v>
      </c>
      <c r="Q49" s="459" t="str">
        <f t="shared" si="9"/>
        <v>[Region.xls]PARAMETER!Z0S6</v>
      </c>
      <c r="S49" s="16">
        <f>COUNTIF('1.'!CW:CW,I_Region!O49)+IF(SUM(C49:F49)=0,1,0)</f>
        <v>1</v>
      </c>
    </row>
    <row r="50" spans="1:19">
      <c r="A50" s="16" t="s">
        <v>177</v>
      </c>
      <c r="B50" s="467" t="s">
        <v>1426</v>
      </c>
      <c r="C50" s="449">
        <v>60.857142857142854</v>
      </c>
      <c r="D50" s="449">
        <v>60.857142857142854</v>
      </c>
      <c r="E50" s="449" t="s">
        <v>1427</v>
      </c>
      <c r="F50" s="449" t="s">
        <v>1428</v>
      </c>
      <c r="G50" s="449" t="s">
        <v>1429</v>
      </c>
      <c r="H50" s="449" t="s">
        <v>1430</v>
      </c>
      <c r="I50" s="16" t="str">
        <f>LEFT(G50,2)</f>
        <v>Wa</v>
      </c>
      <c r="J50" s="16" t="str">
        <f>SUBSTITUTE(G50,I50,"")</f>
        <v xml:space="preserve">19 </v>
      </c>
      <c r="K50" s="16" t="str">
        <f>"["&amp;IF(I50=$I$1,$K$1&amp;".xls]PARAMETER!Z"&amp;J50&amp;"S6",I50&amp;".xls]TEXT!Z"&amp;J50&amp;"S5")</f>
        <v>[Wa.xls]TEXT!Z19 S5</v>
      </c>
      <c r="L50" s="16" t="str">
        <f>LEFT(H50,2)</f>
        <v>Wa</v>
      </c>
      <c r="M50" s="16" t="str">
        <f>SUBSTITUTE(H50,L50,"")</f>
        <v xml:space="preserve">20 </v>
      </c>
      <c r="N50" s="16" t="str">
        <f>"["&amp;IF(L50=$I$1,$K$1&amp;".xls]PARAMETER!Z"&amp;M50&amp;"S6",L50&amp;".xls]TEXT!Z"&amp;M50&amp;"S5")</f>
        <v>[Wa.xls]TEXT!Z20 S5</v>
      </c>
      <c r="O50" s="458">
        <f>ROW()</f>
        <v>50</v>
      </c>
      <c r="P50" s="459" t="str">
        <f t="shared" si="8"/>
        <v>[Region.xls]PARAMETER!Z199S6</v>
      </c>
      <c r="Q50" s="459" t="str">
        <f t="shared" si="9"/>
        <v>[Region.xls]PARAMETER!Z200S6</v>
      </c>
      <c r="S50" s="16">
        <f>COUNTIF('1.'!CW:CW,I_Region!O50)+IF(SUM(C50:F50)=0,1,0)</f>
        <v>1</v>
      </c>
    </row>
    <row r="51" spans="1:19">
      <c r="A51" s="16" t="s">
        <v>5</v>
      </c>
      <c r="B51" s="467" t="s">
        <v>1431</v>
      </c>
      <c r="C51" s="449">
        <v>7.3465977905631905E-2</v>
      </c>
      <c r="D51" s="449">
        <v>7.3465977905631905E-2</v>
      </c>
      <c r="E51" s="449" t="s">
        <v>1432</v>
      </c>
      <c r="F51" s="449" t="s">
        <v>1433</v>
      </c>
      <c r="G51" s="449" t="s">
        <v>1434</v>
      </c>
      <c r="H51" s="449" t="s">
        <v>1434</v>
      </c>
      <c r="I51" s="16" t="str">
        <f>LEFT(G51,2)</f>
        <v>Wa</v>
      </c>
      <c r="J51" s="16" t="str">
        <f>SUBSTITUTE(G51,I51,"")</f>
        <v xml:space="preserve">5 </v>
      </c>
      <c r="K51" s="16" t="str">
        <f>"["&amp;IF(I51=$I$1,$K$1&amp;".xls]PARAMETER!Z"&amp;J51&amp;"S6",I51&amp;".xls]TEXT!Z"&amp;J51&amp;"S5")</f>
        <v>[Wa.xls]TEXT!Z5 S5</v>
      </c>
      <c r="L51" s="16" t="str">
        <f>LEFT(H51,2)</f>
        <v>Wa</v>
      </c>
      <c r="M51" s="16" t="str">
        <f>SUBSTITUTE(H51,L51,"")</f>
        <v xml:space="preserve">5 </v>
      </c>
      <c r="N51" s="16" t="str">
        <f>"["&amp;IF(L51=$I$1,$K$1&amp;".xls]PARAMETER!Z"&amp;M51&amp;"S6",L51&amp;".xls]TEXT!Z"&amp;M51&amp;"S5")</f>
        <v>[Wa.xls]TEXT!Z5 S5</v>
      </c>
      <c r="O51" s="458">
        <f>ROW()</f>
        <v>51</v>
      </c>
      <c r="P51" s="459" t="str">
        <f t="shared" si="8"/>
        <v>[Region.xls]PARAMETER!Z204S6</v>
      </c>
      <c r="Q51" s="459" t="str">
        <f t="shared" si="9"/>
        <v>[Region.xls]PARAMETER!Z205S6</v>
      </c>
      <c r="S51" s="16">
        <f>COUNTIF('1.'!CW:CW,I_Region!O51)+IF(SUM(C51:F51)=0,1,0)</f>
        <v>1</v>
      </c>
    </row>
    <row r="52" spans="1:19">
      <c r="B52" s="54">
        <v>0</v>
      </c>
      <c r="C52" s="449">
        <v>0</v>
      </c>
      <c r="D52" s="449">
        <v>0</v>
      </c>
      <c r="E52" s="449">
        <v>0</v>
      </c>
      <c r="F52" s="449">
        <v>0</v>
      </c>
      <c r="G52" s="449">
        <v>0</v>
      </c>
      <c r="H52" s="449">
        <v>0</v>
      </c>
      <c r="O52" s="458">
        <f>ROW()</f>
        <v>52</v>
      </c>
      <c r="P52" s="459" t="str">
        <f t="shared" si="8"/>
        <v>[Region.xls]PARAMETER!Z0S6</v>
      </c>
      <c r="Q52" s="459" t="str">
        <f t="shared" si="9"/>
        <v>[Region.xls]PARAMETER!Z0S6</v>
      </c>
      <c r="S52" s="16">
        <f>COUNTIF('1.'!CW:CW,I_Region!O52)+IF(SUM(C52:F52)=0,1,0)</f>
        <v>1</v>
      </c>
    </row>
    <row r="53" spans="1:19">
      <c r="A53" s="16" t="s">
        <v>11</v>
      </c>
      <c r="B53" s="54">
        <v>0</v>
      </c>
      <c r="C53" s="449">
        <v>0</v>
      </c>
      <c r="D53" s="449">
        <v>0</v>
      </c>
      <c r="E53" s="449">
        <v>0</v>
      </c>
      <c r="F53" s="449">
        <v>0</v>
      </c>
      <c r="G53" s="449">
        <v>0</v>
      </c>
      <c r="H53" s="449">
        <v>0</v>
      </c>
      <c r="I53" s="16" t="str">
        <f t="shared" ref="I53:I59" si="10">LEFT(G53,2)</f>
        <v>0</v>
      </c>
      <c r="J53" s="16" t="str">
        <f t="shared" ref="J53:J59" si="11">SUBSTITUTE(G53,I53,"")</f>
        <v/>
      </c>
      <c r="K53" s="16" t="str">
        <f t="shared" ref="K53:K62" si="12">"["&amp;IF(I53=$I$1,$K$1&amp;".xls]PARAMETER!Z"&amp;J53&amp;"S6",I53&amp;".xls]TEXT!Z"&amp;J53&amp;"S5")</f>
        <v>[0.xls]TEXT!ZS5</v>
      </c>
      <c r="L53" s="16" t="str">
        <f t="shared" ref="L53:L59" si="13">LEFT(H53,2)</f>
        <v>0</v>
      </c>
      <c r="M53" s="16" t="str">
        <f t="shared" ref="M53:M59" si="14">SUBSTITUTE(H53,L53,"")</f>
        <v/>
      </c>
      <c r="N53" s="16" t="str">
        <f t="shared" ref="N53:N62" si="15">"["&amp;IF(L53=$I$1,$K$1&amp;".xls]PARAMETER!Z"&amp;M53&amp;"S6",L53&amp;".xls]TEXT!Z"&amp;M53&amp;"S5")</f>
        <v>[0.xls]TEXT!ZS5</v>
      </c>
      <c r="O53" s="458">
        <f>ROW()</f>
        <v>53</v>
      </c>
      <c r="P53" s="459" t="str">
        <f t="shared" si="8"/>
        <v>[Region.xls]PARAMETER!Z0S6</v>
      </c>
      <c r="Q53" s="459" t="str">
        <f t="shared" si="9"/>
        <v>[Region.xls]PARAMETER!Z0S6</v>
      </c>
      <c r="S53" s="16">
        <f>COUNTIF('1.'!CW:CW,I_Region!O53)+IF(SUM(C53:F53)=0,1,0)</f>
        <v>1</v>
      </c>
    </row>
    <row r="54" spans="1:19">
      <c r="A54" s="16" t="s">
        <v>178</v>
      </c>
      <c r="B54" s="467">
        <v>0</v>
      </c>
      <c r="C54" s="449">
        <v>35.041575718754729</v>
      </c>
      <c r="D54" s="449">
        <v>0</v>
      </c>
      <c r="E54" s="449" t="s">
        <v>1435</v>
      </c>
      <c r="F54" s="449" t="s">
        <v>1436</v>
      </c>
      <c r="G54" s="449" t="s">
        <v>1437</v>
      </c>
      <c r="H54" s="449" t="s">
        <v>1438</v>
      </c>
      <c r="I54" s="16" t="str">
        <f t="shared" si="10"/>
        <v>Ho</v>
      </c>
      <c r="J54" s="16" t="str">
        <f t="shared" si="11"/>
        <v>98</v>
      </c>
      <c r="K54" s="16" t="str">
        <f t="shared" si="12"/>
        <v>[Ho.xls]TEXT!Z98S5</v>
      </c>
      <c r="L54" s="16" t="str">
        <f t="shared" si="13"/>
        <v>Ho</v>
      </c>
      <c r="M54" s="16" t="str">
        <f t="shared" si="14"/>
        <v>36</v>
      </c>
      <c r="N54" s="16" t="str">
        <f t="shared" si="15"/>
        <v>[Ho.xls]TEXT!Z36S5</v>
      </c>
      <c r="O54" s="458">
        <f>ROW()</f>
        <v>54</v>
      </c>
      <c r="P54" s="459" t="str">
        <f t="shared" si="8"/>
        <v>[Region.xls]PARAMETER!Z225S6</v>
      </c>
      <c r="Q54" s="459" t="str">
        <f t="shared" si="9"/>
        <v>[Region.xls]PARAMETER!Z226S6</v>
      </c>
      <c r="S54" s="16">
        <f>COUNTIF('1.'!CW:CW,I_Region!O54)+IF(SUM(C54:F54)=0,1,0)</f>
        <v>6</v>
      </c>
    </row>
    <row r="55" spans="1:19">
      <c r="A55" s="16" t="s">
        <v>8</v>
      </c>
      <c r="B55" s="467" t="s">
        <v>1439</v>
      </c>
      <c r="C55" s="449">
        <v>20.168253587558315</v>
      </c>
      <c r="D55" s="449">
        <v>20.168253587558315</v>
      </c>
      <c r="E55" s="449" t="s">
        <v>1440</v>
      </c>
      <c r="F55" s="449" t="s">
        <v>1441</v>
      </c>
      <c r="G55" s="449" t="s">
        <v>1442</v>
      </c>
      <c r="H55" s="449" t="s">
        <v>1443</v>
      </c>
      <c r="I55" s="16" t="str">
        <f t="shared" si="10"/>
        <v>Ho</v>
      </c>
      <c r="J55" s="16" t="str">
        <f t="shared" si="11"/>
        <v>54</v>
      </c>
      <c r="K55" s="16" t="str">
        <f t="shared" si="12"/>
        <v>[Ho.xls]TEXT!Z54S5</v>
      </c>
      <c r="L55" s="16" t="str">
        <f t="shared" si="13"/>
        <v>Ho</v>
      </c>
      <c r="M55" s="16" t="str">
        <f t="shared" si="14"/>
        <v>55</v>
      </c>
      <c r="N55" s="16" t="str">
        <f t="shared" si="15"/>
        <v>[Ho.xls]TEXT!Z55S5</v>
      </c>
      <c r="O55" s="458">
        <f>ROW()</f>
        <v>55</v>
      </c>
      <c r="P55" s="459" t="str">
        <f t="shared" si="8"/>
        <v>[Region.xls]PARAMETER!Z231S6</v>
      </c>
      <c r="Q55" s="459" t="str">
        <f t="shared" si="9"/>
        <v>[Region.xls]PARAMETER!Z232S6</v>
      </c>
      <c r="S55" s="16">
        <f>COUNTIF('1.'!CW:CW,I_Region!O55)+IF(SUM(C55:F55)=0,1,0)</f>
        <v>1</v>
      </c>
    </row>
    <row r="56" spans="1:19">
      <c r="B56" s="54">
        <v>0</v>
      </c>
      <c r="C56" s="449">
        <v>0</v>
      </c>
      <c r="D56" s="449">
        <v>0</v>
      </c>
      <c r="E56" s="449">
        <v>0</v>
      </c>
      <c r="F56" s="449">
        <v>0</v>
      </c>
      <c r="G56" s="449">
        <v>0</v>
      </c>
      <c r="H56" s="449">
        <v>0</v>
      </c>
      <c r="I56" s="16" t="str">
        <f t="shared" si="10"/>
        <v>0</v>
      </c>
      <c r="J56" s="16" t="str">
        <f t="shared" si="11"/>
        <v/>
      </c>
      <c r="K56" s="16" t="str">
        <f t="shared" si="12"/>
        <v>[0.xls]TEXT!ZS5</v>
      </c>
      <c r="L56" s="16" t="str">
        <f t="shared" si="13"/>
        <v>0</v>
      </c>
      <c r="M56" s="16" t="str">
        <f t="shared" si="14"/>
        <v/>
      </c>
      <c r="N56" s="16" t="str">
        <f t="shared" si="15"/>
        <v>[0.xls]TEXT!ZS5</v>
      </c>
      <c r="O56" s="458">
        <f>ROW()</f>
        <v>56</v>
      </c>
      <c r="P56" s="459" t="str">
        <f t="shared" si="8"/>
        <v>[Region.xls]PARAMETER!Z0S6</v>
      </c>
      <c r="Q56" s="459" t="str">
        <f t="shared" si="9"/>
        <v>[Region.xls]PARAMETER!Z0S6</v>
      </c>
      <c r="S56" s="16">
        <f>COUNTIF('1.'!CW:CW,I_Region!O56)+IF(SUM(C56:F56)=0,1,0)</f>
        <v>1</v>
      </c>
    </row>
    <row r="57" spans="1:19">
      <c r="A57" s="16" t="s">
        <v>179</v>
      </c>
      <c r="B57" s="467">
        <v>0</v>
      </c>
      <c r="C57" s="449">
        <v>27.474353722141913</v>
      </c>
      <c r="D57" s="449">
        <v>0</v>
      </c>
      <c r="E57" s="449" t="s">
        <v>1444</v>
      </c>
      <c r="F57" s="449" t="s">
        <v>1445</v>
      </c>
      <c r="G57" s="449" t="s">
        <v>1446</v>
      </c>
      <c r="H57" s="449" t="s">
        <v>1438</v>
      </c>
      <c r="I57" s="16" t="str">
        <f t="shared" si="10"/>
        <v>Ho</v>
      </c>
      <c r="J57" s="16" t="str">
        <f t="shared" si="11"/>
        <v>97</v>
      </c>
      <c r="K57" s="16" t="str">
        <f t="shared" si="12"/>
        <v>[Ho.xls]TEXT!Z97S5</v>
      </c>
      <c r="L57" s="16" t="str">
        <f t="shared" si="13"/>
        <v>Ho</v>
      </c>
      <c r="M57" s="16" t="str">
        <f t="shared" si="14"/>
        <v>36</v>
      </c>
      <c r="N57" s="16" t="str">
        <f t="shared" si="15"/>
        <v>[Ho.xls]TEXT!Z36S5</v>
      </c>
      <c r="O57" s="458">
        <f>ROW()</f>
        <v>57</v>
      </c>
      <c r="P57" s="459" t="str">
        <f t="shared" si="8"/>
        <v>[Region.xls]PARAMETER!Z245S6</v>
      </c>
      <c r="Q57" s="459" t="str">
        <f t="shared" si="9"/>
        <v>[Region.xls]PARAMETER!Z246S6</v>
      </c>
      <c r="S57" s="16">
        <f>COUNTIF('1.'!CW:CW,I_Region!O57)+IF(SUM(C57:F57)=0,1,0)</f>
        <v>3</v>
      </c>
    </row>
    <row r="58" spans="1:19">
      <c r="A58" s="16" t="s">
        <v>5</v>
      </c>
      <c r="B58" s="467" t="s">
        <v>1447</v>
      </c>
      <c r="C58" s="449">
        <v>6.9148298014485654</v>
      </c>
      <c r="D58" s="449">
        <v>6.9148298014485654</v>
      </c>
      <c r="E58" s="449" t="s">
        <v>1448</v>
      </c>
      <c r="F58" s="449" t="s">
        <v>1449</v>
      </c>
      <c r="G58" s="449" t="s">
        <v>1450</v>
      </c>
      <c r="H58" s="449" t="s">
        <v>1451</v>
      </c>
      <c r="I58" s="16" t="str">
        <f t="shared" si="10"/>
        <v>Ho</v>
      </c>
      <c r="J58" s="16" t="str">
        <f t="shared" si="11"/>
        <v>71</v>
      </c>
      <c r="K58" s="16" t="str">
        <f t="shared" si="12"/>
        <v>[Ho.xls]TEXT!Z71S5</v>
      </c>
      <c r="L58" s="16" t="str">
        <f t="shared" si="13"/>
        <v>Ho</v>
      </c>
      <c r="M58" s="16" t="str">
        <f t="shared" si="14"/>
        <v>81</v>
      </c>
      <c r="N58" s="16" t="str">
        <f t="shared" si="15"/>
        <v>[Ho.xls]TEXT!Z81S5</v>
      </c>
      <c r="O58" s="458">
        <f>ROW()</f>
        <v>58</v>
      </c>
      <c r="P58" s="459" t="str">
        <f t="shared" si="8"/>
        <v>[Region.xls]PARAMETER!Z251S6</v>
      </c>
      <c r="Q58" s="459" t="str">
        <f t="shared" si="9"/>
        <v>[Region.xls]PARAMETER!Z252S6</v>
      </c>
      <c r="S58" s="16">
        <f>COUNTIF('1.'!CW:CW,I_Region!O58)+IF(SUM(C58:F58)=0,1,0)</f>
        <v>1</v>
      </c>
    </row>
    <row r="59" spans="1:19">
      <c r="A59" s="16" t="s">
        <v>8</v>
      </c>
      <c r="B59" s="467" t="s">
        <v>1452</v>
      </c>
      <c r="C59" s="449">
        <v>3.9952349963925049</v>
      </c>
      <c r="D59" s="449">
        <v>3.9952349963925049</v>
      </c>
      <c r="E59" s="449" t="s">
        <v>1453</v>
      </c>
      <c r="F59" s="449" t="s">
        <v>1454</v>
      </c>
      <c r="G59" s="449" t="s">
        <v>1455</v>
      </c>
      <c r="H59" s="449" t="s">
        <v>1456</v>
      </c>
      <c r="I59" s="16" t="str">
        <f t="shared" si="10"/>
        <v>Ho</v>
      </c>
      <c r="J59" s="16" t="str">
        <f t="shared" si="11"/>
        <v>74</v>
      </c>
      <c r="K59" s="16" t="str">
        <f t="shared" si="12"/>
        <v>[Ho.xls]TEXT!Z74S5</v>
      </c>
      <c r="L59" s="16" t="str">
        <f t="shared" si="13"/>
        <v>Ho</v>
      </c>
      <c r="M59" s="16" t="str">
        <f t="shared" si="14"/>
        <v>82</v>
      </c>
      <c r="N59" s="16" t="str">
        <f t="shared" si="15"/>
        <v>[Ho.xls]TEXT!Z82S5</v>
      </c>
      <c r="O59" s="458">
        <f>ROW()</f>
        <v>59</v>
      </c>
      <c r="P59" s="459" t="str">
        <f t="shared" si="8"/>
        <v>[Region.xls]PARAMETER!Z257S6</v>
      </c>
      <c r="Q59" s="459" t="str">
        <f t="shared" si="9"/>
        <v>[Region.xls]PARAMETER!Z258S6</v>
      </c>
      <c r="S59" s="16">
        <f>COUNTIF('1.'!CW:CW,I_Region!O59)+IF(SUM(C59:F59)=0,1,0)</f>
        <v>2</v>
      </c>
    </row>
    <row r="60" spans="1:19">
      <c r="B60" s="54">
        <v>0</v>
      </c>
      <c r="C60" s="449">
        <v>0</v>
      </c>
      <c r="D60" s="449">
        <v>0</v>
      </c>
      <c r="E60" s="449">
        <v>0</v>
      </c>
      <c r="F60" s="449">
        <v>0</v>
      </c>
      <c r="G60" s="449">
        <v>0</v>
      </c>
      <c r="H60" s="449">
        <v>0</v>
      </c>
      <c r="O60" s="458">
        <f>ROW()</f>
        <v>60</v>
      </c>
      <c r="P60" s="459" t="str">
        <f t="shared" si="8"/>
        <v>[Region.xls]PARAMETER!Z0S6</v>
      </c>
      <c r="Q60" s="459" t="str">
        <f t="shared" si="9"/>
        <v>[Region.xls]PARAMETER!Z0S6</v>
      </c>
      <c r="S60" s="16">
        <f>COUNTIF('1.'!CW:CW,I_Region!O60)+IF(SUM(C60:F60)=0,1,0)</f>
        <v>1</v>
      </c>
    </row>
    <row r="61" spans="1:19">
      <c r="A61" s="16" t="s">
        <v>180</v>
      </c>
      <c r="B61" s="467">
        <v>0</v>
      </c>
      <c r="C61" s="449">
        <v>10.254559182513647</v>
      </c>
      <c r="D61" s="449">
        <v>35</v>
      </c>
      <c r="E61" s="449" t="s">
        <v>1457</v>
      </c>
      <c r="F61" s="449" t="s">
        <v>1458</v>
      </c>
      <c r="G61" s="449" t="s">
        <v>1459</v>
      </c>
      <c r="H61" s="449" t="s">
        <v>1438</v>
      </c>
      <c r="I61" s="16" t="str">
        <f>LEFT(G61,2)</f>
        <v>Ho</v>
      </c>
      <c r="J61" s="16" t="str">
        <f>SUBSTITUTE(G61,I61,"")</f>
        <v>99</v>
      </c>
      <c r="K61" s="16" t="str">
        <f t="shared" si="12"/>
        <v>[Ho.xls]TEXT!Z99S5</v>
      </c>
      <c r="L61" s="16" t="str">
        <f>LEFT(H61,2)</f>
        <v>Ho</v>
      </c>
      <c r="M61" s="16" t="str">
        <f>SUBSTITUTE(H61,L61,"")</f>
        <v>36</v>
      </c>
      <c r="N61" s="16" t="str">
        <f t="shared" si="15"/>
        <v>[Ho.xls]TEXT!Z36S5</v>
      </c>
      <c r="O61" s="458">
        <f>ROW()</f>
        <v>61</v>
      </c>
      <c r="P61" s="459" t="str">
        <f t="shared" si="8"/>
        <v>[Region.xls]PARAMETER!Z235S6</v>
      </c>
      <c r="Q61" s="459" t="str">
        <f t="shared" si="9"/>
        <v>[Region.xls]PARAMETER!Z236S6</v>
      </c>
      <c r="S61" s="16">
        <f>COUNTIF('1.'!CW:CW,I_Region!O61)+IF(SUM(C61:F61)=0,1,0)</f>
        <v>48</v>
      </c>
    </row>
    <row r="62" spans="1:19">
      <c r="A62" s="16" t="s">
        <v>8</v>
      </c>
      <c r="B62" s="467" t="s">
        <v>1460</v>
      </c>
      <c r="C62" s="449">
        <v>20.168253587558315</v>
      </c>
      <c r="D62" s="449">
        <v>20.168253587558315</v>
      </c>
      <c r="E62" s="449" t="s">
        <v>1461</v>
      </c>
      <c r="F62" s="449" t="s">
        <v>1462</v>
      </c>
      <c r="G62" s="449" t="s">
        <v>1463</v>
      </c>
      <c r="H62" s="449" t="s">
        <v>1463</v>
      </c>
      <c r="I62" s="16" t="str">
        <f>LEFT(G62,2)</f>
        <v>Ho</v>
      </c>
      <c r="J62" s="16" t="str">
        <f>SUBSTITUTE(G62,I62,"")</f>
        <v>60</v>
      </c>
      <c r="K62" s="16" t="str">
        <f t="shared" si="12"/>
        <v>[Ho.xls]TEXT!Z60S5</v>
      </c>
      <c r="L62" s="16" t="str">
        <f>LEFT(H62,2)</f>
        <v>Ho</v>
      </c>
      <c r="M62" s="16" t="str">
        <f>SUBSTITUTE(H62,L62,"")</f>
        <v>60</v>
      </c>
      <c r="N62" s="16" t="str">
        <f t="shared" si="15"/>
        <v>[Ho.xls]TEXT!Z60S5</v>
      </c>
      <c r="O62" s="458">
        <f>ROW()</f>
        <v>62</v>
      </c>
      <c r="P62" s="459" t="str">
        <f t="shared" si="8"/>
        <v>[Region.xls]PARAMETER!Z241S6</v>
      </c>
      <c r="Q62" s="459" t="str">
        <f t="shared" si="9"/>
        <v>[Region.xls]PARAMETER!Z242S6</v>
      </c>
      <c r="S62" s="16">
        <f>COUNTIF('1.'!CW:CW,I_Region!O62)+IF(SUM(C62:F62)=0,1,0)</f>
        <v>0</v>
      </c>
    </row>
    <row r="63" spans="1:19">
      <c r="B63" s="54">
        <v>0</v>
      </c>
      <c r="C63" s="449">
        <v>0</v>
      </c>
      <c r="D63" s="449">
        <v>0</v>
      </c>
      <c r="E63" s="449">
        <v>0</v>
      </c>
      <c r="F63" s="449">
        <v>0</v>
      </c>
      <c r="G63" s="449">
        <v>0</v>
      </c>
      <c r="H63" s="449">
        <v>0</v>
      </c>
      <c r="O63" s="458">
        <f>ROW()</f>
        <v>63</v>
      </c>
      <c r="P63" s="459" t="str">
        <f t="shared" si="8"/>
        <v>[Region.xls]PARAMETER!Z0S6</v>
      </c>
      <c r="Q63" s="459" t="str">
        <f t="shared" si="9"/>
        <v>[Region.xls]PARAMETER!Z0S6</v>
      </c>
      <c r="S63" s="16">
        <f>COUNTIF('1.'!CW:CW,I_Region!O63)+IF(SUM(C63:F63)=0,1,0)</f>
        <v>1</v>
      </c>
    </row>
    <row r="64" spans="1:19">
      <c r="A64" s="468" t="s">
        <v>12</v>
      </c>
      <c r="B64" s="54" t="s">
        <v>1464</v>
      </c>
      <c r="C64" s="449">
        <v>0</v>
      </c>
      <c r="D64" s="449">
        <v>33.333333333333329</v>
      </c>
      <c r="E64" s="449" t="s">
        <v>1465</v>
      </c>
      <c r="F64" s="449" t="s">
        <v>1465</v>
      </c>
      <c r="G64" s="449" t="s">
        <v>1466</v>
      </c>
      <c r="H64" s="449" t="s">
        <v>1466</v>
      </c>
      <c r="I64" s="16" t="str">
        <f t="shared" ref="I64:I95" si="16">LEFT(G64,2)</f>
        <v>SR</v>
      </c>
      <c r="J64" s="16" t="str">
        <f t="shared" ref="J64:J95" si="17">SUBSTITUTE(G64,I64,"")</f>
        <v>33</v>
      </c>
      <c r="K64" s="16" t="str">
        <f>"["&amp;IF(I64=$I$1,$K$1&amp;".xls]PARAMETER!Z"&amp;J64&amp;"S6",I64&amp;".xls]TEXT!Z"&amp;J64&amp;"S5")</f>
        <v>[SR.xls]TEXT!Z33S5</v>
      </c>
      <c r="L64" s="16" t="str">
        <f t="shared" ref="L64:L95" si="18">LEFT(H64,2)</f>
        <v>SR</v>
      </c>
      <c r="M64" s="16" t="str">
        <f t="shared" ref="M64:M95" si="19">SUBSTITUTE(H64,L64,"")</f>
        <v>33</v>
      </c>
      <c r="N64" s="16" t="str">
        <f>"["&amp;IF(L64=$I$1,$K$1&amp;".xls]PARAMETER!Z"&amp;M64&amp;"S6",L64&amp;".xls]TEXT!Z"&amp;M64&amp;"S5")</f>
        <v>[SR.xls]TEXT!Z33S5</v>
      </c>
      <c r="O64" s="458">
        <f>ROW()</f>
        <v>64</v>
      </c>
      <c r="P64" s="459" t="str">
        <f t="shared" si="8"/>
        <v>[Region.xls]PARAMETER!Z261S6</v>
      </c>
      <c r="Q64" s="459" t="str">
        <f t="shared" si="9"/>
        <v>[Region.xls]PARAMETER!Z261S6</v>
      </c>
      <c r="S64" s="16">
        <f>COUNTIF('1.'!CW:CW,I_Region!O64)+IF(SUM(C64:F64)=0,1,0)</f>
        <v>0</v>
      </c>
    </row>
    <row r="65" spans="1:19">
      <c r="A65" s="468">
        <v>0</v>
      </c>
      <c r="B65" s="467" t="s">
        <v>1467</v>
      </c>
      <c r="C65" s="449">
        <v>0</v>
      </c>
      <c r="D65" s="449">
        <v>0</v>
      </c>
      <c r="E65" s="449" t="s">
        <v>1468</v>
      </c>
      <c r="F65" s="449" t="s">
        <v>1469</v>
      </c>
      <c r="G65" s="449" t="s">
        <v>1470</v>
      </c>
      <c r="H65" s="449" t="s">
        <v>1466</v>
      </c>
      <c r="I65" s="16" t="str">
        <f t="shared" si="16"/>
        <v>SR</v>
      </c>
      <c r="J65" s="16" t="str">
        <f t="shared" si="17"/>
        <v>30</v>
      </c>
      <c r="K65" s="16" t="str">
        <f t="shared" ref="K65:K73" si="20">"["&amp;IF(I65=$I$1,$K$1&amp;".xls]PARAMETER!Z"&amp;J65&amp;"S6",I65&amp;".xls]TEXT!Z"&amp;J65&amp;"S5")</f>
        <v>[SR.xls]TEXT!Z30S5</v>
      </c>
      <c r="L65" s="16" t="str">
        <f t="shared" si="18"/>
        <v>SR</v>
      </c>
      <c r="M65" s="16" t="str">
        <f t="shared" si="19"/>
        <v>33</v>
      </c>
      <c r="N65" s="16" t="str">
        <f t="shared" ref="N65:N73" si="21">"["&amp;IF(L65=$I$1,$K$1&amp;".xls]PARAMETER!Z"&amp;M65&amp;"S6",L65&amp;".xls]TEXT!Z"&amp;M65&amp;"S5")</f>
        <v>[SR.xls]TEXT!Z33S5</v>
      </c>
      <c r="O65" s="458">
        <f>ROW()</f>
        <v>65</v>
      </c>
      <c r="P65" s="459" t="str">
        <f t="shared" si="8"/>
        <v>[Region.xls]PARAMETER!Z266S6</v>
      </c>
      <c r="Q65" s="459" t="str">
        <f t="shared" si="9"/>
        <v>[Region.xls]PARAMETER!Z267S6</v>
      </c>
      <c r="S65" s="16">
        <f>COUNTIF('1.'!CW:CW,I_Region!O65)+IF(SUM(C65:F65)=0,1,0)</f>
        <v>3</v>
      </c>
    </row>
    <row r="66" spans="1:19">
      <c r="A66" s="468" t="s">
        <v>8</v>
      </c>
      <c r="B66" s="467" t="s">
        <v>1471</v>
      </c>
      <c r="C66" s="449">
        <v>20.168253587558315</v>
      </c>
      <c r="D66" s="449">
        <v>20.168253587558315</v>
      </c>
      <c r="E66" s="449" t="s">
        <v>1472</v>
      </c>
      <c r="F66" s="449" t="s">
        <v>1473</v>
      </c>
      <c r="G66" s="449" t="s">
        <v>1474</v>
      </c>
      <c r="H66" s="449" t="s">
        <v>1474</v>
      </c>
      <c r="I66" s="16" t="str">
        <f t="shared" si="16"/>
        <v>SR</v>
      </c>
      <c r="J66" s="16" t="str">
        <f t="shared" si="17"/>
        <v>50</v>
      </c>
      <c r="K66" s="16" t="str">
        <f t="shared" si="20"/>
        <v>[SR.xls]TEXT!Z50S5</v>
      </c>
      <c r="L66" s="16" t="str">
        <f t="shared" si="18"/>
        <v>SR</v>
      </c>
      <c r="M66" s="16" t="str">
        <f t="shared" si="19"/>
        <v>50</v>
      </c>
      <c r="N66" s="16" t="str">
        <f t="shared" si="21"/>
        <v>[SR.xls]TEXT!Z50S5</v>
      </c>
      <c r="O66" s="458">
        <f>ROW()</f>
        <v>66</v>
      </c>
      <c r="P66" s="459" t="str">
        <f t="shared" si="8"/>
        <v>[Region.xls]PARAMETER!Z270S6</v>
      </c>
      <c r="Q66" s="459" t="str">
        <f t="shared" si="9"/>
        <v>[Region.xls]PARAMETER!Z271S6</v>
      </c>
      <c r="S66" s="16">
        <f>COUNTIF('1.'!CW:CW,I_Region!O66)+IF(SUM(C66:F66)=0,1,0)</f>
        <v>1</v>
      </c>
    </row>
    <row r="67" spans="1:19">
      <c r="A67" s="468"/>
      <c r="B67" s="54">
        <v>0</v>
      </c>
      <c r="C67" s="449">
        <v>0</v>
      </c>
      <c r="D67" s="449">
        <v>0</v>
      </c>
      <c r="E67" s="449">
        <v>0</v>
      </c>
      <c r="F67" s="449">
        <v>0</v>
      </c>
      <c r="G67" s="449">
        <v>0</v>
      </c>
      <c r="H67" s="449">
        <v>0</v>
      </c>
      <c r="I67" s="16" t="str">
        <f t="shared" si="16"/>
        <v>0</v>
      </c>
      <c r="J67" s="16" t="str">
        <f t="shared" si="17"/>
        <v/>
      </c>
      <c r="K67" s="16" t="str">
        <f t="shared" si="20"/>
        <v>[0.xls]TEXT!ZS5</v>
      </c>
      <c r="L67" s="16" t="str">
        <f t="shared" si="18"/>
        <v>0</v>
      </c>
      <c r="M67" s="16" t="str">
        <f t="shared" si="19"/>
        <v/>
      </c>
      <c r="N67" s="16" t="str">
        <f t="shared" si="21"/>
        <v>[0.xls]TEXT!ZS5</v>
      </c>
      <c r="O67" s="458">
        <f>ROW()</f>
        <v>67</v>
      </c>
      <c r="P67" s="459" t="str">
        <f t="shared" ref="P67:P98" si="22">"["&amp;$K$1&amp;".xls]PARAMETER!Z"&amp;VALUE(E67)&amp;"S6"</f>
        <v>[Region.xls]PARAMETER!Z0S6</v>
      </c>
      <c r="Q67" s="459" t="str">
        <f t="shared" ref="Q67:Q98" si="23">"["&amp;$K$1&amp;".xls]PARAMETER!Z"&amp;VALUE(F67)&amp;"S6"</f>
        <v>[Region.xls]PARAMETER!Z0S6</v>
      </c>
      <c r="S67" s="16">
        <f>COUNTIF('1.'!CW:CW,I_Region!O67)+IF(SUM(C67:F67)=0,1,0)</f>
        <v>1</v>
      </c>
    </row>
    <row r="68" spans="1:19">
      <c r="A68" s="468" t="s">
        <v>179</v>
      </c>
      <c r="B68" s="467" t="s">
        <v>1475</v>
      </c>
      <c r="C68" s="449">
        <v>0</v>
      </c>
      <c r="D68" s="449">
        <v>0</v>
      </c>
      <c r="E68" s="449" t="s">
        <v>1476</v>
      </c>
      <c r="F68" s="449" t="s">
        <v>1477</v>
      </c>
      <c r="G68" s="449" t="s">
        <v>1470</v>
      </c>
      <c r="H68" s="449" t="s">
        <v>1470</v>
      </c>
      <c r="I68" s="16" t="str">
        <f t="shared" si="16"/>
        <v>SR</v>
      </c>
      <c r="J68" s="16" t="str">
        <f t="shared" si="17"/>
        <v>30</v>
      </c>
      <c r="K68" s="16" t="str">
        <f t="shared" si="20"/>
        <v>[SR.xls]TEXT!Z30S5</v>
      </c>
      <c r="L68" s="16" t="str">
        <f t="shared" si="18"/>
        <v>SR</v>
      </c>
      <c r="M68" s="16" t="str">
        <f t="shared" si="19"/>
        <v>30</v>
      </c>
      <c r="N68" s="16" t="str">
        <f t="shared" si="21"/>
        <v>[SR.xls]TEXT!Z30S5</v>
      </c>
      <c r="O68" s="458">
        <f>ROW()</f>
        <v>68</v>
      </c>
      <c r="P68" s="459" t="str">
        <f t="shared" si="22"/>
        <v>[Region.xls]PARAMETER!Z282S6</v>
      </c>
      <c r="Q68" s="459" t="str">
        <f t="shared" si="23"/>
        <v>[Region.xls]PARAMETER!Z283S6</v>
      </c>
      <c r="S68" s="16">
        <f>COUNTIF('1.'!CW:CW,I_Region!O68)+IF(SUM(C68:F68)=0,1,0)</f>
        <v>2</v>
      </c>
    </row>
    <row r="69" spans="1:19">
      <c r="A69" s="468" t="s">
        <v>5</v>
      </c>
      <c r="B69" s="467" t="s">
        <v>1478</v>
      </c>
      <c r="C69" s="449">
        <v>4.1284722222222223</v>
      </c>
      <c r="D69" s="449">
        <v>7.0486111111111107</v>
      </c>
      <c r="E69" s="449" t="s">
        <v>1479</v>
      </c>
      <c r="F69" s="449" t="s">
        <v>1480</v>
      </c>
      <c r="G69" s="449" t="s">
        <v>1481</v>
      </c>
      <c r="H69" s="449" t="s">
        <v>1481</v>
      </c>
      <c r="I69" s="16" t="str">
        <f t="shared" si="16"/>
        <v>SR</v>
      </c>
      <c r="J69" s="16" t="str">
        <f t="shared" si="17"/>
        <v>51</v>
      </c>
      <c r="K69" s="16" t="str">
        <f t="shared" si="20"/>
        <v>[SR.xls]TEXT!Z51S5</v>
      </c>
      <c r="L69" s="16" t="str">
        <f t="shared" si="18"/>
        <v>SR</v>
      </c>
      <c r="M69" s="16" t="str">
        <f t="shared" si="19"/>
        <v>51</v>
      </c>
      <c r="N69" s="16" t="str">
        <f t="shared" si="21"/>
        <v>[SR.xls]TEXT!Z51S5</v>
      </c>
      <c r="O69" s="458">
        <f>ROW()</f>
        <v>69</v>
      </c>
      <c r="P69" s="459" t="str">
        <f t="shared" si="22"/>
        <v>[Region.xls]PARAMETER!Z286S6</v>
      </c>
      <c r="Q69" s="459" t="str">
        <f t="shared" si="23"/>
        <v>[Region.xls]PARAMETER!Z287S6</v>
      </c>
      <c r="S69" s="16">
        <f>COUNTIF('1.'!CW:CW,I_Region!O69)+IF(SUM(C69:F69)=0,1,0)</f>
        <v>0</v>
      </c>
    </row>
    <row r="70" spans="1:19">
      <c r="A70" s="468" t="s">
        <v>8</v>
      </c>
      <c r="B70" s="467" t="s">
        <v>1482</v>
      </c>
      <c r="C70" s="449">
        <v>7.3708333333333336</v>
      </c>
      <c r="D70" s="449">
        <v>7.0486111111111107</v>
      </c>
      <c r="E70" s="449" t="s">
        <v>1483</v>
      </c>
      <c r="F70" s="449" t="s">
        <v>1484</v>
      </c>
      <c r="G70" s="449" t="s">
        <v>1470</v>
      </c>
      <c r="H70" s="449" t="s">
        <v>1470</v>
      </c>
      <c r="I70" s="16" t="str">
        <f t="shared" si="16"/>
        <v>SR</v>
      </c>
      <c r="J70" s="16" t="str">
        <f t="shared" si="17"/>
        <v>30</v>
      </c>
      <c r="K70" s="16" t="str">
        <f t="shared" si="20"/>
        <v>[SR.xls]TEXT!Z30S5</v>
      </c>
      <c r="L70" s="16" t="str">
        <f t="shared" si="18"/>
        <v>SR</v>
      </c>
      <c r="M70" s="16" t="str">
        <f t="shared" si="19"/>
        <v>30</v>
      </c>
      <c r="N70" s="16" t="str">
        <f t="shared" si="21"/>
        <v>[SR.xls]TEXT!Z30S5</v>
      </c>
      <c r="O70" s="458">
        <f>ROW()</f>
        <v>70</v>
      </c>
      <c r="P70" s="459" t="str">
        <f t="shared" si="22"/>
        <v>[Region.xls]PARAMETER!Z290S6</v>
      </c>
      <c r="Q70" s="459" t="str">
        <f t="shared" si="23"/>
        <v>[Region.xls]PARAMETER!Z291S6</v>
      </c>
      <c r="S70" s="16">
        <f>COUNTIF('1.'!CW:CW,I_Region!O70)+IF(SUM(C70:F70)=0,1,0)</f>
        <v>0</v>
      </c>
    </row>
    <row r="71" spans="1:19">
      <c r="A71" s="468"/>
      <c r="B71" s="54">
        <v>0</v>
      </c>
      <c r="C71" s="449">
        <v>0</v>
      </c>
      <c r="D71" s="449">
        <v>0</v>
      </c>
      <c r="E71" s="449">
        <v>0</v>
      </c>
      <c r="F71" s="449">
        <v>0</v>
      </c>
      <c r="G71" s="449">
        <v>0</v>
      </c>
      <c r="H71" s="449">
        <v>0</v>
      </c>
      <c r="I71" s="16" t="str">
        <f t="shared" si="16"/>
        <v>0</v>
      </c>
      <c r="J71" s="16" t="str">
        <f t="shared" si="17"/>
        <v/>
      </c>
      <c r="K71" s="16" t="str">
        <f t="shared" si="20"/>
        <v>[0.xls]TEXT!ZS5</v>
      </c>
      <c r="L71" s="16" t="str">
        <f t="shared" si="18"/>
        <v>0</v>
      </c>
      <c r="M71" s="16" t="str">
        <f t="shared" si="19"/>
        <v/>
      </c>
      <c r="N71" s="16" t="str">
        <f t="shared" si="21"/>
        <v>[0.xls]TEXT!ZS5</v>
      </c>
      <c r="O71" s="458">
        <f>ROW()</f>
        <v>71</v>
      </c>
      <c r="P71" s="459" t="str">
        <f t="shared" si="22"/>
        <v>[Region.xls]PARAMETER!Z0S6</v>
      </c>
      <c r="Q71" s="459" t="str">
        <f t="shared" si="23"/>
        <v>[Region.xls]PARAMETER!Z0S6</v>
      </c>
      <c r="S71" s="16">
        <f>COUNTIF('1.'!CW:CW,I_Region!O71)+IF(SUM(C71:F71)=0,1,0)</f>
        <v>1</v>
      </c>
    </row>
    <row r="72" spans="1:19">
      <c r="A72" s="468">
        <v>0</v>
      </c>
      <c r="B72" s="467" t="s">
        <v>1485</v>
      </c>
      <c r="C72" s="449">
        <v>0</v>
      </c>
      <c r="D72" s="449">
        <v>33</v>
      </c>
      <c r="E72" s="449" t="s">
        <v>1486</v>
      </c>
      <c r="F72" s="449" t="s">
        <v>1487</v>
      </c>
      <c r="G72" s="449" t="s">
        <v>1470</v>
      </c>
      <c r="H72" s="449" t="s">
        <v>1466</v>
      </c>
      <c r="I72" s="16" t="str">
        <f t="shared" si="16"/>
        <v>SR</v>
      </c>
      <c r="J72" s="16" t="str">
        <f t="shared" si="17"/>
        <v>30</v>
      </c>
      <c r="K72" s="16" t="str">
        <f t="shared" si="20"/>
        <v>[SR.xls]TEXT!Z30S5</v>
      </c>
      <c r="L72" s="16" t="str">
        <f t="shared" si="18"/>
        <v>SR</v>
      </c>
      <c r="M72" s="16" t="str">
        <f t="shared" si="19"/>
        <v>33</v>
      </c>
      <c r="N72" s="16" t="str">
        <f t="shared" si="21"/>
        <v>[SR.xls]TEXT!Z33S5</v>
      </c>
      <c r="O72" s="458">
        <f>ROW()</f>
        <v>72</v>
      </c>
      <c r="P72" s="459" t="str">
        <f t="shared" si="22"/>
        <v>[Region.xls]PARAMETER!Z274S6</v>
      </c>
      <c r="Q72" s="459" t="str">
        <f t="shared" si="23"/>
        <v>[Region.xls]PARAMETER!Z275S6</v>
      </c>
      <c r="S72" s="16">
        <f>COUNTIF('1.'!CW:CW,I_Region!O72)+IF(SUM(C72:F72)=0,1,0)</f>
        <v>1</v>
      </c>
    </row>
    <row r="73" spans="1:19">
      <c r="A73" s="468" t="s">
        <v>8</v>
      </c>
      <c r="B73" s="467" t="s">
        <v>1488</v>
      </c>
      <c r="C73" s="449">
        <v>20.168253587558315</v>
      </c>
      <c r="D73" s="449">
        <v>20.168253587558315</v>
      </c>
      <c r="E73" s="449" t="s">
        <v>1489</v>
      </c>
      <c r="F73" s="449" t="s">
        <v>1490</v>
      </c>
      <c r="G73" s="449" t="s">
        <v>1491</v>
      </c>
      <c r="H73" s="449" t="s">
        <v>1491</v>
      </c>
      <c r="I73" s="16" t="str">
        <f t="shared" si="16"/>
        <v>SR</v>
      </c>
      <c r="J73" s="16" t="str">
        <f t="shared" si="17"/>
        <v>53</v>
      </c>
      <c r="K73" s="16" t="str">
        <f t="shared" si="20"/>
        <v>[SR.xls]TEXT!Z53S5</v>
      </c>
      <c r="L73" s="16" t="str">
        <f t="shared" si="18"/>
        <v>SR</v>
      </c>
      <c r="M73" s="16" t="str">
        <f t="shared" si="19"/>
        <v>53</v>
      </c>
      <c r="N73" s="16" t="str">
        <f t="shared" si="21"/>
        <v>[SR.xls]TEXT!Z53S5</v>
      </c>
      <c r="O73" s="458">
        <f>ROW()</f>
        <v>73</v>
      </c>
      <c r="P73" s="459" t="str">
        <f t="shared" si="22"/>
        <v>[Region.xls]PARAMETER!Z278S6</v>
      </c>
      <c r="Q73" s="459" t="str">
        <f t="shared" si="23"/>
        <v>[Region.xls]PARAMETER!Z279S6</v>
      </c>
      <c r="S73" s="16">
        <f>COUNTIF('1.'!CW:CW,I_Region!O73)+IF(SUM(C73:F73)=0,1,0)</f>
        <v>0</v>
      </c>
    </row>
    <row r="74" spans="1:19">
      <c r="B74" s="54">
        <v>0</v>
      </c>
      <c r="C74" s="449">
        <v>0</v>
      </c>
      <c r="D74" s="449">
        <v>0</v>
      </c>
      <c r="E74" s="449">
        <v>0</v>
      </c>
      <c r="F74" s="449">
        <v>0</v>
      </c>
      <c r="G74" s="449">
        <v>0</v>
      </c>
      <c r="H74" s="449">
        <v>0</v>
      </c>
      <c r="I74" s="16" t="str">
        <f t="shared" si="16"/>
        <v>0</v>
      </c>
      <c r="J74" s="16" t="str">
        <f t="shared" si="17"/>
        <v/>
      </c>
      <c r="K74" s="16" t="str">
        <f>"["&amp;IF(I74=$I$1,$K$1&amp;".xls]PARAMETER!Z"&amp;J74&amp;"S6",I74&amp;".xls]TEXT!Z"&amp;J74&amp;"S5")</f>
        <v>[0.xls]TEXT!ZS5</v>
      </c>
      <c r="L74" s="16" t="str">
        <f t="shared" si="18"/>
        <v>0</v>
      </c>
      <c r="M74" s="16" t="str">
        <f t="shared" si="19"/>
        <v/>
      </c>
      <c r="N74" s="16" t="str">
        <f>"["&amp;IF(L74=$I$1,$K$1&amp;".xls]PARAMETER!Z"&amp;M74&amp;"S6",L74&amp;".xls]TEXT!Z"&amp;M74&amp;"S5")</f>
        <v>[0.xls]TEXT!ZS5</v>
      </c>
      <c r="O74" s="458">
        <f>ROW()</f>
        <v>74</v>
      </c>
      <c r="P74" s="459" t="str">
        <f t="shared" si="22"/>
        <v>[Region.xls]PARAMETER!Z0S6</v>
      </c>
      <c r="Q74" s="459" t="str">
        <f t="shared" si="23"/>
        <v>[Region.xls]PARAMETER!Z0S6</v>
      </c>
      <c r="S74" s="16">
        <f>COUNTIF('1.'!CW:CW,I_Region!O74)+IF(SUM(C74:F74)=0,1,0)</f>
        <v>1</v>
      </c>
    </row>
    <row r="75" spans="1:19">
      <c r="A75" s="469" t="s">
        <v>181</v>
      </c>
      <c r="B75" s="437">
        <v>0</v>
      </c>
      <c r="C75" s="448">
        <v>0</v>
      </c>
      <c r="D75" s="448">
        <v>0</v>
      </c>
      <c r="E75" s="448">
        <v>0</v>
      </c>
      <c r="F75" s="448">
        <v>0</v>
      </c>
      <c r="G75" s="448">
        <v>0</v>
      </c>
      <c r="H75" s="448">
        <v>0</v>
      </c>
      <c r="I75" s="144" t="str">
        <f t="shared" si="16"/>
        <v>0</v>
      </c>
      <c r="J75" s="144" t="str">
        <f t="shared" si="17"/>
        <v/>
      </c>
      <c r="K75" s="144" t="str">
        <f>"["&amp;IF(I75=$I$1,$K$1&amp;".xls]PARAMETER!Z"&amp;J75&amp;"S6",I75&amp;".xls]TEXT!Z"&amp;J75&amp;"S5")</f>
        <v>[0.xls]TEXT!ZS5</v>
      </c>
      <c r="L75" s="144" t="str">
        <f t="shared" si="18"/>
        <v>0</v>
      </c>
      <c r="M75" s="144" t="str">
        <f t="shared" si="19"/>
        <v/>
      </c>
      <c r="N75" s="144" t="str">
        <f>"["&amp;IF(L75=$I$1,$K$1&amp;".xls]PARAMETER!Z"&amp;M75&amp;"S6",L75&amp;".xls]TEXT!Z"&amp;M75&amp;"S5")</f>
        <v>[0.xls]TEXT!ZS5</v>
      </c>
      <c r="O75" s="458">
        <f>ROW()</f>
        <v>75</v>
      </c>
      <c r="P75" s="459" t="str">
        <f t="shared" si="22"/>
        <v>[Region.xls]PARAMETER!Z0S6</v>
      </c>
      <c r="Q75" s="459" t="str">
        <f t="shared" si="23"/>
        <v>[Region.xls]PARAMETER!Z0S6</v>
      </c>
      <c r="S75" s="16">
        <f>COUNTIF('1.'!CW:CW,I_Region!O75)+IF(SUM(C75:F75)=0,1,0)</f>
        <v>1</v>
      </c>
    </row>
    <row r="76" spans="1:19">
      <c r="A76" s="16" t="s">
        <v>182</v>
      </c>
      <c r="B76" s="467" t="s">
        <v>1492</v>
      </c>
      <c r="C76" s="449">
        <v>0</v>
      </c>
      <c r="D76" s="449">
        <v>0</v>
      </c>
      <c r="E76" s="449" t="s">
        <v>1493</v>
      </c>
      <c r="F76" s="449" t="s">
        <v>1494</v>
      </c>
      <c r="G76" s="449" t="s">
        <v>1495</v>
      </c>
      <c r="H76" s="449" t="s">
        <v>1496</v>
      </c>
      <c r="I76" s="16" t="str">
        <f t="shared" si="16"/>
        <v>EP</v>
      </c>
      <c r="J76" s="16" t="str">
        <f t="shared" si="17"/>
        <v>80</v>
      </c>
      <c r="K76" s="16" t="str">
        <f>"["&amp;IF(I76=$I$1,$K$1&amp;".xls]PARAMETER!Z"&amp;J76&amp;"S6",I76&amp;".xls]TEXT!Z"&amp;J76&amp;"S5")</f>
        <v>[EP.xls]TEXT!Z80S5</v>
      </c>
      <c r="L76" s="16" t="str">
        <f t="shared" si="18"/>
        <v>EP</v>
      </c>
      <c r="M76" s="16" t="str">
        <f t="shared" si="19"/>
        <v>79</v>
      </c>
      <c r="N76" s="16" t="str">
        <f>"["&amp;IF(L76=$I$1,$K$1&amp;".xls]PARAMETER!Z"&amp;M76&amp;"S6",L76&amp;".xls]TEXT!Z"&amp;M76&amp;"S5")</f>
        <v>[EP.xls]TEXT!Z79S5</v>
      </c>
      <c r="O76" s="458">
        <f>ROW()</f>
        <v>76</v>
      </c>
      <c r="P76" s="459" t="str">
        <f t="shared" si="22"/>
        <v>[Region.xls]PARAMETER!Z299S6</v>
      </c>
      <c r="Q76" s="459" t="str">
        <f t="shared" si="23"/>
        <v>[Region.xls]PARAMETER!Z300S6</v>
      </c>
      <c r="S76" s="16">
        <f>COUNTIF('1.'!CW:CW,I_Region!O76)+IF(SUM(C76:F76)=0,1,0)</f>
        <v>2</v>
      </c>
    </row>
    <row r="77" spans="1:19">
      <c r="A77" s="16" t="s">
        <v>8</v>
      </c>
      <c r="B77" s="467" t="s">
        <v>1497</v>
      </c>
      <c r="C77" s="449">
        <v>41.6</v>
      </c>
      <c r="D77" s="449">
        <v>25</v>
      </c>
      <c r="E77" s="449" t="s">
        <v>1498</v>
      </c>
      <c r="F77" s="449" t="s">
        <v>1499</v>
      </c>
      <c r="G77" s="449" t="s">
        <v>1500</v>
      </c>
      <c r="H77" s="449" t="s">
        <v>1500</v>
      </c>
      <c r="I77" s="16" t="str">
        <f t="shared" si="16"/>
        <v>EP</v>
      </c>
      <c r="J77" s="16" t="str">
        <f t="shared" si="17"/>
        <v>68</v>
      </c>
      <c r="K77" s="16" t="str">
        <f>"["&amp;IF(I77=$I$1,$K$1&amp;".xls]PARAMETER!Z"&amp;J77&amp;"S6",I77&amp;".xls]TEXT!Z"&amp;J77&amp;"S5")</f>
        <v>[EP.xls]TEXT!Z68S5</v>
      </c>
      <c r="L77" s="16" t="str">
        <f t="shared" si="18"/>
        <v>EP</v>
      </c>
      <c r="M77" s="16" t="str">
        <f t="shared" si="19"/>
        <v>68</v>
      </c>
      <c r="N77" s="16" t="str">
        <f>"["&amp;IF(L77=$I$1,$K$1&amp;".xls]PARAMETER!Z"&amp;M77&amp;"S6",L77&amp;".xls]TEXT!Z"&amp;M77&amp;"S5")</f>
        <v>[EP.xls]TEXT!Z68S5</v>
      </c>
      <c r="O77" s="458">
        <f>ROW()</f>
        <v>77</v>
      </c>
      <c r="P77" s="459" t="str">
        <f t="shared" si="22"/>
        <v>[Region.xls]PARAMETER!Z303S6</v>
      </c>
      <c r="Q77" s="459" t="str">
        <f t="shared" si="23"/>
        <v>[Region.xls]PARAMETER!Z304S6</v>
      </c>
      <c r="S77" s="16">
        <f>COUNTIF('1.'!CW:CW,I_Region!O77)+IF(SUM(C77:F77)=0,1,0)</f>
        <v>1</v>
      </c>
    </row>
    <row r="78" spans="1:19">
      <c r="B78" s="467" t="s">
        <v>1501</v>
      </c>
      <c r="C78" s="449">
        <v>130.5</v>
      </c>
      <c r="D78" s="449">
        <v>0</v>
      </c>
      <c r="E78" s="449" t="s">
        <v>1502</v>
      </c>
      <c r="F78" s="449" t="s">
        <v>1503</v>
      </c>
      <c r="G78" s="449" t="s">
        <v>1495</v>
      </c>
      <c r="H78" s="449" t="s">
        <v>1496</v>
      </c>
      <c r="I78" s="16" t="str">
        <f t="shared" si="16"/>
        <v>EP</v>
      </c>
      <c r="J78" s="16" t="str">
        <f t="shared" si="17"/>
        <v>80</v>
      </c>
      <c r="K78" s="16" t="str">
        <f t="shared" ref="K78:K141" si="24">"["&amp;IF(I78=$I$1,$K$1&amp;".xls]PARAMETER!Z"&amp;J78&amp;"S6",I78&amp;".xls]TEXT!Z"&amp;J78&amp;"S5")</f>
        <v>[EP.xls]TEXT!Z80S5</v>
      </c>
      <c r="L78" s="16" t="str">
        <f t="shared" si="18"/>
        <v>EP</v>
      </c>
      <c r="M78" s="16" t="str">
        <f t="shared" si="19"/>
        <v>79</v>
      </c>
      <c r="N78" s="16" t="str">
        <f t="shared" ref="N78:N141" si="25">"["&amp;IF(L78=$I$1,$K$1&amp;".xls]PARAMETER!Z"&amp;M78&amp;"S6",L78&amp;".xls]TEXT!Z"&amp;M78&amp;"S5")</f>
        <v>[EP.xls]TEXT!Z79S5</v>
      </c>
      <c r="O78" s="458">
        <f>ROW()</f>
        <v>78</v>
      </c>
      <c r="P78" s="459" t="str">
        <f t="shared" si="22"/>
        <v>[Region.xls]PARAMETER!Z307S6</v>
      </c>
      <c r="Q78" s="459" t="str">
        <f t="shared" si="23"/>
        <v>[Region.xls]PARAMETER!Z308S6</v>
      </c>
      <c r="S78" s="16">
        <f>COUNTIF('1.'!CW:CW,I_Region!O78)+IF(SUM(C78:F78)=0,1,0)</f>
        <v>1</v>
      </c>
    </row>
    <row r="79" spans="1:19">
      <c r="A79" s="16" t="s">
        <v>5</v>
      </c>
      <c r="B79" s="467" t="s">
        <v>1504</v>
      </c>
      <c r="C79" s="449">
        <v>18.572418572418574</v>
      </c>
      <c r="D79" s="449">
        <v>9.2862092862092869</v>
      </c>
      <c r="E79" s="449" t="s">
        <v>1505</v>
      </c>
      <c r="F79" s="449" t="s">
        <v>1506</v>
      </c>
      <c r="G79" s="449" t="s">
        <v>1507</v>
      </c>
      <c r="H79" s="449" t="s">
        <v>1508</v>
      </c>
      <c r="I79" s="16" t="str">
        <f t="shared" si="16"/>
        <v>EP</v>
      </c>
      <c r="J79" s="16" t="str">
        <f t="shared" si="17"/>
        <v>72</v>
      </c>
      <c r="K79" s="16" t="str">
        <f t="shared" si="24"/>
        <v>[EP.xls]TEXT!Z72S5</v>
      </c>
      <c r="L79" s="16" t="str">
        <f t="shared" si="18"/>
        <v>EP</v>
      </c>
      <c r="M79" s="16" t="str">
        <f t="shared" si="19"/>
        <v>73</v>
      </c>
      <c r="N79" s="16" t="str">
        <f t="shared" si="25"/>
        <v>[EP.xls]TEXT!Z73S5</v>
      </c>
      <c r="O79" s="458">
        <f>ROW()</f>
        <v>79</v>
      </c>
      <c r="P79" s="459" t="str">
        <f t="shared" si="22"/>
        <v>[Region.xls]PARAMETER!Z311S6</v>
      </c>
      <c r="Q79" s="459" t="str">
        <f t="shared" si="23"/>
        <v>[Region.xls]PARAMETER!Z312S6</v>
      </c>
      <c r="S79" s="16">
        <f>COUNTIF('1.'!CW:CW,I_Region!O79)+IF(SUM(C79:F79)=0,1,0)</f>
        <v>1</v>
      </c>
    </row>
    <row r="80" spans="1:19">
      <c r="A80" s="16" t="s">
        <v>8</v>
      </c>
      <c r="B80" s="467" t="s">
        <v>1509</v>
      </c>
      <c r="C80" s="449">
        <v>9.061542932510676</v>
      </c>
      <c r="D80" s="449">
        <v>4.530771466255338</v>
      </c>
      <c r="E80" s="449" t="s">
        <v>1510</v>
      </c>
      <c r="F80" s="449" t="s">
        <v>1511</v>
      </c>
      <c r="G80" s="449" t="s">
        <v>1507</v>
      </c>
      <c r="H80" s="449" t="s">
        <v>1508</v>
      </c>
      <c r="I80" s="16" t="str">
        <f t="shared" si="16"/>
        <v>EP</v>
      </c>
      <c r="J80" s="16" t="str">
        <f t="shared" si="17"/>
        <v>72</v>
      </c>
      <c r="K80" s="16" t="str">
        <f t="shared" si="24"/>
        <v>[EP.xls]TEXT!Z72S5</v>
      </c>
      <c r="L80" s="16" t="str">
        <f t="shared" si="18"/>
        <v>EP</v>
      </c>
      <c r="M80" s="16" t="str">
        <f t="shared" si="19"/>
        <v>73</v>
      </c>
      <c r="N80" s="16" t="str">
        <f t="shared" si="25"/>
        <v>[EP.xls]TEXT!Z73S5</v>
      </c>
      <c r="O80" s="458">
        <f>ROW()</f>
        <v>80</v>
      </c>
      <c r="P80" s="459" t="str">
        <f t="shared" si="22"/>
        <v>[Region.xls]PARAMETER!Z315S6</v>
      </c>
      <c r="Q80" s="459" t="str">
        <f t="shared" si="23"/>
        <v>[Region.xls]PARAMETER!Z316S6</v>
      </c>
      <c r="S80" s="16">
        <f>COUNTIF('1.'!CW:CW,I_Region!O80)+IF(SUM(C80:F80)=0,1,0)</f>
        <v>1</v>
      </c>
    </row>
    <row r="81" spans="1:19">
      <c r="B81" s="467" t="s">
        <v>1512</v>
      </c>
      <c r="C81" s="449">
        <v>0.3344139493893995</v>
      </c>
      <c r="D81" s="449">
        <v>130.83441394938939</v>
      </c>
      <c r="E81" s="449" t="s">
        <v>1513</v>
      </c>
      <c r="F81" s="449" t="s">
        <v>1514</v>
      </c>
      <c r="G81" s="449" t="s">
        <v>1495</v>
      </c>
      <c r="H81" s="449" t="s">
        <v>1496</v>
      </c>
      <c r="I81" s="16" t="str">
        <f t="shared" si="16"/>
        <v>EP</v>
      </c>
      <c r="J81" s="16" t="str">
        <f t="shared" si="17"/>
        <v>80</v>
      </c>
      <c r="K81" s="16" t="str">
        <f t="shared" si="24"/>
        <v>[EP.xls]TEXT!Z80S5</v>
      </c>
      <c r="L81" s="16" t="str">
        <f t="shared" si="18"/>
        <v>EP</v>
      </c>
      <c r="M81" s="16" t="str">
        <f t="shared" si="19"/>
        <v>79</v>
      </c>
      <c r="N81" s="16" t="str">
        <f t="shared" si="25"/>
        <v>[EP.xls]TEXT!Z79S5</v>
      </c>
      <c r="O81" s="458">
        <f>ROW()</f>
        <v>81</v>
      </c>
      <c r="P81" s="459" t="str">
        <f t="shared" si="22"/>
        <v>[Region.xls]PARAMETER!Z319S6</v>
      </c>
      <c r="Q81" s="459" t="str">
        <f t="shared" si="23"/>
        <v>[Region.xls]PARAMETER!Z320S6</v>
      </c>
      <c r="S81" s="16">
        <f>COUNTIF('1.'!CW:CW,I_Region!O81)+IF(SUM(C81:F81)=0,1,0)</f>
        <v>2</v>
      </c>
    </row>
    <row r="82" spans="1:19">
      <c r="A82" s="16" t="s">
        <v>7</v>
      </c>
      <c r="B82" s="467" t="s">
        <v>1515</v>
      </c>
      <c r="C82" s="449">
        <v>39.103999999999999</v>
      </c>
      <c r="D82" s="449">
        <v>19.552</v>
      </c>
      <c r="E82" s="449" t="s">
        <v>1516</v>
      </c>
      <c r="F82" s="449" t="s">
        <v>1517</v>
      </c>
      <c r="G82" s="449" t="s">
        <v>1518</v>
      </c>
      <c r="H82" s="449" t="s">
        <v>1518</v>
      </c>
      <c r="I82" s="16" t="str">
        <f t="shared" si="16"/>
        <v>EP</v>
      </c>
      <c r="J82" s="16" t="str">
        <f t="shared" si="17"/>
        <v>76</v>
      </c>
      <c r="K82" s="16" t="str">
        <f t="shared" si="24"/>
        <v>[EP.xls]TEXT!Z76S5</v>
      </c>
      <c r="L82" s="16" t="str">
        <f t="shared" si="18"/>
        <v>EP</v>
      </c>
      <c r="M82" s="16" t="str">
        <f t="shared" si="19"/>
        <v>76</v>
      </c>
      <c r="N82" s="16" t="str">
        <f t="shared" si="25"/>
        <v>[EP.xls]TEXT!Z76S5</v>
      </c>
      <c r="O82" s="458">
        <f>ROW()</f>
        <v>82</v>
      </c>
      <c r="P82" s="459" t="str">
        <f t="shared" si="22"/>
        <v>[Region.xls]PARAMETER!Z323S6</v>
      </c>
      <c r="Q82" s="459" t="str">
        <f t="shared" si="23"/>
        <v>[Region.xls]PARAMETER!Z324S6</v>
      </c>
      <c r="S82" s="16">
        <f>COUNTIF('1.'!CW:CW,I_Region!O82)+IF(SUM(C82:F82)=0,1,0)</f>
        <v>2</v>
      </c>
    </row>
    <row r="83" spans="1:19">
      <c r="B83" s="54">
        <v>0</v>
      </c>
      <c r="C83" s="449">
        <v>0</v>
      </c>
      <c r="D83" s="449">
        <v>0</v>
      </c>
      <c r="E83" s="449">
        <v>0</v>
      </c>
      <c r="F83" s="449">
        <v>0</v>
      </c>
      <c r="G83" s="449">
        <v>0</v>
      </c>
      <c r="H83" s="449">
        <v>0</v>
      </c>
      <c r="I83" s="16" t="str">
        <f t="shared" si="16"/>
        <v>0</v>
      </c>
      <c r="J83" s="16" t="str">
        <f t="shared" si="17"/>
        <v/>
      </c>
      <c r="K83" s="16" t="str">
        <f t="shared" si="24"/>
        <v>[0.xls]TEXT!ZS5</v>
      </c>
      <c r="L83" s="16" t="str">
        <f t="shared" si="18"/>
        <v>0</v>
      </c>
      <c r="M83" s="16" t="str">
        <f t="shared" si="19"/>
        <v/>
      </c>
      <c r="N83" s="16" t="str">
        <f t="shared" si="25"/>
        <v>[0.xls]TEXT!ZS5</v>
      </c>
      <c r="O83" s="458">
        <f>ROW()</f>
        <v>83</v>
      </c>
      <c r="P83" s="459" t="str">
        <f t="shared" si="22"/>
        <v>[Region.xls]PARAMETER!Z0S6</v>
      </c>
      <c r="Q83" s="459" t="str">
        <f t="shared" si="23"/>
        <v>[Region.xls]PARAMETER!Z0S6</v>
      </c>
      <c r="S83" s="16">
        <f>COUNTIF('1.'!CW:CW,I_Region!O83)+IF(SUM(C83:F83)=0,1,0)</f>
        <v>1</v>
      </c>
    </row>
    <row r="84" spans="1:19">
      <c r="A84" s="144" t="s">
        <v>183</v>
      </c>
      <c r="B84" s="470" t="s">
        <v>1519</v>
      </c>
      <c r="C84" s="448">
        <v>0</v>
      </c>
      <c r="D84" s="448">
        <v>0</v>
      </c>
      <c r="E84" s="448" t="s">
        <v>1520</v>
      </c>
      <c r="F84" s="448" t="s">
        <v>1521</v>
      </c>
      <c r="G84" s="448" t="s">
        <v>859</v>
      </c>
      <c r="H84" s="448" t="s">
        <v>859</v>
      </c>
      <c r="I84" s="144" t="str">
        <f t="shared" si="16"/>
        <v/>
      </c>
      <c r="J84" s="144" t="str">
        <f t="shared" si="17"/>
        <v/>
      </c>
      <c r="K84" s="144" t="str">
        <f t="shared" si="24"/>
        <v>[.xls]TEXT!ZS5</v>
      </c>
      <c r="L84" s="144" t="str">
        <f t="shared" si="18"/>
        <v/>
      </c>
      <c r="M84" s="144" t="str">
        <f t="shared" si="19"/>
        <v/>
      </c>
      <c r="N84" s="144" t="str">
        <f t="shared" si="25"/>
        <v>[.xls]TEXT!ZS5</v>
      </c>
      <c r="O84" s="458">
        <f>ROW()</f>
        <v>84</v>
      </c>
      <c r="P84" s="459" t="str">
        <f t="shared" si="22"/>
        <v>[Region.xls]PARAMETER!Z326S6</v>
      </c>
      <c r="Q84" s="459" t="str">
        <f t="shared" si="23"/>
        <v>[Region.xls]PARAMETER!Z327S6</v>
      </c>
      <c r="S84" s="16">
        <f>COUNTIF('1.'!CW:CW,I_Region!O84)+IF(SUM(C84:F84)=0,1,0)</f>
        <v>1</v>
      </c>
    </row>
    <row r="85" spans="1:19">
      <c r="A85" s="144" t="s">
        <v>184</v>
      </c>
      <c r="B85" s="470" t="s">
        <v>1522</v>
      </c>
      <c r="C85" s="448">
        <v>0</v>
      </c>
      <c r="D85" s="448">
        <v>0</v>
      </c>
      <c r="E85" s="448" t="s">
        <v>1523</v>
      </c>
      <c r="F85" s="448" t="s">
        <v>1524</v>
      </c>
      <c r="G85" s="448" t="s">
        <v>859</v>
      </c>
      <c r="H85" s="448" t="s">
        <v>859</v>
      </c>
      <c r="I85" s="144" t="str">
        <f t="shared" si="16"/>
        <v/>
      </c>
      <c r="J85" s="144" t="str">
        <f t="shared" si="17"/>
        <v/>
      </c>
      <c r="K85" s="144" t="str">
        <f t="shared" si="24"/>
        <v>[.xls]TEXT!ZS5</v>
      </c>
      <c r="L85" s="144" t="str">
        <f t="shared" si="18"/>
        <v/>
      </c>
      <c r="M85" s="144" t="str">
        <f t="shared" si="19"/>
        <v/>
      </c>
      <c r="N85" s="144" t="str">
        <f t="shared" si="25"/>
        <v>[.xls]TEXT!ZS5</v>
      </c>
      <c r="O85" s="458">
        <f>ROW()</f>
        <v>85</v>
      </c>
      <c r="P85" s="459" t="str">
        <f t="shared" si="22"/>
        <v>[Region.xls]PARAMETER!Z330S6</v>
      </c>
      <c r="Q85" s="459" t="str">
        <f t="shared" si="23"/>
        <v>[Region.xls]PARAMETER!Z331S6</v>
      </c>
      <c r="S85" s="16">
        <f>COUNTIF('1.'!CW:CW,I_Region!O85)+IF(SUM(C85:F85)=0,1,0)</f>
        <v>1</v>
      </c>
    </row>
    <row r="86" spans="1:19">
      <c r="B86" s="54">
        <v>0</v>
      </c>
      <c r="C86" s="449">
        <v>0</v>
      </c>
      <c r="D86" s="449">
        <v>0</v>
      </c>
      <c r="E86" s="449">
        <v>0</v>
      </c>
      <c r="F86" s="449">
        <v>0</v>
      </c>
      <c r="G86" s="449">
        <v>0</v>
      </c>
      <c r="H86" s="449">
        <v>0</v>
      </c>
      <c r="I86" s="16" t="str">
        <f t="shared" si="16"/>
        <v>0</v>
      </c>
      <c r="J86" s="16" t="str">
        <f t="shared" si="17"/>
        <v/>
      </c>
      <c r="K86" s="16" t="str">
        <f t="shared" si="24"/>
        <v>[0.xls]TEXT!ZS5</v>
      </c>
      <c r="L86" s="16" t="str">
        <f t="shared" si="18"/>
        <v>0</v>
      </c>
      <c r="M86" s="16" t="str">
        <f t="shared" si="19"/>
        <v/>
      </c>
      <c r="N86" s="16" t="str">
        <f t="shared" si="25"/>
        <v>[0.xls]TEXT!ZS5</v>
      </c>
      <c r="O86" s="458">
        <f>ROW()</f>
        <v>86</v>
      </c>
      <c r="P86" s="459" t="str">
        <f t="shared" si="22"/>
        <v>[Region.xls]PARAMETER!Z0S6</v>
      </c>
      <c r="Q86" s="459" t="str">
        <f t="shared" si="23"/>
        <v>[Region.xls]PARAMETER!Z0S6</v>
      </c>
      <c r="S86" s="16">
        <f>COUNTIF('1.'!CW:CW,I_Region!O86)+IF(SUM(C86:F86)=0,1,0)</f>
        <v>1</v>
      </c>
    </row>
    <row r="87" spans="1:19">
      <c r="A87" s="144" t="s">
        <v>185</v>
      </c>
      <c r="B87" s="470" t="s">
        <v>1525</v>
      </c>
      <c r="C87" s="448">
        <v>0</v>
      </c>
      <c r="D87" s="448">
        <v>0</v>
      </c>
      <c r="E87" s="448" t="s">
        <v>1526</v>
      </c>
      <c r="F87" s="448" t="s">
        <v>1527</v>
      </c>
      <c r="G87" s="448" t="s">
        <v>859</v>
      </c>
      <c r="H87" s="448" t="s">
        <v>859</v>
      </c>
      <c r="I87" s="144" t="str">
        <f t="shared" si="16"/>
        <v/>
      </c>
      <c r="J87" s="144" t="str">
        <f t="shared" si="17"/>
        <v/>
      </c>
      <c r="K87" s="144" t="str">
        <f t="shared" si="24"/>
        <v>[.xls]TEXT!ZS5</v>
      </c>
      <c r="L87" s="144" t="str">
        <f t="shared" si="18"/>
        <v/>
      </c>
      <c r="M87" s="144" t="str">
        <f t="shared" si="19"/>
        <v/>
      </c>
      <c r="N87" s="144" t="str">
        <f t="shared" si="25"/>
        <v>[.xls]TEXT!ZS5</v>
      </c>
      <c r="O87" s="458">
        <f>ROW()</f>
        <v>87</v>
      </c>
      <c r="P87" s="459" t="str">
        <f t="shared" si="22"/>
        <v>[Region.xls]PARAMETER!Z333S6</v>
      </c>
      <c r="Q87" s="459" t="str">
        <f t="shared" si="23"/>
        <v>[Region.xls]PARAMETER!Z334S6</v>
      </c>
      <c r="S87" s="16">
        <f>COUNTIF('1.'!CW:CW,I_Region!O87)+IF(SUM(C87:F87)=0,1,0)</f>
        <v>1</v>
      </c>
    </row>
    <row r="88" spans="1:19">
      <c r="A88" s="144" t="s">
        <v>186</v>
      </c>
      <c r="B88" s="470" t="s">
        <v>1528</v>
      </c>
      <c r="C88" s="448">
        <v>0</v>
      </c>
      <c r="D88" s="448">
        <v>0</v>
      </c>
      <c r="E88" s="448" t="s">
        <v>1529</v>
      </c>
      <c r="F88" s="448" t="s">
        <v>1530</v>
      </c>
      <c r="G88" s="448" t="s">
        <v>859</v>
      </c>
      <c r="H88" s="448" t="s">
        <v>859</v>
      </c>
      <c r="I88" s="144" t="str">
        <f t="shared" si="16"/>
        <v/>
      </c>
      <c r="J88" s="144" t="str">
        <f t="shared" si="17"/>
        <v/>
      </c>
      <c r="K88" s="144" t="str">
        <f t="shared" si="24"/>
        <v>[.xls]TEXT!ZS5</v>
      </c>
      <c r="L88" s="144" t="str">
        <f t="shared" si="18"/>
        <v/>
      </c>
      <c r="M88" s="144" t="str">
        <f t="shared" si="19"/>
        <v/>
      </c>
      <c r="N88" s="144" t="str">
        <f t="shared" si="25"/>
        <v>[.xls]TEXT!ZS5</v>
      </c>
      <c r="O88" s="458">
        <f>ROW()</f>
        <v>88</v>
      </c>
      <c r="P88" s="459" t="str">
        <f t="shared" si="22"/>
        <v>[Region.xls]PARAMETER!Z337S6</v>
      </c>
      <c r="Q88" s="459" t="str">
        <f t="shared" si="23"/>
        <v>[Region.xls]PARAMETER!Z338S6</v>
      </c>
      <c r="S88" s="16">
        <f>COUNTIF('1.'!CW:CW,I_Region!O88)+IF(SUM(C88:F88)=0,1,0)</f>
        <v>1</v>
      </c>
    </row>
    <row r="89" spans="1:19">
      <c r="B89" s="54">
        <v>0</v>
      </c>
      <c r="C89" s="449">
        <v>0</v>
      </c>
      <c r="D89" s="449">
        <v>0</v>
      </c>
      <c r="E89" s="449">
        <v>0</v>
      </c>
      <c r="F89" s="449">
        <v>0</v>
      </c>
      <c r="G89" s="449">
        <v>0</v>
      </c>
      <c r="H89" s="449">
        <v>0</v>
      </c>
      <c r="I89" s="16" t="str">
        <f t="shared" si="16"/>
        <v>0</v>
      </c>
      <c r="J89" s="16" t="str">
        <f t="shared" si="17"/>
        <v/>
      </c>
      <c r="K89" s="16" t="str">
        <f t="shared" si="24"/>
        <v>[0.xls]TEXT!ZS5</v>
      </c>
      <c r="L89" s="16" t="str">
        <f t="shared" si="18"/>
        <v>0</v>
      </c>
      <c r="M89" s="16" t="str">
        <f t="shared" si="19"/>
        <v/>
      </c>
      <c r="N89" s="16" t="str">
        <f t="shared" si="25"/>
        <v>[0.xls]TEXT!ZS5</v>
      </c>
      <c r="O89" s="458">
        <f>ROW()</f>
        <v>89</v>
      </c>
      <c r="P89" s="459" t="str">
        <f t="shared" si="22"/>
        <v>[Region.xls]PARAMETER!Z0S6</v>
      </c>
      <c r="Q89" s="459" t="str">
        <f t="shared" si="23"/>
        <v>[Region.xls]PARAMETER!Z0S6</v>
      </c>
      <c r="S89" s="16">
        <f>COUNTIF('1.'!CW:CW,I_Region!O89)+IF(SUM(C89:F89)=0,1,0)</f>
        <v>1</v>
      </c>
    </row>
    <row r="90" spans="1:19">
      <c r="A90" s="16" t="s">
        <v>187</v>
      </c>
      <c r="B90" s="54">
        <v>0</v>
      </c>
      <c r="C90" s="449">
        <v>0</v>
      </c>
      <c r="D90" s="449">
        <v>0</v>
      </c>
      <c r="E90" s="449">
        <v>0</v>
      </c>
      <c r="F90" s="449">
        <v>0</v>
      </c>
      <c r="G90" s="449">
        <v>0</v>
      </c>
      <c r="H90" s="449">
        <v>0</v>
      </c>
      <c r="I90" s="16" t="str">
        <f t="shared" si="16"/>
        <v>0</v>
      </c>
      <c r="J90" s="16" t="str">
        <f t="shared" si="17"/>
        <v/>
      </c>
      <c r="K90" s="16" t="str">
        <f t="shared" si="24"/>
        <v>[0.xls]TEXT!ZS5</v>
      </c>
      <c r="L90" s="16" t="str">
        <f t="shared" si="18"/>
        <v>0</v>
      </c>
      <c r="M90" s="16" t="str">
        <f t="shared" si="19"/>
        <v/>
      </c>
      <c r="N90" s="16" t="str">
        <f t="shared" si="25"/>
        <v>[0.xls]TEXT!ZS5</v>
      </c>
      <c r="O90" s="458">
        <f>ROW()</f>
        <v>90</v>
      </c>
      <c r="P90" s="459" t="str">
        <f t="shared" si="22"/>
        <v>[Region.xls]PARAMETER!Z0S6</v>
      </c>
      <c r="Q90" s="459" t="str">
        <f t="shared" si="23"/>
        <v>[Region.xls]PARAMETER!Z0S6</v>
      </c>
      <c r="S90" s="16">
        <f>COUNTIF('1.'!CW:CW,I_Region!O90)+IF(SUM(C90:F90)=0,1,0)</f>
        <v>1</v>
      </c>
    </row>
    <row r="91" spans="1:19">
      <c r="A91" s="16" t="s">
        <v>188</v>
      </c>
      <c r="B91" s="467" t="s">
        <v>1531</v>
      </c>
      <c r="C91" s="449">
        <v>172.54432197590052</v>
      </c>
      <c r="D91" s="449">
        <v>100</v>
      </c>
      <c r="E91" s="449" t="s">
        <v>1532</v>
      </c>
      <c r="F91" s="449" t="s">
        <v>1533</v>
      </c>
      <c r="G91" s="449" t="s">
        <v>1534</v>
      </c>
      <c r="H91" s="449" t="s">
        <v>1534</v>
      </c>
      <c r="I91" s="16" t="str">
        <f t="shared" si="16"/>
        <v>EP</v>
      </c>
      <c r="J91" s="16" t="str">
        <f t="shared" si="17"/>
        <v>101</v>
      </c>
      <c r="K91" s="16" t="str">
        <f t="shared" si="24"/>
        <v>[EP.xls]TEXT!Z101S5</v>
      </c>
      <c r="L91" s="16" t="str">
        <f t="shared" si="18"/>
        <v>EP</v>
      </c>
      <c r="M91" s="16" t="str">
        <f t="shared" si="19"/>
        <v>101</v>
      </c>
      <c r="N91" s="16" t="str">
        <f t="shared" si="25"/>
        <v>[EP.xls]TEXT!Z101S5</v>
      </c>
      <c r="O91" s="458">
        <f>ROW()</f>
        <v>91</v>
      </c>
      <c r="P91" s="459" t="str">
        <f t="shared" si="22"/>
        <v>[Region.xls]PARAMETER!Z349S6</v>
      </c>
      <c r="Q91" s="459" t="str">
        <f t="shared" si="23"/>
        <v>[Region.xls]PARAMETER!Z350S6</v>
      </c>
      <c r="S91" s="16">
        <f>COUNTIF('1.'!CW:CW,I_Region!O91)+IF(SUM(C91:F91)=0,1,0)</f>
        <v>2</v>
      </c>
    </row>
    <row r="92" spans="1:19">
      <c r="A92" s="16" t="s">
        <v>9</v>
      </c>
      <c r="B92" s="467" t="s">
        <v>1535</v>
      </c>
      <c r="C92" s="449">
        <v>15.637500000000003</v>
      </c>
      <c r="D92" s="449">
        <v>7.8187500000000014</v>
      </c>
      <c r="E92" s="449" t="s">
        <v>1536</v>
      </c>
      <c r="F92" s="449" t="s">
        <v>1537</v>
      </c>
      <c r="G92" s="449" t="s">
        <v>1538</v>
      </c>
      <c r="H92" s="449" t="s">
        <v>1538</v>
      </c>
      <c r="I92" s="16" t="str">
        <f t="shared" si="16"/>
        <v>EP</v>
      </c>
      <c r="J92" s="16" t="str">
        <f t="shared" si="17"/>
        <v>92</v>
      </c>
      <c r="K92" s="16" t="str">
        <f t="shared" si="24"/>
        <v>[EP.xls]TEXT!Z92S5</v>
      </c>
      <c r="L92" s="16" t="str">
        <f t="shared" si="18"/>
        <v>EP</v>
      </c>
      <c r="M92" s="16" t="str">
        <f t="shared" si="19"/>
        <v>92</v>
      </c>
      <c r="N92" s="16" t="str">
        <f t="shared" si="25"/>
        <v>[EP.xls]TEXT!Z92S5</v>
      </c>
      <c r="O92" s="458">
        <f>ROW()</f>
        <v>92</v>
      </c>
      <c r="P92" s="459" t="str">
        <f t="shared" si="22"/>
        <v>[Region.xls]PARAMETER!Z353S6</v>
      </c>
      <c r="Q92" s="459" t="str">
        <f t="shared" si="23"/>
        <v>[Region.xls]PARAMETER!Z354S6</v>
      </c>
      <c r="S92" s="16">
        <f>COUNTIF('1.'!CW:CW,I_Region!O92)+IF(SUM(C92:F92)=0,1,0)</f>
        <v>2</v>
      </c>
    </row>
    <row r="93" spans="1:19">
      <c r="B93" s="467" t="s">
        <v>1539</v>
      </c>
      <c r="C93" s="449">
        <v>12.205065678142512</v>
      </c>
      <c r="D93" s="449">
        <v>0</v>
      </c>
      <c r="E93" s="449" t="s">
        <v>1540</v>
      </c>
      <c r="F93" s="449" t="s">
        <v>1541</v>
      </c>
      <c r="G93" s="449" t="s">
        <v>859</v>
      </c>
      <c r="H93" s="449" t="s">
        <v>859</v>
      </c>
      <c r="I93" s="16" t="str">
        <f t="shared" si="16"/>
        <v/>
      </c>
      <c r="J93" s="16" t="str">
        <f t="shared" si="17"/>
        <v/>
      </c>
      <c r="K93" s="16" t="str">
        <f t="shared" si="24"/>
        <v>[.xls]TEXT!ZS5</v>
      </c>
      <c r="L93" s="16" t="str">
        <f t="shared" si="18"/>
        <v/>
      </c>
      <c r="M93" s="16" t="str">
        <f t="shared" si="19"/>
        <v/>
      </c>
      <c r="N93" s="16" t="str">
        <f t="shared" si="25"/>
        <v>[.xls]TEXT!ZS5</v>
      </c>
      <c r="O93" s="458">
        <f>ROW()</f>
        <v>93</v>
      </c>
      <c r="P93" s="459" t="str">
        <f t="shared" si="22"/>
        <v>[Region.xls]PARAMETER!Z359S6</v>
      </c>
      <c r="Q93" s="459" t="str">
        <f t="shared" si="23"/>
        <v>[Region.xls]PARAMETER!Z360S6</v>
      </c>
      <c r="S93" s="16">
        <f>COUNTIF('1.'!CW:CW,I_Region!O93)+IF(SUM(C93:F93)=0,1,0)</f>
        <v>1</v>
      </c>
    </row>
    <row r="94" spans="1:19">
      <c r="A94" s="16" t="s">
        <v>5</v>
      </c>
      <c r="B94" s="467" t="s">
        <v>1542</v>
      </c>
      <c r="C94" s="449">
        <v>4.691250000000001</v>
      </c>
      <c r="D94" s="449">
        <v>2.7365625000000007</v>
      </c>
      <c r="E94" s="449" t="s">
        <v>1543</v>
      </c>
      <c r="F94" s="449" t="s">
        <v>1544</v>
      </c>
      <c r="G94" s="449" t="s">
        <v>1545</v>
      </c>
      <c r="H94" s="449" t="s">
        <v>1545</v>
      </c>
      <c r="I94" s="16" t="str">
        <f t="shared" si="16"/>
        <v>EP</v>
      </c>
      <c r="J94" s="16" t="str">
        <f t="shared" si="17"/>
        <v>95</v>
      </c>
      <c r="K94" s="16" t="str">
        <f t="shared" si="24"/>
        <v>[EP.xls]TEXT!Z95S5</v>
      </c>
      <c r="L94" s="16" t="str">
        <f t="shared" si="18"/>
        <v>EP</v>
      </c>
      <c r="M94" s="16" t="str">
        <f t="shared" si="19"/>
        <v>95</v>
      </c>
      <c r="N94" s="16" t="str">
        <f t="shared" si="25"/>
        <v>[EP.xls]TEXT!Z95S5</v>
      </c>
      <c r="O94" s="458">
        <f>ROW()</f>
        <v>94</v>
      </c>
      <c r="P94" s="459" t="str">
        <f t="shared" si="22"/>
        <v>[Region.xls]PARAMETER!Z363S6</v>
      </c>
      <c r="Q94" s="459" t="str">
        <f t="shared" si="23"/>
        <v>[Region.xls]PARAMETER!Z364S6</v>
      </c>
      <c r="S94" s="16">
        <f>COUNTIF('1.'!CW:CW,I_Region!O94)+IF(SUM(C94:F94)=0,1,0)</f>
        <v>1</v>
      </c>
    </row>
    <row r="95" spans="1:19">
      <c r="A95" s="16" t="s">
        <v>8</v>
      </c>
      <c r="B95" s="467" t="s">
        <v>1546</v>
      </c>
      <c r="C95" s="449">
        <v>5.6295000000000002</v>
      </c>
      <c r="D95" s="449">
        <v>3.5184375000000006</v>
      </c>
      <c r="E95" s="449" t="s">
        <v>1547</v>
      </c>
      <c r="F95" s="449" t="s">
        <v>1548</v>
      </c>
      <c r="G95" s="449" t="s">
        <v>1549</v>
      </c>
      <c r="H95" s="449" t="s">
        <v>1549</v>
      </c>
      <c r="I95" s="16" t="str">
        <f t="shared" si="16"/>
        <v>EP</v>
      </c>
      <c r="J95" s="16" t="str">
        <f t="shared" si="17"/>
        <v>96</v>
      </c>
      <c r="K95" s="16" t="str">
        <f t="shared" si="24"/>
        <v>[EP.xls]TEXT!Z96S5</v>
      </c>
      <c r="L95" s="16" t="str">
        <f t="shared" si="18"/>
        <v>EP</v>
      </c>
      <c r="M95" s="16" t="str">
        <f t="shared" si="19"/>
        <v>96</v>
      </c>
      <c r="N95" s="16" t="str">
        <f t="shared" si="25"/>
        <v>[EP.xls]TEXT!Z96S5</v>
      </c>
      <c r="O95" s="458">
        <f>ROW()</f>
        <v>95</v>
      </c>
      <c r="P95" s="459" t="str">
        <f t="shared" si="22"/>
        <v>[Region.xls]PARAMETER!Z367S6</v>
      </c>
      <c r="Q95" s="459" t="str">
        <f t="shared" si="23"/>
        <v>[Region.xls]PARAMETER!Z368S6</v>
      </c>
      <c r="S95" s="16">
        <f>COUNTIF('1.'!CW:CW,I_Region!O95)+IF(SUM(C95:F95)=0,1,0)</f>
        <v>1</v>
      </c>
    </row>
    <row r="96" spans="1:19">
      <c r="B96" s="54">
        <v>0</v>
      </c>
      <c r="C96" s="449">
        <v>0</v>
      </c>
      <c r="D96" s="449">
        <v>0</v>
      </c>
      <c r="E96" s="449">
        <v>0</v>
      </c>
      <c r="F96" s="449">
        <v>0</v>
      </c>
      <c r="G96" s="449">
        <v>0</v>
      </c>
      <c r="H96" s="449">
        <v>0</v>
      </c>
      <c r="I96" s="16" t="str">
        <f t="shared" ref="I96:I127" si="26">LEFT(G96,2)</f>
        <v>0</v>
      </c>
      <c r="J96" s="16" t="str">
        <f t="shared" ref="J96:J127" si="27">SUBSTITUTE(G96,I96,"")</f>
        <v/>
      </c>
      <c r="K96" s="16" t="str">
        <f t="shared" si="24"/>
        <v>[0.xls]TEXT!ZS5</v>
      </c>
      <c r="L96" s="16" t="str">
        <f t="shared" ref="L96:L127" si="28">LEFT(H96,2)</f>
        <v>0</v>
      </c>
      <c r="M96" s="16" t="str">
        <f t="shared" ref="M96:M127" si="29">SUBSTITUTE(H96,L96,"")</f>
        <v/>
      </c>
      <c r="N96" s="16" t="str">
        <f t="shared" si="25"/>
        <v>[0.xls]TEXT!ZS5</v>
      </c>
      <c r="O96" s="458">
        <f>ROW()</f>
        <v>96</v>
      </c>
      <c r="P96" s="459" t="str">
        <f t="shared" si="22"/>
        <v>[Region.xls]PARAMETER!Z0S6</v>
      </c>
      <c r="Q96" s="459" t="str">
        <f t="shared" si="23"/>
        <v>[Region.xls]PARAMETER!Z0S6</v>
      </c>
      <c r="S96" s="16">
        <f>COUNTIF('1.'!CW:CW,I_Region!O96)+IF(SUM(C96:F96)=0,1,0)</f>
        <v>1</v>
      </c>
    </row>
    <row r="97" spans="1:19">
      <c r="A97" s="16" t="s">
        <v>189</v>
      </c>
      <c r="B97" s="54">
        <v>0</v>
      </c>
      <c r="C97" s="449">
        <v>0</v>
      </c>
      <c r="D97" s="449">
        <v>0</v>
      </c>
      <c r="E97" s="449">
        <v>0</v>
      </c>
      <c r="F97" s="449">
        <v>0</v>
      </c>
      <c r="G97" s="449">
        <v>0</v>
      </c>
      <c r="H97" s="449">
        <v>0</v>
      </c>
      <c r="I97" s="16" t="str">
        <f t="shared" si="26"/>
        <v>0</v>
      </c>
      <c r="J97" s="16" t="str">
        <f t="shared" si="27"/>
        <v/>
      </c>
      <c r="K97" s="16" t="str">
        <f t="shared" si="24"/>
        <v>[0.xls]TEXT!ZS5</v>
      </c>
      <c r="L97" s="16" t="str">
        <f t="shared" si="28"/>
        <v>0</v>
      </c>
      <c r="M97" s="16" t="str">
        <f t="shared" si="29"/>
        <v/>
      </c>
      <c r="N97" s="16" t="str">
        <f t="shared" si="25"/>
        <v>[0.xls]TEXT!ZS5</v>
      </c>
      <c r="O97" s="458">
        <f>ROW()</f>
        <v>97</v>
      </c>
      <c r="P97" s="459" t="str">
        <f t="shared" si="22"/>
        <v>[Region.xls]PARAMETER!Z0S6</v>
      </c>
      <c r="Q97" s="459" t="str">
        <f t="shared" si="23"/>
        <v>[Region.xls]PARAMETER!Z0S6</v>
      </c>
      <c r="S97" s="16">
        <f>COUNTIF('1.'!CW:CW,I_Region!O97)+IF(SUM(C97:F97)=0,1,0)</f>
        <v>1</v>
      </c>
    </row>
    <row r="98" spans="1:19">
      <c r="A98" s="16" t="s">
        <v>190</v>
      </c>
      <c r="B98" s="467" t="s">
        <v>1550</v>
      </c>
      <c r="C98" s="449">
        <v>0.19840027920192257</v>
      </c>
      <c r="D98" s="449">
        <v>4.25</v>
      </c>
      <c r="E98" s="449" t="s">
        <v>1551</v>
      </c>
      <c r="F98" s="449" t="s">
        <v>1552</v>
      </c>
      <c r="G98" s="449" t="s">
        <v>1553</v>
      </c>
      <c r="H98" s="449" t="s">
        <v>1554</v>
      </c>
      <c r="I98" s="16" t="str">
        <f t="shared" si="26"/>
        <v>UG</v>
      </c>
      <c r="J98" s="16" t="str">
        <f t="shared" si="27"/>
        <v>28</v>
      </c>
      <c r="K98" s="16" t="str">
        <f t="shared" si="24"/>
        <v>[UG.xls]TEXT!Z28S5</v>
      </c>
      <c r="L98" s="16" t="str">
        <f t="shared" si="28"/>
        <v>UG</v>
      </c>
      <c r="M98" s="16" t="str">
        <f t="shared" si="29"/>
        <v>31</v>
      </c>
      <c r="N98" s="16" t="str">
        <f t="shared" si="25"/>
        <v>[UG.xls]TEXT!Z31S5</v>
      </c>
      <c r="O98" s="458">
        <f>ROW()</f>
        <v>98</v>
      </c>
      <c r="P98" s="459" t="str">
        <f t="shared" si="22"/>
        <v>[Region.xls]PARAMETER!Z373S6</v>
      </c>
      <c r="Q98" s="459" t="str">
        <f t="shared" si="23"/>
        <v>[Region.xls]PARAMETER!Z374S6</v>
      </c>
      <c r="S98" s="16">
        <f>COUNTIF('1.'!CW:CW,I_Region!O98)+IF(SUM(C98:F98)=0,1,0)</f>
        <v>0</v>
      </c>
    </row>
    <row r="99" spans="1:19">
      <c r="A99" s="16" t="s">
        <v>8</v>
      </c>
      <c r="B99" s="467" t="s">
        <v>1555</v>
      </c>
      <c r="C99" s="449">
        <v>1500</v>
      </c>
      <c r="D99" s="449">
        <v>1500</v>
      </c>
      <c r="E99" s="449" t="s">
        <v>1556</v>
      </c>
      <c r="F99" s="449" t="s">
        <v>1557</v>
      </c>
      <c r="G99" s="449" t="s">
        <v>1558</v>
      </c>
      <c r="H99" s="449" t="s">
        <v>1559</v>
      </c>
      <c r="I99" s="16" t="str">
        <f t="shared" si="26"/>
        <v>UG</v>
      </c>
      <c r="J99" s="16" t="str">
        <f t="shared" si="27"/>
        <v>40</v>
      </c>
      <c r="K99" s="16" t="str">
        <f t="shared" si="24"/>
        <v>[UG.xls]TEXT!Z40S5</v>
      </c>
      <c r="L99" s="16" t="str">
        <f t="shared" si="28"/>
        <v>UG</v>
      </c>
      <c r="M99" s="16" t="str">
        <f t="shared" si="29"/>
        <v>44</v>
      </c>
      <c r="N99" s="16" t="str">
        <f t="shared" si="25"/>
        <v>[UG.xls]TEXT!Z44S5</v>
      </c>
      <c r="O99" s="458">
        <f>ROW()</f>
        <v>99</v>
      </c>
      <c r="P99" s="459" t="str">
        <f t="shared" ref="P99:P130" si="30">"["&amp;$K$1&amp;".xls]PARAMETER!Z"&amp;VALUE(E99)&amp;"S6"</f>
        <v>[Region.xls]PARAMETER!Z385S6</v>
      </c>
      <c r="Q99" s="459" t="str">
        <f t="shared" ref="Q99:Q130" si="31">"["&amp;$K$1&amp;".xls]PARAMETER!Z"&amp;VALUE(F99)&amp;"S6"</f>
        <v>[Region.xls]PARAMETER!Z386S6</v>
      </c>
      <c r="S99" s="16">
        <f>COUNTIF('1.'!CW:CW,I_Region!O99)+IF(SUM(C99:F99)=0,1,0)</f>
        <v>1</v>
      </c>
    </row>
    <row r="100" spans="1:19">
      <c r="B100" s="467" t="s">
        <v>1560</v>
      </c>
      <c r="C100" s="449">
        <v>-500</v>
      </c>
      <c r="D100" s="449">
        <v>-500</v>
      </c>
      <c r="E100" s="449" t="s">
        <v>1561</v>
      </c>
      <c r="F100" s="449" t="s">
        <v>1562</v>
      </c>
      <c r="G100" s="449" t="s">
        <v>1558</v>
      </c>
      <c r="H100" s="449" t="s">
        <v>1559</v>
      </c>
      <c r="I100" s="16" t="str">
        <f t="shared" si="26"/>
        <v>UG</v>
      </c>
      <c r="J100" s="16" t="str">
        <f t="shared" si="27"/>
        <v>40</v>
      </c>
      <c r="K100" s="16" t="str">
        <f t="shared" si="24"/>
        <v>[UG.xls]TEXT!Z40S5</v>
      </c>
      <c r="L100" s="16" t="str">
        <f t="shared" si="28"/>
        <v>UG</v>
      </c>
      <c r="M100" s="16" t="str">
        <f t="shared" si="29"/>
        <v>44</v>
      </c>
      <c r="N100" s="16" t="str">
        <f t="shared" si="25"/>
        <v>[UG.xls]TEXT!Z44S5</v>
      </c>
      <c r="O100" s="458">
        <f>ROW()</f>
        <v>100</v>
      </c>
      <c r="P100" s="459" t="str">
        <f t="shared" si="30"/>
        <v>[Region.xls]PARAMETER!Z389S6</v>
      </c>
      <c r="Q100" s="459" t="str">
        <f t="shared" si="31"/>
        <v>[Region.xls]PARAMETER!Z390S6</v>
      </c>
      <c r="S100" s="16">
        <f>COUNTIF('1.'!CW:CW,I_Region!O100)+IF(SUM(C100:F100)=0,1,0)</f>
        <v>4</v>
      </c>
    </row>
    <row r="101" spans="1:19">
      <c r="A101" s="16" t="s">
        <v>191</v>
      </c>
      <c r="B101" s="54">
        <v>0</v>
      </c>
      <c r="C101" s="449">
        <v>0</v>
      </c>
      <c r="D101" s="449">
        <v>0</v>
      </c>
      <c r="E101" s="449">
        <v>0</v>
      </c>
      <c r="F101" s="449">
        <v>0</v>
      </c>
      <c r="G101" s="449">
        <v>0</v>
      </c>
      <c r="H101" s="449">
        <v>0</v>
      </c>
      <c r="I101" s="16" t="str">
        <f t="shared" si="26"/>
        <v>0</v>
      </c>
      <c r="J101" s="16" t="str">
        <f t="shared" si="27"/>
        <v/>
      </c>
      <c r="K101" s="16" t="str">
        <f t="shared" si="24"/>
        <v>[0.xls]TEXT!ZS5</v>
      </c>
      <c r="L101" s="16" t="str">
        <f t="shared" si="28"/>
        <v>0</v>
      </c>
      <c r="M101" s="16" t="str">
        <f t="shared" si="29"/>
        <v/>
      </c>
      <c r="N101" s="16" t="str">
        <f t="shared" si="25"/>
        <v>[0.xls]TEXT!ZS5</v>
      </c>
      <c r="O101" s="458">
        <f>ROW()</f>
        <v>101</v>
      </c>
      <c r="P101" s="459" t="str">
        <f t="shared" si="30"/>
        <v>[Region.xls]PARAMETER!Z0S6</v>
      </c>
      <c r="Q101" s="459" t="str">
        <f t="shared" si="31"/>
        <v>[Region.xls]PARAMETER!Z0S6</v>
      </c>
      <c r="S101" s="16">
        <f>COUNTIF('1.'!CW:CW,I_Region!O101)+IF(SUM(C101:F101)=0,1,0)</f>
        <v>1</v>
      </c>
    </row>
    <row r="102" spans="1:19">
      <c r="A102" s="16" t="s">
        <v>192</v>
      </c>
      <c r="B102" s="467" t="s">
        <v>1563</v>
      </c>
      <c r="C102" s="449">
        <v>0</v>
      </c>
      <c r="D102" s="449">
        <v>0</v>
      </c>
      <c r="E102" s="449" t="s">
        <v>1564</v>
      </c>
      <c r="F102" s="449" t="s">
        <v>1565</v>
      </c>
      <c r="G102" s="449" t="s">
        <v>859</v>
      </c>
      <c r="H102" s="449" t="s">
        <v>859</v>
      </c>
      <c r="I102" s="16" t="str">
        <f t="shared" si="26"/>
        <v/>
      </c>
      <c r="J102" s="16" t="str">
        <f t="shared" si="27"/>
        <v/>
      </c>
      <c r="K102" s="16" t="str">
        <f t="shared" si="24"/>
        <v>[.xls]TEXT!ZS5</v>
      </c>
      <c r="L102" s="16" t="str">
        <f t="shared" si="28"/>
        <v/>
      </c>
      <c r="M102" s="16" t="str">
        <f t="shared" si="29"/>
        <v/>
      </c>
      <c r="N102" s="16" t="str">
        <f t="shared" si="25"/>
        <v>[.xls]TEXT!ZS5</v>
      </c>
      <c r="O102" s="458">
        <f>ROW()</f>
        <v>102</v>
      </c>
      <c r="P102" s="459" t="str">
        <f t="shared" si="30"/>
        <v>[Region.xls]PARAMETER!Z400S6</v>
      </c>
      <c r="Q102" s="459" t="str">
        <f t="shared" si="31"/>
        <v>[Region.xls]PARAMETER!Z401S6</v>
      </c>
      <c r="S102" s="16">
        <f>COUNTIF('1.'!CW:CW,I_Region!O102)+IF(SUM(C102:F102)=0,1,0)</f>
        <v>2</v>
      </c>
    </row>
    <row r="103" spans="1:19">
      <c r="A103" s="16" t="s">
        <v>8</v>
      </c>
      <c r="B103" s="467" t="s">
        <v>1566</v>
      </c>
      <c r="C103" s="449">
        <v>3.3112799999999996</v>
      </c>
      <c r="D103" s="449">
        <v>3.8631599999999997</v>
      </c>
      <c r="E103" s="449" t="s">
        <v>1567</v>
      </c>
      <c r="F103" s="449" t="s">
        <v>1568</v>
      </c>
      <c r="G103" s="449" t="s">
        <v>1569</v>
      </c>
      <c r="H103" s="449" t="s">
        <v>1569</v>
      </c>
      <c r="I103" s="16" t="str">
        <f t="shared" si="26"/>
        <v>UG</v>
      </c>
      <c r="J103" s="16" t="str">
        <f t="shared" si="27"/>
        <v>93</v>
      </c>
      <c r="K103" s="16" t="str">
        <f t="shared" si="24"/>
        <v>[UG.xls]TEXT!Z93S5</v>
      </c>
      <c r="L103" s="16" t="str">
        <f t="shared" si="28"/>
        <v>UG</v>
      </c>
      <c r="M103" s="16" t="str">
        <f t="shared" si="29"/>
        <v>93</v>
      </c>
      <c r="N103" s="16" t="str">
        <f t="shared" si="25"/>
        <v>[UG.xls]TEXT!Z93S5</v>
      </c>
      <c r="O103" s="458">
        <f>ROW()</f>
        <v>103</v>
      </c>
      <c r="P103" s="459" t="str">
        <f t="shared" si="30"/>
        <v>[Region.xls]PARAMETER!Z404S6</v>
      </c>
      <c r="Q103" s="459" t="str">
        <f t="shared" si="31"/>
        <v>[Region.xls]PARAMETER!Z405S6</v>
      </c>
      <c r="S103" s="16">
        <f>COUNTIF('1.'!CW:CW,I_Region!O103)+IF(SUM(C103:F103)=0,1,0)</f>
        <v>1</v>
      </c>
    </row>
    <row r="104" spans="1:19">
      <c r="B104" s="54">
        <v>0</v>
      </c>
      <c r="C104" s="449">
        <v>0</v>
      </c>
      <c r="D104" s="449">
        <v>0</v>
      </c>
      <c r="E104" s="449">
        <v>0</v>
      </c>
      <c r="F104" s="449">
        <v>0</v>
      </c>
      <c r="G104" s="449">
        <v>0</v>
      </c>
      <c r="H104" s="449">
        <v>0</v>
      </c>
      <c r="I104" s="16" t="str">
        <f t="shared" si="26"/>
        <v>0</v>
      </c>
      <c r="J104" s="16" t="str">
        <f t="shared" si="27"/>
        <v/>
      </c>
      <c r="K104" s="16" t="str">
        <f t="shared" si="24"/>
        <v>[0.xls]TEXT!ZS5</v>
      </c>
      <c r="L104" s="16" t="str">
        <f t="shared" si="28"/>
        <v>0</v>
      </c>
      <c r="M104" s="16" t="str">
        <f t="shared" si="29"/>
        <v/>
      </c>
      <c r="N104" s="16" t="str">
        <f t="shared" si="25"/>
        <v>[0.xls]TEXT!ZS5</v>
      </c>
      <c r="O104" s="458">
        <f>ROW()</f>
        <v>104</v>
      </c>
      <c r="P104" s="459" t="str">
        <f t="shared" si="30"/>
        <v>[Region.xls]PARAMETER!Z0S6</v>
      </c>
      <c r="Q104" s="459" t="str">
        <f t="shared" si="31"/>
        <v>[Region.xls]PARAMETER!Z0S6</v>
      </c>
      <c r="S104" s="16">
        <f>COUNTIF('1.'!CW:CW,I_Region!O104)+IF(SUM(C104:F104)=0,1,0)</f>
        <v>1</v>
      </c>
    </row>
    <row r="105" spans="1:19">
      <c r="A105" s="16" t="s">
        <v>179</v>
      </c>
      <c r="B105" s="467" t="s">
        <v>1570</v>
      </c>
      <c r="C105" s="449">
        <v>0</v>
      </c>
      <c r="D105" s="449">
        <v>57.083940196240775</v>
      </c>
      <c r="E105" s="449" t="s">
        <v>1571</v>
      </c>
      <c r="F105" s="449" t="s">
        <v>1572</v>
      </c>
      <c r="G105" s="449" t="s">
        <v>859</v>
      </c>
      <c r="H105" s="449" t="s">
        <v>859</v>
      </c>
      <c r="I105" s="16" t="str">
        <f t="shared" si="26"/>
        <v/>
      </c>
      <c r="J105" s="16" t="str">
        <f t="shared" si="27"/>
        <v/>
      </c>
      <c r="K105" s="16" t="str">
        <f t="shared" si="24"/>
        <v>[.xls]TEXT!ZS5</v>
      </c>
      <c r="L105" s="16" t="str">
        <f t="shared" si="28"/>
        <v/>
      </c>
      <c r="M105" s="16" t="str">
        <f t="shared" si="29"/>
        <v/>
      </c>
      <c r="N105" s="16" t="str">
        <f t="shared" si="25"/>
        <v>[.xls]TEXT!ZS5</v>
      </c>
      <c r="O105" s="458">
        <f>ROW()</f>
        <v>105</v>
      </c>
      <c r="P105" s="459" t="str">
        <f t="shared" si="30"/>
        <v>[Region.xls]PARAMETER!Z406S6</v>
      </c>
      <c r="Q105" s="459" t="str">
        <f t="shared" si="31"/>
        <v>[Region.xls]PARAMETER!Z407S6</v>
      </c>
      <c r="S105" s="16">
        <f>COUNTIF('1.'!CW:CW,I_Region!O105)+IF(SUM(C105:F105)=0,1,0)</f>
        <v>1</v>
      </c>
    </row>
    <row r="106" spans="1:19">
      <c r="A106" s="16" t="s">
        <v>5</v>
      </c>
      <c r="B106" s="467" t="s">
        <v>1573</v>
      </c>
      <c r="C106" s="449">
        <v>0.55188000000000004</v>
      </c>
      <c r="D106" s="449">
        <v>0.55188000000000004</v>
      </c>
      <c r="E106" s="449" t="s">
        <v>1574</v>
      </c>
      <c r="F106" s="449" t="s">
        <v>1575</v>
      </c>
      <c r="G106" s="449" t="s">
        <v>1576</v>
      </c>
      <c r="H106" s="449" t="s">
        <v>1576</v>
      </c>
      <c r="I106" s="16" t="str">
        <f t="shared" si="26"/>
        <v>UG</v>
      </c>
      <c r="J106" s="16" t="str">
        <f t="shared" si="27"/>
        <v>98</v>
      </c>
      <c r="K106" s="16" t="str">
        <f t="shared" si="24"/>
        <v>[UG.xls]TEXT!Z98S5</v>
      </c>
      <c r="L106" s="16" t="str">
        <f t="shared" si="28"/>
        <v>UG</v>
      </c>
      <c r="M106" s="16" t="str">
        <f t="shared" si="29"/>
        <v>98</v>
      </c>
      <c r="N106" s="16" t="str">
        <f t="shared" si="25"/>
        <v>[UG.xls]TEXT!Z98S5</v>
      </c>
      <c r="O106" s="458">
        <f>ROW()</f>
        <v>106</v>
      </c>
      <c r="P106" s="459" t="str">
        <f t="shared" si="30"/>
        <v>[Region.xls]PARAMETER!Z410S6</v>
      </c>
      <c r="Q106" s="459" t="str">
        <f t="shared" si="31"/>
        <v>[Region.xls]PARAMETER!Z411S6</v>
      </c>
      <c r="S106" s="16">
        <f>COUNTIF('1.'!CW:CW,I_Region!O106)+IF(SUM(C106:F106)=0,1,0)</f>
        <v>2</v>
      </c>
    </row>
    <row r="107" spans="1:19">
      <c r="A107" s="16" t="s">
        <v>8</v>
      </c>
      <c r="B107" s="467" t="s">
        <v>1577</v>
      </c>
      <c r="C107" s="449">
        <v>2.3178959999999997</v>
      </c>
      <c r="D107" s="449">
        <v>2.7042119999999996</v>
      </c>
      <c r="E107" s="449" t="s">
        <v>1578</v>
      </c>
      <c r="F107" s="449" t="s">
        <v>1579</v>
      </c>
      <c r="G107" s="449" t="s">
        <v>1580</v>
      </c>
      <c r="H107" s="449" t="s">
        <v>1580</v>
      </c>
      <c r="I107" s="16" t="str">
        <f t="shared" si="26"/>
        <v>UG</v>
      </c>
      <c r="J107" s="16" t="str">
        <f t="shared" si="27"/>
        <v>99</v>
      </c>
      <c r="K107" s="16" t="str">
        <f t="shared" si="24"/>
        <v>[UG.xls]TEXT!Z99S5</v>
      </c>
      <c r="L107" s="16" t="str">
        <f t="shared" si="28"/>
        <v>UG</v>
      </c>
      <c r="M107" s="16" t="str">
        <f t="shared" si="29"/>
        <v>99</v>
      </c>
      <c r="N107" s="16" t="str">
        <f t="shared" si="25"/>
        <v>[UG.xls]TEXT!Z99S5</v>
      </c>
      <c r="O107" s="458">
        <f>ROW()</f>
        <v>107</v>
      </c>
      <c r="P107" s="459" t="str">
        <f t="shared" si="30"/>
        <v>[Region.xls]PARAMETER!Z414S6</v>
      </c>
      <c r="Q107" s="459" t="str">
        <f t="shared" si="31"/>
        <v>[Region.xls]PARAMETER!Z415S6</v>
      </c>
      <c r="S107" s="16">
        <f>COUNTIF('1.'!CW:CW,I_Region!O107)+IF(SUM(C107:F107)=0,1,0)</f>
        <v>16</v>
      </c>
    </row>
    <row r="108" spans="1:19">
      <c r="B108" s="54">
        <v>0</v>
      </c>
      <c r="C108" s="449">
        <v>0</v>
      </c>
      <c r="D108" s="449">
        <v>0</v>
      </c>
      <c r="E108" s="449">
        <v>0</v>
      </c>
      <c r="F108" s="449">
        <v>0</v>
      </c>
      <c r="G108" s="449">
        <v>0</v>
      </c>
      <c r="H108" s="449">
        <v>0</v>
      </c>
      <c r="I108" s="16" t="str">
        <f t="shared" si="26"/>
        <v>0</v>
      </c>
      <c r="J108" s="16" t="str">
        <f t="shared" si="27"/>
        <v/>
      </c>
      <c r="K108" s="16" t="str">
        <f t="shared" si="24"/>
        <v>[0.xls]TEXT!ZS5</v>
      </c>
      <c r="L108" s="16" t="str">
        <f t="shared" si="28"/>
        <v>0</v>
      </c>
      <c r="M108" s="16" t="str">
        <f t="shared" si="29"/>
        <v/>
      </c>
      <c r="N108" s="16" t="str">
        <f t="shared" si="25"/>
        <v>[0.xls]TEXT!ZS5</v>
      </c>
      <c r="O108" s="458">
        <f>ROW()</f>
        <v>108</v>
      </c>
      <c r="P108" s="459" t="str">
        <f t="shared" si="30"/>
        <v>[Region.xls]PARAMETER!Z0S6</v>
      </c>
      <c r="Q108" s="459" t="str">
        <f t="shared" si="31"/>
        <v>[Region.xls]PARAMETER!Z0S6</v>
      </c>
      <c r="S108" s="16">
        <f>COUNTIF('1.'!CW:CW,I_Region!O108)+IF(SUM(C108:F108)=0,1,0)</f>
        <v>1</v>
      </c>
    </row>
    <row r="109" spans="1:19">
      <c r="B109" s="54">
        <v>0</v>
      </c>
      <c r="C109" s="449">
        <v>0</v>
      </c>
      <c r="D109" s="449">
        <v>0</v>
      </c>
      <c r="E109" s="449">
        <v>0</v>
      </c>
      <c r="F109" s="449">
        <v>0</v>
      </c>
      <c r="G109" s="449">
        <v>0</v>
      </c>
      <c r="H109" s="449">
        <v>0</v>
      </c>
      <c r="I109" s="16" t="str">
        <f t="shared" si="26"/>
        <v>0</v>
      </c>
      <c r="J109" s="16" t="str">
        <f t="shared" si="27"/>
        <v/>
      </c>
      <c r="K109" s="16" t="str">
        <f t="shared" si="24"/>
        <v>[0.xls]TEXT!ZS5</v>
      </c>
      <c r="L109" s="16" t="str">
        <f t="shared" si="28"/>
        <v>0</v>
      </c>
      <c r="M109" s="16" t="str">
        <f t="shared" si="29"/>
        <v/>
      </c>
      <c r="N109" s="16" t="str">
        <f t="shared" si="25"/>
        <v>[0.xls]TEXT!ZS5</v>
      </c>
      <c r="O109" s="458">
        <f>ROW()</f>
        <v>109</v>
      </c>
      <c r="P109" s="459" t="str">
        <f t="shared" si="30"/>
        <v>[Region.xls]PARAMETER!Z0S6</v>
      </c>
      <c r="Q109" s="459" t="str">
        <f t="shared" si="31"/>
        <v>[Region.xls]PARAMETER!Z0S6</v>
      </c>
      <c r="S109" s="16">
        <f>COUNTIF('1.'!CW:CW,I_Region!O109)+IF(SUM(C109:F109)=0,1,0)</f>
        <v>1</v>
      </c>
    </row>
    <row r="110" spans="1:19">
      <c r="B110" s="54">
        <v>0</v>
      </c>
      <c r="C110" s="449">
        <v>0</v>
      </c>
      <c r="D110" s="449">
        <v>0</v>
      </c>
      <c r="E110" s="449">
        <v>0</v>
      </c>
      <c r="F110" s="449">
        <v>0</v>
      </c>
      <c r="G110" s="449">
        <v>0</v>
      </c>
      <c r="H110" s="449">
        <v>0</v>
      </c>
      <c r="I110" s="16" t="str">
        <f t="shared" si="26"/>
        <v>0</v>
      </c>
      <c r="J110" s="16" t="str">
        <f t="shared" si="27"/>
        <v/>
      </c>
      <c r="K110" s="16" t="str">
        <f t="shared" si="24"/>
        <v>[0.xls]TEXT!ZS5</v>
      </c>
      <c r="L110" s="16" t="str">
        <f t="shared" si="28"/>
        <v>0</v>
      </c>
      <c r="M110" s="16" t="str">
        <f t="shared" si="29"/>
        <v/>
      </c>
      <c r="N110" s="16" t="str">
        <f t="shared" si="25"/>
        <v>[0.xls]TEXT!ZS5</v>
      </c>
      <c r="O110" s="458">
        <f>ROW()</f>
        <v>110</v>
      </c>
      <c r="P110" s="459" t="str">
        <f t="shared" si="30"/>
        <v>[Region.xls]PARAMETER!Z0S6</v>
      </c>
      <c r="Q110" s="459" t="str">
        <f t="shared" si="31"/>
        <v>[Region.xls]PARAMETER!Z0S6</v>
      </c>
      <c r="S110" s="16">
        <f>COUNTIF('1.'!CW:CW,I_Region!O110)+IF(SUM(C110:F110)=0,1,0)</f>
        <v>1</v>
      </c>
    </row>
    <row r="111" spans="1:19">
      <c r="B111" s="54">
        <v>0</v>
      </c>
      <c r="C111" s="449">
        <v>0</v>
      </c>
      <c r="D111" s="449">
        <v>0</v>
      </c>
      <c r="E111" s="449">
        <v>0</v>
      </c>
      <c r="F111" s="449">
        <v>0</v>
      </c>
      <c r="G111" s="449">
        <v>0</v>
      </c>
      <c r="H111" s="449">
        <v>0</v>
      </c>
      <c r="I111" s="16" t="str">
        <f t="shared" si="26"/>
        <v>0</v>
      </c>
      <c r="J111" s="16" t="str">
        <f t="shared" si="27"/>
        <v/>
      </c>
      <c r="K111" s="16" t="str">
        <f t="shared" si="24"/>
        <v>[0.xls]TEXT!ZS5</v>
      </c>
      <c r="L111" s="16" t="str">
        <f t="shared" si="28"/>
        <v>0</v>
      </c>
      <c r="M111" s="16" t="str">
        <f t="shared" si="29"/>
        <v/>
      </c>
      <c r="N111" s="16" t="str">
        <f t="shared" si="25"/>
        <v>[0.xls]TEXT!ZS5</v>
      </c>
      <c r="O111" s="458">
        <f>ROW()</f>
        <v>111</v>
      </c>
      <c r="P111" s="459" t="str">
        <f t="shared" si="30"/>
        <v>[Region.xls]PARAMETER!Z0S6</v>
      </c>
      <c r="Q111" s="459" t="str">
        <f t="shared" si="31"/>
        <v>[Region.xls]PARAMETER!Z0S6</v>
      </c>
      <c r="S111" s="16">
        <f>COUNTIF('1.'!CW:CW,I_Region!O111)+IF(SUM(C111:F111)=0,1,0)</f>
        <v>1</v>
      </c>
    </row>
    <row r="112" spans="1:19">
      <c r="B112" s="54">
        <v>0</v>
      </c>
      <c r="C112" s="449">
        <v>0</v>
      </c>
      <c r="D112" s="449">
        <v>0</v>
      </c>
      <c r="E112" s="449">
        <v>0</v>
      </c>
      <c r="F112" s="449">
        <v>0</v>
      </c>
      <c r="G112" s="449">
        <v>0</v>
      </c>
      <c r="H112" s="449">
        <v>0</v>
      </c>
      <c r="I112" s="16" t="str">
        <f t="shared" si="26"/>
        <v>0</v>
      </c>
      <c r="J112" s="16" t="str">
        <f t="shared" si="27"/>
        <v/>
      </c>
      <c r="K112" s="16" t="str">
        <f t="shared" si="24"/>
        <v>[0.xls]TEXT!ZS5</v>
      </c>
      <c r="L112" s="16" t="str">
        <f t="shared" si="28"/>
        <v>0</v>
      </c>
      <c r="M112" s="16" t="str">
        <f t="shared" si="29"/>
        <v/>
      </c>
      <c r="N112" s="16" t="str">
        <f t="shared" si="25"/>
        <v>[0.xls]TEXT!ZS5</v>
      </c>
      <c r="O112" s="458">
        <f>ROW()</f>
        <v>112</v>
      </c>
      <c r="P112" s="459" t="str">
        <f t="shared" si="30"/>
        <v>[Region.xls]PARAMETER!Z0S6</v>
      </c>
      <c r="Q112" s="459" t="str">
        <f t="shared" si="31"/>
        <v>[Region.xls]PARAMETER!Z0S6</v>
      </c>
      <c r="S112" s="16">
        <f>COUNTIF('1.'!CW:CW,I_Region!O112)+IF(SUM(C112:F112)=0,1,0)</f>
        <v>1</v>
      </c>
    </row>
    <row r="113" spans="2:19">
      <c r="B113" s="54">
        <v>0</v>
      </c>
      <c r="C113" s="449">
        <v>0</v>
      </c>
      <c r="D113" s="449">
        <v>0</v>
      </c>
      <c r="E113" s="449">
        <v>0</v>
      </c>
      <c r="F113" s="449">
        <v>0</v>
      </c>
      <c r="G113" s="449">
        <v>0</v>
      </c>
      <c r="H113" s="449">
        <v>0</v>
      </c>
      <c r="I113" s="16" t="str">
        <f t="shared" si="26"/>
        <v>0</v>
      </c>
      <c r="J113" s="16" t="str">
        <f t="shared" si="27"/>
        <v/>
      </c>
      <c r="K113" s="16" t="str">
        <f t="shared" si="24"/>
        <v>[0.xls]TEXT!ZS5</v>
      </c>
      <c r="L113" s="16" t="str">
        <f t="shared" si="28"/>
        <v>0</v>
      </c>
      <c r="M113" s="16" t="str">
        <f t="shared" si="29"/>
        <v/>
      </c>
      <c r="N113" s="16" t="str">
        <f t="shared" si="25"/>
        <v>[0.xls]TEXT!ZS5</v>
      </c>
      <c r="O113" s="458">
        <f>ROW()</f>
        <v>113</v>
      </c>
      <c r="P113" s="459" t="str">
        <f t="shared" si="30"/>
        <v>[Region.xls]PARAMETER!Z0S6</v>
      </c>
      <c r="Q113" s="459" t="str">
        <f t="shared" si="31"/>
        <v>[Region.xls]PARAMETER!Z0S6</v>
      </c>
      <c r="S113" s="16">
        <f>COUNTIF('1.'!CW:CW,I_Region!O113)+IF(SUM(C113:F113)=0,1,0)</f>
        <v>1</v>
      </c>
    </row>
    <row r="114" spans="2:19">
      <c r="B114" s="54">
        <v>0</v>
      </c>
      <c r="C114" s="449">
        <v>0</v>
      </c>
      <c r="D114" s="449">
        <v>0</v>
      </c>
      <c r="E114" s="449">
        <v>0</v>
      </c>
      <c r="F114" s="449">
        <v>0</v>
      </c>
      <c r="G114" s="449">
        <v>0</v>
      </c>
      <c r="H114" s="449">
        <v>0</v>
      </c>
      <c r="I114" s="16" t="str">
        <f t="shared" si="26"/>
        <v>0</v>
      </c>
      <c r="J114" s="16" t="str">
        <f t="shared" si="27"/>
        <v/>
      </c>
      <c r="K114" s="16" t="str">
        <f t="shared" si="24"/>
        <v>[0.xls]TEXT!ZS5</v>
      </c>
      <c r="L114" s="16" t="str">
        <f t="shared" si="28"/>
        <v>0</v>
      </c>
      <c r="M114" s="16" t="str">
        <f t="shared" si="29"/>
        <v/>
      </c>
      <c r="N114" s="16" t="str">
        <f t="shared" si="25"/>
        <v>[0.xls]TEXT!ZS5</v>
      </c>
      <c r="O114" s="458">
        <f>ROW()</f>
        <v>114</v>
      </c>
      <c r="P114" s="459" t="str">
        <f t="shared" si="30"/>
        <v>[Region.xls]PARAMETER!Z0S6</v>
      </c>
      <c r="Q114" s="459" t="str">
        <f t="shared" si="31"/>
        <v>[Region.xls]PARAMETER!Z0S6</v>
      </c>
      <c r="S114" s="16">
        <f>COUNTIF('1.'!CW:CW,I_Region!O114)+IF(SUM(C114:F114)=0,1,0)</f>
        <v>1</v>
      </c>
    </row>
    <row r="115" spans="2:19">
      <c r="B115" s="54">
        <v>0</v>
      </c>
      <c r="C115" s="449">
        <v>0</v>
      </c>
      <c r="D115" s="449">
        <v>0</v>
      </c>
      <c r="E115" s="449">
        <v>0</v>
      </c>
      <c r="F115" s="449">
        <v>0</v>
      </c>
      <c r="G115" s="449">
        <v>0</v>
      </c>
      <c r="H115" s="449">
        <v>0</v>
      </c>
      <c r="I115" s="16" t="str">
        <f t="shared" si="26"/>
        <v>0</v>
      </c>
      <c r="J115" s="16" t="str">
        <f t="shared" si="27"/>
        <v/>
      </c>
      <c r="K115" s="16" t="str">
        <f t="shared" si="24"/>
        <v>[0.xls]TEXT!ZS5</v>
      </c>
      <c r="L115" s="16" t="str">
        <f t="shared" si="28"/>
        <v>0</v>
      </c>
      <c r="M115" s="16" t="str">
        <f t="shared" si="29"/>
        <v/>
      </c>
      <c r="N115" s="16" t="str">
        <f t="shared" si="25"/>
        <v>[0.xls]TEXT!ZS5</v>
      </c>
      <c r="O115" s="458">
        <f>ROW()</f>
        <v>115</v>
      </c>
      <c r="P115" s="459" t="str">
        <f t="shared" si="30"/>
        <v>[Region.xls]PARAMETER!Z0S6</v>
      </c>
      <c r="Q115" s="459" t="str">
        <f t="shared" si="31"/>
        <v>[Region.xls]PARAMETER!Z0S6</v>
      </c>
      <c r="S115" s="16">
        <f>COUNTIF('1.'!CW:CW,I_Region!O115)+IF(SUM(C115:F115)=0,1,0)</f>
        <v>1</v>
      </c>
    </row>
    <row r="116" spans="2:19">
      <c r="B116" s="54">
        <v>0</v>
      </c>
      <c r="C116" s="449">
        <v>0</v>
      </c>
      <c r="D116" s="449">
        <v>0</v>
      </c>
      <c r="E116" s="449">
        <v>0</v>
      </c>
      <c r="F116" s="449">
        <v>0</v>
      </c>
      <c r="G116" s="449">
        <v>0</v>
      </c>
      <c r="H116" s="449">
        <v>0</v>
      </c>
      <c r="I116" s="16" t="str">
        <f t="shared" si="26"/>
        <v>0</v>
      </c>
      <c r="J116" s="16" t="str">
        <f t="shared" si="27"/>
        <v/>
      </c>
      <c r="K116" s="16" t="str">
        <f t="shared" si="24"/>
        <v>[0.xls]TEXT!ZS5</v>
      </c>
      <c r="L116" s="16" t="str">
        <f t="shared" si="28"/>
        <v>0</v>
      </c>
      <c r="M116" s="16" t="str">
        <f t="shared" si="29"/>
        <v/>
      </c>
      <c r="N116" s="16" t="str">
        <f t="shared" si="25"/>
        <v>[0.xls]TEXT!ZS5</v>
      </c>
      <c r="O116" s="458">
        <f>ROW()</f>
        <v>116</v>
      </c>
      <c r="P116" s="459" t="str">
        <f t="shared" si="30"/>
        <v>[Region.xls]PARAMETER!Z0S6</v>
      </c>
      <c r="Q116" s="459" t="str">
        <f t="shared" si="31"/>
        <v>[Region.xls]PARAMETER!Z0S6</v>
      </c>
      <c r="S116" s="16">
        <f>COUNTIF('1.'!CW:CW,I_Region!O116)+IF(SUM(C116:F116)=0,1,0)</f>
        <v>1</v>
      </c>
    </row>
    <row r="117" spans="2:19">
      <c r="B117" s="54">
        <v>0</v>
      </c>
      <c r="C117" s="449">
        <v>0</v>
      </c>
      <c r="D117" s="449">
        <v>0</v>
      </c>
      <c r="E117" s="449">
        <v>0</v>
      </c>
      <c r="F117" s="449">
        <v>0</v>
      </c>
      <c r="G117" s="449">
        <v>0</v>
      </c>
      <c r="H117" s="449">
        <v>0</v>
      </c>
      <c r="I117" s="16" t="str">
        <f t="shared" si="26"/>
        <v>0</v>
      </c>
      <c r="J117" s="16" t="str">
        <f t="shared" si="27"/>
        <v/>
      </c>
      <c r="K117" s="16" t="str">
        <f t="shared" si="24"/>
        <v>[0.xls]TEXT!ZS5</v>
      </c>
      <c r="L117" s="16" t="str">
        <f t="shared" si="28"/>
        <v>0</v>
      </c>
      <c r="M117" s="16" t="str">
        <f t="shared" si="29"/>
        <v/>
      </c>
      <c r="N117" s="16" t="str">
        <f t="shared" si="25"/>
        <v>[0.xls]TEXT!ZS5</v>
      </c>
      <c r="O117" s="458">
        <f>ROW()</f>
        <v>117</v>
      </c>
      <c r="P117" s="459" t="str">
        <f t="shared" si="30"/>
        <v>[Region.xls]PARAMETER!Z0S6</v>
      </c>
      <c r="Q117" s="459" t="str">
        <f t="shared" si="31"/>
        <v>[Region.xls]PARAMETER!Z0S6</v>
      </c>
      <c r="S117" s="16">
        <f>COUNTIF('1.'!CW:CW,I_Region!O117)+IF(SUM(C117:F117)=0,1,0)</f>
        <v>1</v>
      </c>
    </row>
    <row r="118" spans="2:19">
      <c r="B118" s="54">
        <v>0</v>
      </c>
      <c r="C118" s="449">
        <v>0</v>
      </c>
      <c r="D118" s="449">
        <v>0</v>
      </c>
      <c r="E118" s="449">
        <v>0</v>
      </c>
      <c r="F118" s="449">
        <v>0</v>
      </c>
      <c r="G118" s="449">
        <v>0</v>
      </c>
      <c r="H118" s="449">
        <v>0</v>
      </c>
      <c r="I118" s="16" t="str">
        <f t="shared" si="26"/>
        <v>0</v>
      </c>
      <c r="J118" s="16" t="str">
        <f t="shared" si="27"/>
        <v/>
      </c>
      <c r="K118" s="16" t="str">
        <f t="shared" si="24"/>
        <v>[0.xls]TEXT!ZS5</v>
      </c>
      <c r="L118" s="16" t="str">
        <f t="shared" si="28"/>
        <v>0</v>
      </c>
      <c r="M118" s="16" t="str">
        <f t="shared" si="29"/>
        <v/>
      </c>
      <c r="N118" s="16" t="str">
        <f t="shared" si="25"/>
        <v>[0.xls]TEXT!ZS5</v>
      </c>
      <c r="O118" s="458">
        <f>ROW()</f>
        <v>118</v>
      </c>
      <c r="P118" s="459" t="str">
        <f t="shared" si="30"/>
        <v>[Region.xls]PARAMETER!Z0S6</v>
      </c>
      <c r="Q118" s="459" t="str">
        <f t="shared" si="31"/>
        <v>[Region.xls]PARAMETER!Z0S6</v>
      </c>
      <c r="S118" s="16">
        <f>COUNTIF('1.'!CW:CW,I_Region!O118)+IF(SUM(C118:F118)=0,1,0)</f>
        <v>1</v>
      </c>
    </row>
    <row r="119" spans="2:19">
      <c r="B119" s="54">
        <v>0</v>
      </c>
      <c r="C119" s="449">
        <v>0</v>
      </c>
      <c r="D119" s="449">
        <v>0</v>
      </c>
      <c r="E119" s="449">
        <v>0</v>
      </c>
      <c r="F119" s="449">
        <v>0</v>
      </c>
      <c r="G119" s="449">
        <v>0</v>
      </c>
      <c r="H119" s="449">
        <v>0</v>
      </c>
      <c r="I119" s="16" t="str">
        <f t="shared" si="26"/>
        <v>0</v>
      </c>
      <c r="J119" s="16" t="str">
        <f t="shared" si="27"/>
        <v/>
      </c>
      <c r="K119" s="16" t="str">
        <f t="shared" si="24"/>
        <v>[0.xls]TEXT!ZS5</v>
      </c>
      <c r="L119" s="16" t="str">
        <f t="shared" si="28"/>
        <v>0</v>
      </c>
      <c r="M119" s="16" t="str">
        <f t="shared" si="29"/>
        <v/>
      </c>
      <c r="N119" s="16" t="str">
        <f t="shared" si="25"/>
        <v>[0.xls]TEXT!ZS5</v>
      </c>
      <c r="O119" s="458">
        <f>ROW()</f>
        <v>119</v>
      </c>
      <c r="P119" s="459" t="str">
        <f t="shared" si="30"/>
        <v>[Region.xls]PARAMETER!Z0S6</v>
      </c>
      <c r="Q119" s="459" t="str">
        <f t="shared" si="31"/>
        <v>[Region.xls]PARAMETER!Z0S6</v>
      </c>
      <c r="S119" s="16">
        <f>COUNTIF('1.'!CW:CW,I_Region!O119)+IF(SUM(C119:F119)=0,1,0)</f>
        <v>1</v>
      </c>
    </row>
    <row r="120" spans="2:19">
      <c r="B120" s="54">
        <v>0</v>
      </c>
      <c r="C120" s="449">
        <v>0</v>
      </c>
      <c r="D120" s="449">
        <v>0</v>
      </c>
      <c r="E120" s="449">
        <v>0</v>
      </c>
      <c r="F120" s="449">
        <v>0</v>
      </c>
      <c r="G120" s="449">
        <v>0</v>
      </c>
      <c r="H120" s="449">
        <v>0</v>
      </c>
      <c r="I120" s="16" t="str">
        <f t="shared" si="26"/>
        <v>0</v>
      </c>
      <c r="J120" s="16" t="str">
        <f t="shared" si="27"/>
        <v/>
      </c>
      <c r="K120" s="16" t="str">
        <f t="shared" si="24"/>
        <v>[0.xls]TEXT!ZS5</v>
      </c>
      <c r="L120" s="16" t="str">
        <f t="shared" si="28"/>
        <v>0</v>
      </c>
      <c r="M120" s="16" t="str">
        <f t="shared" si="29"/>
        <v/>
      </c>
      <c r="N120" s="16" t="str">
        <f t="shared" si="25"/>
        <v>[0.xls]TEXT!ZS5</v>
      </c>
      <c r="O120" s="458">
        <f>ROW()</f>
        <v>120</v>
      </c>
      <c r="P120" s="459" t="str">
        <f t="shared" si="30"/>
        <v>[Region.xls]PARAMETER!Z0S6</v>
      </c>
      <c r="Q120" s="459" t="str">
        <f t="shared" si="31"/>
        <v>[Region.xls]PARAMETER!Z0S6</v>
      </c>
      <c r="S120" s="16">
        <f>COUNTIF('1.'!CW:CW,I_Region!O120)+IF(SUM(C120:F120)=0,1,0)</f>
        <v>1</v>
      </c>
    </row>
    <row r="121" spans="2:19">
      <c r="B121" s="54">
        <v>0</v>
      </c>
      <c r="C121" s="449">
        <v>0</v>
      </c>
      <c r="D121" s="449">
        <v>0</v>
      </c>
      <c r="E121" s="449">
        <v>0</v>
      </c>
      <c r="F121" s="449">
        <v>0</v>
      </c>
      <c r="G121" s="449">
        <v>0</v>
      </c>
      <c r="H121" s="449">
        <v>0</v>
      </c>
      <c r="I121" s="16" t="str">
        <f t="shared" si="26"/>
        <v>0</v>
      </c>
      <c r="J121" s="16" t="str">
        <f t="shared" si="27"/>
        <v/>
      </c>
      <c r="K121" s="16" t="str">
        <f t="shared" si="24"/>
        <v>[0.xls]TEXT!ZS5</v>
      </c>
      <c r="L121" s="16" t="str">
        <f t="shared" si="28"/>
        <v>0</v>
      </c>
      <c r="M121" s="16" t="str">
        <f t="shared" si="29"/>
        <v/>
      </c>
      <c r="N121" s="16" t="str">
        <f t="shared" si="25"/>
        <v>[0.xls]TEXT!ZS5</v>
      </c>
      <c r="O121" s="458">
        <f>ROW()</f>
        <v>121</v>
      </c>
      <c r="P121" s="459" t="str">
        <f t="shared" si="30"/>
        <v>[Region.xls]PARAMETER!Z0S6</v>
      </c>
      <c r="Q121" s="459" t="str">
        <f t="shared" si="31"/>
        <v>[Region.xls]PARAMETER!Z0S6</v>
      </c>
      <c r="S121" s="16">
        <f>COUNTIF('1.'!CW:CW,I_Region!O121)+IF(SUM(C121:F121)=0,1,0)</f>
        <v>1</v>
      </c>
    </row>
    <row r="122" spans="2:19">
      <c r="B122" s="54">
        <v>0</v>
      </c>
      <c r="C122" s="449">
        <v>0</v>
      </c>
      <c r="D122" s="449">
        <v>0</v>
      </c>
      <c r="E122" s="449">
        <v>0</v>
      </c>
      <c r="F122" s="449">
        <v>0</v>
      </c>
      <c r="G122" s="449">
        <v>0</v>
      </c>
      <c r="H122" s="449">
        <v>0</v>
      </c>
      <c r="I122" s="16" t="str">
        <f t="shared" si="26"/>
        <v>0</v>
      </c>
      <c r="J122" s="16" t="str">
        <f t="shared" si="27"/>
        <v/>
      </c>
      <c r="K122" s="16" t="str">
        <f t="shared" si="24"/>
        <v>[0.xls]TEXT!ZS5</v>
      </c>
      <c r="L122" s="16" t="str">
        <f t="shared" si="28"/>
        <v>0</v>
      </c>
      <c r="M122" s="16" t="str">
        <f t="shared" si="29"/>
        <v/>
      </c>
      <c r="N122" s="16" t="str">
        <f t="shared" si="25"/>
        <v>[0.xls]TEXT!ZS5</v>
      </c>
      <c r="O122" s="458">
        <f>ROW()</f>
        <v>122</v>
      </c>
      <c r="P122" s="459" t="str">
        <f t="shared" si="30"/>
        <v>[Region.xls]PARAMETER!Z0S6</v>
      </c>
      <c r="Q122" s="459" t="str">
        <f t="shared" si="31"/>
        <v>[Region.xls]PARAMETER!Z0S6</v>
      </c>
      <c r="S122" s="16">
        <f>COUNTIF('1.'!CW:CW,I_Region!O122)+IF(SUM(C122:F122)=0,1,0)</f>
        <v>1</v>
      </c>
    </row>
    <row r="123" spans="2:19">
      <c r="B123" s="54">
        <v>0</v>
      </c>
      <c r="C123" s="449">
        <v>0</v>
      </c>
      <c r="D123" s="449">
        <v>0</v>
      </c>
      <c r="E123" s="449">
        <v>0</v>
      </c>
      <c r="F123" s="449">
        <v>0</v>
      </c>
      <c r="G123" s="449">
        <v>0</v>
      </c>
      <c r="H123" s="449">
        <v>0</v>
      </c>
      <c r="I123" s="16" t="str">
        <f t="shared" si="26"/>
        <v>0</v>
      </c>
      <c r="J123" s="16" t="str">
        <f t="shared" si="27"/>
        <v/>
      </c>
      <c r="K123" s="16" t="str">
        <f t="shared" si="24"/>
        <v>[0.xls]TEXT!ZS5</v>
      </c>
      <c r="L123" s="16" t="str">
        <f t="shared" si="28"/>
        <v>0</v>
      </c>
      <c r="M123" s="16" t="str">
        <f t="shared" si="29"/>
        <v/>
      </c>
      <c r="N123" s="16" t="str">
        <f t="shared" si="25"/>
        <v>[0.xls]TEXT!ZS5</v>
      </c>
      <c r="O123" s="458">
        <f>ROW()</f>
        <v>123</v>
      </c>
      <c r="P123" s="459" t="str">
        <f t="shared" si="30"/>
        <v>[Region.xls]PARAMETER!Z0S6</v>
      </c>
      <c r="Q123" s="459" t="str">
        <f t="shared" si="31"/>
        <v>[Region.xls]PARAMETER!Z0S6</v>
      </c>
      <c r="S123" s="16">
        <f>COUNTIF('1.'!CW:CW,I_Region!O123)+IF(SUM(C123:F123)=0,1,0)</f>
        <v>1</v>
      </c>
    </row>
    <row r="124" spans="2:19">
      <c r="B124" s="54">
        <v>0</v>
      </c>
      <c r="C124" s="449">
        <v>0</v>
      </c>
      <c r="D124" s="449">
        <v>0</v>
      </c>
      <c r="E124" s="449">
        <v>0</v>
      </c>
      <c r="F124" s="449">
        <v>0</v>
      </c>
      <c r="G124" s="449">
        <v>0</v>
      </c>
      <c r="H124" s="449">
        <v>0</v>
      </c>
      <c r="I124" s="16" t="str">
        <f t="shared" si="26"/>
        <v>0</v>
      </c>
      <c r="J124" s="16" t="str">
        <f t="shared" si="27"/>
        <v/>
      </c>
      <c r="K124" s="16" t="str">
        <f t="shared" si="24"/>
        <v>[0.xls]TEXT!ZS5</v>
      </c>
      <c r="L124" s="16" t="str">
        <f t="shared" si="28"/>
        <v>0</v>
      </c>
      <c r="M124" s="16" t="str">
        <f t="shared" si="29"/>
        <v/>
      </c>
      <c r="N124" s="16" t="str">
        <f t="shared" si="25"/>
        <v>[0.xls]TEXT!ZS5</v>
      </c>
      <c r="O124" s="458">
        <f>ROW()</f>
        <v>124</v>
      </c>
      <c r="P124" s="459" t="str">
        <f t="shared" si="30"/>
        <v>[Region.xls]PARAMETER!Z0S6</v>
      </c>
      <c r="Q124" s="459" t="str">
        <f t="shared" si="31"/>
        <v>[Region.xls]PARAMETER!Z0S6</v>
      </c>
      <c r="S124" s="16">
        <f>COUNTIF('1.'!CW:CW,I_Region!O124)+IF(SUM(C124:F124)=0,1,0)</f>
        <v>1</v>
      </c>
    </row>
    <row r="125" spans="2:19">
      <c r="B125" s="54">
        <v>0</v>
      </c>
      <c r="C125" s="449">
        <v>0</v>
      </c>
      <c r="D125" s="449">
        <v>0</v>
      </c>
      <c r="E125" s="449">
        <v>0</v>
      </c>
      <c r="F125" s="449">
        <v>0</v>
      </c>
      <c r="G125" s="449">
        <v>0</v>
      </c>
      <c r="H125" s="449">
        <v>0</v>
      </c>
      <c r="I125" s="16" t="str">
        <f t="shared" si="26"/>
        <v>0</v>
      </c>
      <c r="J125" s="16" t="str">
        <f t="shared" si="27"/>
        <v/>
      </c>
      <c r="K125" s="16" t="str">
        <f t="shared" si="24"/>
        <v>[0.xls]TEXT!ZS5</v>
      </c>
      <c r="L125" s="16" t="str">
        <f t="shared" si="28"/>
        <v>0</v>
      </c>
      <c r="M125" s="16" t="str">
        <f t="shared" si="29"/>
        <v/>
      </c>
      <c r="N125" s="16" t="str">
        <f t="shared" si="25"/>
        <v>[0.xls]TEXT!ZS5</v>
      </c>
      <c r="O125" s="458">
        <f>ROW()</f>
        <v>125</v>
      </c>
      <c r="P125" s="459" t="str">
        <f t="shared" si="30"/>
        <v>[Region.xls]PARAMETER!Z0S6</v>
      </c>
      <c r="Q125" s="459" t="str">
        <f t="shared" si="31"/>
        <v>[Region.xls]PARAMETER!Z0S6</v>
      </c>
      <c r="S125" s="16">
        <f>COUNTIF('1.'!CW:CW,I_Region!O125)+IF(SUM(C125:F125)=0,1,0)</f>
        <v>1</v>
      </c>
    </row>
    <row r="126" spans="2:19">
      <c r="B126" s="54" t="s">
        <v>1581</v>
      </c>
      <c r="C126" s="449">
        <v>0</v>
      </c>
      <c r="D126" s="449">
        <v>29.711460598654401</v>
      </c>
      <c r="E126" s="449" t="s">
        <v>1582</v>
      </c>
      <c r="F126" s="449" t="s">
        <v>1583</v>
      </c>
      <c r="G126" s="449" t="s">
        <v>1584</v>
      </c>
      <c r="H126" s="449" t="s">
        <v>1585</v>
      </c>
      <c r="I126" s="16" t="str">
        <f t="shared" si="26"/>
        <v>SW</v>
      </c>
      <c r="J126" s="16" t="str">
        <f t="shared" si="27"/>
        <v>52</v>
      </c>
      <c r="K126" s="16" t="str">
        <f t="shared" si="24"/>
        <v>[SW.xls]TEXT!Z52S5</v>
      </c>
      <c r="L126" s="16" t="str">
        <f t="shared" si="28"/>
        <v>SW</v>
      </c>
      <c r="M126" s="16" t="str">
        <f t="shared" si="29"/>
        <v>60</v>
      </c>
      <c r="N126" s="16" t="str">
        <f t="shared" si="25"/>
        <v>[SW.xls]TEXT!Z60S5</v>
      </c>
      <c r="O126" s="458">
        <f>ROW()</f>
        <v>126</v>
      </c>
      <c r="P126" s="459" t="str">
        <f t="shared" si="30"/>
        <v>[Region.xls]PARAMETER!Z420S6</v>
      </c>
      <c r="Q126" s="459" t="str">
        <f t="shared" si="31"/>
        <v>[Region.xls]PARAMETER!Z421S6</v>
      </c>
      <c r="S126" s="16">
        <f>COUNTIF('1.'!CW:CW,I_Region!O126)+IF(SUM(C126:F126)=0,1,0)</f>
        <v>0</v>
      </c>
    </row>
    <row r="127" spans="2:19">
      <c r="B127" s="54" t="s">
        <v>1586</v>
      </c>
      <c r="C127" s="449">
        <v>22</v>
      </c>
      <c r="D127" s="449">
        <v>28.276586541042064</v>
      </c>
      <c r="E127" s="449" t="s">
        <v>1587</v>
      </c>
      <c r="F127" s="449" t="s">
        <v>1588</v>
      </c>
      <c r="G127" s="449" t="s">
        <v>1589</v>
      </c>
      <c r="H127" s="449" t="s">
        <v>1589</v>
      </c>
      <c r="I127" s="16" t="str">
        <f t="shared" si="26"/>
        <v>SW</v>
      </c>
      <c r="J127" s="16" t="str">
        <f t="shared" si="27"/>
        <v>66</v>
      </c>
      <c r="K127" s="16" t="str">
        <f t="shared" si="24"/>
        <v>[SW.xls]TEXT!Z66S5</v>
      </c>
      <c r="L127" s="16" t="str">
        <f t="shared" si="28"/>
        <v>SW</v>
      </c>
      <c r="M127" s="16" t="str">
        <f t="shared" si="29"/>
        <v>66</v>
      </c>
      <c r="N127" s="16" t="str">
        <f t="shared" si="25"/>
        <v>[SW.xls]TEXT!Z66S5</v>
      </c>
      <c r="O127" s="458">
        <f>ROW()</f>
        <v>127</v>
      </c>
      <c r="P127" s="459" t="str">
        <f t="shared" si="30"/>
        <v>[Region.xls]PARAMETER!Z424S6</v>
      </c>
      <c r="Q127" s="459" t="str">
        <f t="shared" si="31"/>
        <v>[Region.xls]PARAMETER!Z425S6</v>
      </c>
      <c r="S127" s="16">
        <f>COUNTIF('1.'!CW:CW,I_Region!O127)+IF(SUM(C127:F127)=0,1,0)</f>
        <v>0</v>
      </c>
    </row>
    <row r="128" spans="2:19">
      <c r="B128" s="54" t="s">
        <v>1590</v>
      </c>
      <c r="C128" s="449">
        <v>0</v>
      </c>
      <c r="D128" s="449">
        <v>20</v>
      </c>
      <c r="E128" s="449" t="s">
        <v>1591</v>
      </c>
      <c r="F128" s="449" t="s">
        <v>1592</v>
      </c>
      <c r="G128" s="449" t="s">
        <v>1593</v>
      </c>
      <c r="H128" s="449" t="s">
        <v>1593</v>
      </c>
      <c r="I128" s="16" t="str">
        <f t="shared" ref="I128:I159" si="32">LEFT(G128,2)</f>
        <v>SW</v>
      </c>
      <c r="J128" s="16" t="str">
        <f t="shared" ref="J128:J159" si="33">SUBSTITUTE(G128,I128,"")</f>
        <v>75</v>
      </c>
      <c r="K128" s="16" t="str">
        <f t="shared" si="24"/>
        <v>[SW.xls]TEXT!Z75S5</v>
      </c>
      <c r="L128" s="16" t="str">
        <f t="shared" ref="L128:L159" si="34">LEFT(H128,2)</f>
        <v>SW</v>
      </c>
      <c r="M128" s="16" t="str">
        <f t="shared" ref="M128:M159" si="35">SUBSTITUTE(H128,L128,"")</f>
        <v>75</v>
      </c>
      <c r="N128" s="16" t="str">
        <f t="shared" si="25"/>
        <v>[SW.xls]TEXT!Z75S5</v>
      </c>
      <c r="O128" s="458">
        <f>ROW()</f>
        <v>128</v>
      </c>
      <c r="P128" s="459" t="str">
        <f t="shared" si="30"/>
        <v>[Region.xls]PARAMETER!Z428S6</v>
      </c>
      <c r="Q128" s="459" t="str">
        <f t="shared" si="31"/>
        <v>[Region.xls]PARAMETER!Z429S6</v>
      </c>
      <c r="S128" s="16">
        <f>COUNTIF('1.'!CW:CW,I_Region!O128)+IF(SUM(C128:F128)=0,1,0)</f>
        <v>0</v>
      </c>
    </row>
    <row r="129" spans="1:19">
      <c r="B129" s="54" t="s">
        <v>1594</v>
      </c>
      <c r="C129" s="449">
        <v>0</v>
      </c>
      <c r="D129" s="449">
        <v>14</v>
      </c>
      <c r="E129" s="449" t="s">
        <v>1595</v>
      </c>
      <c r="F129" s="449" t="s">
        <v>1596</v>
      </c>
      <c r="G129" s="449" t="s">
        <v>1597</v>
      </c>
      <c r="H129" s="449" t="s">
        <v>1598</v>
      </c>
      <c r="I129" s="16" t="str">
        <f t="shared" si="32"/>
        <v>SW</v>
      </c>
      <c r="J129" s="16" t="str">
        <f t="shared" si="33"/>
        <v>85</v>
      </c>
      <c r="K129" s="16" t="str">
        <f t="shared" si="24"/>
        <v>[SW.xls]TEXT!Z85S5</v>
      </c>
      <c r="L129" s="16" t="str">
        <f t="shared" si="34"/>
        <v>SW</v>
      </c>
      <c r="M129" s="16" t="str">
        <f t="shared" si="35"/>
        <v>88</v>
      </c>
      <c r="N129" s="16" t="str">
        <f t="shared" si="25"/>
        <v>[SW.xls]TEXT!Z88S5</v>
      </c>
      <c r="O129" s="458">
        <f>ROW()</f>
        <v>129</v>
      </c>
      <c r="P129" s="459" t="str">
        <f t="shared" si="30"/>
        <v>[Region.xls]PARAMETER!Z434S6</v>
      </c>
      <c r="Q129" s="459" t="str">
        <f t="shared" si="31"/>
        <v>[Region.xls]PARAMETER!Z435S6</v>
      </c>
      <c r="S129" s="16">
        <f>COUNTIF('1.'!CW:CW,I_Region!O129)+IF(SUM(C129:F129)=0,1,0)</f>
        <v>0</v>
      </c>
    </row>
    <row r="130" spans="1:19">
      <c r="B130" s="54" t="s">
        <v>1599</v>
      </c>
      <c r="C130" s="449">
        <v>100</v>
      </c>
      <c r="D130" s="449">
        <v>100</v>
      </c>
      <c r="E130" s="449" t="s">
        <v>1600</v>
      </c>
      <c r="F130" s="449" t="s">
        <v>1601</v>
      </c>
      <c r="G130" s="449" t="s">
        <v>1602</v>
      </c>
      <c r="H130" s="449" t="s">
        <v>1602</v>
      </c>
      <c r="I130" s="16" t="str">
        <f t="shared" si="32"/>
        <v>SW</v>
      </c>
      <c r="J130" s="16" t="str">
        <f t="shared" si="33"/>
        <v>93</v>
      </c>
      <c r="K130" s="16" t="str">
        <f t="shared" si="24"/>
        <v>[SW.xls]TEXT!Z93S5</v>
      </c>
      <c r="L130" s="16" t="str">
        <f t="shared" si="34"/>
        <v>SW</v>
      </c>
      <c r="M130" s="16" t="str">
        <f t="shared" si="35"/>
        <v>93</v>
      </c>
      <c r="N130" s="16" t="str">
        <f t="shared" si="25"/>
        <v>[SW.xls]TEXT!Z93S5</v>
      </c>
      <c r="O130" s="458">
        <f>ROW()</f>
        <v>130</v>
      </c>
      <c r="P130" s="459" t="str">
        <f t="shared" si="30"/>
        <v>[Region.xls]PARAMETER!Z438S6</v>
      </c>
      <c r="Q130" s="459" t="str">
        <f t="shared" si="31"/>
        <v>[Region.xls]PARAMETER!Z439S6</v>
      </c>
      <c r="S130" s="16">
        <f>COUNTIF('1.'!CW:CW,I_Region!O130)+IF(SUM(C130:F130)=0,1,0)</f>
        <v>0</v>
      </c>
    </row>
    <row r="131" spans="1:19">
      <c r="B131" s="54">
        <v>0</v>
      </c>
      <c r="C131" s="449">
        <v>0</v>
      </c>
      <c r="D131" s="449">
        <v>0</v>
      </c>
      <c r="E131" s="449">
        <v>0</v>
      </c>
      <c r="F131" s="449">
        <v>0</v>
      </c>
      <c r="G131" s="449">
        <v>0</v>
      </c>
      <c r="H131" s="449">
        <v>0</v>
      </c>
      <c r="I131" s="16" t="str">
        <f t="shared" si="32"/>
        <v>0</v>
      </c>
      <c r="J131" s="16" t="str">
        <f t="shared" si="33"/>
        <v/>
      </c>
      <c r="K131" s="16" t="str">
        <f t="shared" si="24"/>
        <v>[0.xls]TEXT!ZS5</v>
      </c>
      <c r="L131" s="16" t="str">
        <f t="shared" si="34"/>
        <v>0</v>
      </c>
      <c r="M131" s="16" t="str">
        <f t="shared" si="35"/>
        <v/>
      </c>
      <c r="N131" s="16" t="str">
        <f t="shared" si="25"/>
        <v>[0.xls]TEXT!ZS5</v>
      </c>
      <c r="O131" s="458">
        <f>ROW()</f>
        <v>131</v>
      </c>
      <c r="P131" s="459" t="str">
        <f t="shared" ref="P131:P162" si="36">"["&amp;$K$1&amp;".xls]PARAMETER!Z"&amp;VALUE(E131)&amp;"S6"</f>
        <v>[Region.xls]PARAMETER!Z0S6</v>
      </c>
      <c r="Q131" s="459" t="str">
        <f t="shared" ref="Q131:Q162" si="37">"["&amp;$K$1&amp;".xls]PARAMETER!Z"&amp;VALUE(F131)&amp;"S6"</f>
        <v>[Region.xls]PARAMETER!Z0S6</v>
      </c>
      <c r="S131" s="16">
        <f>COUNTIF('1.'!CW:CW,I_Region!O131)+IF(SUM(C131:F131)=0,1,0)</f>
        <v>1</v>
      </c>
    </row>
    <row r="132" spans="1:19">
      <c r="B132" s="54" t="s">
        <v>1603</v>
      </c>
      <c r="C132" s="449">
        <v>0</v>
      </c>
      <c r="D132" s="449">
        <v>19.3</v>
      </c>
      <c r="E132" s="449" t="s">
        <v>1604</v>
      </c>
      <c r="F132" s="449" t="s">
        <v>1605</v>
      </c>
      <c r="G132" s="449" t="s">
        <v>1606</v>
      </c>
      <c r="H132" s="449" t="s">
        <v>1607</v>
      </c>
      <c r="I132" s="16" t="str">
        <f t="shared" si="32"/>
        <v>SW</v>
      </c>
      <c r="J132" s="16" t="str">
        <f t="shared" si="33"/>
        <v>115</v>
      </c>
      <c r="K132" s="16" t="str">
        <f t="shared" si="24"/>
        <v>[SW.xls]TEXT!Z115S5</v>
      </c>
      <c r="L132" s="16" t="str">
        <f t="shared" si="34"/>
        <v>SW</v>
      </c>
      <c r="M132" s="16" t="str">
        <f t="shared" si="35"/>
        <v>120</v>
      </c>
      <c r="N132" s="16" t="str">
        <f t="shared" si="25"/>
        <v>[SW.xls]TEXT!Z120S5</v>
      </c>
      <c r="O132" s="458">
        <f>ROW()</f>
        <v>132</v>
      </c>
      <c r="P132" s="459" t="str">
        <f t="shared" si="36"/>
        <v>[Region.xls]PARAMETER!Z444S6</v>
      </c>
      <c r="Q132" s="459" t="str">
        <f t="shared" si="37"/>
        <v>[Region.xls]PARAMETER!Z445S6</v>
      </c>
      <c r="S132" s="16">
        <f>COUNTIF('1.'!CW:CW,I_Region!O132)+IF(SUM(C132:F132)=0,1,0)</f>
        <v>0</v>
      </c>
    </row>
    <row r="133" spans="1:19">
      <c r="B133" s="54" t="s">
        <v>1608</v>
      </c>
      <c r="C133" s="449">
        <v>100</v>
      </c>
      <c r="D133" s="449">
        <v>100</v>
      </c>
      <c r="E133" s="449" t="s">
        <v>1609</v>
      </c>
      <c r="F133" s="449" t="s">
        <v>1610</v>
      </c>
      <c r="G133" s="449" t="s">
        <v>1611</v>
      </c>
      <c r="H133" s="449" t="s">
        <v>1611</v>
      </c>
      <c r="I133" s="16" t="str">
        <f t="shared" si="32"/>
        <v>SW</v>
      </c>
      <c r="J133" s="16" t="str">
        <f t="shared" si="33"/>
        <v>111</v>
      </c>
      <c r="K133" s="16" t="str">
        <f t="shared" si="24"/>
        <v>[SW.xls]TEXT!Z111S5</v>
      </c>
      <c r="L133" s="16" t="str">
        <f t="shared" si="34"/>
        <v>SW</v>
      </c>
      <c r="M133" s="16" t="str">
        <f t="shared" si="35"/>
        <v>111</v>
      </c>
      <c r="N133" s="16" t="str">
        <f t="shared" si="25"/>
        <v>[SW.xls]TEXT!Z111S5</v>
      </c>
      <c r="O133" s="458">
        <f>ROW()</f>
        <v>133</v>
      </c>
      <c r="P133" s="459" t="str">
        <f t="shared" si="36"/>
        <v>[Region.xls]PARAMETER!Z448S6</v>
      </c>
      <c r="Q133" s="459" t="str">
        <f t="shared" si="37"/>
        <v>[Region.xls]PARAMETER!Z449S6</v>
      </c>
      <c r="S133" s="16">
        <f>COUNTIF('1.'!CW:CW,I_Region!O133)+IF(SUM(C133:F133)=0,1,0)</f>
        <v>0</v>
      </c>
    </row>
    <row r="134" spans="1:19">
      <c r="B134" s="54">
        <v>0</v>
      </c>
      <c r="C134" s="449">
        <v>0</v>
      </c>
      <c r="D134" s="449">
        <v>0</v>
      </c>
      <c r="E134" s="449">
        <v>0</v>
      </c>
      <c r="F134" s="449">
        <v>0</v>
      </c>
      <c r="G134" s="449">
        <v>0</v>
      </c>
      <c r="H134" s="449">
        <v>0</v>
      </c>
      <c r="I134" s="16" t="str">
        <f t="shared" si="32"/>
        <v>0</v>
      </c>
      <c r="J134" s="16" t="str">
        <f t="shared" si="33"/>
        <v/>
      </c>
      <c r="K134" s="16" t="str">
        <f t="shared" si="24"/>
        <v>[0.xls]TEXT!ZS5</v>
      </c>
      <c r="L134" s="16" t="str">
        <f t="shared" si="34"/>
        <v>0</v>
      </c>
      <c r="M134" s="16" t="str">
        <f t="shared" si="35"/>
        <v/>
      </c>
      <c r="N134" s="16" t="str">
        <f t="shared" si="25"/>
        <v>[0.xls]TEXT!ZS5</v>
      </c>
      <c r="O134" s="458">
        <f>ROW()</f>
        <v>134</v>
      </c>
      <c r="P134" s="459" t="str">
        <f t="shared" si="36"/>
        <v>[Region.xls]PARAMETER!Z0S6</v>
      </c>
      <c r="Q134" s="459" t="str">
        <f t="shared" si="37"/>
        <v>[Region.xls]PARAMETER!Z0S6</v>
      </c>
      <c r="S134" s="16">
        <f>COUNTIF('1.'!CW:CW,I_Region!O134)+IF(SUM(C134:F134)=0,1,0)</f>
        <v>1</v>
      </c>
    </row>
    <row r="135" spans="1:19">
      <c r="B135" s="54" t="s">
        <v>1612</v>
      </c>
      <c r="C135" s="449">
        <v>10.528864259966642</v>
      </c>
      <c r="D135" s="449">
        <v>0</v>
      </c>
      <c r="E135" s="449" t="s">
        <v>1613</v>
      </c>
      <c r="F135" s="449" t="s">
        <v>1614</v>
      </c>
      <c r="G135" s="449" t="s">
        <v>1615</v>
      </c>
      <c r="H135" s="449" t="s">
        <v>1616</v>
      </c>
      <c r="I135" s="16" t="str">
        <f t="shared" si="32"/>
        <v>SW</v>
      </c>
      <c r="J135" s="16" t="str">
        <f t="shared" si="33"/>
        <v>141</v>
      </c>
      <c r="K135" s="16" t="str">
        <f t="shared" si="24"/>
        <v>[SW.xls]TEXT!Z141S5</v>
      </c>
      <c r="L135" s="16" t="str">
        <f t="shared" si="34"/>
        <v>SW</v>
      </c>
      <c r="M135" s="16" t="str">
        <f t="shared" si="35"/>
        <v>145</v>
      </c>
      <c r="N135" s="16" t="str">
        <f t="shared" si="25"/>
        <v>[SW.xls]TEXT!Z145S5</v>
      </c>
      <c r="O135" s="458">
        <f>ROW()</f>
        <v>135</v>
      </c>
      <c r="P135" s="459" t="str">
        <f t="shared" si="36"/>
        <v>[Region.xls]PARAMETER!Z454S6</v>
      </c>
      <c r="Q135" s="459" t="str">
        <f t="shared" si="37"/>
        <v>[Region.xls]PARAMETER!Z455S6</v>
      </c>
      <c r="S135" s="16">
        <f>COUNTIF('1.'!CW:CW,I_Region!O135)+IF(SUM(C135:F135)=0,1,0)</f>
        <v>0</v>
      </c>
    </row>
    <row r="136" spans="1:19">
      <c r="B136" s="54" t="s">
        <v>1617</v>
      </c>
      <c r="C136" s="449">
        <v>100</v>
      </c>
      <c r="D136" s="449">
        <v>100</v>
      </c>
      <c r="E136" s="449" t="s">
        <v>1618</v>
      </c>
      <c r="F136" s="449" t="s">
        <v>1619</v>
      </c>
      <c r="G136" s="449" t="s">
        <v>1620</v>
      </c>
      <c r="H136" s="449" t="s">
        <v>1620</v>
      </c>
      <c r="I136" s="16" t="str">
        <f t="shared" si="32"/>
        <v>SW</v>
      </c>
      <c r="J136" s="16" t="str">
        <f t="shared" si="33"/>
        <v>132</v>
      </c>
      <c r="K136" s="16" t="str">
        <f t="shared" si="24"/>
        <v>[SW.xls]TEXT!Z132S5</v>
      </c>
      <c r="L136" s="16" t="str">
        <f t="shared" si="34"/>
        <v>SW</v>
      </c>
      <c r="M136" s="16" t="str">
        <f t="shared" si="35"/>
        <v>132</v>
      </c>
      <c r="N136" s="16" t="str">
        <f t="shared" si="25"/>
        <v>[SW.xls]TEXT!Z132S5</v>
      </c>
      <c r="O136" s="458">
        <f>ROW()</f>
        <v>136</v>
      </c>
      <c r="P136" s="459" t="str">
        <f t="shared" si="36"/>
        <v>[Region.xls]PARAMETER!Z458S6</v>
      </c>
      <c r="Q136" s="459" t="str">
        <f t="shared" si="37"/>
        <v>[Region.xls]PARAMETER!Z459S6</v>
      </c>
      <c r="S136" s="16">
        <f>COUNTIF('1.'!CW:CW,I_Region!O136)+IF(SUM(C136:F136)=0,1,0)</f>
        <v>0</v>
      </c>
    </row>
    <row r="137" spans="1:19">
      <c r="B137" s="54">
        <v>0</v>
      </c>
      <c r="C137" s="449">
        <v>0</v>
      </c>
      <c r="D137" s="449">
        <v>0</v>
      </c>
      <c r="E137" s="449">
        <v>0</v>
      </c>
      <c r="F137" s="449">
        <v>0</v>
      </c>
      <c r="G137" s="449">
        <v>0</v>
      </c>
      <c r="H137" s="449">
        <v>0</v>
      </c>
      <c r="I137" s="16" t="str">
        <f t="shared" si="32"/>
        <v>0</v>
      </c>
      <c r="J137" s="16" t="str">
        <f t="shared" si="33"/>
        <v/>
      </c>
      <c r="K137" s="16" t="str">
        <f t="shared" si="24"/>
        <v>[0.xls]TEXT!ZS5</v>
      </c>
      <c r="L137" s="16" t="str">
        <f t="shared" si="34"/>
        <v>0</v>
      </c>
      <c r="M137" s="16" t="str">
        <f t="shared" si="35"/>
        <v/>
      </c>
      <c r="N137" s="16" t="str">
        <f t="shared" si="25"/>
        <v>[0.xls]TEXT!ZS5</v>
      </c>
      <c r="O137" s="458">
        <f>ROW()</f>
        <v>137</v>
      </c>
      <c r="P137" s="459" t="str">
        <f t="shared" si="36"/>
        <v>[Region.xls]PARAMETER!Z0S6</v>
      </c>
      <c r="Q137" s="459" t="str">
        <f t="shared" si="37"/>
        <v>[Region.xls]PARAMETER!Z0S6</v>
      </c>
      <c r="S137" s="16">
        <f>COUNTIF('1.'!CW:CW,I_Region!O137)+IF(SUM(C137:F137)=0,1,0)</f>
        <v>1</v>
      </c>
    </row>
    <row r="138" spans="1:19">
      <c r="A138" s="16" t="s">
        <v>193</v>
      </c>
      <c r="B138" s="466" t="s">
        <v>1621</v>
      </c>
      <c r="C138" s="501">
        <v>186.92137501010436</v>
      </c>
      <c r="D138" s="501">
        <v>25889.387120513074</v>
      </c>
      <c r="E138" s="449" t="s">
        <v>1622</v>
      </c>
      <c r="F138" s="449" t="s">
        <v>1623</v>
      </c>
      <c r="G138" s="449" t="s">
        <v>1624</v>
      </c>
      <c r="H138" s="449" t="s">
        <v>1625</v>
      </c>
      <c r="I138" s="16" t="str">
        <f t="shared" si="32"/>
        <v>Wi</v>
      </c>
      <c r="J138" s="16" t="str">
        <f t="shared" si="33"/>
        <v>61</v>
      </c>
      <c r="K138" s="16" t="str">
        <f t="shared" si="24"/>
        <v>[Wi.xls]TEXT!Z61S5</v>
      </c>
      <c r="L138" s="16" t="str">
        <f t="shared" si="34"/>
        <v>Wi</v>
      </c>
      <c r="M138" s="16" t="str">
        <f t="shared" si="35"/>
        <v>70</v>
      </c>
      <c r="N138" s="16" t="str">
        <f t="shared" si="25"/>
        <v>[Wi.xls]TEXT!Z70S5</v>
      </c>
      <c r="O138" s="458">
        <f>ROW()</f>
        <v>138</v>
      </c>
      <c r="P138" s="459" t="str">
        <f t="shared" si="36"/>
        <v>[Region.xls]PARAMETER!Z60S6</v>
      </c>
      <c r="Q138" s="459" t="str">
        <f t="shared" si="37"/>
        <v>[Region.xls]PARAMETER!Z70S6</v>
      </c>
      <c r="S138" s="16">
        <f>COUNTIF('1.'!CW:CW,I_Region!O138)+IF(SUM(C138:F138)=0,1,0)</f>
        <v>1</v>
      </c>
    </row>
    <row r="139" spans="1:19">
      <c r="B139" s="54">
        <v>0</v>
      </c>
      <c r="C139" s="449">
        <v>0</v>
      </c>
      <c r="D139" s="449">
        <v>0</v>
      </c>
      <c r="E139" s="449">
        <v>0</v>
      </c>
      <c r="F139" s="449">
        <v>0</v>
      </c>
      <c r="G139" s="449">
        <v>0</v>
      </c>
      <c r="H139" s="449">
        <v>0</v>
      </c>
      <c r="I139" s="16" t="str">
        <f t="shared" si="32"/>
        <v>0</v>
      </c>
      <c r="J139" s="16" t="str">
        <f t="shared" si="33"/>
        <v/>
      </c>
      <c r="K139" s="16" t="str">
        <f t="shared" si="24"/>
        <v>[0.xls]TEXT!ZS5</v>
      </c>
      <c r="L139" s="16" t="str">
        <f t="shared" si="34"/>
        <v>0</v>
      </c>
      <c r="M139" s="16" t="str">
        <f t="shared" si="35"/>
        <v/>
      </c>
      <c r="N139" s="16" t="str">
        <f t="shared" si="25"/>
        <v>[0.xls]TEXT!ZS5</v>
      </c>
      <c r="O139" s="458">
        <f>ROW()</f>
        <v>139</v>
      </c>
      <c r="P139" s="459" t="str">
        <f t="shared" si="36"/>
        <v>[Region.xls]PARAMETER!Z0S6</v>
      </c>
      <c r="Q139" s="459" t="str">
        <f t="shared" si="37"/>
        <v>[Region.xls]PARAMETER!Z0S6</v>
      </c>
      <c r="S139" s="16">
        <f>COUNTIF('1.'!CW:CW,I_Region!O139)+IF(SUM(C139:F139)=0,1,0)</f>
        <v>1</v>
      </c>
    </row>
    <row r="140" spans="1:19">
      <c r="B140" s="54">
        <v>0</v>
      </c>
      <c r="C140" s="449">
        <v>0</v>
      </c>
      <c r="D140" s="449">
        <v>0</v>
      </c>
      <c r="E140" s="449">
        <v>0</v>
      </c>
      <c r="F140" s="449">
        <v>0</v>
      </c>
      <c r="G140" s="449">
        <v>0</v>
      </c>
      <c r="H140" s="449">
        <v>0</v>
      </c>
      <c r="I140" s="16" t="str">
        <f t="shared" si="32"/>
        <v>0</v>
      </c>
      <c r="J140" s="16" t="str">
        <f t="shared" si="33"/>
        <v/>
      </c>
      <c r="K140" s="16" t="str">
        <f t="shared" si="24"/>
        <v>[0.xls]TEXT!ZS5</v>
      </c>
      <c r="L140" s="16" t="str">
        <f t="shared" si="34"/>
        <v>0</v>
      </c>
      <c r="M140" s="16" t="str">
        <f t="shared" si="35"/>
        <v/>
      </c>
      <c r="N140" s="16" t="str">
        <f t="shared" si="25"/>
        <v>[0.xls]TEXT!ZS5</v>
      </c>
      <c r="O140" s="458">
        <f>ROW()</f>
        <v>140</v>
      </c>
      <c r="P140" s="459" t="str">
        <f t="shared" si="36"/>
        <v>[Region.xls]PARAMETER!Z0S6</v>
      </c>
      <c r="Q140" s="459" t="str">
        <f t="shared" si="37"/>
        <v>[Region.xls]PARAMETER!Z0S6</v>
      </c>
      <c r="S140" s="16">
        <f>COUNTIF('1.'!CW:CW,I_Region!O140)+IF(SUM(C140:F140)=0,1,0)</f>
        <v>1</v>
      </c>
    </row>
    <row r="141" spans="1:19">
      <c r="B141" s="54">
        <v>0</v>
      </c>
      <c r="C141" s="449">
        <v>0</v>
      </c>
      <c r="D141" s="449">
        <v>0</v>
      </c>
      <c r="E141" s="449">
        <v>0</v>
      </c>
      <c r="F141" s="449">
        <v>0</v>
      </c>
      <c r="G141" s="449">
        <v>0</v>
      </c>
      <c r="H141" s="449">
        <v>0</v>
      </c>
      <c r="I141" s="16" t="str">
        <f t="shared" si="32"/>
        <v>0</v>
      </c>
      <c r="J141" s="16" t="str">
        <f t="shared" si="33"/>
        <v/>
      </c>
      <c r="K141" s="16" t="str">
        <f t="shared" si="24"/>
        <v>[0.xls]TEXT!ZS5</v>
      </c>
      <c r="L141" s="16" t="str">
        <f t="shared" si="34"/>
        <v>0</v>
      </c>
      <c r="M141" s="16" t="str">
        <f t="shared" si="35"/>
        <v/>
      </c>
      <c r="N141" s="16" t="str">
        <f t="shared" si="25"/>
        <v>[0.xls]TEXT!ZS5</v>
      </c>
      <c r="O141" s="458">
        <f>ROW()</f>
        <v>141</v>
      </c>
      <c r="P141" s="459" t="str">
        <f t="shared" si="36"/>
        <v>[Region.xls]PARAMETER!Z0S6</v>
      </c>
      <c r="Q141" s="459" t="str">
        <f t="shared" si="37"/>
        <v>[Region.xls]PARAMETER!Z0S6</v>
      </c>
      <c r="S141" s="16">
        <f>COUNTIF('1.'!CW:CW,I_Region!O141)+IF(SUM(C141:F141)=0,1,0)</f>
        <v>1</v>
      </c>
    </row>
    <row r="142" spans="1:19">
      <c r="B142" s="54">
        <v>0</v>
      </c>
      <c r="C142" s="449">
        <v>0</v>
      </c>
      <c r="D142" s="449">
        <v>0</v>
      </c>
      <c r="E142" s="449">
        <v>0</v>
      </c>
      <c r="F142" s="449">
        <v>0</v>
      </c>
      <c r="G142" s="449">
        <v>0</v>
      </c>
      <c r="H142" s="449">
        <v>0</v>
      </c>
      <c r="I142" s="16" t="str">
        <f t="shared" si="32"/>
        <v>0</v>
      </c>
      <c r="J142" s="16" t="str">
        <f t="shared" si="33"/>
        <v/>
      </c>
      <c r="K142" s="16" t="str">
        <f t="shared" ref="K142:K199" si="38">"["&amp;IF(I142=$I$1,$K$1&amp;".xls]PARAMETER!Z"&amp;J142&amp;"S6",I142&amp;".xls]TEXT!Z"&amp;J142&amp;"S5")</f>
        <v>[0.xls]TEXT!ZS5</v>
      </c>
      <c r="L142" s="16" t="str">
        <f t="shared" si="34"/>
        <v>0</v>
      </c>
      <c r="M142" s="16" t="str">
        <f t="shared" si="35"/>
        <v/>
      </c>
      <c r="N142" s="16" t="str">
        <f t="shared" ref="N142:N199" si="39">"["&amp;IF(L142=$I$1,$K$1&amp;".xls]PARAMETER!Z"&amp;M142&amp;"S6",L142&amp;".xls]TEXT!Z"&amp;M142&amp;"S5")</f>
        <v>[0.xls]TEXT!ZS5</v>
      </c>
      <c r="O142" s="458">
        <f>ROW()</f>
        <v>142</v>
      </c>
      <c r="P142" s="459" t="str">
        <f t="shared" si="36"/>
        <v>[Region.xls]PARAMETER!Z0S6</v>
      </c>
      <c r="Q142" s="459" t="str">
        <f t="shared" si="37"/>
        <v>[Region.xls]PARAMETER!Z0S6</v>
      </c>
      <c r="S142" s="16">
        <f>COUNTIF('1.'!CW:CW,I_Region!O142)+IF(SUM(C142:F142)=0,1,0)</f>
        <v>1</v>
      </c>
    </row>
    <row r="143" spans="1:19">
      <c r="B143" s="54">
        <v>0</v>
      </c>
      <c r="C143" s="449">
        <v>0</v>
      </c>
      <c r="D143" s="449">
        <v>0</v>
      </c>
      <c r="E143" s="449">
        <v>0</v>
      </c>
      <c r="F143" s="449">
        <v>0</v>
      </c>
      <c r="G143" s="449">
        <v>0</v>
      </c>
      <c r="H143" s="449">
        <v>0</v>
      </c>
      <c r="I143" s="16" t="str">
        <f t="shared" si="32"/>
        <v>0</v>
      </c>
      <c r="J143" s="16" t="str">
        <f t="shared" si="33"/>
        <v/>
      </c>
      <c r="K143" s="16" t="str">
        <f t="shared" si="38"/>
        <v>[0.xls]TEXT!ZS5</v>
      </c>
      <c r="L143" s="16" t="str">
        <f t="shared" si="34"/>
        <v>0</v>
      </c>
      <c r="M143" s="16" t="str">
        <f t="shared" si="35"/>
        <v/>
      </c>
      <c r="N143" s="16" t="str">
        <f t="shared" si="39"/>
        <v>[0.xls]TEXT!ZS5</v>
      </c>
      <c r="O143" s="458">
        <f>ROW()</f>
        <v>143</v>
      </c>
      <c r="P143" s="459" t="str">
        <f t="shared" si="36"/>
        <v>[Region.xls]PARAMETER!Z0S6</v>
      </c>
      <c r="Q143" s="459" t="str">
        <f t="shared" si="37"/>
        <v>[Region.xls]PARAMETER!Z0S6</v>
      </c>
      <c r="S143" s="16">
        <f>COUNTIF('1.'!CW:CW,I_Region!O143)+IF(SUM(C143:F143)=0,1,0)</f>
        <v>1</v>
      </c>
    </row>
    <row r="144" spans="1:19">
      <c r="B144" s="54">
        <v>0</v>
      </c>
      <c r="C144" s="449">
        <v>0</v>
      </c>
      <c r="D144" s="449">
        <v>0</v>
      </c>
      <c r="E144" s="449">
        <v>0</v>
      </c>
      <c r="F144" s="449">
        <v>0</v>
      </c>
      <c r="G144" s="449">
        <v>0</v>
      </c>
      <c r="H144" s="449">
        <v>0</v>
      </c>
      <c r="I144" s="16" t="str">
        <f t="shared" si="32"/>
        <v>0</v>
      </c>
      <c r="J144" s="16" t="str">
        <f t="shared" si="33"/>
        <v/>
      </c>
      <c r="K144" s="16" t="str">
        <f t="shared" si="38"/>
        <v>[0.xls]TEXT!ZS5</v>
      </c>
      <c r="L144" s="16" t="str">
        <f t="shared" si="34"/>
        <v>0</v>
      </c>
      <c r="M144" s="16" t="str">
        <f t="shared" si="35"/>
        <v/>
      </c>
      <c r="N144" s="16" t="str">
        <f t="shared" si="39"/>
        <v>[0.xls]TEXT!ZS5</v>
      </c>
      <c r="O144" s="458">
        <f>ROW()</f>
        <v>144</v>
      </c>
      <c r="P144" s="459" t="str">
        <f t="shared" si="36"/>
        <v>[Region.xls]PARAMETER!Z0S6</v>
      </c>
      <c r="Q144" s="459" t="str">
        <f t="shared" si="37"/>
        <v>[Region.xls]PARAMETER!Z0S6</v>
      </c>
      <c r="S144" s="16">
        <f>COUNTIF('1.'!CW:CW,I_Region!O144)+IF(SUM(C144:F144)=0,1,0)</f>
        <v>1</v>
      </c>
    </row>
    <row r="145" spans="2:19">
      <c r="B145" s="54" t="s">
        <v>1626</v>
      </c>
      <c r="C145" s="449">
        <v>75.612008233099175</v>
      </c>
      <c r="D145" s="449">
        <v>0</v>
      </c>
      <c r="E145" s="449">
        <v>145</v>
      </c>
      <c r="F145" s="449">
        <v>0</v>
      </c>
      <c r="G145" s="449" t="s">
        <v>1292</v>
      </c>
      <c r="H145" s="449">
        <v>0</v>
      </c>
      <c r="I145" s="16" t="str">
        <f t="shared" si="32"/>
        <v>Ba</v>
      </c>
      <c r="J145" s="16" t="str">
        <f t="shared" si="33"/>
        <v>46</v>
      </c>
      <c r="K145" s="16" t="str">
        <f t="shared" si="38"/>
        <v>[Ba.xls]TEXT!Z46S5</v>
      </c>
      <c r="L145" s="16" t="str">
        <f t="shared" si="34"/>
        <v>0</v>
      </c>
      <c r="M145" s="16" t="str">
        <f t="shared" si="35"/>
        <v/>
      </c>
      <c r="N145" s="16" t="str">
        <f t="shared" si="39"/>
        <v>[0.xls]TEXT!ZS5</v>
      </c>
      <c r="O145" s="458">
        <f>ROW()</f>
        <v>145</v>
      </c>
      <c r="P145" s="459" t="str">
        <f t="shared" si="36"/>
        <v>[Region.xls]PARAMETER!Z145S6</v>
      </c>
      <c r="Q145" s="459" t="str">
        <f t="shared" si="37"/>
        <v>[Region.xls]PARAMETER!Z0S6</v>
      </c>
      <c r="S145" s="16">
        <f>COUNTIF('1.'!CW:CW,I_Region!O145)+IF(SUM(C145:F145)=0,1,0)</f>
        <v>0</v>
      </c>
    </row>
    <row r="146" spans="2:19">
      <c r="B146" s="54" t="s">
        <v>1627</v>
      </c>
      <c r="C146" s="449">
        <v>68.737940968298958</v>
      </c>
      <c r="D146" s="449">
        <v>0</v>
      </c>
      <c r="E146" s="449">
        <v>146</v>
      </c>
      <c r="F146" s="449">
        <v>0</v>
      </c>
      <c r="G146" s="449" t="s">
        <v>1294</v>
      </c>
      <c r="H146" s="449">
        <v>0</v>
      </c>
      <c r="I146" s="16" t="str">
        <f t="shared" si="32"/>
        <v>Ba</v>
      </c>
      <c r="J146" s="16" t="str">
        <f t="shared" si="33"/>
        <v>47</v>
      </c>
      <c r="K146" s="16" t="str">
        <f t="shared" si="38"/>
        <v>[Ba.xls]TEXT!Z47S5</v>
      </c>
      <c r="L146" s="16" t="str">
        <f t="shared" si="34"/>
        <v>0</v>
      </c>
      <c r="M146" s="16" t="str">
        <f t="shared" si="35"/>
        <v/>
      </c>
      <c r="N146" s="16" t="str">
        <f t="shared" si="39"/>
        <v>[0.xls]TEXT!ZS5</v>
      </c>
      <c r="O146" s="458">
        <f>ROW()</f>
        <v>146</v>
      </c>
      <c r="P146" s="459" t="str">
        <f t="shared" si="36"/>
        <v>[Region.xls]PARAMETER!Z146S6</v>
      </c>
      <c r="Q146" s="459" t="str">
        <f t="shared" si="37"/>
        <v>[Region.xls]PARAMETER!Z0S6</v>
      </c>
      <c r="S146" s="16">
        <f>COUNTIF('1.'!CW:CW,I_Region!O146)+IF(SUM(C146:F146)=0,1,0)</f>
        <v>0</v>
      </c>
    </row>
    <row r="147" spans="2:19">
      <c r="B147" s="54" t="s">
        <v>1628</v>
      </c>
      <c r="C147" s="449">
        <v>45.084868720911864</v>
      </c>
      <c r="D147" s="449">
        <v>0</v>
      </c>
      <c r="E147" s="449">
        <v>147</v>
      </c>
      <c r="F147" s="449">
        <v>0</v>
      </c>
      <c r="G147" s="449" t="s">
        <v>1296</v>
      </c>
      <c r="H147" s="449">
        <v>0</v>
      </c>
      <c r="I147" s="16" t="str">
        <f t="shared" si="32"/>
        <v>Ba</v>
      </c>
      <c r="J147" s="16" t="str">
        <f t="shared" si="33"/>
        <v>48</v>
      </c>
      <c r="K147" s="16" t="str">
        <f t="shared" si="38"/>
        <v>[Ba.xls]TEXT!Z48S5</v>
      </c>
      <c r="L147" s="16" t="str">
        <f t="shared" si="34"/>
        <v>0</v>
      </c>
      <c r="M147" s="16" t="str">
        <f t="shared" si="35"/>
        <v/>
      </c>
      <c r="N147" s="16" t="str">
        <f t="shared" si="39"/>
        <v>[0.xls]TEXT!ZS5</v>
      </c>
      <c r="O147" s="458">
        <f>ROW()</f>
        <v>147</v>
      </c>
      <c r="P147" s="459" t="str">
        <f t="shared" si="36"/>
        <v>[Region.xls]PARAMETER!Z147S6</v>
      </c>
      <c r="Q147" s="459" t="str">
        <f t="shared" si="37"/>
        <v>[Region.xls]PARAMETER!Z0S6</v>
      </c>
      <c r="S147" s="16">
        <f>COUNTIF('1.'!CW:CW,I_Region!O147)+IF(SUM(C147:F147)=0,1,0)</f>
        <v>0</v>
      </c>
    </row>
    <row r="148" spans="2:19">
      <c r="B148" s="54" t="s">
        <v>1629</v>
      </c>
      <c r="C148" s="449">
        <v>32.463555317339008</v>
      </c>
      <c r="D148" s="449">
        <v>0</v>
      </c>
      <c r="E148" s="449">
        <v>148</v>
      </c>
      <c r="F148" s="449">
        <v>0</v>
      </c>
      <c r="G148" s="449" t="s">
        <v>1298</v>
      </c>
      <c r="H148" s="449">
        <v>0</v>
      </c>
      <c r="I148" s="16" t="str">
        <f t="shared" si="32"/>
        <v>Ba</v>
      </c>
      <c r="J148" s="16" t="str">
        <f t="shared" si="33"/>
        <v>49</v>
      </c>
      <c r="K148" s="16" t="str">
        <f t="shared" si="38"/>
        <v>[Ba.xls]TEXT!Z49S5</v>
      </c>
      <c r="L148" s="16" t="str">
        <f t="shared" si="34"/>
        <v>0</v>
      </c>
      <c r="M148" s="16" t="str">
        <f t="shared" si="35"/>
        <v/>
      </c>
      <c r="N148" s="16" t="str">
        <f t="shared" si="39"/>
        <v>[0.xls]TEXT!ZS5</v>
      </c>
      <c r="O148" s="458">
        <f>ROW()</f>
        <v>148</v>
      </c>
      <c r="P148" s="459" t="str">
        <f t="shared" si="36"/>
        <v>[Region.xls]PARAMETER!Z148S6</v>
      </c>
      <c r="Q148" s="459" t="str">
        <f t="shared" si="37"/>
        <v>[Region.xls]PARAMETER!Z0S6</v>
      </c>
      <c r="S148" s="16">
        <f>COUNTIF('1.'!CW:CW,I_Region!O148)+IF(SUM(C148:F148)=0,1,0)</f>
        <v>0</v>
      </c>
    </row>
    <row r="149" spans="2:19">
      <c r="B149" s="54" t="s">
        <v>1630</v>
      </c>
      <c r="C149" s="449">
        <v>4.6558865777603442</v>
      </c>
      <c r="D149" s="449">
        <v>0</v>
      </c>
      <c r="E149" s="449">
        <v>149</v>
      </c>
      <c r="F149" s="449">
        <v>0</v>
      </c>
      <c r="G149" s="449" t="s">
        <v>1292</v>
      </c>
      <c r="H149" s="449">
        <v>0</v>
      </c>
      <c r="I149" s="16" t="str">
        <f t="shared" si="32"/>
        <v>Ba</v>
      </c>
      <c r="J149" s="16" t="str">
        <f t="shared" si="33"/>
        <v>46</v>
      </c>
      <c r="K149" s="16" t="str">
        <f t="shared" si="38"/>
        <v>[Ba.xls]TEXT!Z46S5</v>
      </c>
      <c r="L149" s="16" t="str">
        <f t="shared" si="34"/>
        <v>0</v>
      </c>
      <c r="M149" s="16" t="str">
        <f t="shared" si="35"/>
        <v/>
      </c>
      <c r="N149" s="16" t="str">
        <f t="shared" si="39"/>
        <v>[0.xls]TEXT!ZS5</v>
      </c>
      <c r="O149" s="458">
        <f>ROW()</f>
        <v>149</v>
      </c>
      <c r="P149" s="459" t="str">
        <f t="shared" si="36"/>
        <v>[Region.xls]PARAMETER!Z149S6</v>
      </c>
      <c r="Q149" s="459" t="str">
        <f t="shared" si="37"/>
        <v>[Region.xls]PARAMETER!Z0S6</v>
      </c>
      <c r="S149" s="16">
        <f>COUNTIF('1.'!CW:CW,I_Region!O149)+IF(SUM(C149:F149)=0,1,0)</f>
        <v>0</v>
      </c>
    </row>
    <row r="150" spans="2:19">
      <c r="B150" s="54" t="s">
        <v>1631</v>
      </c>
      <c r="C150" s="449">
        <v>5.6480312760859519</v>
      </c>
      <c r="D150" s="449">
        <v>0</v>
      </c>
      <c r="E150" s="449">
        <v>150</v>
      </c>
      <c r="F150" s="449">
        <v>0</v>
      </c>
      <c r="G150" s="449" t="s">
        <v>1294</v>
      </c>
      <c r="H150" s="449">
        <v>0</v>
      </c>
      <c r="I150" s="16" t="str">
        <f t="shared" si="32"/>
        <v>Ba</v>
      </c>
      <c r="J150" s="16" t="str">
        <f t="shared" si="33"/>
        <v>47</v>
      </c>
      <c r="K150" s="16" t="str">
        <f t="shared" si="38"/>
        <v>[Ba.xls]TEXT!Z47S5</v>
      </c>
      <c r="L150" s="16" t="str">
        <f t="shared" si="34"/>
        <v>0</v>
      </c>
      <c r="M150" s="16" t="str">
        <f t="shared" si="35"/>
        <v/>
      </c>
      <c r="N150" s="16" t="str">
        <f t="shared" si="39"/>
        <v>[0.xls]TEXT!ZS5</v>
      </c>
      <c r="O150" s="458">
        <f>ROW()</f>
        <v>150</v>
      </c>
      <c r="P150" s="459" t="str">
        <f t="shared" si="36"/>
        <v>[Region.xls]PARAMETER!Z150S6</v>
      </c>
      <c r="Q150" s="459" t="str">
        <f t="shared" si="37"/>
        <v>[Region.xls]PARAMETER!Z0S6</v>
      </c>
      <c r="S150" s="16">
        <f>COUNTIF('1.'!CW:CW,I_Region!O150)+IF(SUM(C150:F150)=0,1,0)</f>
        <v>0</v>
      </c>
    </row>
    <row r="151" spans="2:19">
      <c r="B151" s="54" t="s">
        <v>1632</v>
      </c>
      <c r="C151" s="449">
        <v>27.201987965103363</v>
      </c>
      <c r="D151" s="449">
        <v>0</v>
      </c>
      <c r="E151" s="449">
        <v>151</v>
      </c>
      <c r="F151" s="449">
        <v>0</v>
      </c>
      <c r="G151" s="449" t="s">
        <v>1296</v>
      </c>
      <c r="H151" s="449">
        <v>0</v>
      </c>
      <c r="I151" s="16" t="str">
        <f t="shared" si="32"/>
        <v>Ba</v>
      </c>
      <c r="J151" s="16" t="str">
        <f t="shared" si="33"/>
        <v>48</v>
      </c>
      <c r="K151" s="16" t="str">
        <f t="shared" si="38"/>
        <v>[Ba.xls]TEXT!Z48S5</v>
      </c>
      <c r="L151" s="16" t="str">
        <f t="shared" si="34"/>
        <v>0</v>
      </c>
      <c r="M151" s="16" t="str">
        <f t="shared" si="35"/>
        <v/>
      </c>
      <c r="N151" s="16" t="str">
        <f t="shared" si="39"/>
        <v>[0.xls]TEXT!ZS5</v>
      </c>
      <c r="O151" s="458">
        <f>ROW()</f>
        <v>151</v>
      </c>
      <c r="P151" s="459" t="str">
        <f t="shared" si="36"/>
        <v>[Region.xls]PARAMETER!Z151S6</v>
      </c>
      <c r="Q151" s="459" t="str">
        <f t="shared" si="37"/>
        <v>[Region.xls]PARAMETER!Z0S6</v>
      </c>
      <c r="S151" s="16">
        <f>COUNTIF('1.'!CW:CW,I_Region!O151)+IF(SUM(C151:F151)=0,1,0)</f>
        <v>0</v>
      </c>
    </row>
    <row r="152" spans="2:19">
      <c r="B152" s="54" t="s">
        <v>1633</v>
      </c>
      <c r="C152" s="449">
        <v>19.50613487194012</v>
      </c>
      <c r="D152" s="449">
        <v>0</v>
      </c>
      <c r="E152" s="449">
        <v>152</v>
      </c>
      <c r="F152" s="449">
        <v>0</v>
      </c>
      <c r="G152" s="449" t="s">
        <v>1298</v>
      </c>
      <c r="H152" s="449">
        <v>0</v>
      </c>
      <c r="I152" s="16" t="str">
        <f t="shared" si="32"/>
        <v>Ba</v>
      </c>
      <c r="J152" s="16" t="str">
        <f t="shared" si="33"/>
        <v>49</v>
      </c>
      <c r="K152" s="16" t="str">
        <f t="shared" si="38"/>
        <v>[Ba.xls]TEXT!Z49S5</v>
      </c>
      <c r="L152" s="16" t="str">
        <f t="shared" si="34"/>
        <v>0</v>
      </c>
      <c r="M152" s="16" t="str">
        <f t="shared" si="35"/>
        <v/>
      </c>
      <c r="N152" s="16" t="str">
        <f t="shared" si="39"/>
        <v>[0.xls]TEXT!ZS5</v>
      </c>
      <c r="O152" s="458">
        <f>ROW()</f>
        <v>152</v>
      </c>
      <c r="P152" s="459" t="str">
        <f t="shared" si="36"/>
        <v>[Region.xls]PARAMETER!Z152S6</v>
      </c>
      <c r="Q152" s="459" t="str">
        <f t="shared" si="37"/>
        <v>[Region.xls]PARAMETER!Z0S6</v>
      </c>
      <c r="S152" s="16">
        <f>COUNTIF('1.'!CW:CW,I_Region!O152)+IF(SUM(C152:F152)=0,1,0)</f>
        <v>0</v>
      </c>
    </row>
    <row r="153" spans="2:19">
      <c r="B153" s="54">
        <v>0</v>
      </c>
      <c r="C153" s="449">
        <v>0</v>
      </c>
      <c r="D153" s="449">
        <v>0</v>
      </c>
      <c r="E153" s="449">
        <v>0</v>
      </c>
      <c r="F153" s="449">
        <v>0</v>
      </c>
      <c r="G153" s="449">
        <v>0</v>
      </c>
      <c r="H153" s="449">
        <v>0</v>
      </c>
      <c r="I153" s="16" t="str">
        <f t="shared" si="32"/>
        <v>0</v>
      </c>
      <c r="J153" s="16" t="str">
        <f t="shared" si="33"/>
        <v/>
      </c>
      <c r="K153" s="16" t="str">
        <f t="shared" si="38"/>
        <v>[0.xls]TEXT!ZS5</v>
      </c>
      <c r="L153" s="16" t="str">
        <f t="shared" si="34"/>
        <v>0</v>
      </c>
      <c r="M153" s="16" t="str">
        <f t="shared" si="35"/>
        <v/>
      </c>
      <c r="N153" s="16" t="str">
        <f t="shared" si="39"/>
        <v>[0.xls]TEXT!ZS5</v>
      </c>
      <c r="O153" s="458">
        <f>ROW()</f>
        <v>153</v>
      </c>
      <c r="P153" s="459" t="str">
        <f t="shared" si="36"/>
        <v>[Region.xls]PARAMETER!Z0S6</v>
      </c>
      <c r="Q153" s="459" t="str">
        <f t="shared" si="37"/>
        <v>[Region.xls]PARAMETER!Z0S6</v>
      </c>
      <c r="S153" s="16">
        <f>COUNTIF('1.'!CW:CW,I_Region!O153)+IF(SUM(C153:F153)=0,1,0)</f>
        <v>1</v>
      </c>
    </row>
    <row r="154" spans="2:19">
      <c r="B154" s="54" t="s">
        <v>1634</v>
      </c>
      <c r="C154" s="449">
        <v>0</v>
      </c>
      <c r="D154" s="449">
        <v>0</v>
      </c>
      <c r="E154" s="449" t="s">
        <v>1635</v>
      </c>
      <c r="F154" s="449">
        <v>0</v>
      </c>
      <c r="G154" s="449" t="s">
        <v>1290</v>
      </c>
      <c r="H154" s="449">
        <v>0</v>
      </c>
      <c r="I154" s="16" t="str">
        <f t="shared" si="32"/>
        <v>Ba</v>
      </c>
      <c r="J154" s="16" t="str">
        <f t="shared" si="33"/>
        <v>41</v>
      </c>
      <c r="K154" s="16" t="str">
        <f t="shared" si="38"/>
        <v>[Ba.xls]TEXT!Z41S5</v>
      </c>
      <c r="L154" s="16" t="str">
        <f t="shared" si="34"/>
        <v>0</v>
      </c>
      <c r="M154" s="16" t="str">
        <f t="shared" si="35"/>
        <v/>
      </c>
      <c r="N154" s="16" t="str">
        <f t="shared" si="39"/>
        <v>[0.xls]TEXT!ZS5</v>
      </c>
      <c r="O154" s="458">
        <f>ROW()</f>
        <v>154</v>
      </c>
      <c r="P154" s="459" t="str">
        <f t="shared" si="36"/>
        <v>[Region.xls]PARAMETER!Z88S6</v>
      </c>
      <c r="Q154" s="459" t="str">
        <f t="shared" si="37"/>
        <v>[Region.xls]PARAMETER!Z0S6</v>
      </c>
      <c r="S154" s="16">
        <f>COUNTIF('1.'!CW:CW,I_Region!O154)+IF(SUM(C154:F154)=0,1,0)</f>
        <v>1</v>
      </c>
    </row>
    <row r="155" spans="2:19">
      <c r="B155" s="54" t="s">
        <v>1636</v>
      </c>
      <c r="C155" s="449">
        <v>0</v>
      </c>
      <c r="D155" s="449">
        <v>0</v>
      </c>
      <c r="E155" s="449" t="s">
        <v>1637</v>
      </c>
      <c r="F155" s="449">
        <v>0</v>
      </c>
      <c r="G155" s="449" t="s">
        <v>1290</v>
      </c>
      <c r="H155" s="449">
        <v>0</v>
      </c>
      <c r="I155" s="16" t="str">
        <f t="shared" si="32"/>
        <v>Ba</v>
      </c>
      <c r="J155" s="16" t="str">
        <f t="shared" si="33"/>
        <v>41</v>
      </c>
      <c r="K155" s="16" t="str">
        <f t="shared" si="38"/>
        <v>[Ba.xls]TEXT!Z41S5</v>
      </c>
      <c r="L155" s="16" t="str">
        <f t="shared" si="34"/>
        <v>0</v>
      </c>
      <c r="M155" s="16" t="str">
        <f t="shared" si="35"/>
        <v/>
      </c>
      <c r="N155" s="16" t="str">
        <f t="shared" si="39"/>
        <v>[0.xls]TEXT!ZS5</v>
      </c>
      <c r="O155" s="458">
        <f>ROW()</f>
        <v>155</v>
      </c>
      <c r="P155" s="459" t="str">
        <f t="shared" si="36"/>
        <v>[Region.xls]PARAMETER!Z89S6</v>
      </c>
      <c r="Q155" s="459" t="str">
        <f t="shared" si="37"/>
        <v>[Region.xls]PARAMETER!Z0S6</v>
      </c>
      <c r="S155" s="16">
        <f>COUNTIF('1.'!CW:CW,I_Region!O155)+IF(SUM(C155:F155)=0,1,0)</f>
        <v>1</v>
      </c>
    </row>
    <row r="156" spans="2:19">
      <c r="B156" s="54" t="s">
        <v>1638</v>
      </c>
      <c r="C156" s="449">
        <v>0</v>
      </c>
      <c r="D156" s="449">
        <v>0</v>
      </c>
      <c r="E156" s="449" t="s">
        <v>1639</v>
      </c>
      <c r="F156" s="449">
        <v>0</v>
      </c>
      <c r="G156" s="449" t="s">
        <v>1290</v>
      </c>
      <c r="H156" s="449">
        <v>0</v>
      </c>
      <c r="I156" s="16" t="str">
        <f t="shared" si="32"/>
        <v>Ba</v>
      </c>
      <c r="J156" s="16" t="str">
        <f t="shared" si="33"/>
        <v>41</v>
      </c>
      <c r="K156" s="16" t="str">
        <f t="shared" si="38"/>
        <v>[Ba.xls]TEXT!Z41S5</v>
      </c>
      <c r="L156" s="16" t="str">
        <f t="shared" si="34"/>
        <v>0</v>
      </c>
      <c r="M156" s="16" t="str">
        <f t="shared" si="35"/>
        <v/>
      </c>
      <c r="N156" s="16" t="str">
        <f t="shared" si="39"/>
        <v>[0.xls]TEXT!ZS5</v>
      </c>
      <c r="O156" s="458">
        <f>ROW()</f>
        <v>156</v>
      </c>
      <c r="P156" s="459" t="str">
        <f t="shared" si="36"/>
        <v>[Region.xls]PARAMETER!Z90S6</v>
      </c>
      <c r="Q156" s="459" t="str">
        <f t="shared" si="37"/>
        <v>[Region.xls]PARAMETER!Z0S6</v>
      </c>
      <c r="S156" s="16">
        <f>COUNTIF('1.'!CW:CW,I_Region!O156)+IF(SUM(C156:F156)=0,1,0)</f>
        <v>1</v>
      </c>
    </row>
    <row r="157" spans="2:19">
      <c r="B157" s="54" t="s">
        <v>1640</v>
      </c>
      <c r="C157" s="449">
        <v>0</v>
      </c>
      <c r="D157" s="449">
        <v>0</v>
      </c>
      <c r="E157" s="449" t="s">
        <v>1641</v>
      </c>
      <c r="F157" s="449">
        <v>0</v>
      </c>
      <c r="G157" s="449" t="s">
        <v>1290</v>
      </c>
      <c r="H157" s="449">
        <v>0</v>
      </c>
      <c r="I157" s="16" t="str">
        <f t="shared" si="32"/>
        <v>Ba</v>
      </c>
      <c r="J157" s="16" t="str">
        <f t="shared" si="33"/>
        <v>41</v>
      </c>
      <c r="K157" s="16" t="str">
        <f t="shared" si="38"/>
        <v>[Ba.xls]TEXT!Z41S5</v>
      </c>
      <c r="L157" s="16" t="str">
        <f t="shared" si="34"/>
        <v>0</v>
      </c>
      <c r="M157" s="16" t="str">
        <f t="shared" si="35"/>
        <v/>
      </c>
      <c r="N157" s="16" t="str">
        <f t="shared" si="39"/>
        <v>[0.xls]TEXT!ZS5</v>
      </c>
      <c r="O157" s="458">
        <f>ROW()</f>
        <v>157</v>
      </c>
      <c r="P157" s="459" t="str">
        <f t="shared" si="36"/>
        <v>[Region.xls]PARAMETER!Z91S6</v>
      </c>
      <c r="Q157" s="459" t="str">
        <f t="shared" si="37"/>
        <v>[Region.xls]PARAMETER!Z0S6</v>
      </c>
      <c r="S157" s="16">
        <f>COUNTIF('1.'!CW:CW,I_Region!O157)+IF(SUM(C157:F157)=0,1,0)</f>
        <v>1</v>
      </c>
    </row>
    <row r="158" spans="2:19">
      <c r="B158" s="54">
        <v>0</v>
      </c>
      <c r="C158" s="449">
        <v>0</v>
      </c>
      <c r="D158" s="449">
        <v>0</v>
      </c>
      <c r="E158" s="449">
        <v>0</v>
      </c>
      <c r="F158" s="449">
        <v>0</v>
      </c>
      <c r="G158" s="449">
        <v>0</v>
      </c>
      <c r="H158" s="449">
        <v>0</v>
      </c>
      <c r="I158" s="16" t="str">
        <f t="shared" si="32"/>
        <v>0</v>
      </c>
      <c r="J158" s="16" t="str">
        <f t="shared" si="33"/>
        <v/>
      </c>
      <c r="K158" s="16" t="str">
        <f t="shared" si="38"/>
        <v>[0.xls]TEXT!ZS5</v>
      </c>
      <c r="L158" s="16" t="str">
        <f t="shared" si="34"/>
        <v>0</v>
      </c>
      <c r="M158" s="16" t="str">
        <f t="shared" si="35"/>
        <v/>
      </c>
      <c r="N158" s="16" t="str">
        <f t="shared" si="39"/>
        <v>[0.xls]TEXT!ZS5</v>
      </c>
      <c r="O158" s="458">
        <f>ROW()</f>
        <v>158</v>
      </c>
      <c r="P158" s="459" t="str">
        <f t="shared" si="36"/>
        <v>[Region.xls]PARAMETER!Z0S6</v>
      </c>
      <c r="Q158" s="459" t="str">
        <f t="shared" si="37"/>
        <v>[Region.xls]PARAMETER!Z0S6</v>
      </c>
      <c r="S158" s="16">
        <f>COUNTIF('1.'!CW:CW,I_Region!O158)+IF(SUM(C158:F158)=0,1,0)</f>
        <v>1</v>
      </c>
    </row>
    <row r="159" spans="2:19">
      <c r="B159" s="54">
        <v>0</v>
      </c>
      <c r="C159" s="449">
        <v>0</v>
      </c>
      <c r="D159" s="449">
        <v>0</v>
      </c>
      <c r="E159" s="449">
        <v>0</v>
      </c>
      <c r="F159" s="449">
        <v>0</v>
      </c>
      <c r="G159" s="449">
        <v>0</v>
      </c>
      <c r="H159" s="449">
        <v>0</v>
      </c>
      <c r="I159" s="16" t="str">
        <f t="shared" si="32"/>
        <v>0</v>
      </c>
      <c r="J159" s="16" t="str">
        <f t="shared" si="33"/>
        <v/>
      </c>
      <c r="K159" s="16" t="str">
        <f t="shared" si="38"/>
        <v>[0.xls]TEXT!ZS5</v>
      </c>
      <c r="L159" s="16" t="str">
        <f t="shared" si="34"/>
        <v>0</v>
      </c>
      <c r="M159" s="16" t="str">
        <f t="shared" si="35"/>
        <v/>
      </c>
      <c r="N159" s="16" t="str">
        <f t="shared" si="39"/>
        <v>[0.xls]TEXT!ZS5</v>
      </c>
      <c r="O159" s="458">
        <f>ROW()</f>
        <v>159</v>
      </c>
      <c r="P159" s="459" t="str">
        <f t="shared" si="36"/>
        <v>[Region.xls]PARAMETER!Z0S6</v>
      </c>
      <c r="Q159" s="459" t="str">
        <f t="shared" si="37"/>
        <v>[Region.xls]PARAMETER!Z0S6</v>
      </c>
      <c r="S159" s="16">
        <f>COUNTIF('1.'!CW:CW,I_Region!O159)+IF(SUM(C159:F159)=0,1,0)</f>
        <v>1</v>
      </c>
    </row>
    <row r="160" spans="2:19">
      <c r="B160" s="54">
        <v>0</v>
      </c>
      <c r="C160" s="449">
        <v>0</v>
      </c>
      <c r="D160" s="449">
        <v>0</v>
      </c>
      <c r="E160" s="449">
        <v>0</v>
      </c>
      <c r="F160" s="449">
        <v>0</v>
      </c>
      <c r="G160" s="449">
        <v>0</v>
      </c>
      <c r="H160" s="449">
        <v>0</v>
      </c>
      <c r="I160" s="16" t="str">
        <f t="shared" ref="I160:I191" si="40">LEFT(G160,2)</f>
        <v>0</v>
      </c>
      <c r="J160" s="16" t="str">
        <f t="shared" ref="J160:J191" si="41">SUBSTITUTE(G160,I160,"")</f>
        <v/>
      </c>
      <c r="K160" s="16" t="str">
        <f t="shared" si="38"/>
        <v>[0.xls]TEXT!ZS5</v>
      </c>
      <c r="L160" s="16" t="str">
        <f t="shared" ref="L160:L191" si="42">LEFT(H160,2)</f>
        <v>0</v>
      </c>
      <c r="M160" s="16" t="str">
        <f t="shared" ref="M160:M191" si="43">SUBSTITUTE(H160,L160,"")</f>
        <v/>
      </c>
      <c r="N160" s="16" t="str">
        <f t="shared" si="39"/>
        <v>[0.xls]TEXT!ZS5</v>
      </c>
      <c r="O160" s="458">
        <f>ROW()</f>
        <v>160</v>
      </c>
      <c r="P160" s="459" t="str">
        <f t="shared" si="36"/>
        <v>[Region.xls]PARAMETER!Z0S6</v>
      </c>
      <c r="Q160" s="459" t="str">
        <f t="shared" si="37"/>
        <v>[Region.xls]PARAMETER!Z0S6</v>
      </c>
      <c r="S160" s="16">
        <f>COUNTIF('1.'!CW:CW,I_Region!O160)+IF(SUM(C160:F160)=0,1,0)</f>
        <v>1</v>
      </c>
    </row>
    <row r="161" spans="2:19">
      <c r="B161" s="54">
        <v>0</v>
      </c>
      <c r="C161" s="449">
        <v>0</v>
      </c>
      <c r="D161" s="449">
        <v>0</v>
      </c>
      <c r="E161" s="449">
        <v>0</v>
      </c>
      <c r="F161" s="449">
        <v>0</v>
      </c>
      <c r="G161" s="449">
        <v>0</v>
      </c>
      <c r="H161" s="449">
        <v>0</v>
      </c>
      <c r="I161" s="16" t="str">
        <f t="shared" si="40"/>
        <v>0</v>
      </c>
      <c r="J161" s="16" t="str">
        <f t="shared" si="41"/>
        <v/>
      </c>
      <c r="K161" s="16" t="str">
        <f t="shared" si="38"/>
        <v>[0.xls]TEXT!ZS5</v>
      </c>
      <c r="L161" s="16" t="str">
        <f t="shared" si="42"/>
        <v>0</v>
      </c>
      <c r="M161" s="16" t="str">
        <f t="shared" si="43"/>
        <v/>
      </c>
      <c r="N161" s="16" t="str">
        <f t="shared" si="39"/>
        <v>[0.xls]TEXT!ZS5</v>
      </c>
      <c r="O161" s="458">
        <f>ROW()</f>
        <v>161</v>
      </c>
      <c r="P161" s="459" t="str">
        <f t="shared" si="36"/>
        <v>[Region.xls]PARAMETER!Z0S6</v>
      </c>
      <c r="Q161" s="459" t="str">
        <f t="shared" si="37"/>
        <v>[Region.xls]PARAMETER!Z0S6</v>
      </c>
      <c r="S161" s="16">
        <f>COUNTIF('1.'!CW:CW,I_Region!O161)+IF(SUM(C161:F161)=0,1,0)</f>
        <v>1</v>
      </c>
    </row>
    <row r="162" spans="2:19">
      <c r="B162" s="54">
        <v>0</v>
      </c>
      <c r="C162" s="449">
        <v>0</v>
      </c>
      <c r="D162" s="449">
        <v>0</v>
      </c>
      <c r="E162" s="449">
        <v>0</v>
      </c>
      <c r="F162" s="449">
        <v>0</v>
      </c>
      <c r="G162" s="449">
        <v>0</v>
      </c>
      <c r="H162" s="449">
        <v>0</v>
      </c>
      <c r="I162" s="16" t="str">
        <f t="shared" si="40"/>
        <v>0</v>
      </c>
      <c r="J162" s="16" t="str">
        <f t="shared" si="41"/>
        <v/>
      </c>
      <c r="K162" s="16" t="str">
        <f t="shared" si="38"/>
        <v>[0.xls]TEXT!ZS5</v>
      </c>
      <c r="L162" s="16" t="str">
        <f t="shared" si="42"/>
        <v>0</v>
      </c>
      <c r="M162" s="16" t="str">
        <f t="shared" si="43"/>
        <v/>
      </c>
      <c r="N162" s="16" t="str">
        <f t="shared" si="39"/>
        <v>[0.xls]TEXT!ZS5</v>
      </c>
      <c r="O162" s="458">
        <f>ROW()</f>
        <v>162</v>
      </c>
      <c r="P162" s="459" t="str">
        <f t="shared" si="36"/>
        <v>[Region.xls]PARAMETER!Z0S6</v>
      </c>
      <c r="Q162" s="459" t="str">
        <f t="shared" si="37"/>
        <v>[Region.xls]PARAMETER!Z0S6</v>
      </c>
      <c r="S162" s="16">
        <f>COUNTIF('1.'!CW:CW,I_Region!O162)+IF(SUM(C162:F162)=0,1,0)</f>
        <v>1</v>
      </c>
    </row>
    <row r="163" spans="2:19">
      <c r="B163" s="54">
        <v>0</v>
      </c>
      <c r="C163" s="449">
        <v>0</v>
      </c>
      <c r="D163" s="449">
        <v>0</v>
      </c>
      <c r="E163" s="449">
        <v>0</v>
      </c>
      <c r="F163" s="449">
        <v>0</v>
      </c>
      <c r="G163" s="449">
        <v>0</v>
      </c>
      <c r="H163" s="449">
        <v>0</v>
      </c>
      <c r="I163" s="16" t="str">
        <f t="shared" si="40"/>
        <v>0</v>
      </c>
      <c r="J163" s="16" t="str">
        <f t="shared" si="41"/>
        <v/>
      </c>
      <c r="K163" s="16" t="str">
        <f t="shared" si="38"/>
        <v>[0.xls]TEXT!ZS5</v>
      </c>
      <c r="L163" s="16" t="str">
        <f t="shared" si="42"/>
        <v>0</v>
      </c>
      <c r="M163" s="16" t="str">
        <f t="shared" si="43"/>
        <v/>
      </c>
      <c r="N163" s="16" t="str">
        <f t="shared" si="39"/>
        <v>[0.xls]TEXT!ZS5</v>
      </c>
      <c r="O163" s="458">
        <f>ROW()</f>
        <v>163</v>
      </c>
      <c r="P163" s="459" t="str">
        <f t="shared" ref="P163:P199" si="44">"["&amp;$K$1&amp;".xls]PARAMETER!Z"&amp;VALUE(E163)&amp;"S6"</f>
        <v>[Region.xls]PARAMETER!Z0S6</v>
      </c>
      <c r="Q163" s="459" t="str">
        <f t="shared" ref="Q163:Q199" si="45">"["&amp;$K$1&amp;".xls]PARAMETER!Z"&amp;VALUE(F163)&amp;"S6"</f>
        <v>[Region.xls]PARAMETER!Z0S6</v>
      </c>
      <c r="S163" s="16">
        <f>COUNTIF('1.'!CW:CW,I_Region!O163)+IF(SUM(C163:F163)=0,1,0)</f>
        <v>1</v>
      </c>
    </row>
    <row r="164" spans="2:19">
      <c r="B164" s="54">
        <v>0</v>
      </c>
      <c r="C164" s="449">
        <v>0</v>
      </c>
      <c r="D164" s="449">
        <v>0</v>
      </c>
      <c r="E164" s="449">
        <v>0</v>
      </c>
      <c r="F164" s="449">
        <v>0</v>
      </c>
      <c r="G164" s="449">
        <v>0</v>
      </c>
      <c r="H164" s="449">
        <v>0</v>
      </c>
      <c r="I164" s="16" t="str">
        <f t="shared" si="40"/>
        <v>0</v>
      </c>
      <c r="J164" s="16" t="str">
        <f t="shared" si="41"/>
        <v/>
      </c>
      <c r="K164" s="16" t="str">
        <f t="shared" si="38"/>
        <v>[0.xls]TEXT!ZS5</v>
      </c>
      <c r="L164" s="16" t="str">
        <f t="shared" si="42"/>
        <v>0</v>
      </c>
      <c r="M164" s="16" t="str">
        <f t="shared" si="43"/>
        <v/>
      </c>
      <c r="N164" s="16" t="str">
        <f t="shared" si="39"/>
        <v>[0.xls]TEXT!ZS5</v>
      </c>
      <c r="O164" s="458">
        <f>ROW()</f>
        <v>164</v>
      </c>
      <c r="P164" s="459" t="str">
        <f t="shared" si="44"/>
        <v>[Region.xls]PARAMETER!Z0S6</v>
      </c>
      <c r="Q164" s="459" t="str">
        <f t="shared" si="45"/>
        <v>[Region.xls]PARAMETER!Z0S6</v>
      </c>
      <c r="S164" s="16">
        <f>COUNTIF('1.'!CW:CW,I_Region!O164)+IF(SUM(C164:F164)=0,1,0)</f>
        <v>1</v>
      </c>
    </row>
    <row r="165" spans="2:19">
      <c r="B165" s="54">
        <v>0</v>
      </c>
      <c r="C165" s="449">
        <v>0</v>
      </c>
      <c r="D165" s="449">
        <v>0</v>
      </c>
      <c r="E165" s="449">
        <v>0</v>
      </c>
      <c r="F165" s="449">
        <v>0</v>
      </c>
      <c r="G165" s="449">
        <v>0</v>
      </c>
      <c r="H165" s="449">
        <v>0</v>
      </c>
      <c r="I165" s="16" t="str">
        <f t="shared" si="40"/>
        <v>0</v>
      </c>
      <c r="J165" s="16" t="str">
        <f t="shared" si="41"/>
        <v/>
      </c>
      <c r="K165" s="16" t="str">
        <f t="shared" si="38"/>
        <v>[0.xls]TEXT!ZS5</v>
      </c>
      <c r="L165" s="16" t="str">
        <f t="shared" si="42"/>
        <v>0</v>
      </c>
      <c r="M165" s="16" t="str">
        <f t="shared" si="43"/>
        <v/>
      </c>
      <c r="N165" s="16" t="str">
        <f t="shared" si="39"/>
        <v>[0.xls]TEXT!ZS5</v>
      </c>
      <c r="O165" s="458">
        <f>ROW()</f>
        <v>165</v>
      </c>
      <c r="P165" s="459" t="str">
        <f t="shared" si="44"/>
        <v>[Region.xls]PARAMETER!Z0S6</v>
      </c>
      <c r="Q165" s="459" t="str">
        <f t="shared" si="45"/>
        <v>[Region.xls]PARAMETER!Z0S6</v>
      </c>
      <c r="S165" s="16">
        <f>COUNTIF('1.'!CW:CW,I_Region!O165)+IF(SUM(C165:F165)=0,1,0)</f>
        <v>1</v>
      </c>
    </row>
    <row r="166" spans="2:19">
      <c r="B166" s="54" t="s">
        <v>1642</v>
      </c>
      <c r="C166" s="449">
        <v>69.5</v>
      </c>
      <c r="D166" s="449">
        <v>0</v>
      </c>
      <c r="E166" s="449" t="s">
        <v>1643</v>
      </c>
      <c r="F166" s="449">
        <v>0</v>
      </c>
      <c r="G166" s="449" t="s">
        <v>1644</v>
      </c>
      <c r="H166" s="449">
        <v>0</v>
      </c>
      <c r="I166" s="16" t="str">
        <f t="shared" si="40"/>
        <v>Ba</v>
      </c>
      <c r="J166" s="16" t="str">
        <f t="shared" si="41"/>
        <v>80</v>
      </c>
      <c r="K166" s="16" t="str">
        <f t="shared" si="38"/>
        <v>[Ba.xls]TEXT!Z80S5</v>
      </c>
      <c r="L166" s="16" t="str">
        <f t="shared" si="42"/>
        <v>0</v>
      </c>
      <c r="M166" s="16" t="str">
        <f t="shared" si="43"/>
        <v/>
      </c>
      <c r="N166" s="16" t="str">
        <f t="shared" si="39"/>
        <v>[0.xls]TEXT!ZS5</v>
      </c>
      <c r="O166" s="458">
        <f>ROW()</f>
        <v>166</v>
      </c>
      <c r="P166" s="459" t="str">
        <f t="shared" si="44"/>
        <v>[Region.xls]PARAMETER!Z92S6</v>
      </c>
      <c r="Q166" s="459" t="str">
        <f t="shared" si="45"/>
        <v>[Region.xls]PARAMETER!Z0S6</v>
      </c>
      <c r="S166" s="16">
        <f>COUNTIF('1.'!CW:CW,I_Region!O166)+IF(SUM(C166:F166)=0,1,0)</f>
        <v>0</v>
      </c>
    </row>
    <row r="167" spans="2:19">
      <c r="B167" s="54" t="s">
        <v>1645</v>
      </c>
      <c r="C167" s="449">
        <v>0</v>
      </c>
      <c r="D167" s="449">
        <v>73</v>
      </c>
      <c r="E167" s="449">
        <v>0</v>
      </c>
      <c r="F167" s="449" t="s">
        <v>1646</v>
      </c>
      <c r="G167" s="449">
        <v>0</v>
      </c>
      <c r="H167" s="449" t="s">
        <v>520</v>
      </c>
      <c r="I167" s="16" t="str">
        <f t="shared" si="40"/>
        <v>0</v>
      </c>
      <c r="J167" s="16" t="str">
        <f t="shared" si="41"/>
        <v/>
      </c>
      <c r="K167" s="16" t="str">
        <f t="shared" si="38"/>
        <v>[0.xls]TEXT!ZS5</v>
      </c>
      <c r="L167" s="16" t="str">
        <f t="shared" si="42"/>
        <v>Ba</v>
      </c>
      <c r="M167" s="16" t="str">
        <f t="shared" si="43"/>
        <v>72</v>
      </c>
      <c r="N167" s="16" t="str">
        <f t="shared" si="39"/>
        <v>[Ba.xls]TEXT!Z72S5</v>
      </c>
      <c r="O167" s="458">
        <f>ROW()</f>
        <v>167</v>
      </c>
      <c r="P167" s="459" t="str">
        <f t="shared" si="44"/>
        <v>[Region.xls]PARAMETER!Z0S6</v>
      </c>
      <c r="Q167" s="459" t="str">
        <f t="shared" si="45"/>
        <v>[Region.xls]PARAMETER!Z94S6</v>
      </c>
      <c r="S167" s="16">
        <f>COUNTIF('1.'!CW:CW,I_Region!O167)+IF(SUM(C167:F167)=0,1,0)</f>
        <v>0</v>
      </c>
    </row>
    <row r="168" spans="2:19">
      <c r="B168" s="54" t="s">
        <v>1647</v>
      </c>
      <c r="C168" s="449">
        <v>0</v>
      </c>
      <c r="D168" s="449">
        <v>80</v>
      </c>
      <c r="E168" s="449">
        <v>0</v>
      </c>
      <c r="F168" s="449" t="s">
        <v>1648</v>
      </c>
      <c r="G168" s="449">
        <v>0</v>
      </c>
      <c r="H168" s="449" t="s">
        <v>1649</v>
      </c>
      <c r="I168" s="16" t="str">
        <f t="shared" si="40"/>
        <v>0</v>
      </c>
      <c r="J168" s="16" t="str">
        <f t="shared" si="41"/>
        <v/>
      </c>
      <c r="K168" s="16" t="str">
        <f t="shared" si="38"/>
        <v>[0.xls]TEXT!ZS5</v>
      </c>
      <c r="L168" s="16" t="str">
        <f t="shared" si="42"/>
        <v>Ba</v>
      </c>
      <c r="M168" s="16" t="str">
        <f t="shared" si="43"/>
        <v>78</v>
      </c>
      <c r="N168" s="16" t="str">
        <f t="shared" si="39"/>
        <v>[Ba.xls]TEXT!Z78S5</v>
      </c>
      <c r="O168" s="458">
        <f>ROW()</f>
        <v>168</v>
      </c>
      <c r="P168" s="459" t="str">
        <f t="shared" si="44"/>
        <v>[Region.xls]PARAMETER!Z0S6</v>
      </c>
      <c r="Q168" s="459" t="str">
        <f t="shared" si="45"/>
        <v>[Region.xls]PARAMETER!Z96S6</v>
      </c>
      <c r="S168" s="16">
        <f>COUNTIF('1.'!CW:CW,I_Region!O168)+IF(SUM(C168:F168)=0,1,0)</f>
        <v>0</v>
      </c>
    </row>
    <row r="169" spans="2:19">
      <c r="B169" s="54" t="s">
        <v>1650</v>
      </c>
      <c r="C169" s="449">
        <v>148</v>
      </c>
      <c r="D169" s="449">
        <v>0</v>
      </c>
      <c r="E169" s="449" t="s">
        <v>1651</v>
      </c>
      <c r="F169" s="449">
        <v>0</v>
      </c>
      <c r="G169" s="449" t="s">
        <v>1652</v>
      </c>
      <c r="H169" s="449">
        <v>0</v>
      </c>
      <c r="I169" s="16" t="str">
        <f t="shared" si="40"/>
        <v>Ba</v>
      </c>
      <c r="J169" s="16" t="str">
        <f t="shared" si="41"/>
        <v>87</v>
      </c>
      <c r="K169" s="16" t="str">
        <f t="shared" si="38"/>
        <v>[Ba.xls]TEXT!Z87S5</v>
      </c>
      <c r="L169" s="16" t="str">
        <f t="shared" si="42"/>
        <v>0</v>
      </c>
      <c r="M169" s="16" t="str">
        <f t="shared" si="43"/>
        <v/>
      </c>
      <c r="N169" s="16" t="str">
        <f t="shared" si="39"/>
        <v>[0.xls]TEXT!ZS5</v>
      </c>
      <c r="O169" s="458">
        <f>ROW()</f>
        <v>169</v>
      </c>
      <c r="P169" s="459" t="str">
        <f t="shared" si="44"/>
        <v>[Region.xls]PARAMETER!Z97S6</v>
      </c>
      <c r="Q169" s="459" t="str">
        <f t="shared" si="45"/>
        <v>[Region.xls]PARAMETER!Z0S6</v>
      </c>
      <c r="S169" s="16">
        <f>COUNTIF('1.'!CW:CW,I_Region!O169)+IF(SUM(C169:F169)=0,1,0)</f>
        <v>0</v>
      </c>
    </row>
    <row r="170" spans="2:19">
      <c r="B170" s="54" t="s">
        <v>1653</v>
      </c>
      <c r="C170" s="449">
        <v>87.6</v>
      </c>
      <c r="D170" s="449">
        <v>0</v>
      </c>
      <c r="E170" s="449" t="s">
        <v>1654</v>
      </c>
      <c r="F170" s="449">
        <v>0</v>
      </c>
      <c r="G170" s="449" t="s">
        <v>1655</v>
      </c>
      <c r="H170" s="449">
        <v>0</v>
      </c>
      <c r="I170" s="16" t="str">
        <f t="shared" si="40"/>
        <v>Ba</v>
      </c>
      <c r="J170" s="16" t="str">
        <f t="shared" si="41"/>
        <v>88</v>
      </c>
      <c r="K170" s="16" t="str">
        <f t="shared" si="38"/>
        <v>[Ba.xls]TEXT!Z88S5</v>
      </c>
      <c r="L170" s="16" t="str">
        <f t="shared" si="42"/>
        <v>0</v>
      </c>
      <c r="M170" s="16" t="str">
        <f t="shared" si="43"/>
        <v/>
      </c>
      <c r="N170" s="16" t="str">
        <f t="shared" si="39"/>
        <v>[0.xls]TEXT!ZS5</v>
      </c>
      <c r="O170" s="458">
        <f>ROW()</f>
        <v>170</v>
      </c>
      <c r="P170" s="459" t="str">
        <f t="shared" si="44"/>
        <v>[Region.xls]PARAMETER!Z98S6</v>
      </c>
      <c r="Q170" s="459" t="str">
        <f t="shared" si="45"/>
        <v>[Region.xls]PARAMETER!Z0S6</v>
      </c>
      <c r="S170" s="16">
        <f>COUNTIF('1.'!CW:CW,I_Region!O170)+IF(SUM(C170:F170)=0,1,0)</f>
        <v>0</v>
      </c>
    </row>
    <row r="171" spans="2:19">
      <c r="B171" s="54" t="s">
        <v>1656</v>
      </c>
      <c r="C171" s="449">
        <v>0</v>
      </c>
      <c r="D171" s="449">
        <v>15</v>
      </c>
      <c r="E171" s="449">
        <v>0</v>
      </c>
      <c r="F171" s="449" t="s">
        <v>1657</v>
      </c>
      <c r="G171" s="449">
        <v>0</v>
      </c>
      <c r="H171" s="449" t="s">
        <v>697</v>
      </c>
      <c r="I171" s="16" t="str">
        <f t="shared" si="40"/>
        <v>0</v>
      </c>
      <c r="J171" s="16" t="str">
        <f t="shared" si="41"/>
        <v/>
      </c>
      <c r="K171" s="16" t="str">
        <f t="shared" si="38"/>
        <v>[0.xls]TEXT!ZS5</v>
      </c>
      <c r="L171" s="16" t="str">
        <f t="shared" si="42"/>
        <v>Ba</v>
      </c>
      <c r="M171" s="16" t="str">
        <f t="shared" si="43"/>
        <v>95</v>
      </c>
      <c r="N171" s="16" t="str">
        <f t="shared" si="39"/>
        <v>[Ba.xls]TEXT!Z95S5</v>
      </c>
      <c r="O171" s="458">
        <f>ROW()</f>
        <v>171</v>
      </c>
      <c r="P171" s="459" t="str">
        <f t="shared" si="44"/>
        <v>[Region.xls]PARAMETER!Z0S6</v>
      </c>
      <c r="Q171" s="459" t="str">
        <f t="shared" si="45"/>
        <v>[Region.xls]PARAMETER!Z100S6</v>
      </c>
      <c r="S171" s="16">
        <f>COUNTIF('1.'!CW:CW,I_Region!O171)+IF(SUM(C171:F171)=0,1,0)</f>
        <v>0</v>
      </c>
    </row>
    <row r="172" spans="2:19">
      <c r="B172" s="54" t="s">
        <v>1658</v>
      </c>
      <c r="C172" s="449">
        <v>0</v>
      </c>
      <c r="D172" s="449">
        <v>21</v>
      </c>
      <c r="E172" s="449">
        <v>0</v>
      </c>
      <c r="F172" s="449" t="s">
        <v>1659</v>
      </c>
      <c r="G172" s="449">
        <v>0</v>
      </c>
      <c r="H172" s="449" t="s">
        <v>1660</v>
      </c>
      <c r="I172" s="16" t="str">
        <f t="shared" si="40"/>
        <v>0</v>
      </c>
      <c r="J172" s="16" t="str">
        <f t="shared" si="41"/>
        <v/>
      </c>
      <c r="K172" s="16" t="str">
        <f t="shared" si="38"/>
        <v>[0.xls]TEXT!ZS5</v>
      </c>
      <c r="L172" s="16" t="str">
        <f t="shared" si="42"/>
        <v>Ba</v>
      </c>
      <c r="M172" s="16" t="str">
        <f t="shared" si="43"/>
        <v>98</v>
      </c>
      <c r="N172" s="16" t="str">
        <f t="shared" si="39"/>
        <v>[Ba.xls]TEXT!Z98S5</v>
      </c>
      <c r="O172" s="458">
        <f>ROW()</f>
        <v>172</v>
      </c>
      <c r="P172" s="459" t="str">
        <f t="shared" si="44"/>
        <v>[Region.xls]PARAMETER!Z0S6</v>
      </c>
      <c r="Q172" s="459" t="str">
        <f t="shared" si="45"/>
        <v>[Region.xls]PARAMETER!Z102S6</v>
      </c>
      <c r="S172" s="16">
        <f>COUNTIF('1.'!CW:CW,I_Region!O172)+IF(SUM(C172:F172)=0,1,0)</f>
        <v>0</v>
      </c>
    </row>
    <row r="173" spans="2:19">
      <c r="B173" s="54" t="s">
        <v>1661</v>
      </c>
      <c r="C173" s="449">
        <v>0</v>
      </c>
      <c r="D173" s="449">
        <v>70</v>
      </c>
      <c r="E173" s="449">
        <v>0</v>
      </c>
      <c r="F173" s="449" t="s">
        <v>1662</v>
      </c>
      <c r="G173" s="449">
        <v>0</v>
      </c>
      <c r="H173" s="449" t="s">
        <v>1663</v>
      </c>
      <c r="I173" s="16" t="str">
        <f t="shared" si="40"/>
        <v>0</v>
      </c>
      <c r="J173" s="16" t="str">
        <f t="shared" si="41"/>
        <v/>
      </c>
      <c r="K173" s="16" t="str">
        <f t="shared" si="38"/>
        <v>[0.xls]TEXT!ZS5</v>
      </c>
      <c r="L173" s="16" t="str">
        <f t="shared" si="42"/>
        <v>Ba</v>
      </c>
      <c r="M173" s="16" t="str">
        <f t="shared" si="43"/>
        <v>104</v>
      </c>
      <c r="N173" s="16" t="str">
        <f t="shared" si="39"/>
        <v>[Ba.xls]TEXT!Z104S5</v>
      </c>
      <c r="O173" s="458">
        <f>ROW()</f>
        <v>173</v>
      </c>
      <c r="P173" s="459" t="str">
        <f t="shared" si="44"/>
        <v>[Region.xls]PARAMETER!Z0S6</v>
      </c>
      <c r="Q173" s="459" t="str">
        <f t="shared" si="45"/>
        <v>[Region.xls]PARAMETER!Z104S6</v>
      </c>
      <c r="S173" s="16">
        <f>COUNTIF('1.'!CW:CW,I_Region!O173)+IF(SUM(C173:F173)=0,1,0)</f>
        <v>0</v>
      </c>
    </row>
    <row r="174" spans="2:19">
      <c r="B174" s="54" t="s">
        <v>1664</v>
      </c>
      <c r="C174" s="449">
        <v>0</v>
      </c>
      <c r="D174" s="449">
        <v>100</v>
      </c>
      <c r="E174" s="449">
        <v>0</v>
      </c>
      <c r="F174" s="449" t="s">
        <v>1665</v>
      </c>
      <c r="G174" s="449">
        <v>0</v>
      </c>
      <c r="H174" s="449" t="s">
        <v>1666</v>
      </c>
      <c r="I174" s="16" t="str">
        <f t="shared" si="40"/>
        <v>0</v>
      </c>
      <c r="J174" s="16" t="str">
        <f t="shared" si="41"/>
        <v/>
      </c>
      <c r="K174" s="16" t="str">
        <f t="shared" si="38"/>
        <v>[0.xls]TEXT!ZS5</v>
      </c>
      <c r="L174" s="16" t="str">
        <f t="shared" si="42"/>
        <v>Ba</v>
      </c>
      <c r="M174" s="16" t="str">
        <f t="shared" si="43"/>
        <v>113</v>
      </c>
      <c r="N174" s="16" t="str">
        <f t="shared" si="39"/>
        <v>[Ba.xls]TEXT!Z113S5</v>
      </c>
      <c r="O174" s="458">
        <f>ROW()</f>
        <v>174</v>
      </c>
      <c r="P174" s="459" t="str">
        <f t="shared" si="44"/>
        <v>[Region.xls]PARAMETER!Z0S6</v>
      </c>
      <c r="Q174" s="459" t="str">
        <f t="shared" si="45"/>
        <v>[Region.xls]PARAMETER!Z106S6</v>
      </c>
      <c r="S174" s="16">
        <f>COUNTIF('1.'!CW:CW,I_Region!O174)+IF(SUM(C174:F174)=0,1,0)</f>
        <v>0</v>
      </c>
    </row>
    <row r="175" spans="2:19">
      <c r="B175" s="54" t="s">
        <v>1667</v>
      </c>
      <c r="C175" s="449">
        <v>0</v>
      </c>
      <c r="D175" s="449">
        <v>2</v>
      </c>
      <c r="E175" s="449">
        <v>0</v>
      </c>
      <c r="F175" s="449" t="s">
        <v>1668</v>
      </c>
      <c r="G175" s="449">
        <v>0</v>
      </c>
      <c r="H175" s="449" t="s">
        <v>1669</v>
      </c>
      <c r="I175" s="16" t="str">
        <f t="shared" si="40"/>
        <v>0</v>
      </c>
      <c r="J175" s="16" t="str">
        <f t="shared" si="41"/>
        <v/>
      </c>
      <c r="K175" s="16" t="str">
        <f t="shared" si="38"/>
        <v>[0.xls]TEXT!ZS5</v>
      </c>
      <c r="L175" s="16" t="str">
        <f t="shared" si="42"/>
        <v>Ba</v>
      </c>
      <c r="M175" s="16" t="str">
        <f t="shared" si="43"/>
        <v>123</v>
      </c>
      <c r="N175" s="16" t="str">
        <f t="shared" si="39"/>
        <v>[Ba.xls]TEXT!Z123S5</v>
      </c>
      <c r="O175" s="458">
        <f>ROW()</f>
        <v>175</v>
      </c>
      <c r="P175" s="459" t="str">
        <f t="shared" si="44"/>
        <v>[Region.xls]PARAMETER!Z0S6</v>
      </c>
      <c r="Q175" s="459" t="str">
        <f t="shared" si="45"/>
        <v>[Region.xls]PARAMETER!Z108S6</v>
      </c>
      <c r="S175" s="16">
        <f>COUNTIF('1.'!CW:CW,I_Region!O175)+IF(SUM(C175:F175)=0,1,0)</f>
        <v>0</v>
      </c>
    </row>
    <row r="176" spans="2:19">
      <c r="B176" s="54" t="s">
        <v>1670</v>
      </c>
      <c r="C176" s="449">
        <v>0</v>
      </c>
      <c r="D176" s="449">
        <v>0.6</v>
      </c>
      <c r="E176" s="449">
        <v>0</v>
      </c>
      <c r="F176" s="449" t="s">
        <v>1671</v>
      </c>
      <c r="G176" s="449">
        <v>0</v>
      </c>
      <c r="H176" s="449" t="s">
        <v>1672</v>
      </c>
      <c r="I176" s="16" t="str">
        <f t="shared" si="40"/>
        <v>0</v>
      </c>
      <c r="J176" s="16" t="str">
        <f t="shared" si="41"/>
        <v/>
      </c>
      <c r="K176" s="16" t="str">
        <f t="shared" si="38"/>
        <v>[0.xls]TEXT!ZS5</v>
      </c>
      <c r="L176" s="16" t="str">
        <f t="shared" si="42"/>
        <v>Ba</v>
      </c>
      <c r="M176" s="16" t="str">
        <f t="shared" si="43"/>
        <v>124</v>
      </c>
      <c r="N176" s="16" t="str">
        <f t="shared" si="39"/>
        <v>[Ba.xls]TEXT!Z124S5</v>
      </c>
      <c r="O176" s="458">
        <f>ROW()</f>
        <v>176</v>
      </c>
      <c r="P176" s="459" t="str">
        <f t="shared" si="44"/>
        <v>[Region.xls]PARAMETER!Z0S6</v>
      </c>
      <c r="Q176" s="459" t="str">
        <f t="shared" si="45"/>
        <v>[Region.xls]PARAMETER!Z110S6</v>
      </c>
      <c r="S176" s="16">
        <f>COUNTIF('1.'!CW:CW,I_Region!O176)+IF(SUM(C176:F176)=0,1,0)</f>
        <v>0</v>
      </c>
    </row>
    <row r="177" spans="1:19">
      <c r="B177" s="54" t="s">
        <v>1673</v>
      </c>
      <c r="C177" s="449">
        <v>92.864253156598735</v>
      </c>
      <c r="D177" s="449">
        <v>0</v>
      </c>
      <c r="E177" s="449" t="s">
        <v>1674</v>
      </c>
      <c r="F177" s="449">
        <v>0</v>
      </c>
      <c r="G177" s="449" t="s">
        <v>1675</v>
      </c>
      <c r="H177" s="449">
        <v>0</v>
      </c>
      <c r="I177" s="16" t="str">
        <f t="shared" si="40"/>
        <v>Ba</v>
      </c>
      <c r="J177" s="16" t="str">
        <f t="shared" si="41"/>
        <v>158</v>
      </c>
      <c r="K177" s="16" t="str">
        <f t="shared" si="38"/>
        <v>[Ba.xls]TEXT!Z158S5</v>
      </c>
      <c r="L177" s="16" t="str">
        <f t="shared" si="42"/>
        <v>0</v>
      </c>
      <c r="M177" s="16" t="str">
        <f t="shared" si="43"/>
        <v/>
      </c>
      <c r="N177" s="16" t="str">
        <f t="shared" si="39"/>
        <v>[0.xls]TEXT!ZS5</v>
      </c>
      <c r="O177" s="458">
        <f>ROW()</f>
        <v>177</v>
      </c>
      <c r="P177" s="459" t="str">
        <f t="shared" si="44"/>
        <v>[Region.xls]PARAMETER!Z115S6</v>
      </c>
      <c r="Q177" s="459" t="str">
        <f t="shared" si="45"/>
        <v>[Region.xls]PARAMETER!Z0S6</v>
      </c>
      <c r="S177" s="16">
        <f>COUNTIF('1.'!CW:CW,I_Region!O177)+IF(SUM(C177:F177)=0,1,0)</f>
        <v>0</v>
      </c>
    </row>
    <row r="178" spans="1:19">
      <c r="B178" s="54" t="s">
        <v>1676</v>
      </c>
      <c r="C178" s="449">
        <v>0</v>
      </c>
      <c r="D178" s="449">
        <v>80</v>
      </c>
      <c r="E178" s="449">
        <v>0</v>
      </c>
      <c r="F178" s="449" t="s">
        <v>1677</v>
      </c>
      <c r="G178" s="449">
        <v>0</v>
      </c>
      <c r="H178" s="449" t="s">
        <v>1678</v>
      </c>
      <c r="I178" s="16" t="str">
        <f t="shared" si="40"/>
        <v>0</v>
      </c>
      <c r="J178" s="16" t="str">
        <f t="shared" si="41"/>
        <v/>
      </c>
      <c r="K178" s="16" t="str">
        <f t="shared" si="38"/>
        <v>[0.xls]TEXT!ZS5</v>
      </c>
      <c r="L178" s="16" t="str">
        <f t="shared" si="42"/>
        <v>Ba</v>
      </c>
      <c r="M178" s="16" t="str">
        <f t="shared" si="43"/>
        <v>147</v>
      </c>
      <c r="N178" s="16" t="str">
        <f t="shared" si="39"/>
        <v>[Ba.xls]TEXT!Z147S5</v>
      </c>
      <c r="O178" s="458">
        <f>ROW()</f>
        <v>178</v>
      </c>
      <c r="P178" s="459" t="str">
        <f t="shared" si="44"/>
        <v>[Region.xls]PARAMETER!Z0S6</v>
      </c>
      <c r="Q178" s="459" t="str">
        <f t="shared" si="45"/>
        <v>[Region.xls]PARAMETER!Z117S6</v>
      </c>
      <c r="S178" s="16">
        <f>COUNTIF('1.'!CW:CW,I_Region!O178)+IF(SUM(C178:F178)=0,1,0)</f>
        <v>0</v>
      </c>
    </row>
    <row r="179" spans="1:19">
      <c r="B179" s="54" t="s">
        <v>1679</v>
      </c>
      <c r="C179" s="449">
        <v>83.558030642806742</v>
      </c>
      <c r="D179" s="449">
        <v>0</v>
      </c>
      <c r="E179" s="449" t="s">
        <v>1680</v>
      </c>
      <c r="F179" s="449">
        <v>0</v>
      </c>
      <c r="G179" s="449" t="s">
        <v>1681</v>
      </c>
      <c r="H179" s="449">
        <v>0</v>
      </c>
      <c r="I179" s="16" t="str">
        <f t="shared" si="40"/>
        <v>Ba</v>
      </c>
      <c r="J179" s="16" t="str">
        <f t="shared" si="41"/>
        <v>163</v>
      </c>
      <c r="K179" s="16" t="str">
        <f t="shared" si="38"/>
        <v>[Ba.xls]TEXT!Z163S5</v>
      </c>
      <c r="L179" s="16" t="str">
        <f t="shared" si="42"/>
        <v>0</v>
      </c>
      <c r="M179" s="16" t="str">
        <f t="shared" si="43"/>
        <v/>
      </c>
      <c r="N179" s="16" t="str">
        <f t="shared" si="39"/>
        <v>[0.xls]TEXT!ZS5</v>
      </c>
      <c r="O179" s="458">
        <f>ROW()</f>
        <v>179</v>
      </c>
      <c r="P179" s="459" t="str">
        <f t="shared" si="44"/>
        <v>[Region.xls]PARAMETER!Z118S6</v>
      </c>
      <c r="Q179" s="459" t="str">
        <f t="shared" si="45"/>
        <v>[Region.xls]PARAMETER!Z0S6</v>
      </c>
      <c r="S179" s="16">
        <f>COUNTIF('1.'!CW:CW,I_Region!O179)+IF(SUM(C179:F179)=0,1,0)</f>
        <v>0</v>
      </c>
    </row>
    <row r="180" spans="1:19">
      <c r="B180" s="54" t="s">
        <v>1682</v>
      </c>
      <c r="C180" s="449">
        <v>2.3195983788328021</v>
      </c>
      <c r="D180" s="449">
        <v>0</v>
      </c>
      <c r="E180" s="449" t="s">
        <v>1683</v>
      </c>
      <c r="F180" s="449">
        <v>0</v>
      </c>
      <c r="G180" s="449" t="s">
        <v>1684</v>
      </c>
      <c r="H180" s="449">
        <v>0</v>
      </c>
      <c r="I180" s="16" t="str">
        <f t="shared" si="40"/>
        <v>Ba</v>
      </c>
      <c r="J180" s="16" t="str">
        <f t="shared" si="41"/>
        <v>165</v>
      </c>
      <c r="K180" s="16" t="str">
        <f>"["&amp;IF(I180=$I$1,$K$1&amp;".xls]PARAMETER!Z"&amp;J180&amp;"S6",I180&amp;".xls]TEXT!Z"&amp;J180&amp;"S5")</f>
        <v>[Ba.xls]TEXT!Z165S5</v>
      </c>
      <c r="L180" s="16" t="str">
        <f t="shared" si="42"/>
        <v>0</v>
      </c>
      <c r="M180" s="16" t="str">
        <f t="shared" si="43"/>
        <v/>
      </c>
      <c r="N180" s="16" t="str">
        <f>"["&amp;IF(L180=$I$1,$K$1&amp;".xls]PARAMETER!Z"&amp;M180&amp;"S6",L180&amp;".xls]TEXT!Z"&amp;M180&amp;"S5")</f>
        <v>[0.xls]TEXT!ZS5</v>
      </c>
      <c r="O180" s="458">
        <f>ROW()</f>
        <v>180</v>
      </c>
      <c r="P180" s="459" t="str">
        <f t="shared" si="44"/>
        <v>[Region.xls]PARAMETER!Z119S6</v>
      </c>
      <c r="Q180" s="459" t="str">
        <f t="shared" si="45"/>
        <v>[Region.xls]PARAMETER!Z0S6</v>
      </c>
      <c r="S180" s="16">
        <f>COUNTIF('1.'!CW:CW,I_Region!O180)+IF(SUM(C180:F180)=0,1,0)</f>
        <v>0</v>
      </c>
    </row>
    <row r="181" spans="1:19">
      <c r="B181" s="54" t="s">
        <v>1685</v>
      </c>
      <c r="C181" s="449">
        <v>23</v>
      </c>
      <c r="D181" s="449">
        <v>26</v>
      </c>
      <c r="E181" s="449" t="s">
        <v>1686</v>
      </c>
      <c r="F181" s="449" t="s">
        <v>1687</v>
      </c>
      <c r="G181" s="449" t="s">
        <v>1688</v>
      </c>
      <c r="H181" s="449" t="s">
        <v>1689</v>
      </c>
      <c r="I181" s="16" t="str">
        <f t="shared" si="40"/>
        <v>Ba</v>
      </c>
      <c r="J181" s="16" t="str">
        <f t="shared" si="41"/>
        <v>177</v>
      </c>
      <c r="K181" s="16" t="str">
        <f t="shared" si="38"/>
        <v>[Ba.xls]TEXT!Z177S5</v>
      </c>
      <c r="L181" s="16" t="str">
        <f t="shared" si="42"/>
        <v>Ba</v>
      </c>
      <c r="M181" s="16" t="str">
        <f t="shared" si="43"/>
        <v>181</v>
      </c>
      <c r="N181" s="16" t="str">
        <f t="shared" si="39"/>
        <v>[Ba.xls]TEXT!Z181S5</v>
      </c>
      <c r="O181" s="458">
        <f>ROW()</f>
        <v>181</v>
      </c>
      <c r="P181" s="459" t="str">
        <f t="shared" si="44"/>
        <v>[Region.xls]PARAMETER!Z120S6</v>
      </c>
      <c r="Q181" s="459" t="str">
        <f t="shared" si="45"/>
        <v>[Region.xls]PARAMETER!Z122S6</v>
      </c>
      <c r="S181" s="16">
        <f>COUNTIF('1.'!CW:CW,I_Region!O181)+IF(SUM(C181:F181)=0,1,0)</f>
        <v>0</v>
      </c>
    </row>
    <row r="182" spans="1:19">
      <c r="B182" s="54" t="s">
        <v>1690</v>
      </c>
      <c r="C182" s="449">
        <v>0</v>
      </c>
      <c r="D182" s="449">
        <v>70</v>
      </c>
      <c r="E182" s="449">
        <v>0</v>
      </c>
      <c r="F182" s="449" t="s">
        <v>1691</v>
      </c>
      <c r="G182" s="449">
        <v>0</v>
      </c>
      <c r="H182" s="449" t="s">
        <v>1692</v>
      </c>
      <c r="I182" s="16" t="str">
        <f t="shared" si="40"/>
        <v>0</v>
      </c>
      <c r="J182" s="16" t="str">
        <f t="shared" si="41"/>
        <v/>
      </c>
      <c r="K182" s="16" t="str">
        <f t="shared" si="38"/>
        <v>[0.xls]TEXT!ZS5</v>
      </c>
      <c r="L182" s="16" t="str">
        <f t="shared" si="42"/>
        <v>Ba</v>
      </c>
      <c r="M182" s="16" t="str">
        <f t="shared" si="43"/>
        <v>174</v>
      </c>
      <c r="N182" s="16" t="str">
        <f t="shared" si="39"/>
        <v>[Ba.xls]TEXT!Z174S5</v>
      </c>
      <c r="O182" s="458">
        <f>ROW()</f>
        <v>182</v>
      </c>
      <c r="P182" s="459" t="str">
        <f t="shared" si="44"/>
        <v>[Region.xls]PARAMETER!Z0S6</v>
      </c>
      <c r="Q182" s="459" t="str">
        <f t="shared" si="45"/>
        <v>[Region.xls]PARAMETER!Z124S6</v>
      </c>
      <c r="S182" s="16">
        <f>COUNTIF('1.'!CW:CW,I_Region!O182)+IF(SUM(C182:F182)=0,1,0)</f>
        <v>0</v>
      </c>
    </row>
    <row r="183" spans="1:19">
      <c r="B183" s="54" t="s">
        <v>1693</v>
      </c>
      <c r="C183" s="449">
        <v>0</v>
      </c>
      <c r="D183" s="449">
        <v>85</v>
      </c>
      <c r="E183" s="449">
        <v>0</v>
      </c>
      <c r="F183" s="449" t="s">
        <v>1694</v>
      </c>
      <c r="G183" s="449">
        <v>0</v>
      </c>
      <c r="H183" s="449" t="s">
        <v>1695</v>
      </c>
      <c r="I183" s="16" t="str">
        <f t="shared" si="40"/>
        <v>0</v>
      </c>
      <c r="J183" s="16" t="str">
        <f t="shared" si="41"/>
        <v/>
      </c>
      <c r="K183" s="16" t="str">
        <f t="shared" si="38"/>
        <v>[0.xls]TEXT!ZS5</v>
      </c>
      <c r="L183" s="16" t="str">
        <f t="shared" si="42"/>
        <v>Ba</v>
      </c>
      <c r="M183" s="16" t="str">
        <f t="shared" si="43"/>
        <v>189</v>
      </c>
      <c r="N183" s="16" t="str">
        <f t="shared" si="39"/>
        <v>[Ba.xls]TEXT!Z189S5</v>
      </c>
      <c r="O183" s="458">
        <f>ROW()</f>
        <v>183</v>
      </c>
      <c r="P183" s="459" t="str">
        <f t="shared" si="44"/>
        <v>[Region.xls]PARAMETER!Z0S6</v>
      </c>
      <c r="Q183" s="459" t="str">
        <f t="shared" si="45"/>
        <v>[Region.xls]PARAMETER!Z126S6</v>
      </c>
      <c r="S183" s="16">
        <f>COUNTIF('1.'!CW:CW,I_Region!O183)+IF(SUM(C183:F183)=0,1,0)</f>
        <v>0</v>
      </c>
    </row>
    <row r="184" spans="1:19">
      <c r="B184" s="54" t="s">
        <v>1696</v>
      </c>
      <c r="C184" s="449">
        <v>8.8055254605824604</v>
      </c>
      <c r="D184" s="449">
        <v>90</v>
      </c>
      <c r="E184" s="449" t="s">
        <v>1697</v>
      </c>
      <c r="F184" s="449" t="s">
        <v>1698</v>
      </c>
      <c r="G184" s="449" t="s">
        <v>1699</v>
      </c>
      <c r="H184" s="449" t="s">
        <v>1700</v>
      </c>
      <c r="I184" s="16" t="str">
        <f t="shared" si="40"/>
        <v>Ba</v>
      </c>
      <c r="J184" s="16" t="str">
        <f t="shared" si="41"/>
        <v>191</v>
      </c>
      <c r="K184" s="16" t="str">
        <f>"["&amp;IF(I184=$I$1,$K$1&amp;".xls]PARAMETER!Z"&amp;J184&amp;"S6",I184&amp;".xls]TEXT!Z"&amp;J184&amp;"S5")</f>
        <v>[Ba.xls]TEXT!Z191S5</v>
      </c>
      <c r="L184" s="16" t="str">
        <f t="shared" si="42"/>
        <v>Ba</v>
      </c>
      <c r="M184" s="16" t="str">
        <f t="shared" si="43"/>
        <v>194</v>
      </c>
      <c r="N184" s="16" t="str">
        <f>"["&amp;IF(L184=$I$1,$K$1&amp;".xls]PARAMETER!Z"&amp;M184&amp;"S6",L184&amp;".xls]TEXT!Z"&amp;M184&amp;"S5")</f>
        <v>[Ba.xls]TEXT!Z194S5</v>
      </c>
      <c r="O184" s="458">
        <f>ROW()</f>
        <v>184</v>
      </c>
      <c r="P184" s="459" t="str">
        <f t="shared" si="44"/>
        <v>[Region.xls]PARAMETER!Z127S6</v>
      </c>
      <c r="Q184" s="459" t="str">
        <f t="shared" si="45"/>
        <v>[Region.xls]PARAMETER!Z129S6</v>
      </c>
      <c r="S184" s="16">
        <f>COUNTIF('1.'!CW:CW,I_Region!O184)+IF(SUM(C184:F184)=0,1,0)</f>
        <v>0</v>
      </c>
    </row>
    <row r="185" spans="1:19">
      <c r="B185" s="54" t="s">
        <v>1701</v>
      </c>
      <c r="C185" s="449">
        <v>0</v>
      </c>
      <c r="D185" s="449">
        <v>70</v>
      </c>
      <c r="E185" s="449">
        <v>0</v>
      </c>
      <c r="F185" s="449" t="s">
        <v>1702</v>
      </c>
      <c r="G185" s="449">
        <v>0</v>
      </c>
      <c r="H185" s="449" t="s">
        <v>1703</v>
      </c>
      <c r="I185" s="16" t="str">
        <f t="shared" si="40"/>
        <v>0</v>
      </c>
      <c r="J185" s="16" t="str">
        <f t="shared" si="41"/>
        <v/>
      </c>
      <c r="K185" s="16" t="str">
        <f t="shared" si="38"/>
        <v>[0.xls]TEXT!ZS5</v>
      </c>
      <c r="L185" s="16" t="str">
        <f t="shared" si="42"/>
        <v>Ba</v>
      </c>
      <c r="M185" s="16" t="str">
        <f t="shared" si="43"/>
        <v>205</v>
      </c>
      <c r="N185" s="16" t="str">
        <f t="shared" si="39"/>
        <v>[Ba.xls]TEXT!Z205S5</v>
      </c>
      <c r="O185" s="458">
        <f>ROW()</f>
        <v>185</v>
      </c>
      <c r="P185" s="459" t="str">
        <f t="shared" si="44"/>
        <v>[Region.xls]PARAMETER!Z0S6</v>
      </c>
      <c r="Q185" s="459" t="str">
        <f t="shared" si="45"/>
        <v>[Region.xls]PARAMETER!Z131S6</v>
      </c>
      <c r="S185" s="16">
        <f>COUNTIF('1.'!CW:CW,I_Region!O185)+IF(SUM(C185:F185)=0,1,0)</f>
        <v>0</v>
      </c>
    </row>
    <row r="186" spans="1:19">
      <c r="B186" s="54" t="s">
        <v>1704</v>
      </c>
      <c r="C186" s="449">
        <v>0</v>
      </c>
      <c r="D186" s="449">
        <v>70</v>
      </c>
      <c r="E186" s="449">
        <v>0</v>
      </c>
      <c r="F186" s="449" t="s">
        <v>1705</v>
      </c>
      <c r="G186" s="449">
        <v>0</v>
      </c>
      <c r="H186" s="449" t="s">
        <v>1706</v>
      </c>
      <c r="I186" s="16" t="str">
        <f t="shared" si="40"/>
        <v>0</v>
      </c>
      <c r="J186" s="16" t="str">
        <f t="shared" si="41"/>
        <v/>
      </c>
      <c r="K186" s="16" t="str">
        <f t="shared" si="38"/>
        <v>[0.xls]TEXT!ZS5</v>
      </c>
      <c r="L186" s="16" t="str">
        <f t="shared" si="42"/>
        <v>Ba</v>
      </c>
      <c r="M186" s="16" t="str">
        <f t="shared" si="43"/>
        <v>209</v>
      </c>
      <c r="N186" s="16" t="str">
        <f t="shared" si="39"/>
        <v>[Ba.xls]TEXT!Z209S5</v>
      </c>
      <c r="O186" s="458">
        <f>ROW()</f>
        <v>186</v>
      </c>
      <c r="P186" s="459" t="str">
        <f t="shared" si="44"/>
        <v>[Region.xls]PARAMETER!Z0S6</v>
      </c>
      <c r="Q186" s="459" t="str">
        <f t="shared" si="45"/>
        <v>[Region.xls]PARAMETER!Z133S6</v>
      </c>
      <c r="S186" s="16">
        <f>COUNTIF('1.'!CW:CW,I_Region!O186)+IF(SUM(C186:F186)=0,1,0)</f>
        <v>0</v>
      </c>
    </row>
    <row r="187" spans="1:19">
      <c r="B187" s="54" t="s">
        <v>1707</v>
      </c>
      <c r="C187" s="449">
        <v>0</v>
      </c>
      <c r="D187" s="449">
        <v>0</v>
      </c>
      <c r="E187" s="449">
        <v>0</v>
      </c>
      <c r="F187" s="449">
        <v>0</v>
      </c>
      <c r="G187" s="449" t="s">
        <v>1708</v>
      </c>
      <c r="H187" s="449">
        <v>0</v>
      </c>
      <c r="I187" s="16" t="str">
        <f t="shared" si="40"/>
        <v>Ba</v>
      </c>
      <c r="J187" s="16" t="str">
        <f t="shared" si="41"/>
        <v>266</v>
      </c>
      <c r="K187" s="16" t="str">
        <f t="shared" si="38"/>
        <v>[Ba.xls]TEXT!Z266S5</v>
      </c>
      <c r="L187" s="16" t="str">
        <f t="shared" si="42"/>
        <v>0</v>
      </c>
      <c r="M187" s="16" t="str">
        <f t="shared" si="43"/>
        <v/>
      </c>
      <c r="N187" s="16" t="str">
        <f t="shared" si="39"/>
        <v>[0.xls]TEXT!ZS5</v>
      </c>
      <c r="O187" s="458">
        <f>ROW()</f>
        <v>187</v>
      </c>
      <c r="P187" s="459" t="str">
        <f t="shared" si="44"/>
        <v>[Region.xls]PARAMETER!Z0S6</v>
      </c>
      <c r="Q187" s="459" t="str">
        <f t="shared" si="45"/>
        <v>[Region.xls]PARAMETER!Z0S6</v>
      </c>
      <c r="S187" s="16">
        <f>COUNTIF('1.'!CW:CW,I_Region!O187)+IF(SUM(C187:F187)=0,1,0)</f>
        <v>1</v>
      </c>
    </row>
    <row r="188" spans="1:19">
      <c r="B188" s="54" t="s">
        <v>1709</v>
      </c>
      <c r="C188" s="449">
        <v>77</v>
      </c>
      <c r="D188" s="449">
        <v>0</v>
      </c>
      <c r="E188" s="449" t="s">
        <v>1710</v>
      </c>
      <c r="F188" s="449">
        <v>0</v>
      </c>
      <c r="G188" s="449" t="s">
        <v>1711</v>
      </c>
      <c r="H188" s="449" t="s">
        <v>1712</v>
      </c>
      <c r="I188" s="16" t="str">
        <f t="shared" si="40"/>
        <v>Ba</v>
      </c>
      <c r="J188" s="16" t="str">
        <f t="shared" si="41"/>
        <v>142</v>
      </c>
      <c r="K188" s="16" t="str">
        <f t="shared" si="38"/>
        <v>[Ba.xls]TEXT!Z142S5</v>
      </c>
      <c r="L188" s="16" t="str">
        <f t="shared" si="42"/>
        <v>Ba</v>
      </c>
      <c r="M188" s="16" t="str">
        <f t="shared" si="43"/>
        <v>134</v>
      </c>
      <c r="N188" s="16" t="str">
        <f t="shared" si="39"/>
        <v>[Ba.xls]TEXT!Z134S5</v>
      </c>
      <c r="O188" s="458">
        <f>ROW()</f>
        <v>188</v>
      </c>
      <c r="P188" s="459" t="str">
        <f t="shared" si="44"/>
        <v>[Region.xls]PARAMETER!Z112S6</v>
      </c>
      <c r="Q188" s="459" t="str">
        <f t="shared" si="45"/>
        <v>[Region.xls]PARAMETER!Z0S6</v>
      </c>
      <c r="S188" s="16">
        <f>COUNTIF('1.'!CW:CW,I_Region!O188)+IF(SUM(C188:F188)=0,1,0)</f>
        <v>0</v>
      </c>
    </row>
    <row r="189" spans="1:19">
      <c r="B189" s="54" t="s">
        <v>1713</v>
      </c>
      <c r="C189" s="449">
        <v>0</v>
      </c>
      <c r="D189" s="449">
        <v>70</v>
      </c>
      <c r="E189" s="449">
        <v>0</v>
      </c>
      <c r="F189" s="449" t="s">
        <v>1714</v>
      </c>
      <c r="G189" s="449">
        <v>0</v>
      </c>
      <c r="H189" s="449" t="s">
        <v>1715</v>
      </c>
      <c r="I189" s="16" t="str">
        <f t="shared" si="40"/>
        <v>0</v>
      </c>
      <c r="J189" s="16" t="str">
        <f t="shared" si="41"/>
        <v/>
      </c>
      <c r="K189" s="16" t="str">
        <f t="shared" si="38"/>
        <v>[0.xls]TEXT!ZS5</v>
      </c>
      <c r="L189" s="16" t="str">
        <f t="shared" si="42"/>
        <v>Ba</v>
      </c>
      <c r="M189" s="16" t="str">
        <f t="shared" si="43"/>
        <v>146</v>
      </c>
      <c r="N189" s="16" t="str">
        <f t="shared" si="39"/>
        <v>[Ba.xls]TEXT!Z146S5</v>
      </c>
      <c r="O189" s="458">
        <f>ROW()</f>
        <v>189</v>
      </c>
      <c r="P189" s="459" t="str">
        <f t="shared" si="44"/>
        <v>[Region.xls]PARAMETER!Z0S6</v>
      </c>
      <c r="Q189" s="459" t="str">
        <f t="shared" si="45"/>
        <v>[Region.xls]PARAMETER!Z114S6</v>
      </c>
      <c r="S189" s="16">
        <f>COUNTIF('1.'!CW:CW,I_Region!O189)+IF(SUM(C189:F189)=0,1,0)</f>
        <v>0</v>
      </c>
    </row>
    <row r="190" spans="1:19">
      <c r="B190" s="54">
        <v>0</v>
      </c>
      <c r="C190" s="449">
        <v>0</v>
      </c>
      <c r="D190" s="449">
        <v>0</v>
      </c>
      <c r="E190" s="449">
        <v>0</v>
      </c>
      <c r="F190" s="449">
        <v>0</v>
      </c>
      <c r="G190" s="449">
        <v>0</v>
      </c>
      <c r="H190" s="449">
        <v>0</v>
      </c>
      <c r="I190" s="16" t="str">
        <f t="shared" si="40"/>
        <v>0</v>
      </c>
      <c r="J190" s="16" t="str">
        <f t="shared" si="41"/>
        <v/>
      </c>
      <c r="K190" s="16" t="str">
        <f t="shared" si="38"/>
        <v>[0.xls]TEXT!ZS5</v>
      </c>
      <c r="L190" s="16" t="str">
        <f t="shared" si="42"/>
        <v>0</v>
      </c>
      <c r="M190" s="16" t="str">
        <f t="shared" si="43"/>
        <v/>
      </c>
      <c r="N190" s="16" t="str">
        <f t="shared" si="39"/>
        <v>[0.xls]TEXT!ZS5</v>
      </c>
      <c r="O190" s="458">
        <f>ROW()</f>
        <v>190</v>
      </c>
      <c r="P190" s="459" t="str">
        <f t="shared" si="44"/>
        <v>[Region.xls]PARAMETER!Z0S6</v>
      </c>
      <c r="Q190" s="459" t="str">
        <f t="shared" si="45"/>
        <v>[Region.xls]PARAMETER!Z0S6</v>
      </c>
      <c r="S190" s="16">
        <f>COUNTIF('1.'!CW:CW,I_Region!O190)+IF(SUM(C190:F190)=0,1,0)</f>
        <v>1</v>
      </c>
    </row>
    <row r="191" spans="1:19">
      <c r="A191" s="54" t="s">
        <v>142</v>
      </c>
      <c r="B191" s="54">
        <v>0</v>
      </c>
      <c r="C191" s="449">
        <v>0</v>
      </c>
      <c r="D191" s="449">
        <v>0</v>
      </c>
      <c r="E191" s="449">
        <v>0</v>
      </c>
      <c r="F191" s="449">
        <v>0</v>
      </c>
      <c r="G191" s="449">
        <v>0</v>
      </c>
      <c r="H191" s="449">
        <v>0</v>
      </c>
      <c r="I191" s="16" t="str">
        <f t="shared" si="40"/>
        <v>0</v>
      </c>
      <c r="J191" s="16" t="str">
        <f t="shared" si="41"/>
        <v/>
      </c>
      <c r="K191" s="16" t="str">
        <f t="shared" si="38"/>
        <v>[0.xls]TEXT!ZS5</v>
      </c>
      <c r="L191" s="16" t="str">
        <f t="shared" si="42"/>
        <v>0</v>
      </c>
      <c r="M191" s="16" t="str">
        <f t="shared" si="43"/>
        <v/>
      </c>
      <c r="N191" s="16" t="str">
        <f t="shared" si="39"/>
        <v>[0.xls]TEXT!ZS5</v>
      </c>
      <c r="O191" s="458">
        <f>ROW()</f>
        <v>191</v>
      </c>
      <c r="P191" s="459" t="str">
        <f t="shared" si="44"/>
        <v>[Region.xls]PARAMETER!Z0S6</v>
      </c>
      <c r="Q191" s="459" t="str">
        <f t="shared" si="45"/>
        <v>[Region.xls]PARAMETER!Z0S6</v>
      </c>
      <c r="S191" s="16">
        <f>COUNTIF('1.'!CW:CW,I_Region!O191)+IF(SUM(C191:F191)=0,1,0)</f>
        <v>1</v>
      </c>
    </row>
    <row r="192" spans="1:19">
      <c r="A192" s="54" t="s">
        <v>143</v>
      </c>
      <c r="B192" s="54">
        <v>0</v>
      </c>
      <c r="C192" s="449">
        <v>0</v>
      </c>
      <c r="D192" s="449">
        <v>0</v>
      </c>
      <c r="E192" s="449">
        <v>0</v>
      </c>
      <c r="F192" s="449">
        <v>0</v>
      </c>
      <c r="G192" s="449">
        <v>0</v>
      </c>
      <c r="H192" s="449">
        <v>0</v>
      </c>
      <c r="I192" s="16" t="str">
        <f t="shared" ref="I192:I199" si="46">LEFT(G192,2)</f>
        <v>0</v>
      </c>
      <c r="J192" s="16" t="str">
        <f t="shared" ref="J192:J199" si="47">SUBSTITUTE(G192,I192,"")</f>
        <v/>
      </c>
      <c r="K192" s="16" t="str">
        <f t="shared" si="38"/>
        <v>[0.xls]TEXT!ZS5</v>
      </c>
      <c r="L192" s="16" t="str">
        <f t="shared" ref="L192:L199" si="48">LEFT(H192,2)</f>
        <v>0</v>
      </c>
      <c r="M192" s="16" t="str">
        <f t="shared" ref="M192:M199" si="49">SUBSTITUTE(H192,L192,"")</f>
        <v/>
      </c>
      <c r="N192" s="16" t="str">
        <f t="shared" si="39"/>
        <v>[0.xls]TEXT!ZS5</v>
      </c>
      <c r="O192" s="458">
        <f>ROW()</f>
        <v>192</v>
      </c>
      <c r="P192" s="459" t="str">
        <f t="shared" si="44"/>
        <v>[Region.xls]PARAMETER!Z0S6</v>
      </c>
      <c r="Q192" s="459" t="str">
        <f t="shared" si="45"/>
        <v>[Region.xls]PARAMETER!Z0S6</v>
      </c>
      <c r="S192" s="16">
        <f>COUNTIF('1.'!CW:CW,I_Region!O192)+IF(SUM(C192:F192)=0,1,0)</f>
        <v>1</v>
      </c>
    </row>
    <row r="193" spans="1:19">
      <c r="A193" s="16" t="s">
        <v>144</v>
      </c>
      <c r="B193" s="54">
        <v>0</v>
      </c>
      <c r="C193" s="449">
        <v>0</v>
      </c>
      <c r="D193" s="449">
        <v>0</v>
      </c>
      <c r="E193" s="449">
        <v>0</v>
      </c>
      <c r="F193" s="449">
        <v>0</v>
      </c>
      <c r="G193" s="449">
        <v>0</v>
      </c>
      <c r="H193" s="449">
        <v>0</v>
      </c>
      <c r="I193" s="16" t="str">
        <f t="shared" si="46"/>
        <v>0</v>
      </c>
      <c r="J193" s="16" t="str">
        <f t="shared" si="47"/>
        <v/>
      </c>
      <c r="K193" s="16" t="str">
        <f t="shared" si="38"/>
        <v>[0.xls]TEXT!ZS5</v>
      </c>
      <c r="L193" s="16" t="str">
        <f t="shared" si="48"/>
        <v>0</v>
      </c>
      <c r="M193" s="16" t="str">
        <f t="shared" si="49"/>
        <v/>
      </c>
      <c r="N193" s="16" t="str">
        <f t="shared" si="39"/>
        <v>[0.xls]TEXT!ZS5</v>
      </c>
      <c r="O193" s="458">
        <f>ROW()</f>
        <v>193</v>
      </c>
      <c r="P193" s="459" t="str">
        <f t="shared" si="44"/>
        <v>[Region.xls]PARAMETER!Z0S6</v>
      </c>
      <c r="Q193" s="459" t="str">
        <f t="shared" si="45"/>
        <v>[Region.xls]PARAMETER!Z0S6</v>
      </c>
      <c r="S193" s="16">
        <f>COUNTIF('1.'!CW:CW,I_Region!O193)+IF(SUM(C193:F193)=0,1,0)</f>
        <v>1</v>
      </c>
    </row>
    <row r="194" spans="1:19">
      <c r="A194" s="16" t="s">
        <v>145</v>
      </c>
      <c r="B194" s="54">
        <v>0</v>
      </c>
      <c r="C194" s="449">
        <v>0</v>
      </c>
      <c r="D194" s="449">
        <v>0</v>
      </c>
      <c r="E194" s="449">
        <v>0</v>
      </c>
      <c r="F194" s="449">
        <v>0</v>
      </c>
      <c r="G194" s="449">
        <v>0</v>
      </c>
      <c r="H194" s="449">
        <v>0</v>
      </c>
      <c r="I194" s="16" t="str">
        <f t="shared" si="46"/>
        <v>0</v>
      </c>
      <c r="J194" s="16" t="str">
        <f t="shared" si="47"/>
        <v/>
      </c>
      <c r="K194" s="16" t="str">
        <f t="shared" si="38"/>
        <v>[0.xls]TEXT!ZS5</v>
      </c>
      <c r="L194" s="16" t="str">
        <f t="shared" si="48"/>
        <v>0</v>
      </c>
      <c r="M194" s="16" t="str">
        <f t="shared" si="49"/>
        <v/>
      </c>
      <c r="N194" s="16" t="str">
        <f t="shared" si="39"/>
        <v>[0.xls]TEXT!ZS5</v>
      </c>
      <c r="O194" s="458">
        <f>ROW()</f>
        <v>194</v>
      </c>
      <c r="P194" s="459" t="str">
        <f t="shared" si="44"/>
        <v>[Region.xls]PARAMETER!Z0S6</v>
      </c>
      <c r="Q194" s="459" t="str">
        <f t="shared" si="45"/>
        <v>[Region.xls]PARAMETER!Z0S6</v>
      </c>
      <c r="S194" s="16">
        <f>COUNTIF('1.'!CW:CW,I_Region!O194)+IF(SUM(C194:F194)=0,1,0)</f>
        <v>1</v>
      </c>
    </row>
    <row r="195" spans="1:19">
      <c r="A195" s="16" t="s">
        <v>146</v>
      </c>
      <c r="B195" s="54">
        <v>0</v>
      </c>
      <c r="C195" s="449">
        <v>0</v>
      </c>
      <c r="D195" s="449">
        <v>0</v>
      </c>
      <c r="E195" s="449">
        <v>0</v>
      </c>
      <c r="F195" s="449">
        <v>0</v>
      </c>
      <c r="G195" s="449">
        <v>0</v>
      </c>
      <c r="H195" s="449">
        <v>0</v>
      </c>
      <c r="I195" s="16" t="str">
        <f t="shared" si="46"/>
        <v>0</v>
      </c>
      <c r="J195" s="16" t="str">
        <f t="shared" si="47"/>
        <v/>
      </c>
      <c r="K195" s="16" t="str">
        <f t="shared" si="38"/>
        <v>[0.xls]TEXT!ZS5</v>
      </c>
      <c r="L195" s="16" t="str">
        <f t="shared" si="48"/>
        <v>0</v>
      </c>
      <c r="M195" s="16" t="str">
        <f t="shared" si="49"/>
        <v/>
      </c>
      <c r="N195" s="16" t="str">
        <f t="shared" si="39"/>
        <v>[0.xls]TEXT!ZS5</v>
      </c>
      <c r="O195" s="458">
        <f>ROW()</f>
        <v>195</v>
      </c>
      <c r="P195" s="459" t="str">
        <f t="shared" si="44"/>
        <v>[Region.xls]PARAMETER!Z0S6</v>
      </c>
      <c r="Q195" s="459" t="str">
        <f t="shared" si="45"/>
        <v>[Region.xls]PARAMETER!Z0S6</v>
      </c>
      <c r="S195" s="16">
        <f>COUNTIF('1.'!CW:CW,I_Region!O195)+IF(SUM(C195:F195)=0,1,0)</f>
        <v>1</v>
      </c>
    </row>
    <row r="196" spans="1:19">
      <c r="A196" s="16" t="s">
        <v>147</v>
      </c>
      <c r="B196" s="54">
        <v>0</v>
      </c>
      <c r="C196" s="449">
        <v>0</v>
      </c>
      <c r="D196" s="449">
        <v>0</v>
      </c>
      <c r="E196" s="449">
        <v>0</v>
      </c>
      <c r="F196" s="449">
        <v>0</v>
      </c>
      <c r="G196" s="449">
        <v>0</v>
      </c>
      <c r="H196" s="449">
        <v>0</v>
      </c>
      <c r="I196" s="16" t="str">
        <f t="shared" si="46"/>
        <v>0</v>
      </c>
      <c r="J196" s="16" t="str">
        <f t="shared" si="47"/>
        <v/>
      </c>
      <c r="K196" s="16" t="str">
        <f t="shared" si="38"/>
        <v>[0.xls]TEXT!ZS5</v>
      </c>
      <c r="L196" s="16" t="str">
        <f t="shared" si="48"/>
        <v>0</v>
      </c>
      <c r="M196" s="16" t="str">
        <f t="shared" si="49"/>
        <v/>
      </c>
      <c r="N196" s="16" t="str">
        <f t="shared" si="39"/>
        <v>[0.xls]TEXT!ZS5</v>
      </c>
      <c r="O196" s="458">
        <f>ROW()</f>
        <v>196</v>
      </c>
      <c r="P196" s="459" t="str">
        <f t="shared" si="44"/>
        <v>[Region.xls]PARAMETER!Z0S6</v>
      </c>
      <c r="Q196" s="459" t="str">
        <f t="shared" si="45"/>
        <v>[Region.xls]PARAMETER!Z0S6</v>
      </c>
      <c r="S196" s="16">
        <f>COUNTIF('1.'!CW:CW,I_Region!O196)+IF(SUM(C196:F196)=0,1,0)</f>
        <v>1</v>
      </c>
    </row>
    <row r="197" spans="1:19">
      <c r="B197" s="54">
        <v>0</v>
      </c>
      <c r="C197" s="449">
        <v>0</v>
      </c>
      <c r="D197" s="449">
        <v>0</v>
      </c>
      <c r="E197" s="449">
        <v>0</v>
      </c>
      <c r="F197" s="449">
        <v>0</v>
      </c>
      <c r="G197" s="449">
        <v>0</v>
      </c>
      <c r="H197" s="449">
        <v>0</v>
      </c>
      <c r="I197" s="16" t="str">
        <f t="shared" si="46"/>
        <v>0</v>
      </c>
      <c r="J197" s="16" t="str">
        <f t="shared" si="47"/>
        <v/>
      </c>
      <c r="K197" s="16" t="str">
        <f t="shared" si="38"/>
        <v>[0.xls]TEXT!ZS5</v>
      </c>
      <c r="L197" s="16" t="str">
        <f t="shared" si="48"/>
        <v>0</v>
      </c>
      <c r="M197" s="16" t="str">
        <f t="shared" si="49"/>
        <v/>
      </c>
      <c r="N197" s="16" t="str">
        <f t="shared" si="39"/>
        <v>[0.xls]TEXT!ZS5</v>
      </c>
      <c r="O197" s="458">
        <f>ROW()</f>
        <v>197</v>
      </c>
      <c r="P197" s="459" t="str">
        <f t="shared" si="44"/>
        <v>[Region.xls]PARAMETER!Z0S6</v>
      </c>
      <c r="Q197" s="459" t="str">
        <f t="shared" si="45"/>
        <v>[Region.xls]PARAMETER!Z0S6</v>
      </c>
      <c r="S197" s="16">
        <f>COUNTIF('1.'!CW:CW,I_Region!O197)+IF(SUM(C197:F197)=0,1,0)</f>
        <v>1</v>
      </c>
    </row>
    <row r="198" spans="1:19">
      <c r="A198" s="16" t="s">
        <v>194</v>
      </c>
      <c r="B198" s="466">
        <v>0</v>
      </c>
      <c r="C198" s="461">
        <v>449373.13432835817</v>
      </c>
      <c r="D198" s="461">
        <v>840469</v>
      </c>
      <c r="E198" s="449">
        <v>0</v>
      </c>
      <c r="F198" s="449">
        <v>0</v>
      </c>
      <c r="G198" s="449">
        <v>0</v>
      </c>
      <c r="H198" s="449">
        <v>0</v>
      </c>
      <c r="I198" s="16" t="str">
        <f t="shared" si="46"/>
        <v>0</v>
      </c>
      <c r="J198" s="16" t="str">
        <f t="shared" si="47"/>
        <v/>
      </c>
      <c r="K198" s="16" t="str">
        <f t="shared" si="38"/>
        <v>[0.xls]TEXT!ZS5</v>
      </c>
      <c r="L198" s="16" t="str">
        <f t="shared" si="48"/>
        <v>0</v>
      </c>
      <c r="M198" s="16" t="str">
        <f t="shared" si="49"/>
        <v/>
      </c>
      <c r="N198" s="16" t="str">
        <f t="shared" si="39"/>
        <v>[0.xls]TEXT!ZS5</v>
      </c>
      <c r="O198" s="458">
        <f>ROW()</f>
        <v>198</v>
      </c>
      <c r="P198" s="459" t="str">
        <f t="shared" si="44"/>
        <v>[Region.xls]PARAMETER!Z0S6</v>
      </c>
      <c r="Q198" s="459" t="str">
        <f t="shared" si="45"/>
        <v>[Region.xls]PARAMETER!Z0S6</v>
      </c>
      <c r="S198" s="16">
        <f>COUNTIF('1.'!CW:CW,I_Region!O198)+IF(SUM(C198:F198)=0,1,0)</f>
        <v>0</v>
      </c>
    </row>
    <row r="199" spans="1:19">
      <c r="B199" s="54">
        <v>0</v>
      </c>
      <c r="C199" s="449">
        <v>0</v>
      </c>
      <c r="D199" s="449">
        <v>0</v>
      </c>
      <c r="E199" s="449">
        <v>0</v>
      </c>
      <c r="F199" s="449">
        <v>0</v>
      </c>
      <c r="G199" s="449">
        <v>0</v>
      </c>
      <c r="H199" s="449">
        <v>0</v>
      </c>
      <c r="I199" s="16" t="str">
        <f t="shared" si="46"/>
        <v>0</v>
      </c>
      <c r="J199" s="16" t="str">
        <f t="shared" si="47"/>
        <v/>
      </c>
      <c r="K199" s="16" t="str">
        <f t="shared" si="38"/>
        <v>[0.xls]TEXT!ZS5</v>
      </c>
      <c r="L199" s="16" t="str">
        <f t="shared" si="48"/>
        <v>0</v>
      </c>
      <c r="M199" s="16" t="str">
        <f t="shared" si="49"/>
        <v/>
      </c>
      <c r="N199" s="16" t="str">
        <f t="shared" si="39"/>
        <v>[0.xls]TEXT!ZS5</v>
      </c>
      <c r="O199" s="458">
        <f>ROW()</f>
        <v>199</v>
      </c>
      <c r="P199" s="459" t="str">
        <f t="shared" si="44"/>
        <v>[Region.xls]PARAMETER!Z0S6</v>
      </c>
      <c r="Q199" s="459" t="str">
        <f t="shared" si="45"/>
        <v>[Region.xls]PARAMETER!Z0S6</v>
      </c>
      <c r="S199" s="16">
        <f>COUNTIF('1.'!CW:CW,I_Region!O199)+IF(SUM(C199:F199)=0,1,0)</f>
        <v>1</v>
      </c>
    </row>
  </sheetData>
  <mergeCells count="2">
    <mergeCell ref="G1:H1"/>
    <mergeCell ref="E1:F1"/>
  </mergeCells>
  <conditionalFormatting sqref="S3:S199">
    <cfRule type="cellIs" dxfId="6" priority="1" operator="greaterThan">
      <formula>0</formula>
    </cfRule>
  </conditionalFormatting>
  <pageMargins left="0.7" right="0.7" top="0.78740157499999996" bottom="0.78740157499999996"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7"/>
  <dimension ref="A1:O192"/>
  <sheetViews>
    <sheetView topLeftCell="A52" workbookViewId="0">
      <selection activeCell="A9" sqref="A9"/>
    </sheetView>
  </sheetViews>
  <sheetFormatPr baseColWidth="10" defaultRowHeight="15"/>
  <cols>
    <col min="1" max="1" width="6.6640625" style="509" customWidth="1"/>
    <col min="2" max="2" width="64.5" style="20" customWidth="1"/>
    <col min="3" max="6" width="11.5" style="20"/>
    <col min="7" max="7" width="4" style="20" bestFit="1" customWidth="1"/>
    <col min="8" max="8" width="3.83203125" style="20" bestFit="1" customWidth="1"/>
    <col min="9" max="9" width="22.1640625" style="20" customWidth="1"/>
    <col min="10" max="10" width="6" style="20" customWidth="1"/>
    <col min="11" max="11" width="4" style="20" bestFit="1" customWidth="1"/>
    <col min="12" max="12" width="3.83203125" style="20" bestFit="1" customWidth="1"/>
    <col min="13" max="13" width="19.5" style="20" bestFit="1" customWidth="1"/>
    <col min="14" max="14" width="4.6640625" style="20" customWidth="1"/>
    <col min="15" max="258" width="11.5" style="20"/>
    <col min="259" max="259" width="6.6640625" style="20" customWidth="1"/>
    <col min="260" max="260" width="64.5" style="20" customWidth="1"/>
    <col min="261" max="264" width="11.5" style="20"/>
    <col min="265" max="265" width="4" style="20" bestFit="1" customWidth="1"/>
    <col min="266" max="266" width="3.83203125" style="20" bestFit="1" customWidth="1"/>
    <col min="267" max="267" width="22.1640625" style="20" customWidth="1"/>
    <col min="268" max="268" width="4" style="20" bestFit="1" customWidth="1"/>
    <col min="269" max="269" width="3.83203125" style="20" bestFit="1" customWidth="1"/>
    <col min="270" max="270" width="19.5" style="20" bestFit="1" customWidth="1"/>
    <col min="271" max="514" width="11.5" style="20"/>
    <col min="515" max="515" width="6.6640625" style="20" customWidth="1"/>
    <col min="516" max="516" width="64.5" style="20" customWidth="1"/>
    <col min="517" max="520" width="11.5" style="20"/>
    <col min="521" max="521" width="4" style="20" bestFit="1" customWidth="1"/>
    <col min="522" max="522" width="3.83203125" style="20" bestFit="1" customWidth="1"/>
    <col min="523" max="523" width="22.1640625" style="20" customWidth="1"/>
    <col min="524" max="524" width="4" style="20" bestFit="1" customWidth="1"/>
    <col min="525" max="525" width="3.83203125" style="20" bestFit="1" customWidth="1"/>
    <col min="526" max="526" width="19.5" style="20" bestFit="1" customWidth="1"/>
    <col min="527" max="770" width="11.5" style="20"/>
    <col min="771" max="771" width="6.6640625" style="20" customWidth="1"/>
    <col min="772" max="772" width="64.5" style="20" customWidth="1"/>
    <col min="773" max="776" width="11.5" style="20"/>
    <col min="777" max="777" width="4" style="20" bestFit="1" customWidth="1"/>
    <col min="778" max="778" width="3.83203125" style="20" bestFit="1" customWidth="1"/>
    <col min="779" max="779" width="22.1640625" style="20" customWidth="1"/>
    <col min="780" max="780" width="4" style="20" bestFit="1" customWidth="1"/>
    <col min="781" max="781" width="3.83203125" style="20" bestFit="1" customWidth="1"/>
    <col min="782" max="782" width="19.5" style="20" bestFit="1" customWidth="1"/>
    <col min="783" max="1026" width="11.5" style="20"/>
    <col min="1027" max="1027" width="6.6640625" style="20" customWidth="1"/>
    <col min="1028" max="1028" width="64.5" style="20" customWidth="1"/>
    <col min="1029" max="1032" width="11.5" style="20"/>
    <col min="1033" max="1033" width="4" style="20" bestFit="1" customWidth="1"/>
    <col min="1034" max="1034" width="3.83203125" style="20" bestFit="1" customWidth="1"/>
    <col min="1035" max="1035" width="22.1640625" style="20" customWidth="1"/>
    <col min="1036" max="1036" width="4" style="20" bestFit="1" customWidth="1"/>
    <col min="1037" max="1037" width="3.83203125" style="20" bestFit="1" customWidth="1"/>
    <col min="1038" max="1038" width="19.5" style="20" bestFit="1" customWidth="1"/>
    <col min="1039" max="1282" width="11.5" style="20"/>
    <col min="1283" max="1283" width="6.6640625" style="20" customWidth="1"/>
    <col min="1284" max="1284" width="64.5" style="20" customWidth="1"/>
    <col min="1285" max="1288" width="11.5" style="20"/>
    <col min="1289" max="1289" width="4" style="20" bestFit="1" customWidth="1"/>
    <col min="1290" max="1290" width="3.83203125" style="20" bestFit="1" customWidth="1"/>
    <col min="1291" max="1291" width="22.1640625" style="20" customWidth="1"/>
    <col min="1292" max="1292" width="4" style="20" bestFit="1" customWidth="1"/>
    <col min="1293" max="1293" width="3.83203125" style="20" bestFit="1" customWidth="1"/>
    <col min="1294" max="1294" width="19.5" style="20" bestFit="1" customWidth="1"/>
    <col min="1295" max="1538" width="11.5" style="20"/>
    <col min="1539" max="1539" width="6.6640625" style="20" customWidth="1"/>
    <col min="1540" max="1540" width="64.5" style="20" customWidth="1"/>
    <col min="1541" max="1544" width="11.5" style="20"/>
    <col min="1545" max="1545" width="4" style="20" bestFit="1" customWidth="1"/>
    <col min="1546" max="1546" width="3.83203125" style="20" bestFit="1" customWidth="1"/>
    <col min="1547" max="1547" width="22.1640625" style="20" customWidth="1"/>
    <col min="1548" max="1548" width="4" style="20" bestFit="1" customWidth="1"/>
    <col min="1549" max="1549" width="3.83203125" style="20" bestFit="1" customWidth="1"/>
    <col min="1550" max="1550" width="19.5" style="20" bestFit="1" customWidth="1"/>
    <col min="1551" max="1794" width="11.5" style="20"/>
    <col min="1795" max="1795" width="6.6640625" style="20" customWidth="1"/>
    <col min="1796" max="1796" width="64.5" style="20" customWidth="1"/>
    <col min="1797" max="1800" width="11.5" style="20"/>
    <col min="1801" max="1801" width="4" style="20" bestFit="1" customWidth="1"/>
    <col min="1802" max="1802" width="3.83203125" style="20" bestFit="1" customWidth="1"/>
    <col min="1803" max="1803" width="22.1640625" style="20" customWidth="1"/>
    <col min="1804" max="1804" width="4" style="20" bestFit="1" customWidth="1"/>
    <col min="1805" max="1805" width="3.83203125" style="20" bestFit="1" customWidth="1"/>
    <col min="1806" max="1806" width="19.5" style="20" bestFit="1" customWidth="1"/>
    <col min="1807" max="2050" width="11.5" style="20"/>
    <col min="2051" max="2051" width="6.6640625" style="20" customWidth="1"/>
    <col min="2052" max="2052" width="64.5" style="20" customWidth="1"/>
    <col min="2053" max="2056" width="11.5" style="20"/>
    <col min="2057" max="2057" width="4" style="20" bestFit="1" customWidth="1"/>
    <col min="2058" max="2058" width="3.83203125" style="20" bestFit="1" customWidth="1"/>
    <col min="2059" max="2059" width="22.1640625" style="20" customWidth="1"/>
    <col min="2060" max="2060" width="4" style="20" bestFit="1" customWidth="1"/>
    <col min="2061" max="2061" width="3.83203125" style="20" bestFit="1" customWidth="1"/>
    <col min="2062" max="2062" width="19.5" style="20" bestFit="1" customWidth="1"/>
    <col min="2063" max="2306" width="11.5" style="20"/>
    <col min="2307" max="2307" width="6.6640625" style="20" customWidth="1"/>
    <col min="2308" max="2308" width="64.5" style="20" customWidth="1"/>
    <col min="2309" max="2312" width="11.5" style="20"/>
    <col min="2313" max="2313" width="4" style="20" bestFit="1" customWidth="1"/>
    <col min="2314" max="2314" width="3.83203125" style="20" bestFit="1" customWidth="1"/>
    <col min="2315" max="2315" width="22.1640625" style="20" customWidth="1"/>
    <col min="2316" max="2316" width="4" style="20" bestFit="1" customWidth="1"/>
    <col min="2317" max="2317" width="3.83203125" style="20" bestFit="1" customWidth="1"/>
    <col min="2318" max="2318" width="19.5" style="20" bestFit="1" customWidth="1"/>
    <col min="2319" max="2562" width="11.5" style="20"/>
    <col min="2563" max="2563" width="6.6640625" style="20" customWidth="1"/>
    <col min="2564" max="2564" width="64.5" style="20" customWidth="1"/>
    <col min="2565" max="2568" width="11.5" style="20"/>
    <col min="2569" max="2569" width="4" style="20" bestFit="1" customWidth="1"/>
    <col min="2570" max="2570" width="3.83203125" style="20" bestFit="1" customWidth="1"/>
    <col min="2571" max="2571" width="22.1640625" style="20" customWidth="1"/>
    <col min="2572" max="2572" width="4" style="20" bestFit="1" customWidth="1"/>
    <col min="2573" max="2573" width="3.83203125" style="20" bestFit="1" customWidth="1"/>
    <col min="2574" max="2574" width="19.5" style="20" bestFit="1" customWidth="1"/>
    <col min="2575" max="2818" width="11.5" style="20"/>
    <col min="2819" max="2819" width="6.6640625" style="20" customWidth="1"/>
    <col min="2820" max="2820" width="64.5" style="20" customWidth="1"/>
    <col min="2821" max="2824" width="11.5" style="20"/>
    <col min="2825" max="2825" width="4" style="20" bestFit="1" customWidth="1"/>
    <col min="2826" max="2826" width="3.83203125" style="20" bestFit="1" customWidth="1"/>
    <col min="2827" max="2827" width="22.1640625" style="20" customWidth="1"/>
    <col min="2828" max="2828" width="4" style="20" bestFit="1" customWidth="1"/>
    <col min="2829" max="2829" width="3.83203125" style="20" bestFit="1" customWidth="1"/>
    <col min="2830" max="2830" width="19.5" style="20" bestFit="1" customWidth="1"/>
    <col min="2831" max="3074" width="11.5" style="20"/>
    <col min="3075" max="3075" width="6.6640625" style="20" customWidth="1"/>
    <col min="3076" max="3076" width="64.5" style="20" customWidth="1"/>
    <col min="3077" max="3080" width="11.5" style="20"/>
    <col min="3081" max="3081" width="4" style="20" bestFit="1" customWidth="1"/>
    <col min="3082" max="3082" width="3.83203125" style="20" bestFit="1" customWidth="1"/>
    <col min="3083" max="3083" width="22.1640625" style="20" customWidth="1"/>
    <col min="3084" max="3084" width="4" style="20" bestFit="1" customWidth="1"/>
    <col min="3085" max="3085" width="3.83203125" style="20" bestFit="1" customWidth="1"/>
    <col min="3086" max="3086" width="19.5" style="20" bestFit="1" customWidth="1"/>
    <col min="3087" max="3330" width="11.5" style="20"/>
    <col min="3331" max="3331" width="6.6640625" style="20" customWidth="1"/>
    <col min="3332" max="3332" width="64.5" style="20" customWidth="1"/>
    <col min="3333" max="3336" width="11.5" style="20"/>
    <col min="3337" max="3337" width="4" style="20" bestFit="1" customWidth="1"/>
    <col min="3338" max="3338" width="3.83203125" style="20" bestFit="1" customWidth="1"/>
    <col min="3339" max="3339" width="22.1640625" style="20" customWidth="1"/>
    <col min="3340" max="3340" width="4" style="20" bestFit="1" customWidth="1"/>
    <col min="3341" max="3341" width="3.83203125" style="20" bestFit="1" customWidth="1"/>
    <col min="3342" max="3342" width="19.5" style="20" bestFit="1" customWidth="1"/>
    <col min="3343" max="3586" width="11.5" style="20"/>
    <col min="3587" max="3587" width="6.6640625" style="20" customWidth="1"/>
    <col min="3588" max="3588" width="64.5" style="20" customWidth="1"/>
    <col min="3589" max="3592" width="11.5" style="20"/>
    <col min="3593" max="3593" width="4" style="20" bestFit="1" customWidth="1"/>
    <col min="3594" max="3594" width="3.83203125" style="20" bestFit="1" customWidth="1"/>
    <col min="3595" max="3595" width="22.1640625" style="20" customWidth="1"/>
    <col min="3596" max="3596" width="4" style="20" bestFit="1" customWidth="1"/>
    <col min="3597" max="3597" width="3.83203125" style="20" bestFit="1" customWidth="1"/>
    <col min="3598" max="3598" width="19.5" style="20" bestFit="1" customWidth="1"/>
    <col min="3599" max="3842" width="11.5" style="20"/>
    <col min="3843" max="3843" width="6.6640625" style="20" customWidth="1"/>
    <col min="3844" max="3844" width="64.5" style="20" customWidth="1"/>
    <col min="3845" max="3848" width="11.5" style="20"/>
    <col min="3849" max="3849" width="4" style="20" bestFit="1" customWidth="1"/>
    <col min="3850" max="3850" width="3.83203125" style="20" bestFit="1" customWidth="1"/>
    <col min="3851" max="3851" width="22.1640625" style="20" customWidth="1"/>
    <col min="3852" max="3852" width="4" style="20" bestFit="1" customWidth="1"/>
    <col min="3853" max="3853" width="3.83203125" style="20" bestFit="1" customWidth="1"/>
    <col min="3854" max="3854" width="19.5" style="20" bestFit="1" customWidth="1"/>
    <col min="3855" max="4098" width="11.5" style="20"/>
    <col min="4099" max="4099" width="6.6640625" style="20" customWidth="1"/>
    <col min="4100" max="4100" width="64.5" style="20" customWidth="1"/>
    <col min="4101" max="4104" width="11.5" style="20"/>
    <col min="4105" max="4105" width="4" style="20" bestFit="1" customWidth="1"/>
    <col min="4106" max="4106" width="3.83203125" style="20" bestFit="1" customWidth="1"/>
    <col min="4107" max="4107" width="22.1640625" style="20" customWidth="1"/>
    <col min="4108" max="4108" width="4" style="20" bestFit="1" customWidth="1"/>
    <col min="4109" max="4109" width="3.83203125" style="20" bestFit="1" customWidth="1"/>
    <col min="4110" max="4110" width="19.5" style="20" bestFit="1" customWidth="1"/>
    <col min="4111" max="4354" width="11.5" style="20"/>
    <col min="4355" max="4355" width="6.6640625" style="20" customWidth="1"/>
    <col min="4356" max="4356" width="64.5" style="20" customWidth="1"/>
    <col min="4357" max="4360" width="11.5" style="20"/>
    <col min="4361" max="4361" width="4" style="20" bestFit="1" customWidth="1"/>
    <col min="4362" max="4362" width="3.83203125" style="20" bestFit="1" customWidth="1"/>
    <col min="4363" max="4363" width="22.1640625" style="20" customWidth="1"/>
    <col min="4364" max="4364" width="4" style="20" bestFit="1" customWidth="1"/>
    <col min="4365" max="4365" width="3.83203125" style="20" bestFit="1" customWidth="1"/>
    <col min="4366" max="4366" width="19.5" style="20" bestFit="1" customWidth="1"/>
    <col min="4367" max="4610" width="11.5" style="20"/>
    <col min="4611" max="4611" width="6.6640625" style="20" customWidth="1"/>
    <col min="4612" max="4612" width="64.5" style="20" customWidth="1"/>
    <col min="4613" max="4616" width="11.5" style="20"/>
    <col min="4617" max="4617" width="4" style="20" bestFit="1" customWidth="1"/>
    <col min="4618" max="4618" width="3.83203125" style="20" bestFit="1" customWidth="1"/>
    <col min="4619" max="4619" width="22.1640625" style="20" customWidth="1"/>
    <col min="4620" max="4620" width="4" style="20" bestFit="1" customWidth="1"/>
    <col min="4621" max="4621" width="3.83203125" style="20" bestFit="1" customWidth="1"/>
    <col min="4622" max="4622" width="19.5" style="20" bestFit="1" customWidth="1"/>
    <col min="4623" max="4866" width="11.5" style="20"/>
    <col min="4867" max="4867" width="6.6640625" style="20" customWidth="1"/>
    <col min="4868" max="4868" width="64.5" style="20" customWidth="1"/>
    <col min="4869" max="4872" width="11.5" style="20"/>
    <col min="4873" max="4873" width="4" style="20" bestFit="1" customWidth="1"/>
    <col min="4874" max="4874" width="3.83203125" style="20" bestFit="1" customWidth="1"/>
    <col min="4875" max="4875" width="22.1640625" style="20" customWidth="1"/>
    <col min="4876" max="4876" width="4" style="20" bestFit="1" customWidth="1"/>
    <col min="4877" max="4877" width="3.83203125" style="20" bestFit="1" customWidth="1"/>
    <col min="4878" max="4878" width="19.5" style="20" bestFit="1" customWidth="1"/>
    <col min="4879" max="5122" width="11.5" style="20"/>
    <col min="5123" max="5123" width="6.6640625" style="20" customWidth="1"/>
    <col min="5124" max="5124" width="64.5" style="20" customWidth="1"/>
    <col min="5125" max="5128" width="11.5" style="20"/>
    <col min="5129" max="5129" width="4" style="20" bestFit="1" customWidth="1"/>
    <col min="5130" max="5130" width="3.83203125" style="20" bestFit="1" customWidth="1"/>
    <col min="5131" max="5131" width="22.1640625" style="20" customWidth="1"/>
    <col min="5132" max="5132" width="4" style="20" bestFit="1" customWidth="1"/>
    <col min="5133" max="5133" width="3.83203125" style="20" bestFit="1" customWidth="1"/>
    <col min="5134" max="5134" width="19.5" style="20" bestFit="1" customWidth="1"/>
    <col min="5135" max="5378" width="11.5" style="20"/>
    <col min="5379" max="5379" width="6.6640625" style="20" customWidth="1"/>
    <col min="5380" max="5380" width="64.5" style="20" customWidth="1"/>
    <col min="5381" max="5384" width="11.5" style="20"/>
    <col min="5385" max="5385" width="4" style="20" bestFit="1" customWidth="1"/>
    <col min="5386" max="5386" width="3.83203125" style="20" bestFit="1" customWidth="1"/>
    <col min="5387" max="5387" width="22.1640625" style="20" customWidth="1"/>
    <col min="5388" max="5388" width="4" style="20" bestFit="1" customWidth="1"/>
    <col min="5389" max="5389" width="3.83203125" style="20" bestFit="1" customWidth="1"/>
    <col min="5390" max="5390" width="19.5" style="20" bestFit="1" customWidth="1"/>
    <col min="5391" max="5634" width="11.5" style="20"/>
    <col min="5635" max="5635" width="6.6640625" style="20" customWidth="1"/>
    <col min="5636" max="5636" width="64.5" style="20" customWidth="1"/>
    <col min="5637" max="5640" width="11.5" style="20"/>
    <col min="5641" max="5641" width="4" style="20" bestFit="1" customWidth="1"/>
    <col min="5642" max="5642" width="3.83203125" style="20" bestFit="1" customWidth="1"/>
    <col min="5643" max="5643" width="22.1640625" style="20" customWidth="1"/>
    <col min="5644" max="5644" width="4" style="20" bestFit="1" customWidth="1"/>
    <col min="5645" max="5645" width="3.83203125" style="20" bestFit="1" customWidth="1"/>
    <col min="5646" max="5646" width="19.5" style="20" bestFit="1" customWidth="1"/>
    <col min="5647" max="5890" width="11.5" style="20"/>
    <col min="5891" max="5891" width="6.6640625" style="20" customWidth="1"/>
    <col min="5892" max="5892" width="64.5" style="20" customWidth="1"/>
    <col min="5893" max="5896" width="11.5" style="20"/>
    <col min="5897" max="5897" width="4" style="20" bestFit="1" customWidth="1"/>
    <col min="5898" max="5898" width="3.83203125" style="20" bestFit="1" customWidth="1"/>
    <col min="5899" max="5899" width="22.1640625" style="20" customWidth="1"/>
    <col min="5900" max="5900" width="4" style="20" bestFit="1" customWidth="1"/>
    <col min="5901" max="5901" width="3.83203125" style="20" bestFit="1" customWidth="1"/>
    <col min="5902" max="5902" width="19.5" style="20" bestFit="1" customWidth="1"/>
    <col min="5903" max="6146" width="11.5" style="20"/>
    <col min="6147" max="6147" width="6.6640625" style="20" customWidth="1"/>
    <col min="6148" max="6148" width="64.5" style="20" customWidth="1"/>
    <col min="6149" max="6152" width="11.5" style="20"/>
    <col min="6153" max="6153" width="4" style="20" bestFit="1" customWidth="1"/>
    <col min="6154" max="6154" width="3.83203125" style="20" bestFit="1" customWidth="1"/>
    <col min="6155" max="6155" width="22.1640625" style="20" customWidth="1"/>
    <col min="6156" max="6156" width="4" style="20" bestFit="1" customWidth="1"/>
    <col min="6157" max="6157" width="3.83203125" style="20" bestFit="1" customWidth="1"/>
    <col min="6158" max="6158" width="19.5" style="20" bestFit="1" customWidth="1"/>
    <col min="6159" max="6402" width="11.5" style="20"/>
    <col min="6403" max="6403" width="6.6640625" style="20" customWidth="1"/>
    <col min="6404" max="6404" width="64.5" style="20" customWidth="1"/>
    <col min="6405" max="6408" width="11.5" style="20"/>
    <col min="6409" max="6409" width="4" style="20" bestFit="1" customWidth="1"/>
    <col min="6410" max="6410" width="3.83203125" style="20" bestFit="1" customWidth="1"/>
    <col min="6411" max="6411" width="22.1640625" style="20" customWidth="1"/>
    <col min="6412" max="6412" width="4" style="20" bestFit="1" customWidth="1"/>
    <col min="6413" max="6413" width="3.83203125" style="20" bestFit="1" customWidth="1"/>
    <col min="6414" max="6414" width="19.5" style="20" bestFit="1" customWidth="1"/>
    <col min="6415" max="6658" width="11.5" style="20"/>
    <col min="6659" max="6659" width="6.6640625" style="20" customWidth="1"/>
    <col min="6660" max="6660" width="64.5" style="20" customWidth="1"/>
    <col min="6661" max="6664" width="11.5" style="20"/>
    <col min="6665" max="6665" width="4" style="20" bestFit="1" customWidth="1"/>
    <col min="6666" max="6666" width="3.83203125" style="20" bestFit="1" customWidth="1"/>
    <col min="6667" max="6667" width="22.1640625" style="20" customWidth="1"/>
    <col min="6668" max="6668" width="4" style="20" bestFit="1" customWidth="1"/>
    <col min="6669" max="6669" width="3.83203125" style="20" bestFit="1" customWidth="1"/>
    <col min="6670" max="6670" width="19.5" style="20" bestFit="1" customWidth="1"/>
    <col min="6671" max="6914" width="11.5" style="20"/>
    <col min="6915" max="6915" width="6.6640625" style="20" customWidth="1"/>
    <col min="6916" max="6916" width="64.5" style="20" customWidth="1"/>
    <col min="6917" max="6920" width="11.5" style="20"/>
    <col min="6921" max="6921" width="4" style="20" bestFit="1" customWidth="1"/>
    <col min="6922" max="6922" width="3.83203125" style="20" bestFit="1" customWidth="1"/>
    <col min="6923" max="6923" width="22.1640625" style="20" customWidth="1"/>
    <col min="6924" max="6924" width="4" style="20" bestFit="1" customWidth="1"/>
    <col min="6925" max="6925" width="3.83203125" style="20" bestFit="1" customWidth="1"/>
    <col min="6926" max="6926" width="19.5" style="20" bestFit="1" customWidth="1"/>
    <col min="6927" max="7170" width="11.5" style="20"/>
    <col min="7171" max="7171" width="6.6640625" style="20" customWidth="1"/>
    <col min="7172" max="7172" width="64.5" style="20" customWidth="1"/>
    <col min="7173" max="7176" width="11.5" style="20"/>
    <col min="7177" max="7177" width="4" style="20" bestFit="1" customWidth="1"/>
    <col min="7178" max="7178" width="3.83203125" style="20" bestFit="1" customWidth="1"/>
    <col min="7179" max="7179" width="22.1640625" style="20" customWidth="1"/>
    <col min="7180" max="7180" width="4" style="20" bestFit="1" customWidth="1"/>
    <col min="7181" max="7181" width="3.83203125" style="20" bestFit="1" customWidth="1"/>
    <col min="7182" max="7182" width="19.5" style="20" bestFit="1" customWidth="1"/>
    <col min="7183" max="7426" width="11.5" style="20"/>
    <col min="7427" max="7427" width="6.6640625" style="20" customWidth="1"/>
    <col min="7428" max="7428" width="64.5" style="20" customWidth="1"/>
    <col min="7429" max="7432" width="11.5" style="20"/>
    <col min="7433" max="7433" width="4" style="20" bestFit="1" customWidth="1"/>
    <col min="7434" max="7434" width="3.83203125" style="20" bestFit="1" customWidth="1"/>
    <col min="7435" max="7435" width="22.1640625" style="20" customWidth="1"/>
    <col min="7436" max="7436" width="4" style="20" bestFit="1" customWidth="1"/>
    <col min="7437" max="7437" width="3.83203125" style="20" bestFit="1" customWidth="1"/>
    <col min="7438" max="7438" width="19.5" style="20" bestFit="1" customWidth="1"/>
    <col min="7439" max="7682" width="11.5" style="20"/>
    <col min="7683" max="7683" width="6.6640625" style="20" customWidth="1"/>
    <col min="7684" max="7684" width="64.5" style="20" customWidth="1"/>
    <col min="7685" max="7688" width="11.5" style="20"/>
    <col min="7689" max="7689" width="4" style="20" bestFit="1" customWidth="1"/>
    <col min="7690" max="7690" width="3.83203125" style="20" bestFit="1" customWidth="1"/>
    <col min="7691" max="7691" width="22.1640625" style="20" customWidth="1"/>
    <col min="7692" max="7692" width="4" style="20" bestFit="1" customWidth="1"/>
    <col min="7693" max="7693" width="3.83203125" style="20" bestFit="1" customWidth="1"/>
    <col min="7694" max="7694" width="19.5" style="20" bestFit="1" customWidth="1"/>
    <col min="7695" max="7938" width="11.5" style="20"/>
    <col min="7939" max="7939" width="6.6640625" style="20" customWidth="1"/>
    <col min="7940" max="7940" width="64.5" style="20" customWidth="1"/>
    <col min="7941" max="7944" width="11.5" style="20"/>
    <col min="7945" max="7945" width="4" style="20" bestFit="1" customWidth="1"/>
    <col min="7946" max="7946" width="3.83203125" style="20" bestFit="1" customWidth="1"/>
    <col min="7947" max="7947" width="22.1640625" style="20" customWidth="1"/>
    <col min="7948" max="7948" width="4" style="20" bestFit="1" customWidth="1"/>
    <col min="7949" max="7949" width="3.83203125" style="20" bestFit="1" customWidth="1"/>
    <col min="7950" max="7950" width="19.5" style="20" bestFit="1" customWidth="1"/>
    <col min="7951" max="8194" width="11.5" style="20"/>
    <col min="8195" max="8195" width="6.6640625" style="20" customWidth="1"/>
    <col min="8196" max="8196" width="64.5" style="20" customWidth="1"/>
    <col min="8197" max="8200" width="11.5" style="20"/>
    <col min="8201" max="8201" width="4" style="20" bestFit="1" customWidth="1"/>
    <col min="8202" max="8202" width="3.83203125" style="20" bestFit="1" customWidth="1"/>
    <col min="8203" max="8203" width="22.1640625" style="20" customWidth="1"/>
    <col min="8204" max="8204" width="4" style="20" bestFit="1" customWidth="1"/>
    <col min="8205" max="8205" width="3.83203125" style="20" bestFit="1" customWidth="1"/>
    <col min="8206" max="8206" width="19.5" style="20" bestFit="1" customWidth="1"/>
    <col min="8207" max="8450" width="11.5" style="20"/>
    <col min="8451" max="8451" width="6.6640625" style="20" customWidth="1"/>
    <col min="8452" max="8452" width="64.5" style="20" customWidth="1"/>
    <col min="8453" max="8456" width="11.5" style="20"/>
    <col min="8457" max="8457" width="4" style="20" bestFit="1" customWidth="1"/>
    <col min="8458" max="8458" width="3.83203125" style="20" bestFit="1" customWidth="1"/>
    <col min="8459" max="8459" width="22.1640625" style="20" customWidth="1"/>
    <col min="8460" max="8460" width="4" style="20" bestFit="1" customWidth="1"/>
    <col min="8461" max="8461" width="3.83203125" style="20" bestFit="1" customWidth="1"/>
    <col min="8462" max="8462" width="19.5" style="20" bestFit="1" customWidth="1"/>
    <col min="8463" max="8706" width="11.5" style="20"/>
    <col min="8707" max="8707" width="6.6640625" style="20" customWidth="1"/>
    <col min="8708" max="8708" width="64.5" style="20" customWidth="1"/>
    <col min="8709" max="8712" width="11.5" style="20"/>
    <col min="8713" max="8713" width="4" style="20" bestFit="1" customWidth="1"/>
    <col min="8714" max="8714" width="3.83203125" style="20" bestFit="1" customWidth="1"/>
    <col min="8715" max="8715" width="22.1640625" style="20" customWidth="1"/>
    <col min="8716" max="8716" width="4" style="20" bestFit="1" customWidth="1"/>
    <col min="8717" max="8717" width="3.83203125" style="20" bestFit="1" customWidth="1"/>
    <col min="8718" max="8718" width="19.5" style="20" bestFit="1" customWidth="1"/>
    <col min="8719" max="8962" width="11.5" style="20"/>
    <col min="8963" max="8963" width="6.6640625" style="20" customWidth="1"/>
    <col min="8964" max="8964" width="64.5" style="20" customWidth="1"/>
    <col min="8965" max="8968" width="11.5" style="20"/>
    <col min="8969" max="8969" width="4" style="20" bestFit="1" customWidth="1"/>
    <col min="8970" max="8970" width="3.83203125" style="20" bestFit="1" customWidth="1"/>
    <col min="8971" max="8971" width="22.1640625" style="20" customWidth="1"/>
    <col min="8972" max="8972" width="4" style="20" bestFit="1" customWidth="1"/>
    <col min="8973" max="8973" width="3.83203125" style="20" bestFit="1" customWidth="1"/>
    <col min="8974" max="8974" width="19.5" style="20" bestFit="1" customWidth="1"/>
    <col min="8975" max="9218" width="11.5" style="20"/>
    <col min="9219" max="9219" width="6.6640625" style="20" customWidth="1"/>
    <col min="9220" max="9220" width="64.5" style="20" customWidth="1"/>
    <col min="9221" max="9224" width="11.5" style="20"/>
    <col min="9225" max="9225" width="4" style="20" bestFit="1" customWidth="1"/>
    <col min="9226" max="9226" width="3.83203125" style="20" bestFit="1" customWidth="1"/>
    <col min="9227" max="9227" width="22.1640625" style="20" customWidth="1"/>
    <col min="9228" max="9228" width="4" style="20" bestFit="1" customWidth="1"/>
    <col min="9229" max="9229" width="3.83203125" style="20" bestFit="1" customWidth="1"/>
    <col min="9230" max="9230" width="19.5" style="20" bestFit="1" customWidth="1"/>
    <col min="9231" max="9474" width="11.5" style="20"/>
    <col min="9475" max="9475" width="6.6640625" style="20" customWidth="1"/>
    <col min="9476" max="9476" width="64.5" style="20" customWidth="1"/>
    <col min="9477" max="9480" width="11.5" style="20"/>
    <col min="9481" max="9481" width="4" style="20" bestFit="1" customWidth="1"/>
    <col min="9482" max="9482" width="3.83203125" style="20" bestFit="1" customWidth="1"/>
    <col min="9483" max="9483" width="22.1640625" style="20" customWidth="1"/>
    <col min="9484" max="9484" width="4" style="20" bestFit="1" customWidth="1"/>
    <col min="9485" max="9485" width="3.83203125" style="20" bestFit="1" customWidth="1"/>
    <col min="9486" max="9486" width="19.5" style="20" bestFit="1" customWidth="1"/>
    <col min="9487" max="9730" width="11.5" style="20"/>
    <col min="9731" max="9731" width="6.6640625" style="20" customWidth="1"/>
    <col min="9732" max="9732" width="64.5" style="20" customWidth="1"/>
    <col min="9733" max="9736" width="11.5" style="20"/>
    <col min="9737" max="9737" width="4" style="20" bestFit="1" customWidth="1"/>
    <col min="9738" max="9738" width="3.83203125" style="20" bestFit="1" customWidth="1"/>
    <col min="9739" max="9739" width="22.1640625" style="20" customWidth="1"/>
    <col min="9740" max="9740" width="4" style="20" bestFit="1" customWidth="1"/>
    <col min="9741" max="9741" width="3.83203125" style="20" bestFit="1" customWidth="1"/>
    <col min="9742" max="9742" width="19.5" style="20" bestFit="1" customWidth="1"/>
    <col min="9743" max="9986" width="11.5" style="20"/>
    <col min="9987" max="9987" width="6.6640625" style="20" customWidth="1"/>
    <col min="9988" max="9988" width="64.5" style="20" customWidth="1"/>
    <col min="9989" max="9992" width="11.5" style="20"/>
    <col min="9993" max="9993" width="4" style="20" bestFit="1" customWidth="1"/>
    <col min="9994" max="9994" width="3.83203125" style="20" bestFit="1" customWidth="1"/>
    <col min="9995" max="9995" width="22.1640625" style="20" customWidth="1"/>
    <col min="9996" max="9996" width="4" style="20" bestFit="1" customWidth="1"/>
    <col min="9997" max="9997" width="3.83203125" style="20" bestFit="1" customWidth="1"/>
    <col min="9998" max="9998" width="19.5" style="20" bestFit="1" customWidth="1"/>
    <col min="9999" max="10242" width="11.5" style="20"/>
    <col min="10243" max="10243" width="6.6640625" style="20" customWidth="1"/>
    <col min="10244" max="10244" width="64.5" style="20" customWidth="1"/>
    <col min="10245" max="10248" width="11.5" style="20"/>
    <col min="10249" max="10249" width="4" style="20" bestFit="1" customWidth="1"/>
    <col min="10250" max="10250" width="3.83203125" style="20" bestFit="1" customWidth="1"/>
    <col min="10251" max="10251" width="22.1640625" style="20" customWidth="1"/>
    <col min="10252" max="10252" width="4" style="20" bestFit="1" customWidth="1"/>
    <col min="10253" max="10253" width="3.83203125" style="20" bestFit="1" customWidth="1"/>
    <col min="10254" max="10254" width="19.5" style="20" bestFit="1" customWidth="1"/>
    <col min="10255" max="10498" width="11.5" style="20"/>
    <col min="10499" max="10499" width="6.6640625" style="20" customWidth="1"/>
    <col min="10500" max="10500" width="64.5" style="20" customWidth="1"/>
    <col min="10501" max="10504" width="11.5" style="20"/>
    <col min="10505" max="10505" width="4" style="20" bestFit="1" customWidth="1"/>
    <col min="10506" max="10506" width="3.83203125" style="20" bestFit="1" customWidth="1"/>
    <col min="10507" max="10507" width="22.1640625" style="20" customWidth="1"/>
    <col min="10508" max="10508" width="4" style="20" bestFit="1" customWidth="1"/>
    <col min="10509" max="10509" width="3.83203125" style="20" bestFit="1" customWidth="1"/>
    <col min="10510" max="10510" width="19.5" style="20" bestFit="1" customWidth="1"/>
    <col min="10511" max="10754" width="11.5" style="20"/>
    <col min="10755" max="10755" width="6.6640625" style="20" customWidth="1"/>
    <col min="10756" max="10756" width="64.5" style="20" customWidth="1"/>
    <col min="10757" max="10760" width="11.5" style="20"/>
    <col min="10761" max="10761" width="4" style="20" bestFit="1" customWidth="1"/>
    <col min="10762" max="10762" width="3.83203125" style="20" bestFit="1" customWidth="1"/>
    <col min="10763" max="10763" width="22.1640625" style="20" customWidth="1"/>
    <col min="10764" max="10764" width="4" style="20" bestFit="1" customWidth="1"/>
    <col min="10765" max="10765" width="3.83203125" style="20" bestFit="1" customWidth="1"/>
    <col min="10766" max="10766" width="19.5" style="20" bestFit="1" customWidth="1"/>
    <col min="10767" max="11010" width="11.5" style="20"/>
    <col min="11011" max="11011" width="6.6640625" style="20" customWidth="1"/>
    <col min="11012" max="11012" width="64.5" style="20" customWidth="1"/>
    <col min="11013" max="11016" width="11.5" style="20"/>
    <col min="11017" max="11017" width="4" style="20" bestFit="1" customWidth="1"/>
    <col min="11018" max="11018" width="3.83203125" style="20" bestFit="1" customWidth="1"/>
    <col min="11019" max="11019" width="22.1640625" style="20" customWidth="1"/>
    <col min="11020" max="11020" width="4" style="20" bestFit="1" customWidth="1"/>
    <col min="11021" max="11021" width="3.83203125" style="20" bestFit="1" customWidth="1"/>
    <col min="11022" max="11022" width="19.5" style="20" bestFit="1" customWidth="1"/>
    <col min="11023" max="11266" width="11.5" style="20"/>
    <col min="11267" max="11267" width="6.6640625" style="20" customWidth="1"/>
    <col min="11268" max="11268" width="64.5" style="20" customWidth="1"/>
    <col min="11269" max="11272" width="11.5" style="20"/>
    <col min="11273" max="11273" width="4" style="20" bestFit="1" customWidth="1"/>
    <col min="11274" max="11274" width="3.83203125" style="20" bestFit="1" customWidth="1"/>
    <col min="11275" max="11275" width="22.1640625" style="20" customWidth="1"/>
    <col min="11276" max="11276" width="4" style="20" bestFit="1" customWidth="1"/>
    <col min="11277" max="11277" width="3.83203125" style="20" bestFit="1" customWidth="1"/>
    <col min="11278" max="11278" width="19.5" style="20" bestFit="1" customWidth="1"/>
    <col min="11279" max="11522" width="11.5" style="20"/>
    <col min="11523" max="11523" width="6.6640625" style="20" customWidth="1"/>
    <col min="11524" max="11524" width="64.5" style="20" customWidth="1"/>
    <col min="11525" max="11528" width="11.5" style="20"/>
    <col min="11529" max="11529" width="4" style="20" bestFit="1" customWidth="1"/>
    <col min="11530" max="11530" width="3.83203125" style="20" bestFit="1" customWidth="1"/>
    <col min="11531" max="11531" width="22.1640625" style="20" customWidth="1"/>
    <col min="11532" max="11532" width="4" style="20" bestFit="1" customWidth="1"/>
    <col min="11533" max="11533" width="3.83203125" style="20" bestFit="1" customWidth="1"/>
    <col min="11534" max="11534" width="19.5" style="20" bestFit="1" customWidth="1"/>
    <col min="11535" max="11778" width="11.5" style="20"/>
    <col min="11779" max="11779" width="6.6640625" style="20" customWidth="1"/>
    <col min="11780" max="11780" width="64.5" style="20" customWidth="1"/>
    <col min="11781" max="11784" width="11.5" style="20"/>
    <col min="11785" max="11785" width="4" style="20" bestFit="1" customWidth="1"/>
    <col min="11786" max="11786" width="3.83203125" style="20" bestFit="1" customWidth="1"/>
    <col min="11787" max="11787" width="22.1640625" style="20" customWidth="1"/>
    <col min="11788" max="11788" width="4" style="20" bestFit="1" customWidth="1"/>
    <col min="11789" max="11789" width="3.83203125" style="20" bestFit="1" customWidth="1"/>
    <col min="11790" max="11790" width="19.5" style="20" bestFit="1" customWidth="1"/>
    <col min="11791" max="12034" width="11.5" style="20"/>
    <col min="12035" max="12035" width="6.6640625" style="20" customWidth="1"/>
    <col min="12036" max="12036" width="64.5" style="20" customWidth="1"/>
    <col min="12037" max="12040" width="11.5" style="20"/>
    <col min="12041" max="12041" width="4" style="20" bestFit="1" customWidth="1"/>
    <col min="12042" max="12042" width="3.83203125" style="20" bestFit="1" customWidth="1"/>
    <col min="12043" max="12043" width="22.1640625" style="20" customWidth="1"/>
    <col min="12044" max="12044" width="4" style="20" bestFit="1" customWidth="1"/>
    <col min="12045" max="12045" width="3.83203125" style="20" bestFit="1" customWidth="1"/>
    <col min="12046" max="12046" width="19.5" style="20" bestFit="1" customWidth="1"/>
    <col min="12047" max="12290" width="11.5" style="20"/>
    <col min="12291" max="12291" width="6.6640625" style="20" customWidth="1"/>
    <col min="12292" max="12292" width="64.5" style="20" customWidth="1"/>
    <col min="12293" max="12296" width="11.5" style="20"/>
    <col min="12297" max="12297" width="4" style="20" bestFit="1" customWidth="1"/>
    <col min="12298" max="12298" width="3.83203125" style="20" bestFit="1" customWidth="1"/>
    <col min="12299" max="12299" width="22.1640625" style="20" customWidth="1"/>
    <col min="12300" max="12300" width="4" style="20" bestFit="1" customWidth="1"/>
    <col min="12301" max="12301" width="3.83203125" style="20" bestFit="1" customWidth="1"/>
    <col min="12302" max="12302" width="19.5" style="20" bestFit="1" customWidth="1"/>
    <col min="12303" max="12546" width="11.5" style="20"/>
    <col min="12547" max="12547" width="6.6640625" style="20" customWidth="1"/>
    <col min="12548" max="12548" width="64.5" style="20" customWidth="1"/>
    <col min="12549" max="12552" width="11.5" style="20"/>
    <col min="12553" max="12553" width="4" style="20" bestFit="1" customWidth="1"/>
    <col min="12554" max="12554" width="3.83203125" style="20" bestFit="1" customWidth="1"/>
    <col min="12555" max="12555" width="22.1640625" style="20" customWidth="1"/>
    <col min="12556" max="12556" width="4" style="20" bestFit="1" customWidth="1"/>
    <col min="12557" max="12557" width="3.83203125" style="20" bestFit="1" customWidth="1"/>
    <col min="12558" max="12558" width="19.5" style="20" bestFit="1" customWidth="1"/>
    <col min="12559" max="12802" width="11.5" style="20"/>
    <col min="12803" max="12803" width="6.6640625" style="20" customWidth="1"/>
    <col min="12804" max="12804" width="64.5" style="20" customWidth="1"/>
    <col min="12805" max="12808" width="11.5" style="20"/>
    <col min="12809" max="12809" width="4" style="20" bestFit="1" customWidth="1"/>
    <col min="12810" max="12810" width="3.83203125" style="20" bestFit="1" customWidth="1"/>
    <col min="12811" max="12811" width="22.1640625" style="20" customWidth="1"/>
    <col min="12812" max="12812" width="4" style="20" bestFit="1" customWidth="1"/>
    <col min="12813" max="12813" width="3.83203125" style="20" bestFit="1" customWidth="1"/>
    <col min="12814" max="12814" width="19.5" style="20" bestFit="1" customWidth="1"/>
    <col min="12815" max="13058" width="11.5" style="20"/>
    <col min="13059" max="13059" width="6.6640625" style="20" customWidth="1"/>
    <col min="13060" max="13060" width="64.5" style="20" customWidth="1"/>
    <col min="13061" max="13064" width="11.5" style="20"/>
    <col min="13065" max="13065" width="4" style="20" bestFit="1" customWidth="1"/>
    <col min="13066" max="13066" width="3.83203125" style="20" bestFit="1" customWidth="1"/>
    <col min="13067" max="13067" width="22.1640625" style="20" customWidth="1"/>
    <col min="13068" max="13068" width="4" style="20" bestFit="1" customWidth="1"/>
    <col min="13069" max="13069" width="3.83203125" style="20" bestFit="1" customWidth="1"/>
    <col min="13070" max="13070" width="19.5" style="20" bestFit="1" customWidth="1"/>
    <col min="13071" max="13314" width="11.5" style="20"/>
    <col min="13315" max="13315" width="6.6640625" style="20" customWidth="1"/>
    <col min="13316" max="13316" width="64.5" style="20" customWidth="1"/>
    <col min="13317" max="13320" width="11.5" style="20"/>
    <col min="13321" max="13321" width="4" style="20" bestFit="1" customWidth="1"/>
    <col min="13322" max="13322" width="3.83203125" style="20" bestFit="1" customWidth="1"/>
    <col min="13323" max="13323" width="22.1640625" style="20" customWidth="1"/>
    <col min="13324" max="13324" width="4" style="20" bestFit="1" customWidth="1"/>
    <col min="13325" max="13325" width="3.83203125" style="20" bestFit="1" customWidth="1"/>
    <col min="13326" max="13326" width="19.5" style="20" bestFit="1" customWidth="1"/>
    <col min="13327" max="13570" width="11.5" style="20"/>
    <col min="13571" max="13571" width="6.6640625" style="20" customWidth="1"/>
    <col min="13572" max="13572" width="64.5" style="20" customWidth="1"/>
    <col min="13573" max="13576" width="11.5" style="20"/>
    <col min="13577" max="13577" width="4" style="20" bestFit="1" customWidth="1"/>
    <col min="13578" max="13578" width="3.83203125" style="20" bestFit="1" customWidth="1"/>
    <col min="13579" max="13579" width="22.1640625" style="20" customWidth="1"/>
    <col min="13580" max="13580" width="4" style="20" bestFit="1" customWidth="1"/>
    <col min="13581" max="13581" width="3.83203125" style="20" bestFit="1" customWidth="1"/>
    <col min="13582" max="13582" width="19.5" style="20" bestFit="1" customWidth="1"/>
    <col min="13583" max="13826" width="11.5" style="20"/>
    <col min="13827" max="13827" width="6.6640625" style="20" customWidth="1"/>
    <col min="13828" max="13828" width="64.5" style="20" customWidth="1"/>
    <col min="13829" max="13832" width="11.5" style="20"/>
    <col min="13833" max="13833" width="4" style="20" bestFit="1" customWidth="1"/>
    <col min="13834" max="13834" width="3.83203125" style="20" bestFit="1" customWidth="1"/>
    <col min="13835" max="13835" width="22.1640625" style="20" customWidth="1"/>
    <col min="13836" max="13836" width="4" style="20" bestFit="1" customWidth="1"/>
    <col min="13837" max="13837" width="3.83203125" style="20" bestFit="1" customWidth="1"/>
    <col min="13838" max="13838" width="19.5" style="20" bestFit="1" customWidth="1"/>
    <col min="13839" max="14082" width="11.5" style="20"/>
    <col min="14083" max="14083" width="6.6640625" style="20" customWidth="1"/>
    <col min="14084" max="14084" width="64.5" style="20" customWidth="1"/>
    <col min="14085" max="14088" width="11.5" style="20"/>
    <col min="14089" max="14089" width="4" style="20" bestFit="1" customWidth="1"/>
    <col min="14090" max="14090" width="3.83203125" style="20" bestFit="1" customWidth="1"/>
    <col min="14091" max="14091" width="22.1640625" style="20" customWidth="1"/>
    <col min="14092" max="14092" width="4" style="20" bestFit="1" customWidth="1"/>
    <col min="14093" max="14093" width="3.83203125" style="20" bestFit="1" customWidth="1"/>
    <col min="14094" max="14094" width="19.5" style="20" bestFit="1" customWidth="1"/>
    <col min="14095" max="14338" width="11.5" style="20"/>
    <col min="14339" max="14339" width="6.6640625" style="20" customWidth="1"/>
    <col min="14340" max="14340" width="64.5" style="20" customWidth="1"/>
    <col min="14341" max="14344" width="11.5" style="20"/>
    <col min="14345" max="14345" width="4" style="20" bestFit="1" customWidth="1"/>
    <col min="14346" max="14346" width="3.83203125" style="20" bestFit="1" customWidth="1"/>
    <col min="14347" max="14347" width="22.1640625" style="20" customWidth="1"/>
    <col min="14348" max="14348" width="4" style="20" bestFit="1" customWidth="1"/>
    <col min="14349" max="14349" width="3.83203125" style="20" bestFit="1" customWidth="1"/>
    <col min="14350" max="14350" width="19.5" style="20" bestFit="1" customWidth="1"/>
    <col min="14351" max="14594" width="11.5" style="20"/>
    <col min="14595" max="14595" width="6.6640625" style="20" customWidth="1"/>
    <col min="14596" max="14596" width="64.5" style="20" customWidth="1"/>
    <col min="14597" max="14600" width="11.5" style="20"/>
    <col min="14601" max="14601" width="4" style="20" bestFit="1" customWidth="1"/>
    <col min="14602" max="14602" width="3.83203125" style="20" bestFit="1" customWidth="1"/>
    <col min="14603" max="14603" width="22.1640625" style="20" customWidth="1"/>
    <col min="14604" max="14604" width="4" style="20" bestFit="1" customWidth="1"/>
    <col min="14605" max="14605" width="3.83203125" style="20" bestFit="1" customWidth="1"/>
    <col min="14606" max="14606" width="19.5" style="20" bestFit="1" customWidth="1"/>
    <col min="14607" max="14850" width="11.5" style="20"/>
    <col min="14851" max="14851" width="6.6640625" style="20" customWidth="1"/>
    <col min="14852" max="14852" width="64.5" style="20" customWidth="1"/>
    <col min="14853" max="14856" width="11.5" style="20"/>
    <col min="14857" max="14857" width="4" style="20" bestFit="1" customWidth="1"/>
    <col min="14858" max="14858" width="3.83203125" style="20" bestFit="1" customWidth="1"/>
    <col min="14859" max="14859" width="22.1640625" style="20" customWidth="1"/>
    <col min="14860" max="14860" width="4" style="20" bestFit="1" customWidth="1"/>
    <col min="14861" max="14861" width="3.83203125" style="20" bestFit="1" customWidth="1"/>
    <col min="14862" max="14862" width="19.5" style="20" bestFit="1" customWidth="1"/>
    <col min="14863" max="15106" width="11.5" style="20"/>
    <col min="15107" max="15107" width="6.6640625" style="20" customWidth="1"/>
    <col min="15108" max="15108" width="64.5" style="20" customWidth="1"/>
    <col min="15109" max="15112" width="11.5" style="20"/>
    <col min="15113" max="15113" width="4" style="20" bestFit="1" customWidth="1"/>
    <col min="15114" max="15114" width="3.83203125" style="20" bestFit="1" customWidth="1"/>
    <col min="15115" max="15115" width="22.1640625" style="20" customWidth="1"/>
    <col min="15116" max="15116" width="4" style="20" bestFit="1" customWidth="1"/>
    <col min="15117" max="15117" width="3.83203125" style="20" bestFit="1" customWidth="1"/>
    <col min="15118" max="15118" width="19.5" style="20" bestFit="1" customWidth="1"/>
    <col min="15119" max="15362" width="11.5" style="20"/>
    <col min="15363" max="15363" width="6.6640625" style="20" customWidth="1"/>
    <col min="15364" max="15364" width="64.5" style="20" customWidth="1"/>
    <col min="15365" max="15368" width="11.5" style="20"/>
    <col min="15369" max="15369" width="4" style="20" bestFit="1" customWidth="1"/>
    <col min="15370" max="15370" width="3.83203125" style="20" bestFit="1" customWidth="1"/>
    <col min="15371" max="15371" width="22.1640625" style="20" customWidth="1"/>
    <col min="15372" max="15372" width="4" style="20" bestFit="1" customWidth="1"/>
    <col min="15373" max="15373" width="3.83203125" style="20" bestFit="1" customWidth="1"/>
    <col min="15374" max="15374" width="19.5" style="20" bestFit="1" customWidth="1"/>
    <col min="15375" max="15618" width="11.5" style="20"/>
    <col min="15619" max="15619" width="6.6640625" style="20" customWidth="1"/>
    <col min="15620" max="15620" width="64.5" style="20" customWidth="1"/>
    <col min="15621" max="15624" width="11.5" style="20"/>
    <col min="15625" max="15625" width="4" style="20" bestFit="1" customWidth="1"/>
    <col min="15626" max="15626" width="3.83203125" style="20" bestFit="1" customWidth="1"/>
    <col min="15627" max="15627" width="22.1640625" style="20" customWidth="1"/>
    <col min="15628" max="15628" width="4" style="20" bestFit="1" customWidth="1"/>
    <col min="15629" max="15629" width="3.83203125" style="20" bestFit="1" customWidth="1"/>
    <col min="15630" max="15630" width="19.5" style="20" bestFit="1" customWidth="1"/>
    <col min="15631" max="15874" width="11.5" style="20"/>
    <col min="15875" max="15875" width="6.6640625" style="20" customWidth="1"/>
    <col min="15876" max="15876" width="64.5" style="20" customWidth="1"/>
    <col min="15877" max="15880" width="11.5" style="20"/>
    <col min="15881" max="15881" width="4" style="20" bestFit="1" customWidth="1"/>
    <col min="15882" max="15882" width="3.83203125" style="20" bestFit="1" customWidth="1"/>
    <col min="15883" max="15883" width="22.1640625" style="20" customWidth="1"/>
    <col min="15884" max="15884" width="4" style="20" bestFit="1" customWidth="1"/>
    <col min="15885" max="15885" width="3.83203125" style="20" bestFit="1" customWidth="1"/>
    <col min="15886" max="15886" width="19.5" style="20" bestFit="1" customWidth="1"/>
    <col min="15887" max="16130" width="11.5" style="20"/>
    <col min="16131" max="16131" width="6.6640625" style="20" customWidth="1"/>
    <col min="16132" max="16132" width="64.5" style="20" customWidth="1"/>
    <col min="16133" max="16136" width="11.5" style="20"/>
    <col min="16137" max="16137" width="4" style="20" bestFit="1" customWidth="1"/>
    <col min="16138" max="16138" width="3.83203125" style="20" bestFit="1" customWidth="1"/>
    <col min="16139" max="16139" width="22.1640625" style="20" customWidth="1"/>
    <col min="16140" max="16140" width="4" style="20" bestFit="1" customWidth="1"/>
    <col min="16141" max="16141" width="3.83203125" style="20" bestFit="1" customWidth="1"/>
    <col min="16142" max="16142" width="19.5" style="20" bestFit="1" customWidth="1"/>
    <col min="16143" max="16384" width="11.5" style="20"/>
  </cols>
  <sheetData>
    <row r="1" spans="1:14">
      <c r="A1" s="509">
        <f>ROW()</f>
        <v>1</v>
      </c>
      <c r="B1" s="20" t="s">
        <v>859</v>
      </c>
      <c r="C1" s="20">
        <v>0</v>
      </c>
      <c r="D1" s="20">
        <v>0</v>
      </c>
      <c r="E1" s="20">
        <v>0</v>
      </c>
      <c r="F1" s="20">
        <v>0</v>
      </c>
      <c r="G1" s="510"/>
      <c r="H1" s="511" t="s">
        <v>129</v>
      </c>
      <c r="I1" s="511" t="s">
        <v>130</v>
      </c>
      <c r="J1" s="20" t="s">
        <v>220</v>
      </c>
      <c r="N1" s="20" t="s">
        <v>220</v>
      </c>
    </row>
    <row r="2" spans="1:14">
      <c r="A2" s="509">
        <f>ROW()</f>
        <v>2</v>
      </c>
      <c r="B2" s="20" t="s">
        <v>137</v>
      </c>
      <c r="C2" s="20" t="s">
        <v>138</v>
      </c>
      <c r="D2" s="20" t="s">
        <v>139</v>
      </c>
      <c r="E2" s="20" t="s">
        <v>127</v>
      </c>
      <c r="F2" s="20" t="s">
        <v>128</v>
      </c>
      <c r="G2" s="510"/>
    </row>
    <row r="3" spans="1:14">
      <c r="A3" s="509">
        <f>ROW()</f>
        <v>3</v>
      </c>
      <c r="B3" s="20" t="s">
        <v>1716</v>
      </c>
      <c r="C3" s="20">
        <v>4</v>
      </c>
      <c r="D3" s="20">
        <v>0</v>
      </c>
      <c r="E3" s="20" t="s">
        <v>1290</v>
      </c>
      <c r="F3" s="20">
        <v>0</v>
      </c>
      <c r="G3" s="510" t="str">
        <f t="shared" ref="G3:G23" si="0">LEFT(E3,2)</f>
        <v>Ba</v>
      </c>
      <c r="H3" s="20" t="str">
        <f t="shared" ref="H3:H23" si="1">SUBSTITUTE(E3,G3,"")</f>
        <v>41</v>
      </c>
      <c r="I3" s="20" t="str">
        <f t="shared" ref="I3:I23" si="2">"["&amp;G3&amp;".xls]TEXT!Z"&amp;H3&amp;"S5"</f>
        <v>[Ba.xls]TEXT!Z41S5</v>
      </c>
    </row>
    <row r="4" spans="1:14">
      <c r="A4" s="509">
        <f>ROW()</f>
        <v>4</v>
      </c>
      <c r="B4" s="20" t="s">
        <v>1291</v>
      </c>
      <c r="C4" s="20">
        <v>8.7477573165495173</v>
      </c>
      <c r="D4" s="20">
        <v>0</v>
      </c>
      <c r="E4" s="20" t="s">
        <v>1292</v>
      </c>
      <c r="F4" s="20">
        <v>0</v>
      </c>
      <c r="G4" s="510" t="str">
        <f t="shared" si="0"/>
        <v>Ba</v>
      </c>
      <c r="H4" s="20" t="str">
        <f t="shared" si="1"/>
        <v>46</v>
      </c>
      <c r="I4" s="20" t="str">
        <f t="shared" si="2"/>
        <v>[Ba.xls]TEXT!Z46S5</v>
      </c>
    </row>
    <row r="5" spans="1:14">
      <c r="A5" s="509">
        <f>ROW()</f>
        <v>5</v>
      </c>
      <c r="B5" s="20" t="s">
        <v>1293</v>
      </c>
      <c r="C5" s="20">
        <v>13.435510585152322</v>
      </c>
      <c r="D5" s="20">
        <v>0</v>
      </c>
      <c r="E5" s="20" t="s">
        <v>1294</v>
      </c>
      <c r="F5" s="20">
        <v>0</v>
      </c>
      <c r="G5" s="510" t="str">
        <f t="shared" si="0"/>
        <v>Ba</v>
      </c>
      <c r="H5" s="20" t="str">
        <f t="shared" si="1"/>
        <v>47</v>
      </c>
      <c r="I5" s="20" t="str">
        <f t="shared" si="2"/>
        <v>[Ba.xls]TEXT!Z47S5</v>
      </c>
    </row>
    <row r="6" spans="1:14">
      <c r="A6" s="509">
        <f>ROW()</f>
        <v>6</v>
      </c>
      <c r="B6" s="20" t="s">
        <v>1295</v>
      </c>
      <c r="C6" s="20">
        <v>22.078016388732927</v>
      </c>
      <c r="D6" s="20">
        <v>0</v>
      </c>
      <c r="E6" s="20" t="s">
        <v>1296</v>
      </c>
      <c r="F6" s="20">
        <v>0</v>
      </c>
      <c r="G6" s="510" t="str">
        <f t="shared" si="0"/>
        <v>Ba</v>
      </c>
      <c r="H6" s="20" t="str">
        <f t="shared" si="1"/>
        <v>48</v>
      </c>
      <c r="I6" s="20" t="str">
        <f t="shared" si="2"/>
        <v>[Ba.xls]TEXT!Z48S5</v>
      </c>
    </row>
    <row r="7" spans="1:14">
      <c r="A7" s="509">
        <f>ROW()</f>
        <v>7</v>
      </c>
      <c r="B7" s="20" t="s">
        <v>1297</v>
      </c>
      <c r="C7" s="20">
        <v>30.772999737723644</v>
      </c>
      <c r="D7" s="20">
        <v>0</v>
      </c>
      <c r="E7" s="20" t="s">
        <v>1298</v>
      </c>
      <c r="F7" s="20">
        <v>0</v>
      </c>
      <c r="G7" s="510" t="str">
        <f t="shared" si="0"/>
        <v>Ba</v>
      </c>
      <c r="H7" s="20" t="str">
        <f t="shared" si="1"/>
        <v>49</v>
      </c>
      <c r="I7" s="20" t="str">
        <f t="shared" si="2"/>
        <v>[Ba.xls]TEXT!Z49S5</v>
      </c>
    </row>
    <row r="8" spans="1:14">
      <c r="A8" s="509">
        <f>ROW()</f>
        <v>8</v>
      </c>
      <c r="B8" s="20" t="s">
        <v>1299</v>
      </c>
      <c r="C8" s="20">
        <v>19.732105189140512</v>
      </c>
      <c r="D8" s="20">
        <v>0</v>
      </c>
      <c r="E8" s="20" t="s">
        <v>1292</v>
      </c>
      <c r="F8" s="20">
        <v>0</v>
      </c>
      <c r="G8" s="510" t="str">
        <f t="shared" si="0"/>
        <v>Ba</v>
      </c>
      <c r="H8" s="20" t="str">
        <f t="shared" si="1"/>
        <v>46</v>
      </c>
      <c r="I8" s="20" t="str">
        <f t="shared" si="2"/>
        <v>[Ba.xls]TEXT!Z46S5</v>
      </c>
    </row>
    <row r="9" spans="1:14">
      <c r="A9" s="509">
        <f>ROW()</f>
        <v>9</v>
      </c>
      <c r="B9" s="20" t="s">
        <v>1300</v>
      </c>
      <c r="C9" s="20">
        <v>25.614027755615105</v>
      </c>
      <c r="D9" s="20">
        <v>0</v>
      </c>
      <c r="E9" s="20" t="s">
        <v>1294</v>
      </c>
      <c r="F9" s="20">
        <v>0</v>
      </c>
      <c r="G9" s="510" t="str">
        <f t="shared" si="0"/>
        <v>Ba</v>
      </c>
      <c r="H9" s="20" t="str">
        <f t="shared" si="1"/>
        <v>47</v>
      </c>
      <c r="I9" s="20" t="str">
        <f t="shared" si="2"/>
        <v>[Ba.xls]TEXT!Z47S5</v>
      </c>
    </row>
    <row r="10" spans="1:14">
      <c r="A10" s="509">
        <f>ROW()</f>
        <v>10</v>
      </c>
      <c r="B10" s="20" t="s">
        <v>1301</v>
      </c>
      <c r="C10" s="20">
        <v>27.713143313984773</v>
      </c>
      <c r="D10" s="20">
        <v>0</v>
      </c>
      <c r="E10" s="20" t="s">
        <v>1296</v>
      </c>
      <c r="F10" s="20">
        <v>0</v>
      </c>
      <c r="G10" s="510" t="str">
        <f t="shared" si="0"/>
        <v>Ba</v>
      </c>
      <c r="H10" s="20" t="str">
        <f t="shared" si="1"/>
        <v>48</v>
      </c>
      <c r="I10" s="20" t="str">
        <f t="shared" si="2"/>
        <v>[Ba.xls]TEXT!Z48S5</v>
      </c>
    </row>
    <row r="11" spans="1:14">
      <c r="A11" s="509">
        <f>ROW()</f>
        <v>11</v>
      </c>
      <c r="B11" s="20" t="s">
        <v>1302</v>
      </c>
      <c r="C11" s="20">
        <v>20.539124406042561</v>
      </c>
      <c r="D11" s="20">
        <v>0</v>
      </c>
      <c r="E11" s="20" t="s">
        <v>1298</v>
      </c>
      <c r="F11" s="20">
        <v>0</v>
      </c>
      <c r="G11" s="510" t="str">
        <f t="shared" si="0"/>
        <v>Ba</v>
      </c>
      <c r="H11" s="20" t="str">
        <f t="shared" si="1"/>
        <v>49</v>
      </c>
      <c r="I11" s="20" t="str">
        <f t="shared" si="2"/>
        <v>[Ba.xls]TEXT!Z49S5</v>
      </c>
    </row>
    <row r="12" spans="1:14">
      <c r="A12" s="509">
        <f>ROW()</f>
        <v>12</v>
      </c>
      <c r="B12" s="20" t="s">
        <v>1303</v>
      </c>
      <c r="C12" s="20">
        <v>80.267894810859502</v>
      </c>
      <c r="D12" s="20">
        <v>0</v>
      </c>
      <c r="E12" s="20" t="s">
        <v>1292</v>
      </c>
      <c r="F12" s="20">
        <v>0</v>
      </c>
      <c r="G12" s="510" t="str">
        <f t="shared" si="0"/>
        <v>Ba</v>
      </c>
      <c r="H12" s="20" t="str">
        <f t="shared" si="1"/>
        <v>46</v>
      </c>
      <c r="I12" s="20" t="str">
        <f t="shared" si="2"/>
        <v>[Ba.xls]TEXT!Z46S5</v>
      </c>
    </row>
    <row r="13" spans="1:14">
      <c r="A13" s="509">
        <f>ROW()</f>
        <v>13</v>
      </c>
      <c r="B13" s="20" t="s">
        <v>1304</v>
      </c>
      <c r="C13" s="20">
        <v>74.385972244384902</v>
      </c>
      <c r="D13" s="20">
        <v>0</v>
      </c>
      <c r="E13" s="20" t="s">
        <v>1294</v>
      </c>
      <c r="F13" s="20">
        <v>0</v>
      </c>
      <c r="G13" s="510" t="str">
        <f t="shared" si="0"/>
        <v>Ba</v>
      </c>
      <c r="H13" s="20" t="str">
        <f t="shared" si="1"/>
        <v>47</v>
      </c>
      <c r="I13" s="20" t="str">
        <f t="shared" si="2"/>
        <v>[Ba.xls]TEXT!Z47S5</v>
      </c>
    </row>
    <row r="14" spans="1:14">
      <c r="A14" s="509">
        <f>ROW()</f>
        <v>14</v>
      </c>
      <c r="B14" s="20" t="s">
        <v>1305</v>
      </c>
      <c r="C14" s="20">
        <v>72.286856686015227</v>
      </c>
      <c r="D14" s="20">
        <v>0</v>
      </c>
      <c r="E14" s="20" t="s">
        <v>1296</v>
      </c>
      <c r="F14" s="20">
        <v>0</v>
      </c>
      <c r="G14" s="510" t="str">
        <f t="shared" si="0"/>
        <v>Ba</v>
      </c>
      <c r="H14" s="20" t="str">
        <f t="shared" si="1"/>
        <v>48</v>
      </c>
      <c r="I14" s="20" t="str">
        <f t="shared" si="2"/>
        <v>[Ba.xls]TEXT!Z48S5</v>
      </c>
    </row>
    <row r="15" spans="1:14">
      <c r="A15" s="509">
        <f>ROW()</f>
        <v>15</v>
      </c>
      <c r="B15" s="20" t="s">
        <v>1306</v>
      </c>
      <c r="C15" s="20">
        <v>51.969690189279127</v>
      </c>
      <c r="D15" s="20">
        <v>0</v>
      </c>
      <c r="E15" s="20" t="s">
        <v>1298</v>
      </c>
      <c r="F15" s="20">
        <v>0</v>
      </c>
      <c r="G15" s="510" t="str">
        <f t="shared" si="0"/>
        <v>Ba</v>
      </c>
      <c r="H15" s="20" t="str">
        <f t="shared" si="1"/>
        <v>49</v>
      </c>
      <c r="I15" s="20" t="str">
        <f t="shared" si="2"/>
        <v>[Ba.xls]TEXT!Z49S5</v>
      </c>
    </row>
    <row r="16" spans="1:14">
      <c r="A16" s="512">
        <f>ROW()</f>
        <v>16</v>
      </c>
      <c r="B16" s="20" t="s">
        <v>1717</v>
      </c>
      <c r="C16" s="20">
        <v>0</v>
      </c>
      <c r="D16" s="20">
        <v>0</v>
      </c>
      <c r="E16" s="20" t="s">
        <v>1310</v>
      </c>
      <c r="F16" s="20">
        <v>0</v>
      </c>
      <c r="G16" s="510" t="str">
        <f t="shared" si="0"/>
        <v>Ba</v>
      </c>
      <c r="H16" s="20" t="str">
        <f t="shared" si="1"/>
        <v>221</v>
      </c>
      <c r="I16" s="20" t="str">
        <f t="shared" si="2"/>
        <v>[Ba.xls]TEXT!Z221S5</v>
      </c>
    </row>
    <row r="17" spans="1:13">
      <c r="A17" s="512">
        <f>ROW()</f>
        <v>17</v>
      </c>
      <c r="B17" s="20" t="s">
        <v>1718</v>
      </c>
      <c r="C17" s="20">
        <v>0</v>
      </c>
      <c r="D17" s="20">
        <v>0</v>
      </c>
      <c r="E17" s="20" t="s">
        <v>1314</v>
      </c>
      <c r="F17" s="20">
        <v>0</v>
      </c>
      <c r="G17" s="510" t="str">
        <f t="shared" si="0"/>
        <v>Ba</v>
      </c>
      <c r="H17" s="20" t="str">
        <f t="shared" si="1"/>
        <v>278</v>
      </c>
      <c r="I17" s="20" t="str">
        <f t="shared" si="2"/>
        <v>[Ba.xls]TEXT!Z278S5</v>
      </c>
    </row>
    <row r="18" spans="1:13">
      <c r="A18" s="512">
        <f>ROW()</f>
        <v>18</v>
      </c>
      <c r="B18" s="20" t="s">
        <v>1719</v>
      </c>
      <c r="C18" s="20">
        <v>0</v>
      </c>
      <c r="D18" s="20">
        <v>0</v>
      </c>
      <c r="E18" s="20" t="s">
        <v>1319</v>
      </c>
      <c r="F18" s="20">
        <v>0</v>
      </c>
      <c r="G18" s="510" t="str">
        <f t="shared" si="0"/>
        <v>Ba</v>
      </c>
      <c r="H18" s="20" t="str">
        <f t="shared" si="1"/>
        <v>271</v>
      </c>
      <c r="I18" s="20" t="str">
        <f t="shared" si="2"/>
        <v>[Ba.xls]TEXT!Z271S5</v>
      </c>
    </row>
    <row r="19" spans="1:13">
      <c r="A19" s="509">
        <f>ROW()</f>
        <v>19</v>
      </c>
      <c r="B19" s="20" t="s">
        <v>140</v>
      </c>
      <c r="C19" s="20">
        <v>0</v>
      </c>
      <c r="D19" s="20">
        <v>0</v>
      </c>
      <c r="E19" s="20" t="s">
        <v>1298</v>
      </c>
      <c r="F19" s="20">
        <v>0</v>
      </c>
      <c r="G19" s="510" t="str">
        <f t="shared" si="0"/>
        <v>Ba</v>
      </c>
      <c r="H19" s="20" t="str">
        <f t="shared" si="1"/>
        <v>49</v>
      </c>
      <c r="I19" s="20" t="str">
        <f t="shared" si="2"/>
        <v>[Ba.xls]TEXT!Z49S5</v>
      </c>
    </row>
    <row r="20" spans="1:13">
      <c r="A20" s="509">
        <f>ROW()</f>
        <v>20</v>
      </c>
      <c r="B20" s="20" t="s">
        <v>1720</v>
      </c>
      <c r="C20" s="20">
        <v>0</v>
      </c>
      <c r="D20" s="20">
        <v>0</v>
      </c>
      <c r="E20" s="20" t="s">
        <v>1323</v>
      </c>
      <c r="F20" s="20" t="s">
        <v>1324</v>
      </c>
      <c r="G20" s="510" t="str">
        <f t="shared" si="0"/>
        <v>Ba</v>
      </c>
      <c r="H20" s="20" t="str">
        <f t="shared" si="1"/>
        <v>56</v>
      </c>
      <c r="I20" s="20" t="str">
        <f t="shared" si="2"/>
        <v>[Ba.xls]TEXT!Z56S5</v>
      </c>
      <c r="K20" s="20" t="str">
        <f t="shared" ref="K20:K25" si="3">LEFT(F20,2)</f>
        <v>Ba</v>
      </c>
      <c r="L20" s="20" t="str">
        <f t="shared" ref="L20:L25" si="4">SUBSTITUTE(F20,K20,"")</f>
        <v>63</v>
      </c>
      <c r="M20" s="20" t="str">
        <f t="shared" ref="M20:M25" si="5">"["&amp;IF(K20=$H$1,$L$1&amp;".xls]PARAMETER!Z"&amp;L20&amp;"S4",K20&amp;".xls]TEXT!Z"&amp;L20&amp;"S5")</f>
        <v>[Ba.xls]TEXT!Z63S5</v>
      </c>
    </row>
    <row r="21" spans="1:13">
      <c r="A21" s="509">
        <f>ROW()</f>
        <v>21</v>
      </c>
      <c r="B21" s="20" t="s">
        <v>122</v>
      </c>
      <c r="C21" s="20">
        <v>0</v>
      </c>
      <c r="D21" s="20">
        <v>0</v>
      </c>
      <c r="E21" s="20" t="s">
        <v>1328</v>
      </c>
      <c r="F21" s="20" t="s">
        <v>1329</v>
      </c>
      <c r="G21" s="510" t="str">
        <f t="shared" si="0"/>
        <v>Ba</v>
      </c>
      <c r="H21" s="20" t="str">
        <f t="shared" si="1"/>
        <v>222</v>
      </c>
      <c r="I21" s="20" t="str">
        <f t="shared" si="2"/>
        <v>[Ba.xls]TEXT!Z222S5</v>
      </c>
      <c r="K21" s="20" t="str">
        <f t="shared" si="3"/>
        <v>Ba</v>
      </c>
      <c r="L21" s="20" t="str">
        <f t="shared" si="4"/>
        <v>223</v>
      </c>
      <c r="M21" s="20" t="str">
        <f t="shared" si="5"/>
        <v>[Ba.xls]TEXT!Z223S5</v>
      </c>
    </row>
    <row r="22" spans="1:13">
      <c r="A22" s="509">
        <f>ROW()</f>
        <v>22</v>
      </c>
      <c r="B22" s="20" t="s">
        <v>1721</v>
      </c>
      <c r="C22" s="20">
        <v>0</v>
      </c>
      <c r="D22" s="20">
        <v>0</v>
      </c>
      <c r="E22" s="20" t="s">
        <v>1333</v>
      </c>
      <c r="F22" s="20" t="s">
        <v>1334</v>
      </c>
      <c r="G22" s="510" t="str">
        <f t="shared" si="0"/>
        <v>Ba</v>
      </c>
      <c r="H22" s="20" t="str">
        <f t="shared" si="1"/>
        <v>228</v>
      </c>
      <c r="I22" s="20" t="str">
        <f t="shared" si="2"/>
        <v>[Ba.xls]TEXT!Z228S5</v>
      </c>
      <c r="K22" s="20" t="str">
        <f t="shared" si="3"/>
        <v>Ba</v>
      </c>
      <c r="L22" s="20" t="str">
        <f t="shared" si="4"/>
        <v>230</v>
      </c>
      <c r="M22" s="20" t="str">
        <f t="shared" si="5"/>
        <v>[Ba.xls]TEXT!Z230S5</v>
      </c>
    </row>
    <row r="23" spans="1:13">
      <c r="A23" s="509">
        <f>ROW()</f>
        <v>23</v>
      </c>
      <c r="B23" s="20" t="s">
        <v>1722</v>
      </c>
      <c r="C23" s="20">
        <v>0</v>
      </c>
      <c r="D23" s="20">
        <v>0</v>
      </c>
      <c r="E23" s="20" t="s">
        <v>1338</v>
      </c>
      <c r="F23" s="20" t="s">
        <v>1339</v>
      </c>
      <c r="G23" s="510" t="str">
        <f t="shared" si="0"/>
        <v>Ba</v>
      </c>
      <c r="H23" s="20" t="str">
        <f t="shared" si="1"/>
        <v>235</v>
      </c>
      <c r="I23" s="20" t="str">
        <f t="shared" si="2"/>
        <v>[Ba.xls]TEXT!Z235S5</v>
      </c>
      <c r="K23" s="20" t="str">
        <f t="shared" si="3"/>
        <v>Ba</v>
      </c>
      <c r="L23" s="20" t="str">
        <f t="shared" si="4"/>
        <v>237</v>
      </c>
      <c r="M23" s="20" t="str">
        <f t="shared" si="5"/>
        <v>[Ba.xls]TEXT!Z237S5</v>
      </c>
    </row>
    <row r="24" spans="1:13">
      <c r="A24" s="509">
        <f>ROW()</f>
        <v>24</v>
      </c>
      <c r="B24" s="20" t="s">
        <v>1723</v>
      </c>
      <c r="C24" s="20">
        <v>0</v>
      </c>
      <c r="D24" s="20">
        <v>0</v>
      </c>
      <c r="E24" s="20" t="s">
        <v>1343</v>
      </c>
      <c r="F24" s="20" t="s">
        <v>1344</v>
      </c>
      <c r="G24" s="510" t="str">
        <f>LEFT(E24,2)</f>
        <v>Ba</v>
      </c>
      <c r="H24" s="20" t="str">
        <f>SUBSTITUTE(E24,G24,"")</f>
        <v>244</v>
      </c>
      <c r="I24" s="20" t="str">
        <f>"["&amp;G24&amp;".xls]TEXT!Z"&amp;H24&amp;"S5"</f>
        <v>[Ba.xls]TEXT!Z244S5</v>
      </c>
      <c r="K24" s="20" t="str">
        <f t="shared" si="3"/>
        <v>Ba</v>
      </c>
      <c r="L24" s="20" t="str">
        <f t="shared" si="4"/>
        <v>246</v>
      </c>
      <c r="M24" s="20" t="str">
        <f t="shared" si="5"/>
        <v>[Ba.xls]TEXT!Z246S5</v>
      </c>
    </row>
    <row r="25" spans="1:13">
      <c r="A25" s="509">
        <f>ROW()</f>
        <v>25</v>
      </c>
      <c r="B25" s="20" t="s">
        <v>1724</v>
      </c>
      <c r="C25" s="20">
        <v>0</v>
      </c>
      <c r="D25" s="20">
        <v>3.9986985765681213</v>
      </c>
      <c r="E25" s="20">
        <v>0</v>
      </c>
      <c r="F25" s="20" t="s">
        <v>1725</v>
      </c>
      <c r="G25" s="510"/>
      <c r="K25" s="20" t="str">
        <f t="shared" si="3"/>
        <v>So</v>
      </c>
      <c r="L25" s="20" t="str">
        <f t="shared" si="4"/>
        <v xml:space="preserve">23 </v>
      </c>
      <c r="M25" s="20" t="str">
        <f t="shared" si="5"/>
        <v>[So.xls]TEXT!Z23 S5</v>
      </c>
    </row>
    <row r="26" spans="1:13">
      <c r="A26" s="509">
        <f>ROW()</f>
        <v>26</v>
      </c>
      <c r="B26" s="20">
        <v>0</v>
      </c>
      <c r="C26" s="20">
        <v>0</v>
      </c>
      <c r="D26" s="20">
        <v>0</v>
      </c>
      <c r="E26" s="20">
        <v>0</v>
      </c>
      <c r="F26" s="20">
        <v>0</v>
      </c>
      <c r="G26" s="510"/>
    </row>
    <row r="27" spans="1:13">
      <c r="A27" s="509">
        <f>ROW()</f>
        <v>27</v>
      </c>
      <c r="B27" s="20" t="s">
        <v>1726</v>
      </c>
      <c r="C27" s="20">
        <v>0</v>
      </c>
      <c r="D27" s="20">
        <v>0</v>
      </c>
      <c r="E27" s="20" t="s">
        <v>1357</v>
      </c>
      <c r="F27" s="20" t="s">
        <v>1358</v>
      </c>
      <c r="G27" s="510" t="str">
        <f>LEFT(E27,2)</f>
        <v>SR</v>
      </c>
      <c r="H27" s="20" t="str">
        <f>SUBSTITUTE(E27,G27,"")</f>
        <v>24</v>
      </c>
      <c r="I27" s="20" t="str">
        <f>"["&amp;G27&amp;".xls]TEXT!Z"&amp;H27&amp;"S5"</f>
        <v>[SR.xls]TEXT!Z24S5</v>
      </c>
      <c r="K27" s="20" t="str">
        <f>LEFT(F27,2)</f>
        <v>SR</v>
      </c>
      <c r="L27" s="20" t="str">
        <f>SUBSTITUTE(F27,K27,"")</f>
        <v>22</v>
      </c>
      <c r="M27" s="20" t="str">
        <f>"["&amp;IF(K27=$H$1,$L$1&amp;".xls]PARAMETER!Z"&amp;L27&amp;"S4",K27&amp;".xls]TEXT!Z"&amp;L27&amp;"S5")</f>
        <v>[SR.xls]TEXT!Z22S5</v>
      </c>
    </row>
    <row r="28" spans="1:13">
      <c r="A28" s="509">
        <f>ROW()</f>
        <v>28</v>
      </c>
      <c r="B28" s="20">
        <v>0</v>
      </c>
      <c r="C28" s="20">
        <v>0</v>
      </c>
      <c r="D28" s="20">
        <v>0</v>
      </c>
      <c r="E28" s="20">
        <v>0</v>
      </c>
      <c r="F28" s="20">
        <v>0</v>
      </c>
      <c r="G28" s="510"/>
    </row>
    <row r="29" spans="1:13">
      <c r="A29" s="509">
        <f>ROW()</f>
        <v>29</v>
      </c>
      <c r="B29" s="20">
        <v>0</v>
      </c>
      <c r="C29" s="20">
        <v>0</v>
      </c>
      <c r="D29" s="20">
        <v>0</v>
      </c>
      <c r="E29" s="20">
        <v>0</v>
      </c>
      <c r="F29" s="20">
        <v>0</v>
      </c>
      <c r="G29" s="510"/>
    </row>
    <row r="30" spans="1:13">
      <c r="A30" s="509">
        <f>ROW()</f>
        <v>30</v>
      </c>
      <c r="B30" s="20">
        <v>0</v>
      </c>
      <c r="C30" s="20">
        <v>0</v>
      </c>
      <c r="D30" s="20">
        <v>0</v>
      </c>
      <c r="E30" s="20">
        <v>0</v>
      </c>
      <c r="F30" s="20">
        <v>0</v>
      </c>
      <c r="G30" s="510"/>
    </row>
    <row r="31" spans="1:13">
      <c r="A31" s="509">
        <f>ROW()</f>
        <v>31</v>
      </c>
      <c r="B31" s="20" t="s">
        <v>1727</v>
      </c>
      <c r="C31" s="20">
        <v>0</v>
      </c>
      <c r="D31" s="20">
        <v>5</v>
      </c>
      <c r="E31" s="20" t="s">
        <v>1376</v>
      </c>
      <c r="F31" s="20" t="s">
        <v>1377</v>
      </c>
      <c r="G31" s="510" t="str">
        <f>LEFT(E31,2)</f>
        <v>Ba</v>
      </c>
      <c r="H31" s="20" t="str">
        <f>SUBSTITUTE(E31,G31,"")</f>
        <v>249</v>
      </c>
      <c r="I31" s="20" t="str">
        <f>"["&amp;G31&amp;".xls]TEXT!Z"&amp;H31&amp;"S5"</f>
        <v>[Ba.xls]TEXT!Z249S5</v>
      </c>
      <c r="K31" s="20" t="str">
        <f>LEFT(F31,2)</f>
        <v>Ba</v>
      </c>
      <c r="L31" s="20" t="str">
        <f>SUBSTITUTE(F31,K31,"")</f>
        <v>255</v>
      </c>
      <c r="M31" s="20" t="str">
        <f>"["&amp;IF(K31=$H$1,$L$1&amp;".xls]PARAMETER!Z"&amp;L31&amp;"S4",K31&amp;".xls]TEXT!Z"&amp;L31&amp;"S5")</f>
        <v>[Ba.xls]TEXT!Z255S5</v>
      </c>
    </row>
    <row r="32" spans="1:13">
      <c r="A32" s="509">
        <f>ROW()</f>
        <v>32</v>
      </c>
      <c r="B32" s="20" t="s">
        <v>1728</v>
      </c>
      <c r="C32" s="20">
        <v>0</v>
      </c>
      <c r="D32" s="20">
        <v>0</v>
      </c>
      <c r="E32" s="20" t="s">
        <v>1381</v>
      </c>
      <c r="F32" s="20" t="s">
        <v>1382</v>
      </c>
      <c r="G32" s="510" t="str">
        <f>LEFT(E32,2)</f>
        <v>Ba</v>
      </c>
      <c r="H32" s="20" t="str">
        <f>SUBSTITUTE(E32,G32,"")</f>
        <v>250</v>
      </c>
      <c r="I32" s="20" t="str">
        <f>"["&amp;G32&amp;".xls]TEXT!Z"&amp;H32&amp;"S5"</f>
        <v>[Ba.xls]TEXT!Z250S5</v>
      </c>
      <c r="K32" s="20" t="str">
        <f>LEFT(F32,2)</f>
        <v>Ba</v>
      </c>
      <c r="L32" s="20" t="str">
        <f>SUBSTITUTE(F32,K32,"")</f>
        <v>256</v>
      </c>
      <c r="M32" s="20" t="str">
        <f>"["&amp;IF(K32=$H$1,$L$1&amp;".xls]PARAMETER!Z"&amp;L32&amp;"S4",K32&amp;".xls]TEXT!Z"&amp;L32&amp;"S5")</f>
        <v>[Ba.xls]TEXT!Z256S5</v>
      </c>
    </row>
    <row r="33" spans="1:13">
      <c r="A33" s="509">
        <f>ROW()</f>
        <v>33</v>
      </c>
      <c r="B33" s="20">
        <v>0</v>
      </c>
      <c r="C33" s="20">
        <v>0</v>
      </c>
      <c r="D33" s="20">
        <v>0</v>
      </c>
      <c r="E33" s="20">
        <v>0</v>
      </c>
      <c r="F33" s="20">
        <v>0</v>
      </c>
      <c r="G33" s="510"/>
    </row>
    <row r="34" spans="1:13">
      <c r="A34" s="509">
        <f>ROW()</f>
        <v>34</v>
      </c>
      <c r="B34" s="20">
        <v>0</v>
      </c>
      <c r="C34" s="20">
        <v>0</v>
      </c>
      <c r="D34" s="20">
        <v>0</v>
      </c>
      <c r="E34" s="20">
        <v>0</v>
      </c>
      <c r="F34" s="20">
        <v>0</v>
      </c>
      <c r="G34" s="510"/>
    </row>
    <row r="35" spans="1:13">
      <c r="A35" s="509">
        <f>ROW()</f>
        <v>35</v>
      </c>
      <c r="B35" s="20" t="s">
        <v>1729</v>
      </c>
      <c r="C35" s="20">
        <v>228.91822699736767</v>
      </c>
      <c r="D35" s="20">
        <v>0</v>
      </c>
      <c r="E35" s="20" t="s">
        <v>1730</v>
      </c>
      <c r="F35" s="20">
        <v>0</v>
      </c>
      <c r="G35" s="510" t="str">
        <f>LEFT(E35,2)</f>
        <v>Ba</v>
      </c>
      <c r="H35" s="20" t="str">
        <f>SUBSTITUTE(E35,G35,"")</f>
        <v>37</v>
      </c>
      <c r="I35" s="20" t="str">
        <f>"["&amp;G35&amp;".xls]TEXT!Z"&amp;H35&amp;"S5"</f>
        <v>[Ba.xls]TEXT!Z37S5</v>
      </c>
    </row>
    <row r="36" spans="1:13">
      <c r="A36" s="509">
        <f>ROW()</f>
        <v>36</v>
      </c>
      <c r="B36" s="20" t="s">
        <v>1731</v>
      </c>
      <c r="C36" s="20">
        <v>0</v>
      </c>
      <c r="D36" s="20">
        <v>0</v>
      </c>
      <c r="E36" s="20" t="s">
        <v>1389</v>
      </c>
      <c r="F36" s="20">
        <v>0</v>
      </c>
      <c r="G36" s="510" t="str">
        <f>LEFT(E36,2)</f>
        <v>Ba</v>
      </c>
      <c r="H36" s="20" t="str">
        <f>SUBSTITUTE(E36,G36,"")</f>
        <v>270</v>
      </c>
      <c r="I36" s="20" t="str">
        <f>"["&amp;G36&amp;".xls]TEXT!Z"&amp;H36&amp;"S5"</f>
        <v>[Ba.xls]TEXT!Z270S5</v>
      </c>
    </row>
    <row r="37" spans="1:13">
      <c r="A37" s="509">
        <f>ROW()</f>
        <v>37</v>
      </c>
      <c r="B37" s="20" t="s">
        <v>1390</v>
      </c>
      <c r="C37" s="20" t="s">
        <v>1732</v>
      </c>
      <c r="D37" s="20" t="s">
        <v>1392</v>
      </c>
      <c r="E37" s="20" t="s">
        <v>1395</v>
      </c>
      <c r="F37" s="20" t="s">
        <v>1396</v>
      </c>
      <c r="G37" s="510" t="str">
        <f>LEFT(E37,2)</f>
        <v>Ba</v>
      </c>
      <c r="H37" s="20" t="str">
        <f>SUBSTITUTE(E37,G37,"")</f>
        <v>15</v>
      </c>
      <c r="I37" s="20" t="str">
        <f>"["&amp;G37&amp;".xls]TEXT!Z"&amp;H37&amp;"S5"</f>
        <v>[Ba.xls]TEXT!Z15S5</v>
      </c>
      <c r="K37" s="20" t="str">
        <f>LEFT(F37,2)</f>
        <v>Ba</v>
      </c>
      <c r="L37" s="20" t="str">
        <f>SUBSTITUTE(F37,K37,"")</f>
        <v>9</v>
      </c>
      <c r="M37" s="20" t="str">
        <f>"["&amp;IF(K37=$H$1,$L$1&amp;".xls]PARAMETER!Z"&amp;L37&amp;"S4",K37&amp;".xls]TEXT!Z"&amp;L37&amp;"S5")</f>
        <v>[Ba.xls]TEXT!Z9S5</v>
      </c>
    </row>
    <row r="38" spans="1:13">
      <c r="A38" s="509">
        <f>ROW()</f>
        <v>38</v>
      </c>
      <c r="B38" s="20" t="s">
        <v>1733</v>
      </c>
      <c r="C38" s="20">
        <v>1047</v>
      </c>
      <c r="D38" s="20">
        <v>0</v>
      </c>
      <c r="E38" s="20" t="s">
        <v>1734</v>
      </c>
      <c r="F38" s="20">
        <v>0</v>
      </c>
      <c r="G38" s="510" t="str">
        <f>LEFT(E38,2)</f>
        <v>So</v>
      </c>
      <c r="H38" s="20" t="str">
        <f>SUBSTITUTE(E38,G38,"")</f>
        <v xml:space="preserve">13 </v>
      </c>
      <c r="I38" s="20" t="str">
        <f>"["&amp;G38&amp;".xls]TEXT!Z"&amp;H38&amp;"S5"</f>
        <v>[So.xls]TEXT!Z13 S5</v>
      </c>
    </row>
    <row r="39" spans="1:13">
      <c r="A39" s="509">
        <f>ROW()</f>
        <v>39</v>
      </c>
      <c r="B39" s="20" t="s">
        <v>1735</v>
      </c>
      <c r="C39" s="20">
        <v>0</v>
      </c>
      <c r="D39" s="20">
        <v>50</v>
      </c>
      <c r="E39" s="20" t="s">
        <v>1400</v>
      </c>
      <c r="F39" s="20" t="s">
        <v>1401</v>
      </c>
      <c r="G39" s="510" t="str">
        <f t="shared" ref="G39:G47" si="6">LEFT(E39,2)</f>
        <v>So</v>
      </c>
      <c r="H39" s="20" t="str">
        <f t="shared" ref="H39:H47" si="7">SUBSTITUTE(E39,G39,"")</f>
        <v xml:space="preserve">65 </v>
      </c>
      <c r="I39" s="20" t="str">
        <f t="shared" ref="I39:I47" si="8">"["&amp;G39&amp;".xls]TEXT!Z"&amp;H39&amp;"S5"</f>
        <v>[So.xls]TEXT!Z65 S5</v>
      </c>
      <c r="K39" s="20" t="str">
        <f t="shared" ref="K39:K47" si="9">LEFT(F39,2)</f>
        <v>So</v>
      </c>
      <c r="L39" s="20" t="str">
        <f t="shared" ref="L39:L47" si="10">SUBSTITUTE(F39,K39,"")</f>
        <v xml:space="preserve">30 </v>
      </c>
      <c r="M39" s="20" t="str">
        <f t="shared" ref="M39:M47" si="11">"["&amp;IF(K39=$H$1,$L$1&amp;".xls]PARAMETER!Z"&amp;L39&amp;"S4",K39&amp;".xls]TEXT!Z"&amp;L39&amp;"S5")</f>
        <v>[So.xls]TEXT!Z30 S5</v>
      </c>
    </row>
    <row r="40" spans="1:13">
      <c r="A40" s="509">
        <f>ROW()</f>
        <v>40</v>
      </c>
      <c r="B40" s="20" t="s">
        <v>1736</v>
      </c>
      <c r="C40" s="20">
        <v>4000</v>
      </c>
      <c r="D40" s="20">
        <v>4000</v>
      </c>
      <c r="E40" s="20" t="s">
        <v>1405</v>
      </c>
      <c r="F40" s="20" t="s">
        <v>1406</v>
      </c>
      <c r="G40" s="510" t="str">
        <f t="shared" si="6"/>
        <v>So</v>
      </c>
      <c r="H40" s="20" t="str">
        <f t="shared" si="7"/>
        <v xml:space="preserve">44 </v>
      </c>
      <c r="I40" s="20" t="str">
        <f t="shared" si="8"/>
        <v>[So.xls]TEXT!Z44 S5</v>
      </c>
      <c r="K40" s="20" t="str">
        <f t="shared" si="9"/>
        <v>So</v>
      </c>
      <c r="L40" s="20" t="str">
        <f t="shared" si="10"/>
        <v xml:space="preserve">46 </v>
      </c>
      <c r="M40" s="20" t="str">
        <f t="shared" si="11"/>
        <v>[So.xls]TEXT!Z46 S5</v>
      </c>
    </row>
    <row r="41" spans="1:13">
      <c r="A41" s="509">
        <f>ROW()</f>
        <v>41</v>
      </c>
      <c r="B41" s="20" t="s">
        <v>1737</v>
      </c>
      <c r="C41" s="20" t="s">
        <v>1738</v>
      </c>
      <c r="D41" s="20">
        <v>0</v>
      </c>
      <c r="E41" s="20" t="s">
        <v>1739</v>
      </c>
      <c r="F41" s="20">
        <v>0</v>
      </c>
      <c r="G41" s="510" t="str">
        <f>LEFT(E41,2)</f>
        <v>So</v>
      </c>
      <c r="H41" s="20" t="str">
        <f>SUBSTITUTE(E41,G41,"")</f>
        <v xml:space="preserve">3 </v>
      </c>
      <c r="I41" s="20" t="str">
        <f>"["&amp;G41&amp;".xls]TEXT!Z"&amp;H41&amp;"S5"</f>
        <v>[So.xls]TEXT!Z3 S5</v>
      </c>
    </row>
    <row r="42" spans="1:13">
      <c r="A42" s="509">
        <f>ROW()</f>
        <v>42</v>
      </c>
      <c r="B42" s="20" t="s">
        <v>1740</v>
      </c>
      <c r="C42" s="20">
        <v>0</v>
      </c>
      <c r="D42" s="20">
        <v>50</v>
      </c>
      <c r="E42" s="20">
        <v>0</v>
      </c>
      <c r="F42" s="20" t="s">
        <v>1411</v>
      </c>
      <c r="G42" s="510"/>
      <c r="K42" s="20" t="str">
        <f t="shared" si="9"/>
        <v>So</v>
      </c>
      <c r="L42" s="20" t="str">
        <f t="shared" si="10"/>
        <v xml:space="preserve">31 </v>
      </c>
      <c r="M42" s="20" t="str">
        <f t="shared" si="11"/>
        <v>[So.xls]TEXT!Z31 S5</v>
      </c>
    </row>
    <row r="43" spans="1:13">
      <c r="A43" s="509">
        <f>ROW()</f>
        <v>43</v>
      </c>
      <c r="B43" s="20" t="s">
        <v>1741</v>
      </c>
      <c r="C43" s="20">
        <v>1308.75</v>
      </c>
      <c r="D43" s="20">
        <v>1449.307875894988</v>
      </c>
      <c r="E43" s="20" t="s">
        <v>1415</v>
      </c>
      <c r="F43" s="20" t="s">
        <v>1416</v>
      </c>
      <c r="G43" s="510" t="str">
        <f t="shared" si="6"/>
        <v>So</v>
      </c>
      <c r="H43" s="20" t="str">
        <f t="shared" si="7"/>
        <v xml:space="preserve">57 </v>
      </c>
      <c r="I43" s="20" t="str">
        <f t="shared" si="8"/>
        <v>[So.xls]TEXT!Z57 S5</v>
      </c>
      <c r="K43" s="20" t="str">
        <f t="shared" si="9"/>
        <v>So</v>
      </c>
      <c r="L43" s="20" t="str">
        <f t="shared" si="10"/>
        <v xml:space="preserve">56 </v>
      </c>
      <c r="M43" s="20" t="str">
        <f t="shared" si="11"/>
        <v>[So.xls]TEXT!Z56 S5</v>
      </c>
    </row>
    <row r="44" spans="1:13">
      <c r="A44" s="509">
        <f>ROW()</f>
        <v>44</v>
      </c>
      <c r="B44" s="20" t="s">
        <v>1742</v>
      </c>
      <c r="C44" s="20" t="s">
        <v>1738</v>
      </c>
      <c r="D44" s="20">
        <v>0</v>
      </c>
      <c r="E44" s="20" t="s">
        <v>1743</v>
      </c>
      <c r="F44" s="20">
        <v>0</v>
      </c>
      <c r="G44" s="510" t="str">
        <f>LEFT(E44,2)</f>
        <v>Wi</v>
      </c>
      <c r="H44" s="20" t="str">
        <f>SUBSTITUTE(E44,G44,"")</f>
        <v>5</v>
      </c>
      <c r="I44" s="20" t="str">
        <f>"["&amp;G44&amp;".xls]TEXT!Z"&amp;H44&amp;"S5"</f>
        <v>[Wi.xls]TEXT!Z5S5</v>
      </c>
    </row>
    <row r="45" spans="1:13">
      <c r="A45" s="509">
        <f>ROW()</f>
        <v>45</v>
      </c>
      <c r="B45" s="20" t="s">
        <v>1744</v>
      </c>
      <c r="C45" s="20">
        <v>7.5</v>
      </c>
      <c r="D45" s="20">
        <v>0</v>
      </c>
      <c r="E45" s="20" t="s">
        <v>1745</v>
      </c>
      <c r="F45" s="20">
        <v>0</v>
      </c>
      <c r="G45" s="510" t="str">
        <f t="shared" si="6"/>
        <v>Wi</v>
      </c>
      <c r="H45" s="20" t="str">
        <f t="shared" si="7"/>
        <v>12</v>
      </c>
      <c r="I45" s="20" t="str">
        <f t="shared" si="8"/>
        <v>[Wi.xls]TEXT!Z12S5</v>
      </c>
    </row>
    <row r="46" spans="1:13">
      <c r="A46" s="509">
        <f>ROW()</f>
        <v>46</v>
      </c>
      <c r="B46" s="20" t="s">
        <v>1746</v>
      </c>
      <c r="C46" s="20">
        <v>100</v>
      </c>
      <c r="D46" s="20">
        <v>100</v>
      </c>
      <c r="E46" s="20" t="s">
        <v>1420</v>
      </c>
      <c r="F46" s="20" t="s">
        <v>1420</v>
      </c>
      <c r="G46" s="510" t="str">
        <f>LEFT(E46,2)</f>
        <v>Wi</v>
      </c>
      <c r="H46" s="20" t="str">
        <f>SUBSTITUTE(E46,G46,"")</f>
        <v>43</v>
      </c>
      <c r="I46" s="20" t="str">
        <f>"["&amp;G46&amp;".xls]TEXT!Z"&amp;H46&amp;"S5"</f>
        <v>[Wi.xls]TEXT!Z43S5</v>
      </c>
      <c r="K46" s="20" t="str">
        <f>LEFT(F46,2)</f>
        <v>Wi</v>
      </c>
      <c r="L46" s="20" t="str">
        <f>SUBSTITUTE(F46,K46,"")</f>
        <v>43</v>
      </c>
      <c r="M46" s="20" t="str">
        <f>"["&amp;IF(K46=$H$1,$L$1&amp;".xls]PARAMETER!Z"&amp;L46&amp;"S4",K46&amp;".xls]TEXT!Z"&amp;L46&amp;"S5")</f>
        <v>[Wi.xls]TEXT!Z43S5</v>
      </c>
    </row>
    <row r="47" spans="1:13">
      <c r="A47" s="509">
        <f>ROW()</f>
        <v>47</v>
      </c>
      <c r="B47" s="20" t="s">
        <v>1747</v>
      </c>
      <c r="C47" s="20">
        <v>341.81589375932674</v>
      </c>
      <c r="D47" s="20">
        <v>449</v>
      </c>
      <c r="E47" s="20" t="s">
        <v>1424</v>
      </c>
      <c r="F47" s="20" t="s">
        <v>1425</v>
      </c>
      <c r="G47" s="510" t="str">
        <f t="shared" si="6"/>
        <v>Wi</v>
      </c>
      <c r="H47" s="20" t="str">
        <f t="shared" si="7"/>
        <v>51</v>
      </c>
      <c r="I47" s="20" t="str">
        <f t="shared" si="8"/>
        <v>[Wi.xls]TEXT!Z51S5</v>
      </c>
      <c r="K47" s="20" t="str">
        <f t="shared" si="9"/>
        <v>Wi</v>
      </c>
      <c r="L47" s="20" t="str">
        <f t="shared" si="10"/>
        <v>56</v>
      </c>
      <c r="M47" s="20" t="str">
        <f t="shared" si="11"/>
        <v>[Wi.xls]TEXT!Z56S5</v>
      </c>
    </row>
    <row r="48" spans="1:13">
      <c r="A48" s="509">
        <f>ROW()</f>
        <v>48</v>
      </c>
      <c r="B48" s="20" t="s">
        <v>1748</v>
      </c>
      <c r="C48" s="20">
        <v>0</v>
      </c>
      <c r="D48" s="20">
        <v>0</v>
      </c>
      <c r="E48" s="20">
        <v>0</v>
      </c>
      <c r="F48" s="20" t="s">
        <v>1349</v>
      </c>
      <c r="G48" s="510"/>
      <c r="K48" s="20" t="str">
        <f>LEFT(F48,2)</f>
        <v>So</v>
      </c>
      <c r="L48" s="20" t="str">
        <f>SUBSTITUTE(F48,K48,"")</f>
        <v xml:space="preserve">24 </v>
      </c>
      <c r="M48" s="20" t="str">
        <f>"["&amp;IF(K48=$H$1,$L$1&amp;".xls]PARAMETER!Z"&amp;L48&amp;"S4",K48&amp;".xls]TEXT!Z"&amp;L48&amp;"S5")</f>
        <v>[So.xls]TEXT!Z24 S5</v>
      </c>
    </row>
    <row r="49" spans="1:14">
      <c r="A49" s="509">
        <f>ROW()</f>
        <v>49</v>
      </c>
      <c r="B49" s="20" t="s">
        <v>1749</v>
      </c>
      <c r="C49" s="20" t="s">
        <v>1738</v>
      </c>
      <c r="D49" s="20">
        <v>0</v>
      </c>
      <c r="E49" s="20" t="s">
        <v>1434</v>
      </c>
      <c r="F49" s="20">
        <v>0</v>
      </c>
      <c r="G49" s="510" t="str">
        <f>LEFT(E49,2)</f>
        <v>Wa</v>
      </c>
      <c r="H49" s="20" t="str">
        <f>SUBSTITUTE(E49,G49,"")</f>
        <v xml:space="preserve">5 </v>
      </c>
      <c r="I49" s="20" t="str">
        <f>"["&amp;G49&amp;".xls]TEXT!Z"&amp;H49&amp;"S5"</f>
        <v>[Wa.xls]TEXT!Z5 S5</v>
      </c>
    </row>
    <row r="50" spans="1:14">
      <c r="A50" s="509">
        <f>ROW()</f>
        <v>50</v>
      </c>
      <c r="B50" s="20" t="s">
        <v>1750</v>
      </c>
      <c r="C50" s="20" t="s">
        <v>1751</v>
      </c>
      <c r="D50" s="20">
        <v>100</v>
      </c>
      <c r="E50" s="20" t="s">
        <v>1429</v>
      </c>
      <c r="F50" s="20" t="s">
        <v>1430</v>
      </c>
      <c r="G50" s="510" t="str">
        <f>LEFT(E50,2)</f>
        <v>Wa</v>
      </c>
      <c r="H50" s="20" t="str">
        <f>SUBSTITUTE(E50,G50,"")</f>
        <v xml:space="preserve">19 </v>
      </c>
      <c r="I50" s="20" t="str">
        <f>"["&amp;G50&amp;".xls]TEXT!Z"&amp;H50&amp;"S5"</f>
        <v>[Wa.xls]TEXT!Z19 S5</v>
      </c>
      <c r="K50" s="20" t="str">
        <f>LEFT(F50,2)</f>
        <v>Wa</v>
      </c>
      <c r="L50" s="20" t="str">
        <f>SUBSTITUTE(F50,K50,"")</f>
        <v xml:space="preserve">20 </v>
      </c>
      <c r="M50" s="20" t="str">
        <f>"["&amp;IF(K50=$H$1,$L$1&amp;".xls]PARAMETER!Z"&amp;L50&amp;"S4",K50&amp;".xls]TEXT!Z"&amp;L50&amp;"S5")</f>
        <v>[Wa.xls]TEXT!Z20 S5</v>
      </c>
    </row>
    <row r="51" spans="1:14">
      <c r="A51" s="509">
        <f>ROW()</f>
        <v>51</v>
      </c>
      <c r="B51" s="20" t="s">
        <v>1752</v>
      </c>
      <c r="C51" s="20" t="s">
        <v>1751</v>
      </c>
      <c r="D51" s="20" t="s">
        <v>1751</v>
      </c>
      <c r="E51" s="20" t="s">
        <v>1434</v>
      </c>
      <c r="F51" s="20" t="s">
        <v>1434</v>
      </c>
      <c r="G51" s="510" t="str">
        <f>LEFT(E51,2)</f>
        <v>Wa</v>
      </c>
      <c r="H51" s="20" t="str">
        <f>SUBSTITUTE(E51,G51,"")</f>
        <v xml:space="preserve">5 </v>
      </c>
      <c r="I51" s="20" t="str">
        <f>"["&amp;G51&amp;".xls]TEXT!Z"&amp;H51&amp;"S5"</f>
        <v>[Wa.xls]TEXT!Z5 S5</v>
      </c>
      <c r="K51" s="20" t="str">
        <f>LEFT(F51,2)</f>
        <v>Wa</v>
      </c>
      <c r="L51" s="20" t="str">
        <f>SUBSTITUTE(F51,K51,"")</f>
        <v xml:space="preserve">5 </v>
      </c>
      <c r="M51" s="20" t="str">
        <f>"["&amp;IF(K51=$H$1,$L$1&amp;".xls]PARAMETER!Z"&amp;L51&amp;"S4",K51&amp;".xls]TEXT!Z"&amp;L51&amp;"S5")</f>
        <v>[Wa.xls]TEXT!Z5 S5</v>
      </c>
    </row>
    <row r="52" spans="1:14">
      <c r="A52" s="509">
        <f>ROW()</f>
        <v>52</v>
      </c>
      <c r="B52" s="20" t="s">
        <v>1753</v>
      </c>
      <c r="C52" s="20" t="s">
        <v>1754</v>
      </c>
      <c r="D52" s="20">
        <v>0</v>
      </c>
      <c r="E52" s="20" t="s">
        <v>1755</v>
      </c>
      <c r="F52" s="20">
        <v>0</v>
      </c>
      <c r="G52" s="510" t="str">
        <f>LEFT(E52,2)</f>
        <v>Ho</v>
      </c>
      <c r="H52" s="20" t="str">
        <f>SUBSTITUTE(E52,G52,"")</f>
        <v>5</v>
      </c>
      <c r="I52" s="20" t="str">
        <f>"["&amp;G52&amp;".xls]TEXT!Z"&amp;H52&amp;"S5"</f>
        <v>[Ho.xls]TEXT!Z5S5</v>
      </c>
      <c r="J52" s="20">
        <f>'9.Quellen'!$C$211</f>
        <v>211</v>
      </c>
    </row>
    <row r="53" spans="1:14">
      <c r="A53" s="509">
        <f>ROW()</f>
        <v>53</v>
      </c>
      <c r="B53" s="20" t="s">
        <v>1756</v>
      </c>
      <c r="C53" s="20">
        <v>0</v>
      </c>
      <c r="D53" s="20">
        <v>30</v>
      </c>
      <c r="E53" s="20">
        <v>0</v>
      </c>
      <c r="F53" s="20" t="s">
        <v>1438</v>
      </c>
      <c r="G53" s="510"/>
      <c r="K53" s="20" t="str">
        <f t="shared" ref="K53:K59" si="12">LEFT(F53,2)</f>
        <v>Ho</v>
      </c>
      <c r="L53" s="20" t="str">
        <f t="shared" ref="L53:L59" si="13">SUBSTITUTE(F53,K53,"")</f>
        <v>36</v>
      </c>
      <c r="M53" s="20" t="str">
        <f t="shared" ref="M53:M59" si="14">"["&amp;IF(K53=$H$1,$L$1&amp;".xls]PARAMETER!Z"&amp;L53&amp;"S4",K53&amp;".xls]TEXT!Z"&amp;L53&amp;"S5")</f>
        <v>[Ho.xls]TEXT!Z36S5</v>
      </c>
      <c r="N53" s="20">
        <f>'9.Quellen'!$C$211</f>
        <v>211</v>
      </c>
    </row>
    <row r="54" spans="1:14">
      <c r="A54" s="509">
        <f>ROW()</f>
        <v>54</v>
      </c>
      <c r="B54" s="20" t="s">
        <v>1757</v>
      </c>
      <c r="C54" s="20">
        <v>30.2</v>
      </c>
      <c r="D54" s="20">
        <v>0</v>
      </c>
      <c r="E54" s="20" t="s">
        <v>1437</v>
      </c>
      <c r="F54" s="20">
        <v>0</v>
      </c>
      <c r="G54" s="510" t="str">
        <f t="shared" ref="G54:G59" si="15">LEFT(E54,2)</f>
        <v>Ho</v>
      </c>
      <c r="H54" s="20" t="str">
        <f t="shared" ref="H54:H59" si="16">SUBSTITUTE(E54,G54,"")</f>
        <v>98</v>
      </c>
      <c r="I54" s="20" t="str">
        <f t="shared" ref="I54:I59" si="17">"["&amp;G54&amp;".xls]TEXT!Z"&amp;H54&amp;"S5"</f>
        <v>[Ho.xls]TEXT!Z98S5</v>
      </c>
      <c r="J54" s="20">
        <f>'9.Quellen'!$C$211</f>
        <v>211</v>
      </c>
    </row>
    <row r="55" spans="1:14">
      <c r="A55" s="509">
        <f>ROW()</f>
        <v>55</v>
      </c>
      <c r="B55" s="20" t="s">
        <v>1758</v>
      </c>
      <c r="C55" s="20">
        <v>23.1</v>
      </c>
      <c r="D55" s="20">
        <v>23.1</v>
      </c>
      <c r="E55" s="20" t="s">
        <v>1442</v>
      </c>
      <c r="F55" s="20" t="s">
        <v>1443</v>
      </c>
      <c r="G55" s="510" t="str">
        <f t="shared" si="15"/>
        <v>Ho</v>
      </c>
      <c r="H55" s="20" t="str">
        <f t="shared" si="16"/>
        <v>54</v>
      </c>
      <c r="I55" s="20" t="str">
        <f t="shared" si="17"/>
        <v>[Ho.xls]TEXT!Z54S5</v>
      </c>
      <c r="J55" s="20">
        <f>'9.Quellen'!$C$211</f>
        <v>211</v>
      </c>
      <c r="K55" s="20" t="str">
        <f t="shared" si="12"/>
        <v>Ho</v>
      </c>
      <c r="L55" s="20" t="str">
        <f t="shared" si="13"/>
        <v>55</v>
      </c>
      <c r="M55" s="20" t="str">
        <f t="shared" si="14"/>
        <v>[Ho.xls]TEXT!Z55S5</v>
      </c>
      <c r="N55" s="20">
        <f>'9.Quellen'!$C$211</f>
        <v>211</v>
      </c>
    </row>
    <row r="56" spans="1:14">
      <c r="A56" s="509">
        <f>ROW()</f>
        <v>56</v>
      </c>
      <c r="B56" s="20" t="s">
        <v>1759</v>
      </c>
      <c r="C56" s="20">
        <v>5.4489460356302812</v>
      </c>
      <c r="D56" s="20">
        <v>0</v>
      </c>
      <c r="E56" s="20" t="s">
        <v>1760</v>
      </c>
      <c r="F56" s="20">
        <v>0</v>
      </c>
      <c r="G56" s="510" t="str">
        <f t="shared" si="15"/>
        <v>Ho</v>
      </c>
      <c r="H56" s="20" t="str">
        <f t="shared" si="16"/>
        <v>18</v>
      </c>
      <c r="I56" s="20" t="str">
        <f t="shared" si="17"/>
        <v>[Ho.xls]TEXT!Z18S5</v>
      </c>
      <c r="J56" s="20">
        <f>'9.Quellen'!$C$211</f>
        <v>211</v>
      </c>
    </row>
    <row r="57" spans="1:14">
      <c r="A57" s="509">
        <f>ROW()</f>
        <v>57</v>
      </c>
      <c r="B57" s="20" t="s">
        <v>1761</v>
      </c>
      <c r="C57" s="20">
        <v>22.6</v>
      </c>
      <c r="D57" s="20">
        <v>0</v>
      </c>
      <c r="E57" s="20" t="s">
        <v>1446</v>
      </c>
      <c r="F57" s="20">
        <v>0</v>
      </c>
      <c r="G57" s="510" t="str">
        <f t="shared" si="15"/>
        <v>Ho</v>
      </c>
      <c r="H57" s="20" t="str">
        <f t="shared" si="16"/>
        <v>97</v>
      </c>
      <c r="I57" s="20" t="str">
        <f t="shared" si="17"/>
        <v>[Ho.xls]TEXT!Z97S5</v>
      </c>
      <c r="J57" s="20">
        <f>'9.Quellen'!$C$211</f>
        <v>211</v>
      </c>
    </row>
    <row r="58" spans="1:14">
      <c r="A58" s="509">
        <f>ROW()</f>
        <v>58</v>
      </c>
      <c r="B58" s="20" t="s">
        <v>1762</v>
      </c>
      <c r="C58" s="20">
        <v>4.7</v>
      </c>
      <c r="D58" s="20">
        <v>8.1</v>
      </c>
      <c r="E58" s="20" t="s">
        <v>1450</v>
      </c>
      <c r="F58" s="20" t="s">
        <v>1451</v>
      </c>
      <c r="G58" s="510" t="str">
        <f t="shared" si="15"/>
        <v>Ho</v>
      </c>
      <c r="H58" s="20" t="str">
        <f t="shared" si="16"/>
        <v>71</v>
      </c>
      <c r="I58" s="20" t="str">
        <f t="shared" si="17"/>
        <v>[Ho.xls]TEXT!Z71S5</v>
      </c>
      <c r="J58" s="20">
        <f>'9.Quellen'!$C$211</f>
        <v>211</v>
      </c>
      <c r="K58" s="20" t="str">
        <f t="shared" si="12"/>
        <v>Ho</v>
      </c>
      <c r="L58" s="20" t="str">
        <f t="shared" si="13"/>
        <v>81</v>
      </c>
      <c r="M58" s="20" t="str">
        <f t="shared" si="14"/>
        <v>[Ho.xls]TEXT!Z81S5</v>
      </c>
      <c r="N58" s="20">
        <f>'9.Quellen'!$C$211</f>
        <v>211</v>
      </c>
    </row>
    <row r="59" spans="1:14">
      <c r="A59" s="509">
        <f>ROW()</f>
        <v>59</v>
      </c>
      <c r="B59" s="20" t="s">
        <v>1763</v>
      </c>
      <c r="C59" s="20">
        <v>3</v>
      </c>
      <c r="D59" s="20">
        <v>8.1</v>
      </c>
      <c r="E59" s="20" t="s">
        <v>1455</v>
      </c>
      <c r="F59" s="20" t="s">
        <v>1456</v>
      </c>
      <c r="G59" s="510" t="str">
        <f t="shared" si="15"/>
        <v>Ho</v>
      </c>
      <c r="H59" s="20" t="str">
        <f t="shared" si="16"/>
        <v>74</v>
      </c>
      <c r="I59" s="20" t="str">
        <f t="shared" si="17"/>
        <v>[Ho.xls]TEXT!Z74S5</v>
      </c>
      <c r="J59" s="20">
        <f>'9.Quellen'!$C$211</f>
        <v>211</v>
      </c>
      <c r="K59" s="20" t="str">
        <f t="shared" si="12"/>
        <v>Ho</v>
      </c>
      <c r="L59" s="20" t="str">
        <f t="shared" si="13"/>
        <v>82</v>
      </c>
      <c r="M59" s="20" t="str">
        <f t="shared" si="14"/>
        <v>[Ho.xls]TEXT!Z82S5</v>
      </c>
      <c r="N59" s="20">
        <f>'9.Quellen'!$C$211</f>
        <v>211</v>
      </c>
    </row>
    <row r="60" spans="1:14">
      <c r="A60" s="509">
        <f>ROW()</f>
        <v>60</v>
      </c>
      <c r="B60" s="20">
        <v>0</v>
      </c>
      <c r="C60" s="20">
        <v>0</v>
      </c>
      <c r="D60" s="20">
        <v>0</v>
      </c>
      <c r="E60" s="20">
        <v>0</v>
      </c>
      <c r="F60" s="20">
        <v>0</v>
      </c>
      <c r="G60" s="510"/>
    </row>
    <row r="61" spans="1:14">
      <c r="A61" s="509">
        <f>ROW()</f>
        <v>61</v>
      </c>
      <c r="B61" s="20" t="s">
        <v>1764</v>
      </c>
      <c r="C61" s="20">
        <v>9.6</v>
      </c>
      <c r="D61" s="20">
        <v>0</v>
      </c>
      <c r="E61" s="20" t="s">
        <v>1459</v>
      </c>
      <c r="F61" s="20">
        <v>0</v>
      </c>
      <c r="G61" s="510" t="str">
        <f t="shared" ref="G61:G66" si="18">LEFT(E61,2)</f>
        <v>Ho</v>
      </c>
      <c r="H61" s="20" t="str">
        <f t="shared" ref="H61:H66" si="19">SUBSTITUTE(E61,G61,"")</f>
        <v>99</v>
      </c>
      <c r="I61" s="20" t="str">
        <f t="shared" ref="I61:I66" si="20">"["&amp;G61&amp;".xls]TEXT!Z"&amp;H61&amp;"S5"</f>
        <v>[Ho.xls]TEXT!Z99S5</v>
      </c>
      <c r="J61" s="20">
        <f>'9.Quellen'!$C$211</f>
        <v>211</v>
      </c>
    </row>
    <row r="62" spans="1:14">
      <c r="A62" s="509">
        <f>ROW()</f>
        <v>62</v>
      </c>
      <c r="B62" s="20" t="s">
        <v>1765</v>
      </c>
      <c r="C62" s="20">
        <v>23.1</v>
      </c>
      <c r="D62" s="20">
        <v>23.1</v>
      </c>
      <c r="E62" s="20" t="s">
        <v>1463</v>
      </c>
      <c r="F62" s="20" t="s">
        <v>1463</v>
      </c>
      <c r="G62" s="510" t="str">
        <f t="shared" si="18"/>
        <v>Ho</v>
      </c>
      <c r="H62" s="20" t="str">
        <f t="shared" si="19"/>
        <v>60</v>
      </c>
      <c r="I62" s="20" t="str">
        <f t="shared" si="20"/>
        <v>[Ho.xls]TEXT!Z60S5</v>
      </c>
      <c r="J62" s="20">
        <f>'9.Quellen'!$C$211</f>
        <v>211</v>
      </c>
      <c r="K62" s="20" t="str">
        <f>LEFT(F62,2)</f>
        <v>Ho</v>
      </c>
      <c r="L62" s="20" t="str">
        <f>SUBSTITUTE(F62,K62,"")</f>
        <v>60</v>
      </c>
      <c r="M62" s="20" t="str">
        <f>"["&amp;IF(K62=$H$1,$L$1&amp;".xls]PARAMETER!Z"&amp;L62&amp;"S4",K62&amp;".xls]TEXT!Z"&amp;L62&amp;"S5")</f>
        <v>[Ho.xls]TEXT!Z60S5</v>
      </c>
      <c r="N62" s="20">
        <f>'9.Quellen'!$C$211</f>
        <v>211</v>
      </c>
    </row>
    <row r="63" spans="1:14">
      <c r="A63" s="509">
        <f>ROW()</f>
        <v>63</v>
      </c>
      <c r="B63" s="20" t="s">
        <v>1766</v>
      </c>
      <c r="C63" s="20" t="s">
        <v>1767</v>
      </c>
      <c r="D63" s="20">
        <v>0</v>
      </c>
      <c r="E63" s="20" t="s">
        <v>1768</v>
      </c>
      <c r="F63" s="20">
        <v>0</v>
      </c>
      <c r="G63" s="510" t="str">
        <f t="shared" si="18"/>
        <v>SR</v>
      </c>
      <c r="H63" s="20" t="str">
        <f t="shared" si="19"/>
        <v>5</v>
      </c>
      <c r="I63" s="20" t="str">
        <f t="shared" si="20"/>
        <v>[SR.xls]TEXT!Z5S5</v>
      </c>
    </row>
    <row r="64" spans="1:14">
      <c r="A64" s="513">
        <f>ROW()</f>
        <v>64</v>
      </c>
      <c r="B64" s="20" t="s">
        <v>1464</v>
      </c>
      <c r="C64" s="20">
        <v>0</v>
      </c>
      <c r="D64" s="20">
        <v>33.333333333333329</v>
      </c>
      <c r="E64" s="20">
        <v>0</v>
      </c>
      <c r="F64" s="20" t="s">
        <v>1466</v>
      </c>
      <c r="G64" s="510"/>
      <c r="K64" s="20" t="str">
        <f>LEFT(F64,2)</f>
        <v>SR</v>
      </c>
      <c r="L64" s="20" t="str">
        <f>SUBSTITUTE(F64,K64,"")</f>
        <v>33</v>
      </c>
      <c r="M64" s="20" t="str">
        <f>"["&amp;IF(K64=$H$1,$L$1&amp;".xls]PARAMETER!Z"&amp;L64&amp;"S4",K64&amp;".xls]TEXT!Z"&amp;L64&amp;"S5")</f>
        <v>[SR.xls]TEXT!Z33S5</v>
      </c>
    </row>
    <row r="65" spans="1:13">
      <c r="A65" s="513">
        <f>ROW()</f>
        <v>65</v>
      </c>
      <c r="B65" s="20" t="s">
        <v>1769</v>
      </c>
      <c r="C65" s="20">
        <v>0</v>
      </c>
      <c r="D65" s="20">
        <v>0</v>
      </c>
      <c r="E65" s="20" t="s">
        <v>1470</v>
      </c>
      <c r="F65" s="20">
        <v>0</v>
      </c>
      <c r="G65" s="510" t="str">
        <f t="shared" si="18"/>
        <v>SR</v>
      </c>
      <c r="H65" s="20" t="str">
        <f t="shared" si="19"/>
        <v>30</v>
      </c>
      <c r="I65" s="20" t="str">
        <f t="shared" si="20"/>
        <v>[SR.xls]TEXT!Z30S5</v>
      </c>
    </row>
    <row r="66" spans="1:13">
      <c r="A66" s="513">
        <f>ROW()</f>
        <v>66</v>
      </c>
      <c r="B66" s="20" t="s">
        <v>1770</v>
      </c>
      <c r="C66" s="20">
        <v>12.083333333333332</v>
      </c>
      <c r="D66" s="20">
        <v>15.104166666666668</v>
      </c>
      <c r="E66" s="20" t="s">
        <v>1474</v>
      </c>
      <c r="F66" s="20" t="s">
        <v>1474</v>
      </c>
      <c r="G66" s="510" t="str">
        <f t="shared" si="18"/>
        <v>SR</v>
      </c>
      <c r="H66" s="20" t="str">
        <f t="shared" si="19"/>
        <v>50</v>
      </c>
      <c r="I66" s="20" t="str">
        <f t="shared" si="20"/>
        <v>[SR.xls]TEXT!Z50S5</v>
      </c>
      <c r="K66" s="20" t="str">
        <f>LEFT(F66,2)</f>
        <v>SR</v>
      </c>
      <c r="L66" s="20" t="str">
        <f>SUBSTITUTE(F66,K66,"")</f>
        <v>50</v>
      </c>
      <c r="M66" s="20" t="str">
        <f>"["&amp;IF(K66=$H$1,$L$1&amp;".xls]PARAMETER!Z"&amp;L66&amp;"S4",K66&amp;".xls]TEXT!Z"&amp;L66&amp;"S5")</f>
        <v>[SR.xls]TEXT!Z50S5</v>
      </c>
    </row>
    <row r="67" spans="1:13">
      <c r="A67" s="513">
        <f>ROW()</f>
        <v>67</v>
      </c>
      <c r="B67" s="20">
        <v>0</v>
      </c>
      <c r="C67" s="20">
        <v>0</v>
      </c>
      <c r="D67" s="20">
        <v>0</v>
      </c>
      <c r="E67" s="20">
        <v>0</v>
      </c>
      <c r="F67" s="20">
        <v>0</v>
      </c>
      <c r="G67" s="510"/>
    </row>
    <row r="68" spans="1:13">
      <c r="A68" s="513">
        <f>ROW()</f>
        <v>68</v>
      </c>
      <c r="B68" s="20" t="s">
        <v>1771</v>
      </c>
      <c r="C68" s="20">
        <v>0</v>
      </c>
      <c r="D68" s="20">
        <v>0</v>
      </c>
      <c r="E68" s="20" t="s">
        <v>1470</v>
      </c>
      <c r="F68" s="20">
        <v>0</v>
      </c>
      <c r="G68" s="510" t="str">
        <f t="shared" ref="G68:G73" si="21">LEFT(E68,2)</f>
        <v>SR</v>
      </c>
      <c r="H68" s="20" t="str">
        <f t="shared" ref="H68:H73" si="22">SUBSTITUTE(E68,G68,"")</f>
        <v>30</v>
      </c>
      <c r="I68" s="20" t="str">
        <f t="shared" ref="I68:I73" si="23">"["&amp;G68&amp;".xls]TEXT!Z"&amp;H68&amp;"S5"</f>
        <v>[SR.xls]TEXT!Z30S5</v>
      </c>
    </row>
    <row r="69" spans="1:13">
      <c r="A69" s="513">
        <f>ROW()</f>
        <v>69</v>
      </c>
      <c r="B69" s="20" t="s">
        <v>1772</v>
      </c>
      <c r="C69" s="20">
        <v>4.1284722222222223</v>
      </c>
      <c r="D69" s="20">
        <v>7.0486111111111107</v>
      </c>
      <c r="E69" s="20" t="s">
        <v>1481</v>
      </c>
      <c r="F69" s="20" t="s">
        <v>1481</v>
      </c>
      <c r="G69" s="510" t="str">
        <f t="shared" si="21"/>
        <v>SR</v>
      </c>
      <c r="H69" s="20" t="str">
        <f t="shared" si="22"/>
        <v>51</v>
      </c>
      <c r="I69" s="20" t="str">
        <f t="shared" si="23"/>
        <v>[SR.xls]TEXT!Z51S5</v>
      </c>
      <c r="K69" s="20" t="str">
        <f>LEFT(F69,2)</f>
        <v>SR</v>
      </c>
      <c r="L69" s="20" t="str">
        <f>SUBSTITUTE(F69,K69,"")</f>
        <v>51</v>
      </c>
      <c r="M69" s="20" t="str">
        <f>"["&amp;IF(K69=$H$1,$L$1&amp;".xls]PARAMETER!Z"&amp;L69&amp;"S4",K69&amp;".xls]TEXT!Z"&amp;L69&amp;"S5")</f>
        <v>[SR.xls]TEXT!Z51S5</v>
      </c>
    </row>
    <row r="70" spans="1:13">
      <c r="A70" s="513">
        <f>ROW()</f>
        <v>70</v>
      </c>
      <c r="B70" s="20" t="s">
        <v>1773</v>
      </c>
      <c r="C70" s="20">
        <v>7.3708333333333336</v>
      </c>
      <c r="D70" s="20">
        <v>7.0486111111111107</v>
      </c>
      <c r="E70" s="20" t="s">
        <v>1774</v>
      </c>
      <c r="F70" s="20" t="s">
        <v>1774</v>
      </c>
      <c r="G70" s="510" t="str">
        <f t="shared" si="21"/>
        <v>SR</v>
      </c>
      <c r="H70" s="20" t="str">
        <f t="shared" si="22"/>
        <v>52</v>
      </c>
      <c r="I70" s="20" t="str">
        <f t="shared" si="23"/>
        <v>[SR.xls]TEXT!Z52S5</v>
      </c>
      <c r="K70" s="20" t="str">
        <f>LEFT(F70,2)</f>
        <v>SR</v>
      </c>
      <c r="L70" s="20" t="str">
        <f>SUBSTITUTE(F70,K70,"")</f>
        <v>52</v>
      </c>
      <c r="M70" s="20" t="str">
        <f>"["&amp;IF(K70=$H$1,$L$1&amp;".xls]PARAMETER!Z"&amp;L70&amp;"S4",K70&amp;".xls]TEXT!Z"&amp;L70&amp;"S5")</f>
        <v>[SR.xls]TEXT!Z52S5</v>
      </c>
    </row>
    <row r="71" spans="1:13">
      <c r="A71" s="513">
        <f>ROW()</f>
        <v>71</v>
      </c>
      <c r="B71" s="20">
        <v>0</v>
      </c>
      <c r="C71" s="20">
        <v>0</v>
      </c>
      <c r="D71" s="20">
        <v>0</v>
      </c>
      <c r="E71" s="20">
        <v>0</v>
      </c>
      <c r="F71" s="20">
        <v>0</v>
      </c>
      <c r="G71" s="510"/>
    </row>
    <row r="72" spans="1:13">
      <c r="A72" s="513">
        <f>ROW()</f>
        <v>72</v>
      </c>
      <c r="B72" s="20" t="s">
        <v>1775</v>
      </c>
      <c r="C72" s="20">
        <v>0</v>
      </c>
      <c r="D72" s="20">
        <v>0</v>
      </c>
      <c r="E72" s="20" t="s">
        <v>1470</v>
      </c>
      <c r="F72" s="20">
        <v>0</v>
      </c>
      <c r="G72" s="510" t="str">
        <f t="shared" si="21"/>
        <v>SR</v>
      </c>
      <c r="H72" s="20" t="str">
        <f t="shared" si="22"/>
        <v>30</v>
      </c>
      <c r="I72" s="20" t="str">
        <f t="shared" si="23"/>
        <v>[SR.xls]TEXT!Z30S5</v>
      </c>
    </row>
    <row r="73" spans="1:13">
      <c r="A73" s="513">
        <f>ROW()</f>
        <v>73</v>
      </c>
      <c r="B73" s="20" t="s">
        <v>1776</v>
      </c>
      <c r="C73" s="20">
        <v>10.069444444444445</v>
      </c>
      <c r="D73" s="20">
        <v>11.076388888888889</v>
      </c>
      <c r="E73" s="20" t="s">
        <v>1491</v>
      </c>
      <c r="F73" s="20" t="s">
        <v>1491</v>
      </c>
      <c r="G73" s="510" t="str">
        <f t="shared" si="21"/>
        <v>SR</v>
      </c>
      <c r="H73" s="20" t="str">
        <f t="shared" si="22"/>
        <v>53</v>
      </c>
      <c r="I73" s="20" t="str">
        <f t="shared" si="23"/>
        <v>[SR.xls]TEXT!Z53S5</v>
      </c>
      <c r="K73" s="20" t="str">
        <f>LEFT(F73,2)</f>
        <v>SR</v>
      </c>
      <c r="L73" s="20" t="str">
        <f>SUBSTITUTE(F73,K73,"")</f>
        <v>53</v>
      </c>
      <c r="M73" s="20" t="str">
        <f>"["&amp;IF(K73=$H$1,$L$1&amp;".xls]PARAMETER!Z"&amp;L73&amp;"S4",K73&amp;".xls]TEXT!Z"&amp;L73&amp;"S5")</f>
        <v>[SR.xls]TEXT!Z53S5</v>
      </c>
    </row>
    <row r="74" spans="1:13">
      <c r="A74" s="509">
        <f>ROW()</f>
        <v>74</v>
      </c>
      <c r="B74" s="20" t="s">
        <v>1777</v>
      </c>
      <c r="C74" s="20">
        <v>0</v>
      </c>
      <c r="D74" s="20">
        <v>100</v>
      </c>
      <c r="E74" s="20">
        <v>0</v>
      </c>
      <c r="F74" s="20" t="s">
        <v>1496</v>
      </c>
      <c r="G74" s="510"/>
      <c r="K74" s="20" t="str">
        <f>LEFT(F74,2)</f>
        <v>EP</v>
      </c>
      <c r="L74" s="20" t="str">
        <f>SUBSTITUTE(F74,K74,"")</f>
        <v>79</v>
      </c>
      <c r="M74" s="20" t="str">
        <f>"["&amp;IF(K74=$H$1,$L$1&amp;".xls]PARAMETER!Z"&amp;L74&amp;"S4",K74&amp;".xls]TEXT!Z"&amp;L74&amp;"S5")</f>
        <v>[EP.xls]TEXT!Z79S5</v>
      </c>
    </row>
    <row r="75" spans="1:13">
      <c r="A75" s="509">
        <f>ROW()</f>
        <v>75</v>
      </c>
      <c r="B75" s="20" t="s">
        <v>1778</v>
      </c>
      <c r="C75" s="20" t="s">
        <v>1738</v>
      </c>
      <c r="D75" s="20">
        <v>0</v>
      </c>
      <c r="E75" s="20" t="s">
        <v>1779</v>
      </c>
      <c r="F75" s="20">
        <v>0</v>
      </c>
      <c r="G75" s="510" t="str">
        <f t="shared" ref="G75:G100" si="24">LEFT(E75,2)</f>
        <v>EP</v>
      </c>
      <c r="H75" s="20" t="str">
        <f t="shared" ref="H75:H100" si="25">SUBSTITUTE(E75,G75,"")</f>
        <v>5</v>
      </c>
      <c r="I75" s="20" t="str">
        <f t="shared" ref="I75:I100" si="26">"["&amp;G75&amp;".xls]TEXT!Z"&amp;H75&amp;"S5"</f>
        <v>[EP.xls]TEXT!Z5S5</v>
      </c>
    </row>
    <row r="76" spans="1:13">
      <c r="A76" s="509">
        <f>ROW()</f>
        <v>76</v>
      </c>
      <c r="B76" s="20" t="s">
        <v>1780</v>
      </c>
      <c r="C76" s="20">
        <v>0</v>
      </c>
      <c r="D76" s="20">
        <v>0</v>
      </c>
      <c r="E76" s="20" t="s">
        <v>1495</v>
      </c>
      <c r="F76" s="20">
        <v>0</v>
      </c>
      <c r="G76" s="510" t="str">
        <f t="shared" si="24"/>
        <v>EP</v>
      </c>
      <c r="H76" s="20" t="str">
        <f t="shared" si="25"/>
        <v>80</v>
      </c>
      <c r="I76" s="20" t="str">
        <f t="shared" si="26"/>
        <v>[EP.xls]TEXT!Z80S5</v>
      </c>
    </row>
    <row r="77" spans="1:13">
      <c r="A77" s="509">
        <f>ROW()</f>
        <v>77</v>
      </c>
      <c r="B77" s="20" t="s">
        <v>1781</v>
      </c>
      <c r="C77" s="20">
        <v>41.6</v>
      </c>
      <c r="D77" s="20">
        <v>20</v>
      </c>
      <c r="E77" s="20" t="s">
        <v>1500</v>
      </c>
      <c r="F77" s="20" t="s">
        <v>1500</v>
      </c>
      <c r="G77" s="510" t="str">
        <f t="shared" si="24"/>
        <v>EP</v>
      </c>
      <c r="H77" s="20" t="str">
        <f t="shared" si="25"/>
        <v>68</v>
      </c>
      <c r="I77" s="20" t="str">
        <f t="shared" si="26"/>
        <v>[EP.xls]TEXT!Z68S5</v>
      </c>
      <c r="K77" s="20" t="str">
        <f>LEFT(F77,2)</f>
        <v>EP</v>
      </c>
      <c r="L77" s="20" t="str">
        <f>SUBSTITUTE(F77,K77,"")</f>
        <v>68</v>
      </c>
      <c r="M77" s="20" t="str">
        <f>"["&amp;IF(K77=$H$1,$L$1&amp;".xls]PARAMETER!Z"&amp;L77&amp;"S4",K77&amp;".xls]TEXT!Z"&amp;L77&amp;"S5")</f>
        <v>[EP.xls]TEXT!Z68S5</v>
      </c>
    </row>
    <row r="78" spans="1:13">
      <c r="A78" s="509">
        <f>ROW()</f>
        <v>78</v>
      </c>
      <c r="B78" s="20" t="s">
        <v>1782</v>
      </c>
      <c r="C78" s="20">
        <v>100</v>
      </c>
      <c r="D78" s="20">
        <v>0</v>
      </c>
      <c r="E78" s="20" t="s">
        <v>1495</v>
      </c>
      <c r="F78" s="20">
        <v>0</v>
      </c>
      <c r="G78" s="510" t="str">
        <f t="shared" si="24"/>
        <v>EP</v>
      </c>
      <c r="H78" s="20" t="str">
        <f t="shared" si="25"/>
        <v>80</v>
      </c>
      <c r="I78" s="20" t="str">
        <f t="shared" si="26"/>
        <v>[EP.xls]TEXT!Z80S5</v>
      </c>
    </row>
    <row r="79" spans="1:13">
      <c r="A79" s="509">
        <f>ROW()</f>
        <v>79</v>
      </c>
      <c r="B79" s="20" t="s">
        <v>1783</v>
      </c>
      <c r="C79" s="20">
        <v>12.48</v>
      </c>
      <c r="D79" s="20">
        <v>7</v>
      </c>
      <c r="E79" s="20" t="s">
        <v>1507</v>
      </c>
      <c r="F79" s="20" t="s">
        <v>1508</v>
      </c>
      <c r="G79" s="510" t="str">
        <f t="shared" si="24"/>
        <v>EP</v>
      </c>
      <c r="H79" s="20" t="str">
        <f t="shared" si="25"/>
        <v>72</v>
      </c>
      <c r="I79" s="20" t="str">
        <f t="shared" si="26"/>
        <v>[EP.xls]TEXT!Z72S5</v>
      </c>
      <c r="K79" s="20" t="str">
        <f>LEFT(F79,2)</f>
        <v>EP</v>
      </c>
      <c r="L79" s="20" t="str">
        <f>SUBSTITUTE(F79,K79,"")</f>
        <v>73</v>
      </c>
      <c r="M79" s="20" t="str">
        <f>"["&amp;IF(K79=$H$1,$L$1&amp;".xls]PARAMETER!Z"&amp;L79&amp;"S4",K79&amp;".xls]TEXT!Z"&amp;L79&amp;"S5")</f>
        <v>[EP.xls]TEXT!Z73S5</v>
      </c>
    </row>
    <row r="80" spans="1:13">
      <c r="A80" s="509">
        <f>ROW()</f>
        <v>80</v>
      </c>
      <c r="B80" s="20" t="s">
        <v>1784</v>
      </c>
      <c r="C80" s="20">
        <v>0</v>
      </c>
      <c r="D80" s="20">
        <v>9</v>
      </c>
      <c r="E80" s="20" t="s">
        <v>1507</v>
      </c>
      <c r="F80" s="20" t="s">
        <v>1508</v>
      </c>
      <c r="G80" s="510" t="str">
        <f t="shared" si="24"/>
        <v>EP</v>
      </c>
      <c r="H80" s="20" t="str">
        <f t="shared" si="25"/>
        <v>72</v>
      </c>
      <c r="I80" s="20" t="str">
        <f t="shared" si="26"/>
        <v>[EP.xls]TEXT!Z72S5</v>
      </c>
      <c r="K80" s="20" t="str">
        <f>LEFT(F80,2)</f>
        <v>EP</v>
      </c>
      <c r="L80" s="20" t="str">
        <f>SUBSTITUTE(F80,K80,"")</f>
        <v>73</v>
      </c>
      <c r="M80" s="20" t="str">
        <f>"["&amp;IF(K80=$H$1,$L$1&amp;".xls]PARAMETER!Z"&amp;L80&amp;"S4",K80&amp;".xls]TEXT!Z"&amp;L80&amp;"S5")</f>
        <v>[EP.xls]TEXT!Z73S5</v>
      </c>
    </row>
    <row r="81" spans="1:14">
      <c r="A81" s="509">
        <f>ROW()</f>
        <v>81</v>
      </c>
      <c r="B81" s="20" t="s">
        <v>1785</v>
      </c>
      <c r="C81" s="20">
        <v>0</v>
      </c>
      <c r="D81" s="20">
        <v>0</v>
      </c>
      <c r="E81" s="20" t="s">
        <v>1495</v>
      </c>
      <c r="F81" s="20">
        <v>0</v>
      </c>
      <c r="G81" s="510" t="str">
        <f t="shared" si="24"/>
        <v>EP</v>
      </c>
      <c r="H81" s="20" t="str">
        <f t="shared" si="25"/>
        <v>80</v>
      </c>
      <c r="I81" s="20" t="str">
        <f t="shared" si="26"/>
        <v>[EP.xls]TEXT!Z80S5</v>
      </c>
    </row>
    <row r="82" spans="1:14">
      <c r="A82" s="509">
        <f>ROW()</f>
        <v>82</v>
      </c>
      <c r="B82" s="20" t="s">
        <v>1786</v>
      </c>
      <c r="C82" s="20">
        <v>39.103999999999999</v>
      </c>
      <c r="D82" s="20">
        <v>18.8</v>
      </c>
      <c r="E82" s="20" t="s">
        <v>1518</v>
      </c>
      <c r="F82" s="20" t="s">
        <v>1518</v>
      </c>
      <c r="G82" s="510" t="str">
        <f t="shared" si="24"/>
        <v>EP</v>
      </c>
      <c r="H82" s="20" t="str">
        <f t="shared" si="25"/>
        <v>76</v>
      </c>
      <c r="I82" s="20" t="str">
        <f t="shared" si="26"/>
        <v>[EP.xls]TEXT!Z76S5</v>
      </c>
      <c r="K82" s="20" t="str">
        <f>LEFT(F82,2)</f>
        <v>EP</v>
      </c>
      <c r="L82" s="20" t="str">
        <f>SUBSTITUTE(F82,K82,"")</f>
        <v>76</v>
      </c>
      <c r="M82" s="20" t="str">
        <f>"["&amp;IF(K82=$H$1,$L$1&amp;".xls]PARAMETER!Z"&amp;L82&amp;"S4",K82&amp;".xls]TEXT!Z"&amp;L82&amp;"S5")</f>
        <v>[EP.xls]TEXT!Z76S5</v>
      </c>
    </row>
    <row r="83" spans="1:14">
      <c r="A83" s="509">
        <f>ROW()</f>
        <v>83</v>
      </c>
      <c r="B83" s="460" t="s">
        <v>1787</v>
      </c>
      <c r="C83" s="460">
        <v>0</v>
      </c>
      <c r="D83" s="460">
        <v>0</v>
      </c>
      <c r="E83" s="460" t="s">
        <v>1788</v>
      </c>
      <c r="F83" s="460" t="s">
        <v>1363</v>
      </c>
      <c r="G83" s="514" t="str">
        <f>LEFT(E83,2)</f>
        <v>EP</v>
      </c>
      <c r="H83" s="460" t="str">
        <f>SUBSTITUTE(E83,G83,"")</f>
        <v>25</v>
      </c>
      <c r="I83" s="460" t="str">
        <f>"["&amp;G83&amp;".xls]TEXT!Z"&amp;H83&amp;"S5"</f>
        <v>[EP.xls]TEXT!Z25S5</v>
      </c>
      <c r="J83" s="460"/>
      <c r="K83" s="460" t="str">
        <f>LEFT(F83,2)</f>
        <v>EP</v>
      </c>
      <c r="L83" s="460" t="str">
        <f>SUBSTITUTE(F83,K83,"")</f>
        <v>45</v>
      </c>
      <c r="M83" s="460" t="str">
        <f>"["&amp;IF(K83=$H$1,$L$1&amp;".xls]PARAMETER!Z"&amp;L83&amp;"S4",K83&amp;".xls]TEXT!Z"&amp;L83&amp;"S5")</f>
        <v>[EP.xls]TEXT!Z45S5</v>
      </c>
      <c r="N83" s="460"/>
    </row>
    <row r="84" spans="1:14">
      <c r="A84" s="509">
        <f>ROW()</f>
        <v>84</v>
      </c>
      <c r="B84" s="20">
        <v>0</v>
      </c>
      <c r="C84" s="20">
        <v>0</v>
      </c>
      <c r="D84" s="20">
        <v>0</v>
      </c>
      <c r="E84" s="20">
        <v>0</v>
      </c>
      <c r="F84" s="20">
        <v>0</v>
      </c>
      <c r="G84" s="510"/>
    </row>
    <row r="85" spans="1:14">
      <c r="A85" s="509">
        <f>ROW()</f>
        <v>85</v>
      </c>
      <c r="B85" s="20" t="s">
        <v>1789</v>
      </c>
      <c r="C85" s="20">
        <v>0</v>
      </c>
      <c r="D85" s="20">
        <v>0</v>
      </c>
      <c r="E85" s="20" t="s">
        <v>1790</v>
      </c>
      <c r="F85" s="20" t="s">
        <v>1790</v>
      </c>
      <c r="G85" s="510" t="str">
        <f>LEFT(E85,2)</f>
        <v>EP</v>
      </c>
      <c r="H85" s="20" t="str">
        <f>SUBSTITUTE(E85,G85,"")</f>
        <v>10</v>
      </c>
      <c r="I85" s="20" t="str">
        <f>"["&amp;G85&amp;".xls]TEXT!Z"&amp;H85&amp;"S5"</f>
        <v>[EP.xls]TEXT!Z10S5</v>
      </c>
      <c r="K85" s="20" t="str">
        <f>LEFT(F85,2)</f>
        <v>EP</v>
      </c>
      <c r="L85" s="20" t="str">
        <f>SUBSTITUTE(F85,K85,"")</f>
        <v>10</v>
      </c>
      <c r="M85" s="20" t="str">
        <f>"["&amp;IF(K85=$H$1,$L$1&amp;".xls]PARAMETER!Z"&amp;L85&amp;"S4",K85&amp;".xls]TEXT!Z"&amp;L85&amp;"S5")</f>
        <v>[EP.xls]TEXT!Z10S5</v>
      </c>
    </row>
    <row r="86" spans="1:14">
      <c r="A86" s="509">
        <f>ROW()</f>
        <v>86</v>
      </c>
      <c r="B86" s="20">
        <v>0</v>
      </c>
      <c r="C86" s="20">
        <v>0</v>
      </c>
      <c r="D86" s="20">
        <v>0</v>
      </c>
      <c r="E86" s="20">
        <v>0</v>
      </c>
      <c r="F86" s="20">
        <v>0</v>
      </c>
      <c r="G86" s="510"/>
    </row>
    <row r="87" spans="1:14">
      <c r="A87" s="509">
        <f>ROW()</f>
        <v>87</v>
      </c>
      <c r="B87" s="20">
        <v>0</v>
      </c>
      <c r="C87" s="20">
        <v>0</v>
      </c>
      <c r="D87" s="20">
        <v>0</v>
      </c>
      <c r="E87" s="20">
        <v>0</v>
      </c>
      <c r="F87" s="20">
        <v>0</v>
      </c>
      <c r="G87" s="510"/>
    </row>
    <row r="88" spans="1:14">
      <c r="A88" s="509">
        <f>ROW()</f>
        <v>88</v>
      </c>
      <c r="B88" s="20" t="s">
        <v>1791</v>
      </c>
      <c r="C88" s="20">
        <v>0</v>
      </c>
      <c r="D88" s="20">
        <v>0</v>
      </c>
      <c r="E88" s="20" t="s">
        <v>1790</v>
      </c>
      <c r="F88" s="20" t="s">
        <v>1790</v>
      </c>
      <c r="G88" s="510" t="str">
        <f>LEFT(E88,2)</f>
        <v>EP</v>
      </c>
      <c r="H88" s="20" t="str">
        <f>SUBSTITUTE(E88,G88,"")</f>
        <v>10</v>
      </c>
      <c r="I88" s="20" t="str">
        <f>"["&amp;G88&amp;".xls]TEXT!Z"&amp;H88&amp;"S5"</f>
        <v>[EP.xls]TEXT!Z10S5</v>
      </c>
      <c r="K88" s="20" t="str">
        <f>LEFT(F88,2)</f>
        <v>EP</v>
      </c>
      <c r="L88" s="20" t="str">
        <f>SUBSTITUTE(F88,K88,"")</f>
        <v>10</v>
      </c>
      <c r="M88" s="20" t="str">
        <f>"["&amp;IF(K88=$H$1,$L$1&amp;".xls]PARAMETER!Z"&amp;L88&amp;"S4",K88&amp;".xls]TEXT!Z"&amp;L88&amp;"S5")</f>
        <v>[EP.xls]TEXT!Z10S5</v>
      </c>
    </row>
    <row r="89" spans="1:14" s="460" customFormat="1" ht="13">
      <c r="A89" s="509">
        <f>ROW()</f>
        <v>89</v>
      </c>
      <c r="B89" s="460" t="s">
        <v>1792</v>
      </c>
      <c r="C89" s="460">
        <v>0</v>
      </c>
      <c r="D89" s="460">
        <v>0</v>
      </c>
      <c r="E89" s="460" t="s">
        <v>1793</v>
      </c>
      <c r="F89" s="460" t="s">
        <v>1363</v>
      </c>
      <c r="G89" s="514" t="str">
        <f>LEFT(E89,2)</f>
        <v>EP</v>
      </c>
      <c r="H89" s="460" t="str">
        <f>SUBSTITUTE(E89,G89,"")</f>
        <v>35</v>
      </c>
      <c r="I89" s="460" t="str">
        <f>"["&amp;G89&amp;".xls]TEXT!Z"&amp;H89&amp;"S5"</f>
        <v>[EP.xls]TEXT!Z35S5</v>
      </c>
      <c r="K89" s="460" t="str">
        <f>LEFT(F89,2)</f>
        <v>EP</v>
      </c>
      <c r="L89" s="460" t="str">
        <f>SUBSTITUTE(F89,K89,"")</f>
        <v>45</v>
      </c>
      <c r="M89" s="460" t="str">
        <f>"["&amp;IF(K89=$H$1,$L$1&amp;".xls]PARAMETER!Z"&amp;L89&amp;"S4",K89&amp;".xls]TEXT!Z"&amp;L89&amp;"S5")</f>
        <v>[EP.xls]TEXT!Z45S5</v>
      </c>
    </row>
    <row r="90" spans="1:14">
      <c r="A90" s="509">
        <f>ROW()</f>
        <v>90</v>
      </c>
      <c r="B90" s="20" t="s">
        <v>1794</v>
      </c>
      <c r="C90" s="20">
        <v>0</v>
      </c>
      <c r="D90" s="20">
        <v>100</v>
      </c>
      <c r="E90" s="20">
        <v>0</v>
      </c>
      <c r="F90" s="20" t="s">
        <v>1795</v>
      </c>
      <c r="G90" s="510"/>
      <c r="K90" s="20" t="str">
        <f>LEFT(F90,2)</f>
        <v>EP</v>
      </c>
      <c r="L90" s="20" t="str">
        <f>SUBSTITUTE(F90,K90,"")</f>
        <v>99</v>
      </c>
      <c r="M90" s="20" t="str">
        <f>"["&amp;IF(K90=$H$1,$L$1&amp;".xls]PARAMETER!Z"&amp;L90&amp;"S4",K90&amp;".xls]TEXT!Z"&amp;L90&amp;"S5")</f>
        <v>[EP.xls]TEXT!Z99S5</v>
      </c>
    </row>
    <row r="91" spans="1:14">
      <c r="A91" s="509">
        <f>ROW()</f>
        <v>91</v>
      </c>
      <c r="B91" s="20" t="s">
        <v>1796</v>
      </c>
      <c r="C91" s="20">
        <v>306.52100541788781</v>
      </c>
      <c r="D91" s="20">
        <v>0</v>
      </c>
      <c r="E91" s="20" t="s">
        <v>1534</v>
      </c>
      <c r="F91" s="20">
        <v>0</v>
      </c>
      <c r="G91" s="510" t="str">
        <f>LEFT(E91,2)</f>
        <v>EP</v>
      </c>
      <c r="H91" s="20" t="str">
        <f>SUBSTITUTE(E91,G91,"")</f>
        <v>101</v>
      </c>
      <c r="I91" s="20" t="str">
        <f>"["&amp;G91&amp;".xls]TEXT!Z"&amp;H91&amp;"S5"</f>
        <v>[EP.xls]TEXT!Z101S5</v>
      </c>
    </row>
    <row r="92" spans="1:14">
      <c r="A92" s="509">
        <f>ROW()</f>
        <v>92</v>
      </c>
      <c r="B92" s="20" t="s">
        <v>1797</v>
      </c>
      <c r="C92" s="20">
        <v>15.637500000000003</v>
      </c>
      <c r="D92" s="20">
        <v>7.8187500000000014</v>
      </c>
      <c r="E92" s="20" t="s">
        <v>1538</v>
      </c>
      <c r="F92" s="20" t="s">
        <v>1538</v>
      </c>
      <c r="G92" s="510" t="str">
        <f t="shared" si="24"/>
        <v>EP</v>
      </c>
      <c r="H92" s="20" t="str">
        <f t="shared" si="25"/>
        <v>92</v>
      </c>
      <c r="I92" s="20" t="str">
        <f t="shared" si="26"/>
        <v>[EP.xls]TEXT!Z92S5</v>
      </c>
      <c r="K92" s="20" t="str">
        <f>LEFT(F92,2)</f>
        <v>EP</v>
      </c>
      <c r="L92" s="20" t="str">
        <f>SUBSTITUTE(F92,K92,"")</f>
        <v>92</v>
      </c>
      <c r="M92" s="20" t="str">
        <f>"["&amp;IF(K92=$H$1,$L$1&amp;".xls]PARAMETER!Z"&amp;L92&amp;"S4",K92&amp;".xls]TEXT!Z"&amp;L92&amp;"S5")</f>
        <v>[EP.xls]TEXT!Z92S5</v>
      </c>
    </row>
    <row r="93" spans="1:14">
      <c r="A93" s="509">
        <f>ROW()</f>
        <v>93</v>
      </c>
      <c r="B93" s="20" t="s">
        <v>1798</v>
      </c>
      <c r="C93" s="20">
        <v>61.343517778369893</v>
      </c>
      <c r="D93" s="20">
        <v>0</v>
      </c>
      <c r="E93" s="20" t="s">
        <v>1534</v>
      </c>
      <c r="F93" s="20">
        <v>0</v>
      </c>
      <c r="G93" s="510"/>
    </row>
    <row r="94" spans="1:14">
      <c r="A94" s="509">
        <f>ROW()</f>
        <v>94</v>
      </c>
      <c r="B94" s="20" t="s">
        <v>1799</v>
      </c>
      <c r="C94" s="20">
        <v>4.691250000000001</v>
      </c>
      <c r="D94" s="20">
        <v>2.7365625000000007</v>
      </c>
      <c r="E94" s="20" t="s">
        <v>1545</v>
      </c>
      <c r="F94" s="20" t="s">
        <v>1545</v>
      </c>
      <c r="G94" s="510" t="str">
        <f t="shared" si="24"/>
        <v>EP</v>
      </c>
      <c r="H94" s="20" t="str">
        <f t="shared" si="25"/>
        <v>95</v>
      </c>
      <c r="I94" s="20" t="str">
        <f t="shared" si="26"/>
        <v>[EP.xls]TEXT!Z95S5</v>
      </c>
      <c r="K94" s="20" t="str">
        <f>LEFT(F94,2)</f>
        <v>EP</v>
      </c>
      <c r="L94" s="20" t="str">
        <f>SUBSTITUTE(F94,K94,"")</f>
        <v>95</v>
      </c>
      <c r="M94" s="20" t="str">
        <f>"["&amp;IF(K94=$H$1,$L$1&amp;".xls]PARAMETER!Z"&amp;L94&amp;"S4",K94&amp;".xls]TEXT!Z"&amp;L94&amp;"S5")</f>
        <v>[EP.xls]TEXT!Z95S5</v>
      </c>
    </row>
    <row r="95" spans="1:14" ht="16" thickBot="1">
      <c r="A95" s="515">
        <f>ROW()</f>
        <v>95</v>
      </c>
      <c r="B95" s="20" t="s">
        <v>1800</v>
      </c>
      <c r="C95" s="20">
        <v>5.6295000000000002</v>
      </c>
      <c r="D95" s="20">
        <v>3.5184375000000006</v>
      </c>
      <c r="E95" s="20" t="s">
        <v>1549</v>
      </c>
      <c r="F95" s="20" t="s">
        <v>1549</v>
      </c>
      <c r="G95" s="516" t="str">
        <f t="shared" si="24"/>
        <v>EP</v>
      </c>
      <c r="H95" s="517" t="str">
        <f t="shared" si="25"/>
        <v>96</v>
      </c>
      <c r="I95" s="517" t="str">
        <f t="shared" si="26"/>
        <v>[EP.xls]TEXT!Z96S5</v>
      </c>
      <c r="J95" s="517"/>
      <c r="K95" s="517" t="str">
        <f>LEFT(F95,2)</f>
        <v>EP</v>
      </c>
      <c r="L95" s="517" t="str">
        <f>SUBSTITUTE(F95,K95,"")</f>
        <v>96</v>
      </c>
      <c r="M95" s="517" t="str">
        <f>"["&amp;IF(K95=$H$1,$L$1&amp;".xls]PARAMETER!Z"&amp;L95&amp;"S4",K95&amp;".xls]TEXT!Z"&amp;L95&amp;"S5")</f>
        <v>[EP.xls]TEXT!Z96S5</v>
      </c>
      <c r="N95" s="517"/>
    </row>
    <row r="96" spans="1:14" ht="16" thickTop="1">
      <c r="A96" s="509">
        <f>ROW()</f>
        <v>96</v>
      </c>
      <c r="B96" s="20" t="s">
        <v>1801</v>
      </c>
      <c r="C96" s="20" t="s">
        <v>1802</v>
      </c>
      <c r="D96" s="20">
        <v>0</v>
      </c>
      <c r="E96" s="20" t="s">
        <v>1803</v>
      </c>
      <c r="F96" s="20">
        <v>0</v>
      </c>
      <c r="G96" s="510" t="str">
        <f>LEFT(E96,2)</f>
        <v>UG</v>
      </c>
      <c r="H96" s="20" t="str">
        <f>SUBSTITUTE(E96,G96,"")</f>
        <v>5</v>
      </c>
      <c r="I96" s="20" t="str">
        <f>"["&amp;G96&amp;".xls]TEXT!Z"&amp;H96&amp;"S5"</f>
        <v>[UG.xls]TEXT!Z5S5</v>
      </c>
    </row>
    <row r="97" spans="1:13">
      <c r="A97" s="509">
        <f>ROW()</f>
        <v>97</v>
      </c>
      <c r="B97" s="20" t="s">
        <v>1804</v>
      </c>
      <c r="C97" s="20">
        <v>0</v>
      </c>
      <c r="D97" s="20">
        <v>13.33333333333333</v>
      </c>
      <c r="E97" s="20">
        <v>0</v>
      </c>
      <c r="F97" s="20" t="s">
        <v>1554</v>
      </c>
      <c r="G97" s="510"/>
      <c r="K97" s="20" t="str">
        <f>LEFT(F97,2)</f>
        <v>UG</v>
      </c>
      <c r="L97" s="20" t="str">
        <f>SUBSTITUTE(F97,K97,"")</f>
        <v>31</v>
      </c>
      <c r="M97" s="20" t="str">
        <f>"["&amp;IF(K97=$H$1,$L$1&amp;".xls]PARAMETER!Z"&amp;L97&amp;"S4",K97&amp;".xls]TEXT!Z"&amp;L97&amp;"S5")</f>
        <v>[UG.xls]TEXT!Z31S5</v>
      </c>
    </row>
    <row r="98" spans="1:13">
      <c r="A98" s="509">
        <f>ROW()</f>
        <v>98</v>
      </c>
      <c r="B98" s="20" t="s">
        <v>1805</v>
      </c>
      <c r="C98" s="20">
        <v>5.9569586760011853E-2</v>
      </c>
      <c r="D98" s="20">
        <v>0</v>
      </c>
      <c r="E98" s="20" t="s">
        <v>1553</v>
      </c>
      <c r="F98" s="20">
        <v>0</v>
      </c>
      <c r="G98" s="510" t="str">
        <f t="shared" si="24"/>
        <v>UG</v>
      </c>
      <c r="H98" s="20" t="str">
        <f t="shared" si="25"/>
        <v>28</v>
      </c>
      <c r="I98" s="20" t="str">
        <f t="shared" si="26"/>
        <v>[UG.xls]TEXT!Z28S5</v>
      </c>
    </row>
    <row r="99" spans="1:13">
      <c r="A99" s="509">
        <f>ROW()</f>
        <v>99</v>
      </c>
      <c r="B99" s="20" t="s">
        <v>1806</v>
      </c>
      <c r="C99" s="20">
        <v>1500</v>
      </c>
      <c r="D99" s="20">
        <v>1357.1428571428571</v>
      </c>
      <c r="E99" s="20" t="s">
        <v>1558</v>
      </c>
      <c r="F99" s="20" t="s">
        <v>1559</v>
      </c>
      <c r="G99" s="510" t="str">
        <f t="shared" si="24"/>
        <v>UG</v>
      </c>
      <c r="H99" s="20" t="str">
        <f t="shared" si="25"/>
        <v>40</v>
      </c>
      <c r="I99" s="20" t="str">
        <f t="shared" si="26"/>
        <v>[UG.xls]TEXT!Z40S5</v>
      </c>
      <c r="K99" s="20" t="str">
        <f>LEFT(F99,2)</f>
        <v>UG</v>
      </c>
      <c r="L99" s="20" t="str">
        <f>SUBSTITUTE(F99,K99,"")</f>
        <v>44</v>
      </c>
      <c r="M99" s="20" t="str">
        <f>"["&amp;IF(K99=$H$1,$L$1&amp;".xls]PARAMETER!Z"&amp;L99&amp;"S4",K99&amp;".xls]TEXT!Z"&amp;L99&amp;"S5")</f>
        <v>[UG.xls]TEXT!Z44S5</v>
      </c>
    </row>
    <row r="100" spans="1:13">
      <c r="A100" s="509">
        <f>ROW()</f>
        <v>100</v>
      </c>
      <c r="B100" s="20" t="s">
        <v>1807</v>
      </c>
      <c r="C100" s="20">
        <v>-500</v>
      </c>
      <c r="D100" s="20">
        <v>-357.14285714285717</v>
      </c>
      <c r="E100" s="20" t="s">
        <v>1558</v>
      </c>
      <c r="F100" s="20" t="s">
        <v>1559</v>
      </c>
      <c r="G100" s="510" t="str">
        <f t="shared" si="24"/>
        <v>UG</v>
      </c>
      <c r="H100" s="20" t="str">
        <f t="shared" si="25"/>
        <v>40</v>
      </c>
      <c r="I100" s="20" t="str">
        <f t="shared" si="26"/>
        <v>[UG.xls]TEXT!Z40S5</v>
      </c>
      <c r="K100" s="20" t="str">
        <f>LEFT(F100,2)</f>
        <v>UG</v>
      </c>
      <c r="L100" s="20" t="str">
        <f>SUBSTITUTE(F100,K100,"")</f>
        <v>44</v>
      </c>
      <c r="M100" s="20" t="str">
        <f>"["&amp;IF(K100=$H$1,$L$1&amp;".xls]PARAMETER!Z"&amp;L100&amp;"S4",K100&amp;".xls]TEXT!Z"&amp;L100&amp;"S5")</f>
        <v>[UG.xls]TEXT!Z44S5</v>
      </c>
    </row>
    <row r="101" spans="1:13">
      <c r="A101" s="509">
        <f>ROW()</f>
        <v>101</v>
      </c>
      <c r="B101" s="20" t="s">
        <v>1808</v>
      </c>
      <c r="C101" s="20">
        <v>0</v>
      </c>
      <c r="D101" s="20">
        <v>100</v>
      </c>
      <c r="E101" s="20">
        <v>0</v>
      </c>
      <c r="F101" s="20" t="s">
        <v>1809</v>
      </c>
      <c r="G101" s="510"/>
      <c r="K101" s="20" t="str">
        <f>LEFT(F101,2)</f>
        <v>UG</v>
      </c>
      <c r="L101" s="20" t="str">
        <f>SUBSTITUTE(F101,K101,"")</f>
        <v>85</v>
      </c>
      <c r="M101" s="20" t="str">
        <f>"["&amp;IF(K101=$H$1,$L$1&amp;".xls]PARAMETER!Z"&amp;L101&amp;"S4",K101&amp;".xls]TEXT!Z"&amp;L101&amp;"S5")</f>
        <v>[UG.xls]TEXT!Z85S5</v>
      </c>
    </row>
    <row r="102" spans="1:13">
      <c r="A102" s="509">
        <f>ROW()</f>
        <v>102</v>
      </c>
      <c r="B102" s="20" t="s">
        <v>1810</v>
      </c>
      <c r="C102" s="20" t="s">
        <v>49</v>
      </c>
      <c r="D102" s="20">
        <v>0</v>
      </c>
      <c r="E102" s="20" t="s">
        <v>1811</v>
      </c>
      <c r="F102" s="20">
        <v>0</v>
      </c>
      <c r="G102" s="510" t="str">
        <f>LEFT(E102,2)</f>
        <v>UG</v>
      </c>
      <c r="H102" s="20" t="str">
        <f>SUBSTITUTE(E102,G102,"")</f>
        <v>81</v>
      </c>
      <c r="I102" s="20" t="str">
        <f>"["&amp;G102&amp;".xls]TEXT!Z"&amp;H102&amp;"S5"</f>
        <v>[UG.xls]TEXT!Z81S5</v>
      </c>
    </row>
    <row r="103" spans="1:13">
      <c r="A103" s="509">
        <f>ROW()</f>
        <v>103</v>
      </c>
      <c r="B103" s="20" t="s">
        <v>1812</v>
      </c>
      <c r="C103" s="20">
        <v>1.9867680000000001</v>
      </c>
      <c r="D103" s="20">
        <v>1.9867680000000001</v>
      </c>
      <c r="E103" s="20" t="s">
        <v>1569</v>
      </c>
      <c r="F103" s="20" t="s">
        <v>1569</v>
      </c>
      <c r="G103" s="510" t="str">
        <f>LEFT(E103,2)</f>
        <v>UG</v>
      </c>
      <c r="H103" s="20" t="str">
        <f>SUBSTITUTE(E103,G103,"")</f>
        <v>93</v>
      </c>
      <c r="I103" s="20" t="str">
        <f>"["&amp;G103&amp;".xls]TEXT!Z"&amp;H103&amp;"S5"</f>
        <v>[UG.xls]TEXT!Z93S5</v>
      </c>
      <c r="K103" s="20" t="str">
        <f>LEFT(F103,2)</f>
        <v>UG</v>
      </c>
      <c r="L103" s="20" t="str">
        <f>SUBSTITUTE(F103,K103,"")</f>
        <v>93</v>
      </c>
      <c r="M103" s="20" t="str">
        <f>"["&amp;IF(K103=$H$1,$L$1&amp;".xls]PARAMETER!Z"&amp;L103&amp;"S4",K103&amp;".xls]TEXT!Z"&amp;L103&amp;"S5")</f>
        <v>[UG.xls]TEXT!Z93S5</v>
      </c>
    </row>
    <row r="104" spans="1:13">
      <c r="A104" s="509">
        <f>ROW()</f>
        <v>104</v>
      </c>
      <c r="B104" s="20">
        <v>0</v>
      </c>
      <c r="C104" s="20">
        <v>0</v>
      </c>
      <c r="D104" s="20">
        <v>0</v>
      </c>
      <c r="E104" s="20">
        <v>0</v>
      </c>
      <c r="F104" s="20">
        <v>0</v>
      </c>
      <c r="G104" s="510"/>
    </row>
    <row r="105" spans="1:13">
      <c r="A105" s="509">
        <f>ROW()</f>
        <v>105</v>
      </c>
      <c r="B105" s="20">
        <v>0</v>
      </c>
      <c r="C105" s="20">
        <v>0</v>
      </c>
      <c r="D105" s="20">
        <v>0</v>
      </c>
      <c r="E105" s="20">
        <v>0</v>
      </c>
      <c r="F105" s="20">
        <v>0</v>
      </c>
      <c r="G105" s="510"/>
    </row>
    <row r="106" spans="1:13">
      <c r="A106" s="509">
        <f>ROW()</f>
        <v>106</v>
      </c>
      <c r="B106" s="20" t="s">
        <v>1813</v>
      </c>
      <c r="C106" s="20">
        <v>0.11037599999999997</v>
      </c>
      <c r="D106" s="20">
        <v>0.11037599999999997</v>
      </c>
      <c r="E106" s="20" t="s">
        <v>1576</v>
      </c>
      <c r="F106" s="20" t="s">
        <v>1576</v>
      </c>
      <c r="G106" s="510" t="str">
        <f>LEFT(E106,2)</f>
        <v>UG</v>
      </c>
      <c r="H106" s="20" t="str">
        <f>SUBSTITUTE(E106,G106,"")</f>
        <v>98</v>
      </c>
      <c r="I106" s="20" t="str">
        <f>"["&amp;G106&amp;".xls]TEXT!Z"&amp;H106&amp;"S5"</f>
        <v>[UG.xls]TEXT!Z98S5</v>
      </c>
      <c r="K106" s="20" t="str">
        <f>LEFT(F106,2)</f>
        <v>UG</v>
      </c>
      <c r="L106" s="20" t="str">
        <f>SUBSTITUTE(F106,K106,"")</f>
        <v>98</v>
      </c>
      <c r="M106" s="20" t="str">
        <f>"["&amp;IF(K106=$H$1,$L$1&amp;".xls]PARAMETER!Z"&amp;L106&amp;"S4",K106&amp;".xls]TEXT!Z"&amp;L106&amp;"S5")</f>
        <v>[UG.xls]TEXT!Z98S5</v>
      </c>
    </row>
    <row r="107" spans="1:13">
      <c r="A107" s="509">
        <f>ROW()</f>
        <v>107</v>
      </c>
      <c r="B107" s="20" t="s">
        <v>1814</v>
      </c>
      <c r="C107" s="20">
        <v>0.59603039999999996</v>
      </c>
      <c r="D107" s="20">
        <v>0.59603039999999996</v>
      </c>
      <c r="E107" s="20" t="s">
        <v>1580</v>
      </c>
      <c r="F107" s="20" t="s">
        <v>1580</v>
      </c>
      <c r="G107" s="510" t="str">
        <f>LEFT(E107,2)</f>
        <v>UG</v>
      </c>
      <c r="H107" s="20" t="str">
        <f>SUBSTITUTE(E107,G107,"")</f>
        <v>99</v>
      </c>
      <c r="I107" s="20" t="str">
        <f>"["&amp;G107&amp;".xls]TEXT!Z"&amp;H107&amp;"S5"</f>
        <v>[UG.xls]TEXT!Z99S5</v>
      </c>
      <c r="K107" s="20" t="str">
        <f>LEFT(F107,2)</f>
        <v>UG</v>
      </c>
      <c r="L107" s="20" t="str">
        <f>SUBSTITUTE(F107,K107,"")</f>
        <v>99</v>
      </c>
      <c r="M107" s="20" t="str">
        <f>"["&amp;IF(K107=$H$1,$L$1&amp;".xls]PARAMETER!Z"&amp;L107&amp;"S4",K107&amp;".xls]TEXT!Z"&amp;L107&amp;"S5")</f>
        <v>[UG.xls]TEXT!Z99S5</v>
      </c>
    </row>
    <row r="108" spans="1:13">
      <c r="A108" s="509">
        <f>ROW()</f>
        <v>108</v>
      </c>
      <c r="B108" s="20">
        <v>0</v>
      </c>
      <c r="C108" s="20">
        <v>0</v>
      </c>
      <c r="D108" s="20">
        <v>0</v>
      </c>
      <c r="E108" s="20">
        <v>0</v>
      </c>
      <c r="F108" s="20">
        <v>0</v>
      </c>
      <c r="G108" s="510"/>
    </row>
    <row r="109" spans="1:13">
      <c r="A109" s="509">
        <f>ROW()</f>
        <v>109</v>
      </c>
      <c r="B109" s="20" t="s">
        <v>1815</v>
      </c>
      <c r="C109" s="20">
        <v>0</v>
      </c>
      <c r="D109" s="20">
        <v>0</v>
      </c>
      <c r="E109" s="20">
        <v>0</v>
      </c>
      <c r="F109" s="20" t="s">
        <v>1353</v>
      </c>
      <c r="G109" s="510" t="str">
        <f>LEFT(E109,2)</f>
        <v>0</v>
      </c>
      <c r="H109" s="20" t="str">
        <f>SUBSTITUTE(E109,G109,"")</f>
        <v/>
      </c>
      <c r="I109" s="20" t="str">
        <f>"["&amp;G109&amp;".xls]TEXT!Z"&amp;H109&amp;"S5"</f>
        <v>[0.xls]TEXT!ZS5</v>
      </c>
      <c r="K109" s="20" t="str">
        <f>LEFT(F109,2)</f>
        <v>So</v>
      </c>
      <c r="L109" s="20" t="str">
        <f>SUBSTITUTE(F109,K109,"")</f>
        <v xml:space="preserve">36 </v>
      </c>
      <c r="M109" s="20" t="str">
        <f>"["&amp;IF(K109=$H$1,$L$1&amp;".xls]PARAMETER!Z"&amp;L109&amp;"S4",K109&amp;".xls]TEXT!Z"&amp;L109&amp;"S5")</f>
        <v>[So.xls]TEXT!Z36 S5</v>
      </c>
    </row>
    <row r="110" spans="1:13">
      <c r="A110" s="509">
        <f>ROW()</f>
        <v>110</v>
      </c>
      <c r="B110" s="20" t="s">
        <v>1816</v>
      </c>
      <c r="C110" s="20">
        <v>0</v>
      </c>
      <c r="D110" s="20">
        <v>0</v>
      </c>
      <c r="E110" s="20" t="s">
        <v>1348</v>
      </c>
      <c r="F110" s="20">
        <v>0</v>
      </c>
      <c r="G110" s="510" t="str">
        <f>LEFT(E110,2)</f>
        <v>So</v>
      </c>
      <c r="H110" s="20" t="str">
        <f>SUBSTITUTE(E110,G110,"")</f>
        <v xml:space="preserve">60 </v>
      </c>
      <c r="I110" s="20" t="str">
        <f>"["&amp;G110&amp;".xls]TEXT!Z"&amp;H110&amp;"S5"</f>
        <v>[So.xls]TEXT!Z60 S5</v>
      </c>
    </row>
    <row r="111" spans="1:13">
      <c r="A111" s="509">
        <f>ROW()</f>
        <v>111</v>
      </c>
      <c r="B111" s="20" t="s">
        <v>1817</v>
      </c>
      <c r="C111" s="20">
        <v>0.16279618610894123</v>
      </c>
      <c r="D111" s="20">
        <v>0</v>
      </c>
      <c r="E111" s="20" t="s">
        <v>1818</v>
      </c>
      <c r="F111" s="20">
        <v>0</v>
      </c>
      <c r="G111" s="510" t="str">
        <f>LEFT(E111,2)</f>
        <v>So</v>
      </c>
      <c r="H111" s="20" t="str">
        <f>SUBSTITUTE(E111,G111,"")</f>
        <v xml:space="preserve">67 </v>
      </c>
      <c r="I111" s="20" t="str">
        <f>"["&amp;G111&amp;".xls]TEXT!Z"&amp;H111&amp;"S5"</f>
        <v>[So.xls]TEXT!Z67 S5</v>
      </c>
    </row>
    <row r="112" spans="1:13">
      <c r="A112" s="509">
        <f>ROW()</f>
        <v>112</v>
      </c>
      <c r="B112" s="20" t="s">
        <v>1819</v>
      </c>
      <c r="C112" s="20">
        <v>25.699387683346707</v>
      </c>
      <c r="D112" s="20">
        <v>0</v>
      </c>
      <c r="E112" s="20" t="s">
        <v>1400</v>
      </c>
      <c r="F112" s="20">
        <v>0</v>
      </c>
      <c r="G112" s="510" t="str">
        <f>LEFT(E112,2)</f>
        <v>So</v>
      </c>
      <c r="H112" s="20" t="str">
        <f>SUBSTITUTE(E112,G112,"")</f>
        <v xml:space="preserve">65 </v>
      </c>
      <c r="I112" s="20" t="str">
        <f>"["&amp;G112&amp;".xls]TEXT!Z"&amp;H112&amp;"S5"</f>
        <v>[So.xls]TEXT!Z65 S5</v>
      </c>
    </row>
    <row r="113" spans="1:15">
      <c r="A113" s="509">
        <f>ROW()</f>
        <v>113</v>
      </c>
      <c r="B113" s="20" t="s">
        <v>1820</v>
      </c>
      <c r="C113" s="20">
        <v>74.300612316653286</v>
      </c>
      <c r="D113" s="20">
        <v>0</v>
      </c>
      <c r="E113" s="20" t="s">
        <v>1410</v>
      </c>
      <c r="F113" s="20">
        <v>0</v>
      </c>
      <c r="G113" s="510" t="str">
        <f>LEFT(E113,2)</f>
        <v>So</v>
      </c>
      <c r="H113" s="20" t="str">
        <f>SUBSTITUTE(E113,G113,"")</f>
        <v xml:space="preserve">66 </v>
      </c>
      <c r="I113" s="20" t="str">
        <f>"["&amp;G113&amp;".xls]TEXT!Z"&amp;H113&amp;"S5"</f>
        <v>[So.xls]TEXT!Z66 S5</v>
      </c>
    </row>
    <row r="114" spans="1:15">
      <c r="A114" s="509">
        <f>ROW()</f>
        <v>114</v>
      </c>
      <c r="B114" s="20">
        <v>0</v>
      </c>
      <c r="C114" s="20">
        <v>0</v>
      </c>
      <c r="D114" s="20">
        <v>0</v>
      </c>
      <c r="E114" s="20">
        <v>0</v>
      </c>
      <c r="F114" s="20">
        <v>0</v>
      </c>
      <c r="G114" s="510"/>
    </row>
    <row r="115" spans="1:15">
      <c r="A115" s="509">
        <f>ROW()</f>
        <v>115</v>
      </c>
      <c r="B115" s="20">
        <v>0</v>
      </c>
      <c r="C115" s="20">
        <v>0</v>
      </c>
      <c r="D115" s="20">
        <v>0</v>
      </c>
      <c r="E115" s="20">
        <v>0</v>
      </c>
      <c r="F115" s="20">
        <v>0</v>
      </c>
      <c r="G115" s="510"/>
    </row>
    <row r="116" spans="1:15">
      <c r="A116" s="509">
        <f>ROW()</f>
        <v>116</v>
      </c>
      <c r="B116" s="20" t="s">
        <v>1821</v>
      </c>
      <c r="C116" s="20">
        <v>1781</v>
      </c>
      <c r="D116" s="20">
        <v>0</v>
      </c>
      <c r="E116" s="20" t="s">
        <v>1822</v>
      </c>
      <c r="F116" s="20">
        <v>0</v>
      </c>
      <c r="G116" s="510" t="str">
        <f>LEFT(E116,2)</f>
        <v>Wi</v>
      </c>
      <c r="H116" s="20" t="str">
        <f>SUBSTITUTE(E116,G116,"")</f>
        <v>22</v>
      </c>
      <c r="I116" s="20" t="str">
        <f>"["&amp;G116&amp;".xls]TEXT!Z"&amp;H116&amp;"S5"</f>
        <v>[Wi.xls]TEXT!Z22S5</v>
      </c>
    </row>
    <row r="117" spans="1:15">
      <c r="A117" s="509">
        <f>ROW()</f>
        <v>117</v>
      </c>
      <c r="B117" s="20" t="s">
        <v>1823</v>
      </c>
      <c r="C117" s="20">
        <v>0.32359191538222459</v>
      </c>
      <c r="D117" s="20">
        <v>0</v>
      </c>
      <c r="E117" s="20" t="s">
        <v>1824</v>
      </c>
      <c r="F117" s="20">
        <v>0</v>
      </c>
      <c r="G117" s="510" t="str">
        <f>LEFT(E117,2)</f>
        <v>Wi</v>
      </c>
      <c r="H117" s="20" t="str">
        <f>SUBSTITUTE(E117,G117,"")</f>
        <v>27</v>
      </c>
      <c r="I117" s="20" t="str">
        <f>"["&amp;G117&amp;".xls]TEXT!Z"&amp;H117&amp;"S5"</f>
        <v>[Wi.xls]TEXT!Z27S5</v>
      </c>
    </row>
    <row r="118" spans="1:15">
      <c r="A118" s="509">
        <f>ROW()</f>
        <v>118</v>
      </c>
      <c r="B118" s="20">
        <v>0</v>
      </c>
      <c r="C118" s="20">
        <v>0</v>
      </c>
      <c r="D118" s="20">
        <v>0</v>
      </c>
      <c r="E118" s="20">
        <v>0</v>
      </c>
      <c r="F118" s="20">
        <v>0</v>
      </c>
      <c r="G118" s="510"/>
    </row>
    <row r="119" spans="1:15">
      <c r="A119" s="509">
        <f>ROW()</f>
        <v>119</v>
      </c>
      <c r="B119" s="20" t="s">
        <v>1825</v>
      </c>
      <c r="C119" s="20">
        <v>2.6645926898285142</v>
      </c>
      <c r="D119" s="20">
        <v>0</v>
      </c>
      <c r="E119" s="20" t="s">
        <v>1362</v>
      </c>
      <c r="F119" s="20">
        <v>0</v>
      </c>
      <c r="G119" s="510" t="str">
        <f t="shared" ref="G119:G130" si="27">LEFT(E119,2)</f>
        <v>EP</v>
      </c>
      <c r="H119" s="20" t="str">
        <f t="shared" ref="H119:H130" si="28">SUBSTITUTE(E119,G119,"")</f>
        <v>23</v>
      </c>
      <c r="I119" s="20" t="str">
        <f t="shared" ref="I119:I130" si="29">"["&amp;G119&amp;".xls]TEXT!Z"&amp;H119&amp;"S5"</f>
        <v>[EP.xls]TEXT!Z23S5</v>
      </c>
    </row>
    <row r="120" spans="1:15">
      <c r="A120" s="509">
        <f>ROW()</f>
        <v>120</v>
      </c>
      <c r="B120" s="20" t="s">
        <v>1826</v>
      </c>
      <c r="C120" s="20">
        <v>33.99344062569687</v>
      </c>
      <c r="D120" s="20">
        <v>0</v>
      </c>
      <c r="E120" s="20" t="s">
        <v>1362</v>
      </c>
      <c r="F120" s="20">
        <v>0</v>
      </c>
      <c r="G120" s="510" t="str">
        <f>LEFT(E120,2)</f>
        <v>EP</v>
      </c>
      <c r="H120" s="20" t="str">
        <f>SUBSTITUTE(E120,G120,"")</f>
        <v>23</v>
      </c>
      <c r="I120" s="20" t="str">
        <f>"["&amp;G120&amp;".xls]TEXT!Z"&amp;H120&amp;"S5"</f>
        <v>[EP.xls]TEXT!Z23S5</v>
      </c>
    </row>
    <row r="121" spans="1:15">
      <c r="A121" s="509">
        <f>ROW()</f>
        <v>121</v>
      </c>
      <c r="B121" s="20" t="s">
        <v>1827</v>
      </c>
      <c r="C121" s="20">
        <v>58.494355294714062</v>
      </c>
      <c r="D121" s="20">
        <v>0</v>
      </c>
      <c r="E121" s="20" t="s">
        <v>1367</v>
      </c>
      <c r="F121" s="20">
        <v>0</v>
      </c>
      <c r="G121" s="510" t="str">
        <f>LEFT(E121,2)</f>
        <v>EP</v>
      </c>
      <c r="H121" s="20" t="str">
        <f>SUBSTITUTE(E121,G121,"")</f>
        <v>33</v>
      </c>
      <c r="I121" s="20" t="str">
        <f>"["&amp;G121&amp;".xls]TEXT!Z"&amp;H121&amp;"S5"</f>
        <v>[EP.xls]TEXT!Z33S5</v>
      </c>
    </row>
    <row r="122" spans="1:15">
      <c r="A122" s="509">
        <f>ROW()</f>
        <v>122</v>
      </c>
      <c r="B122" s="20" t="s">
        <v>1828</v>
      </c>
      <c r="C122" s="20">
        <v>4.7962668416913257</v>
      </c>
      <c r="D122" s="20">
        <v>0</v>
      </c>
      <c r="E122" s="20" t="s">
        <v>1367</v>
      </c>
      <c r="F122" s="20">
        <v>0</v>
      </c>
      <c r="G122" s="510" t="str">
        <f t="shared" si="27"/>
        <v>EP</v>
      </c>
      <c r="H122" s="20" t="str">
        <f t="shared" si="28"/>
        <v>33</v>
      </c>
      <c r="I122" s="20" t="str">
        <f t="shared" si="29"/>
        <v>[EP.xls]TEXT!Z33S5</v>
      </c>
    </row>
    <row r="123" spans="1:15">
      <c r="A123" s="509">
        <f>ROW()</f>
        <v>123</v>
      </c>
      <c r="B123" s="20" t="s">
        <v>1829</v>
      </c>
      <c r="C123" s="20">
        <v>67.149864329966391</v>
      </c>
      <c r="D123" s="20">
        <v>0</v>
      </c>
      <c r="E123" s="20" t="s">
        <v>1830</v>
      </c>
      <c r="F123" s="20">
        <v>0</v>
      </c>
      <c r="G123" s="510" t="str">
        <f t="shared" si="27"/>
        <v>EP</v>
      </c>
      <c r="H123" s="20" t="str">
        <f t="shared" si="28"/>
        <v>102</v>
      </c>
      <c r="I123" s="20" t="str">
        <f t="shared" si="29"/>
        <v>[EP.xls]TEXT!Z102S5</v>
      </c>
      <c r="O123" s="20" t="s">
        <v>131</v>
      </c>
    </row>
    <row r="124" spans="1:15">
      <c r="A124" s="509">
        <f>ROW()</f>
        <v>124</v>
      </c>
      <c r="B124" s="20" t="s">
        <v>1831</v>
      </c>
      <c r="C124" s="20">
        <v>335.53413096491346</v>
      </c>
      <c r="D124" s="20">
        <v>0</v>
      </c>
      <c r="E124" s="20" t="s">
        <v>1830</v>
      </c>
      <c r="F124" s="20">
        <v>0</v>
      </c>
      <c r="G124" s="510" t="str">
        <f t="shared" si="27"/>
        <v>EP</v>
      </c>
      <c r="H124" s="20" t="str">
        <f t="shared" si="28"/>
        <v>102</v>
      </c>
      <c r="I124" s="20" t="str">
        <f t="shared" si="29"/>
        <v>[EP.xls]TEXT!Z102S5</v>
      </c>
      <c r="O124" s="20" t="s">
        <v>132</v>
      </c>
    </row>
    <row r="125" spans="1:15">
      <c r="A125" s="509">
        <f>ROW()</f>
        <v>125</v>
      </c>
      <c r="B125" s="20" t="s">
        <v>1832</v>
      </c>
      <c r="C125" s="20" t="s">
        <v>1833</v>
      </c>
      <c r="D125" s="20">
        <v>0</v>
      </c>
      <c r="E125" s="20" t="s">
        <v>1834</v>
      </c>
      <c r="F125" s="20">
        <v>0</v>
      </c>
      <c r="G125" s="510" t="str">
        <f t="shared" si="27"/>
        <v>SW</v>
      </c>
      <c r="H125" s="20" t="str">
        <f t="shared" si="28"/>
        <v>5</v>
      </c>
      <c r="I125" s="20" t="str">
        <f t="shared" si="29"/>
        <v>[SW.xls]TEXT!Z5S5</v>
      </c>
    </row>
    <row r="126" spans="1:15">
      <c r="A126" s="509">
        <f>ROW()</f>
        <v>126</v>
      </c>
      <c r="B126" s="20" t="s">
        <v>1835</v>
      </c>
      <c r="C126" s="20">
        <v>0</v>
      </c>
      <c r="D126" s="20">
        <v>50</v>
      </c>
      <c r="E126" s="20" t="s">
        <v>1584</v>
      </c>
      <c r="F126" s="20" t="s">
        <v>1585</v>
      </c>
      <c r="G126" s="510" t="str">
        <f t="shared" si="27"/>
        <v>SW</v>
      </c>
      <c r="H126" s="20" t="str">
        <f t="shared" si="28"/>
        <v>52</v>
      </c>
      <c r="I126" s="20" t="str">
        <f t="shared" si="29"/>
        <v>[SW.xls]TEXT!Z52S5</v>
      </c>
      <c r="K126" s="20" t="str">
        <f>LEFT(F126,2)</f>
        <v>SW</v>
      </c>
      <c r="L126" s="20" t="str">
        <f>SUBSTITUTE(F126,K126,"")</f>
        <v>60</v>
      </c>
      <c r="M126" s="20" t="str">
        <f>"["&amp;IF(K126=$H$1,$L$1&amp;".xls]PARAMETER!Z"&amp;L126&amp;"S4",K126&amp;".xls]TEXT!Z"&amp;L126&amp;"S5")</f>
        <v>[SW.xls]TEXT!Z60S5</v>
      </c>
    </row>
    <row r="127" spans="1:15">
      <c r="A127" s="509">
        <f>ROW()</f>
        <v>127</v>
      </c>
      <c r="B127" s="20" t="s">
        <v>1836</v>
      </c>
      <c r="C127" s="20">
        <v>22</v>
      </c>
      <c r="D127" s="20">
        <v>30</v>
      </c>
      <c r="E127" s="20" t="s">
        <v>1589</v>
      </c>
      <c r="F127" s="20" t="s">
        <v>1589</v>
      </c>
      <c r="G127" s="510" t="str">
        <f t="shared" si="27"/>
        <v>SW</v>
      </c>
      <c r="H127" s="20" t="str">
        <f t="shared" si="28"/>
        <v>66</v>
      </c>
      <c r="I127" s="20" t="str">
        <f t="shared" si="29"/>
        <v>[SW.xls]TEXT!Z66S5</v>
      </c>
      <c r="K127" s="20" t="str">
        <f>LEFT(F127,2)</f>
        <v>SW</v>
      </c>
      <c r="L127" s="20" t="str">
        <f>SUBSTITUTE(F127,K127,"")</f>
        <v>66</v>
      </c>
      <c r="M127" s="20" t="str">
        <f>"["&amp;IF(K127=$H$1,$L$1&amp;".xls]PARAMETER!Z"&amp;L127&amp;"S4",K127&amp;".xls]TEXT!Z"&amp;L127&amp;"S5")</f>
        <v>[SW.xls]TEXT!Z66S5</v>
      </c>
    </row>
    <row r="128" spans="1:15">
      <c r="A128" s="509">
        <f>ROW()</f>
        <v>128</v>
      </c>
      <c r="B128" s="20" t="s">
        <v>1837</v>
      </c>
      <c r="C128" s="20">
        <v>0</v>
      </c>
      <c r="D128" s="20">
        <v>20</v>
      </c>
      <c r="E128" s="20" t="s">
        <v>1593</v>
      </c>
      <c r="F128" s="20" t="s">
        <v>1593</v>
      </c>
      <c r="G128" s="510" t="str">
        <f t="shared" si="27"/>
        <v>SW</v>
      </c>
      <c r="H128" s="20" t="str">
        <f t="shared" si="28"/>
        <v>75</v>
      </c>
      <c r="I128" s="20" t="str">
        <f t="shared" si="29"/>
        <v>[SW.xls]TEXT!Z75S5</v>
      </c>
      <c r="K128" s="20" t="str">
        <f>LEFT(F128,2)</f>
        <v>SW</v>
      </c>
      <c r="L128" s="20" t="str">
        <f>SUBSTITUTE(F128,K128,"")</f>
        <v>75</v>
      </c>
      <c r="M128" s="20" t="str">
        <f>"["&amp;IF(K128=$H$1,$L$1&amp;".xls]PARAMETER!Z"&amp;L128&amp;"S4",K128&amp;".xls]TEXT!Z"&amp;L128&amp;"S5")</f>
        <v>[SW.xls]TEXT!Z75S5</v>
      </c>
    </row>
    <row r="129" spans="1:13">
      <c r="A129" s="509">
        <f>ROW()</f>
        <v>129</v>
      </c>
      <c r="B129" s="20" t="s">
        <v>1838</v>
      </c>
      <c r="C129" s="20">
        <v>0</v>
      </c>
      <c r="D129" s="20" t="s">
        <v>49</v>
      </c>
      <c r="E129" s="20" t="s">
        <v>1597</v>
      </c>
      <c r="F129" s="20" t="s">
        <v>1598</v>
      </c>
      <c r="G129" s="510" t="str">
        <f t="shared" si="27"/>
        <v>SW</v>
      </c>
      <c r="H129" s="20" t="str">
        <f t="shared" si="28"/>
        <v>85</v>
      </c>
      <c r="I129" s="20" t="str">
        <f t="shared" si="29"/>
        <v>[SW.xls]TEXT!Z85S5</v>
      </c>
      <c r="K129" s="20" t="str">
        <f>LEFT(F129,2)</f>
        <v>SW</v>
      </c>
      <c r="L129" s="20" t="str">
        <f>SUBSTITUTE(F129,K129,"")</f>
        <v>88</v>
      </c>
      <c r="M129" s="20" t="str">
        <f>"["&amp;IF(K129=$H$1,$L$1&amp;".xls]PARAMETER!Z"&amp;L129&amp;"S4",K129&amp;".xls]TEXT!Z"&amp;L129&amp;"S5")</f>
        <v>[SW.xls]TEXT!Z88S5</v>
      </c>
    </row>
    <row r="130" spans="1:13">
      <c r="A130" s="509">
        <f>ROW()</f>
        <v>130</v>
      </c>
      <c r="B130" s="20" t="s">
        <v>1839</v>
      </c>
      <c r="C130" s="20">
        <v>65</v>
      </c>
      <c r="D130" s="20">
        <v>90</v>
      </c>
      <c r="E130" s="20" t="s">
        <v>1602</v>
      </c>
      <c r="F130" s="20" t="s">
        <v>1602</v>
      </c>
      <c r="G130" s="510" t="str">
        <f t="shared" si="27"/>
        <v>SW</v>
      </c>
      <c r="H130" s="20" t="str">
        <f t="shared" si="28"/>
        <v>93</v>
      </c>
      <c r="I130" s="20" t="str">
        <f t="shared" si="29"/>
        <v>[SW.xls]TEXT!Z93S5</v>
      </c>
      <c r="K130" s="20" t="str">
        <f>LEFT(F130,2)</f>
        <v>SW</v>
      </c>
      <c r="L130" s="20" t="str">
        <f>SUBSTITUTE(F130,K130,"")</f>
        <v>93</v>
      </c>
      <c r="M130" s="20" t="str">
        <f>"["&amp;IF(K130=$H$1,$L$1&amp;".xls]PARAMETER!Z"&amp;L130&amp;"S4",K130&amp;".xls]TEXT!Z"&amp;L130&amp;"S5")</f>
        <v>[SW.xls]TEXT!Z93S5</v>
      </c>
    </row>
    <row r="131" spans="1:13">
      <c r="A131" s="509">
        <f>ROW()</f>
        <v>131</v>
      </c>
      <c r="B131" s="20">
        <v>0</v>
      </c>
      <c r="C131" s="20">
        <v>0</v>
      </c>
      <c r="D131" s="20">
        <v>0</v>
      </c>
      <c r="E131" s="20">
        <v>0</v>
      </c>
      <c r="F131" s="20">
        <v>0</v>
      </c>
      <c r="G131" s="510"/>
    </row>
    <row r="132" spans="1:13">
      <c r="A132" s="509">
        <f>ROW()</f>
        <v>132</v>
      </c>
      <c r="B132" s="20" t="s">
        <v>1840</v>
      </c>
      <c r="C132" s="20">
        <v>0</v>
      </c>
      <c r="D132" s="20" t="s">
        <v>49</v>
      </c>
      <c r="E132" s="20" t="s">
        <v>1606</v>
      </c>
      <c r="F132" s="20" t="s">
        <v>1607</v>
      </c>
      <c r="G132" s="510" t="str">
        <f>LEFT(E132,2)</f>
        <v>SW</v>
      </c>
      <c r="H132" s="20" t="str">
        <f>SUBSTITUTE(E132,G132,"")</f>
        <v>115</v>
      </c>
      <c r="I132" s="20" t="str">
        <f>"["&amp;G132&amp;".xls]TEXT!Z"&amp;H132&amp;"S5"</f>
        <v>[SW.xls]TEXT!Z115S5</v>
      </c>
      <c r="K132" s="20" t="str">
        <f>LEFT(F132,2)</f>
        <v>SW</v>
      </c>
      <c r="L132" s="20" t="str">
        <f>SUBSTITUTE(F132,K132,"")</f>
        <v>120</v>
      </c>
      <c r="M132" s="20" t="str">
        <f>"["&amp;IF(K132=$H$1,$L$1&amp;".xls]PARAMETER!Z"&amp;L132&amp;"S4",K132&amp;".xls]TEXT!Z"&amp;L132&amp;"S5")</f>
        <v>[SW.xls]TEXT!Z120S5</v>
      </c>
    </row>
    <row r="133" spans="1:13">
      <c r="A133" s="509">
        <f>ROW()</f>
        <v>133</v>
      </c>
      <c r="B133" s="20" t="s">
        <v>1841</v>
      </c>
      <c r="C133" s="20">
        <v>100</v>
      </c>
      <c r="D133" s="20">
        <v>100</v>
      </c>
      <c r="E133" s="20" t="s">
        <v>1611</v>
      </c>
      <c r="F133" s="20" t="s">
        <v>1611</v>
      </c>
      <c r="G133" s="510" t="str">
        <f>LEFT(E133,2)</f>
        <v>SW</v>
      </c>
      <c r="H133" s="20" t="str">
        <f>SUBSTITUTE(E133,G133,"")</f>
        <v>111</v>
      </c>
      <c r="I133" s="20" t="str">
        <f>"["&amp;G133&amp;".xls]TEXT!Z"&amp;H133&amp;"S5"</f>
        <v>[SW.xls]TEXT!Z111S5</v>
      </c>
      <c r="K133" s="20" t="str">
        <f>LEFT(F133,2)</f>
        <v>SW</v>
      </c>
      <c r="L133" s="20" t="str">
        <f>SUBSTITUTE(F133,K133,"")</f>
        <v>111</v>
      </c>
      <c r="M133" s="20" t="str">
        <f>"["&amp;IF(K133=$H$1,$L$1&amp;".xls]PARAMETER!Z"&amp;L133&amp;"S4",K133&amp;".xls]TEXT!Z"&amp;L133&amp;"S5")</f>
        <v>[SW.xls]TEXT!Z111S5</v>
      </c>
    </row>
    <row r="134" spans="1:13">
      <c r="A134" s="509">
        <f>ROW()</f>
        <v>134</v>
      </c>
      <c r="B134" s="20">
        <v>0</v>
      </c>
      <c r="C134" s="20">
        <v>0</v>
      </c>
      <c r="D134" s="20">
        <v>0</v>
      </c>
      <c r="E134" s="20">
        <v>0</v>
      </c>
      <c r="F134" s="20">
        <v>0</v>
      </c>
      <c r="G134" s="510"/>
    </row>
    <row r="135" spans="1:13">
      <c r="A135" s="509">
        <f>ROW()</f>
        <v>135</v>
      </c>
      <c r="B135" s="20" t="s">
        <v>1842</v>
      </c>
      <c r="C135" s="20">
        <v>10.528864259966642</v>
      </c>
      <c r="D135" s="20" t="s">
        <v>49</v>
      </c>
      <c r="E135" s="20" t="s">
        <v>1615</v>
      </c>
      <c r="F135" s="20" t="s">
        <v>1616</v>
      </c>
      <c r="G135" s="510" t="str">
        <f>LEFT(E135,2)</f>
        <v>SW</v>
      </c>
      <c r="H135" s="20" t="str">
        <f>SUBSTITUTE(E135,G135,"")</f>
        <v>141</v>
      </c>
      <c r="I135" s="20" t="str">
        <f>"["&amp;G135&amp;".xls]TEXT!Z"&amp;H135&amp;"S5"</f>
        <v>[SW.xls]TEXT!Z141S5</v>
      </c>
      <c r="K135" s="20" t="str">
        <f>LEFT(F135,2)</f>
        <v>SW</v>
      </c>
      <c r="L135" s="20" t="str">
        <f>SUBSTITUTE(F135,K135,"")</f>
        <v>145</v>
      </c>
      <c r="M135" s="20" t="str">
        <f>"["&amp;IF(K135=$H$1,$L$1&amp;".xls]PARAMETER!Z"&amp;L135&amp;"S4",K135&amp;".xls]TEXT!Z"&amp;L135&amp;"S5")</f>
        <v>[SW.xls]TEXT!Z145S5</v>
      </c>
    </row>
    <row r="136" spans="1:13">
      <c r="A136" s="509">
        <f>ROW()</f>
        <v>136</v>
      </c>
      <c r="B136" s="20" t="s">
        <v>1843</v>
      </c>
      <c r="C136" s="20">
        <v>100</v>
      </c>
      <c r="D136" s="20">
        <v>100</v>
      </c>
      <c r="E136" s="20" t="s">
        <v>1620</v>
      </c>
      <c r="F136" s="20" t="s">
        <v>1620</v>
      </c>
      <c r="G136" s="510" t="str">
        <f>LEFT(E136,2)</f>
        <v>SW</v>
      </c>
      <c r="H136" s="20" t="str">
        <f>SUBSTITUTE(E136,G136,"")</f>
        <v>132</v>
      </c>
      <c r="I136" s="20" t="str">
        <f>"["&amp;G136&amp;".xls]TEXT!Z"&amp;H136&amp;"S5"</f>
        <v>[SW.xls]TEXT!Z132S5</v>
      </c>
      <c r="K136" s="20" t="str">
        <f>LEFT(F136,2)</f>
        <v>SW</v>
      </c>
      <c r="L136" s="20" t="str">
        <f>SUBSTITUTE(F136,K136,"")</f>
        <v>132</v>
      </c>
      <c r="M136" s="20" t="str">
        <f>"["&amp;IF(K136=$H$1,$L$1&amp;".xls]PARAMETER!Z"&amp;L136&amp;"S4",K136&amp;".xls]TEXT!Z"&amp;L136&amp;"S5")</f>
        <v>[SW.xls]TEXT!Z132S5</v>
      </c>
    </row>
    <row r="137" spans="1:13">
      <c r="A137" s="509">
        <f>ROW()</f>
        <v>137</v>
      </c>
      <c r="B137" s="20">
        <v>0</v>
      </c>
      <c r="C137" s="20">
        <v>0</v>
      </c>
      <c r="D137" s="20">
        <v>0</v>
      </c>
      <c r="E137" s="20">
        <v>0</v>
      </c>
      <c r="F137" s="20">
        <v>0</v>
      </c>
      <c r="G137" s="510"/>
    </row>
    <row r="138" spans="1:13">
      <c r="A138" s="509">
        <f>ROW()</f>
        <v>138</v>
      </c>
      <c r="B138" s="20" t="s">
        <v>1844</v>
      </c>
      <c r="C138" s="20">
        <v>0</v>
      </c>
      <c r="D138" s="20">
        <v>0</v>
      </c>
      <c r="E138" s="20" t="s">
        <v>1624</v>
      </c>
      <c r="F138" s="20">
        <v>0</v>
      </c>
      <c r="G138" s="510" t="str">
        <f>LEFT(E138,2)</f>
        <v>Wi</v>
      </c>
      <c r="H138" s="20" t="str">
        <f>SUBSTITUTE(E138,G138,"")</f>
        <v>61</v>
      </c>
      <c r="I138" s="20" t="str">
        <f>"["&amp;G138&amp;".xls]TEXT!Z"&amp;H138&amp;"S5"</f>
        <v>[Wi.xls]TEXT!Z61S5</v>
      </c>
    </row>
    <row r="139" spans="1:13">
      <c r="A139" s="509">
        <f>ROW()</f>
        <v>139</v>
      </c>
      <c r="B139" s="20">
        <v>0</v>
      </c>
      <c r="C139" s="20">
        <v>0</v>
      </c>
      <c r="D139" s="20">
        <v>0</v>
      </c>
      <c r="E139" s="20">
        <v>0</v>
      </c>
      <c r="F139" s="20">
        <v>0</v>
      </c>
      <c r="G139" s="510"/>
    </row>
    <row r="140" spans="1:13">
      <c r="A140" s="509">
        <f>ROW()</f>
        <v>140</v>
      </c>
      <c r="B140" s="20" t="s">
        <v>1845</v>
      </c>
      <c r="C140" s="20">
        <v>0.53144466056567086</v>
      </c>
      <c r="D140" s="20">
        <v>0</v>
      </c>
      <c r="E140" s="20" t="s">
        <v>1846</v>
      </c>
      <c r="F140" s="20">
        <v>0</v>
      </c>
      <c r="G140" s="510" t="str">
        <f>LEFT(E140,2)</f>
        <v>Ho</v>
      </c>
      <c r="H140" s="20" t="str">
        <f t="shared" ref="H140:H152" si="30">SUBSTITUTE(E140,G140,"")</f>
        <v>16</v>
      </c>
      <c r="I140" s="20" t="str">
        <f>"["&amp;G140&amp;".xls]TEXT!Z"&amp;H140&amp;"S5"</f>
        <v>[Ho.xls]TEXT!Z16S5</v>
      </c>
      <c r="J140" s="20">
        <f>'9.Quellen'!$C$211</f>
        <v>211</v>
      </c>
    </row>
    <row r="141" spans="1:13">
      <c r="A141" s="509">
        <f>ROW()</f>
        <v>141</v>
      </c>
      <c r="B141" s="20" t="s">
        <v>1847</v>
      </c>
      <c r="C141" s="20">
        <v>0.39285360779245349</v>
      </c>
      <c r="D141" s="20">
        <v>0</v>
      </c>
      <c r="E141" s="20" t="s">
        <v>1848</v>
      </c>
      <c r="F141" s="20">
        <v>0</v>
      </c>
      <c r="G141" s="510" t="str">
        <f>LEFT(E141,2)</f>
        <v>Ho</v>
      </c>
      <c r="H141" s="20" t="str">
        <f t="shared" si="30"/>
        <v>17</v>
      </c>
      <c r="I141" s="20" t="str">
        <f>"["&amp;G141&amp;".xls]TEXT!Z"&amp;H141&amp;"S5"</f>
        <v>[Ho.xls]TEXT!Z17S5</v>
      </c>
      <c r="J141" s="20">
        <f>'9.Quellen'!$C$211</f>
        <v>211</v>
      </c>
    </row>
    <row r="142" spans="1:13">
      <c r="A142" s="509">
        <f>ROW()</f>
        <v>142</v>
      </c>
      <c r="B142" s="20" t="s">
        <v>1849</v>
      </c>
      <c r="C142" s="20" t="s">
        <v>1751</v>
      </c>
      <c r="D142" s="20">
        <v>0</v>
      </c>
      <c r="E142" s="20" t="s">
        <v>1850</v>
      </c>
      <c r="F142" s="20">
        <v>0</v>
      </c>
      <c r="G142" s="510" t="str">
        <f>LEFT(E142,2)</f>
        <v>Ho</v>
      </c>
      <c r="H142" s="20" t="str">
        <f t="shared" si="30"/>
        <v>23</v>
      </c>
      <c r="I142" s="20" t="str">
        <f>"["&amp;G142&amp;".xls]TEXT!Z"&amp;H142&amp;"S5"</f>
        <v>[Ho.xls]TEXT!Z23S5</v>
      </c>
      <c r="J142" s="20">
        <f>'9.Quellen'!$C$211</f>
        <v>211</v>
      </c>
    </row>
    <row r="143" spans="1:13">
      <c r="A143" s="509">
        <f>ROW()</f>
        <v>143</v>
      </c>
      <c r="B143" s="20" t="s">
        <v>1851</v>
      </c>
      <c r="C143" s="20" t="s">
        <v>1754</v>
      </c>
      <c r="D143" s="20">
        <v>0</v>
      </c>
      <c r="E143" s="460" t="s">
        <v>1852</v>
      </c>
      <c r="F143" s="20">
        <v>0</v>
      </c>
      <c r="G143" s="510" t="str">
        <f>E143</f>
        <v>Basisdaten</v>
      </c>
      <c r="H143" s="20" t="str">
        <f t="shared" si="30"/>
        <v/>
      </c>
      <c r="I143" s="460" t="str">
        <f>"["&amp;G143&amp;".xls]Info!Z1S1"</f>
        <v>[Basisdaten.xls]Info!Z1S1</v>
      </c>
    </row>
    <row r="144" spans="1:13">
      <c r="A144" s="509">
        <f>ROW()</f>
        <v>144</v>
      </c>
      <c r="B144" s="20" t="s">
        <v>1853</v>
      </c>
      <c r="C144" s="20" t="s">
        <v>1754</v>
      </c>
      <c r="D144" s="20">
        <v>0</v>
      </c>
      <c r="E144" s="20" t="s">
        <v>1854</v>
      </c>
      <c r="F144" s="20">
        <v>0</v>
      </c>
      <c r="G144" s="510" t="str">
        <f>LEFT(E144,2)</f>
        <v>Ba</v>
      </c>
      <c r="H144" s="20" t="str">
        <f t="shared" si="30"/>
        <v>5</v>
      </c>
      <c r="I144" s="20" t="str">
        <f>"["&amp;G144&amp;".xls]TEXT!Z"&amp;H144&amp;"S5"</f>
        <v>[Ba.xls]TEXT!Z5S5</v>
      </c>
    </row>
    <row r="145" spans="1:13">
      <c r="A145" s="509">
        <f>ROW()</f>
        <v>145</v>
      </c>
      <c r="B145" s="20" t="s">
        <v>1626</v>
      </c>
      <c r="C145" s="20">
        <v>75.612008233099175</v>
      </c>
      <c r="D145" s="20">
        <v>0</v>
      </c>
      <c r="E145" s="20" t="s">
        <v>1292</v>
      </c>
      <c r="F145" s="20">
        <v>0</v>
      </c>
      <c r="G145" s="510" t="str">
        <f>LEFT(E145,2)</f>
        <v>Ba</v>
      </c>
      <c r="H145" s="20" t="str">
        <f t="shared" si="30"/>
        <v>46</v>
      </c>
      <c r="I145" s="20" t="str">
        <f>"["&amp;G145&amp;".xls]TEXT!Z"&amp;H145&amp;"S5"</f>
        <v>[Ba.xls]TEXT!Z46S5</v>
      </c>
    </row>
    <row r="146" spans="1:13">
      <c r="A146" s="509">
        <f>ROW()</f>
        <v>146</v>
      </c>
      <c r="B146" s="20" t="s">
        <v>1627</v>
      </c>
      <c r="C146" s="20">
        <v>68.737940968298958</v>
      </c>
      <c r="D146" s="20">
        <v>0</v>
      </c>
      <c r="E146" s="20" t="s">
        <v>1294</v>
      </c>
      <c r="F146" s="20">
        <v>0</v>
      </c>
      <c r="G146" s="510" t="str">
        <f t="shared" ref="G146:G152" si="31">LEFT(E146,2)</f>
        <v>Ba</v>
      </c>
      <c r="H146" s="20" t="str">
        <f t="shared" si="30"/>
        <v>47</v>
      </c>
      <c r="I146" s="20" t="str">
        <f t="shared" ref="I146:I152" si="32">"["&amp;G146&amp;".xls]TEXT!Z"&amp;H146&amp;"S5"</f>
        <v>[Ba.xls]TEXT!Z47S5</v>
      </c>
    </row>
    <row r="147" spans="1:13">
      <c r="A147" s="509">
        <f>ROW()</f>
        <v>147</v>
      </c>
      <c r="B147" s="20" t="s">
        <v>1628</v>
      </c>
      <c r="C147" s="20">
        <v>45.084868720911864</v>
      </c>
      <c r="D147" s="20">
        <v>0</v>
      </c>
      <c r="E147" s="20" t="s">
        <v>1296</v>
      </c>
      <c r="F147" s="20">
        <v>0</v>
      </c>
      <c r="G147" s="510" t="str">
        <f t="shared" si="31"/>
        <v>Ba</v>
      </c>
      <c r="H147" s="20" t="str">
        <f t="shared" si="30"/>
        <v>48</v>
      </c>
      <c r="I147" s="20" t="str">
        <f t="shared" si="32"/>
        <v>[Ba.xls]TEXT!Z48S5</v>
      </c>
    </row>
    <row r="148" spans="1:13">
      <c r="A148" s="509">
        <f>ROW()</f>
        <v>148</v>
      </c>
      <c r="B148" s="20" t="s">
        <v>1629</v>
      </c>
      <c r="C148" s="20">
        <v>32.463555317339008</v>
      </c>
      <c r="D148" s="20">
        <v>0</v>
      </c>
      <c r="E148" s="20" t="s">
        <v>1298</v>
      </c>
      <c r="F148" s="20">
        <v>0</v>
      </c>
      <c r="G148" s="510" t="str">
        <f t="shared" si="31"/>
        <v>Ba</v>
      </c>
      <c r="H148" s="20" t="str">
        <f t="shared" si="30"/>
        <v>49</v>
      </c>
      <c r="I148" s="20" t="str">
        <f t="shared" si="32"/>
        <v>[Ba.xls]TEXT!Z49S5</v>
      </c>
    </row>
    <row r="149" spans="1:13">
      <c r="A149" s="509">
        <f>ROW()</f>
        <v>149</v>
      </c>
      <c r="B149" s="20" t="s">
        <v>1630</v>
      </c>
      <c r="C149" s="20">
        <v>4.6558865777603442</v>
      </c>
      <c r="D149" s="20">
        <v>0</v>
      </c>
      <c r="E149" s="20" t="s">
        <v>1292</v>
      </c>
      <c r="F149" s="20">
        <v>0</v>
      </c>
      <c r="G149" s="510" t="str">
        <f t="shared" si="31"/>
        <v>Ba</v>
      </c>
      <c r="H149" s="20" t="str">
        <f t="shared" si="30"/>
        <v>46</v>
      </c>
      <c r="I149" s="20" t="str">
        <f t="shared" si="32"/>
        <v>[Ba.xls]TEXT!Z46S5</v>
      </c>
    </row>
    <row r="150" spans="1:13">
      <c r="A150" s="509">
        <f>ROW()</f>
        <v>150</v>
      </c>
      <c r="B150" s="20" t="s">
        <v>1631</v>
      </c>
      <c r="C150" s="20">
        <v>5.6480312760859519</v>
      </c>
      <c r="D150" s="20">
        <v>0</v>
      </c>
      <c r="E150" s="20" t="s">
        <v>1294</v>
      </c>
      <c r="F150" s="20">
        <v>0</v>
      </c>
      <c r="G150" s="510" t="str">
        <f t="shared" si="31"/>
        <v>Ba</v>
      </c>
      <c r="H150" s="20" t="str">
        <f t="shared" si="30"/>
        <v>47</v>
      </c>
      <c r="I150" s="20" t="str">
        <f t="shared" si="32"/>
        <v>[Ba.xls]TEXT!Z47S5</v>
      </c>
    </row>
    <row r="151" spans="1:13">
      <c r="A151" s="509">
        <f>ROW()</f>
        <v>151</v>
      </c>
      <c r="B151" s="20" t="s">
        <v>1632</v>
      </c>
      <c r="C151" s="20">
        <v>27.201987965103363</v>
      </c>
      <c r="D151" s="20">
        <v>0</v>
      </c>
      <c r="E151" s="20" t="s">
        <v>1296</v>
      </c>
      <c r="F151" s="20">
        <v>0</v>
      </c>
      <c r="G151" s="510" t="str">
        <f t="shared" si="31"/>
        <v>Ba</v>
      </c>
      <c r="H151" s="20" t="str">
        <f t="shared" si="30"/>
        <v>48</v>
      </c>
      <c r="I151" s="20" t="str">
        <f t="shared" si="32"/>
        <v>[Ba.xls]TEXT!Z48S5</v>
      </c>
    </row>
    <row r="152" spans="1:13">
      <c r="A152" s="509">
        <f>ROW()</f>
        <v>152</v>
      </c>
      <c r="B152" s="20" t="s">
        <v>1633</v>
      </c>
      <c r="C152" s="20">
        <v>19.50613487194012</v>
      </c>
      <c r="D152" s="20">
        <v>0</v>
      </c>
      <c r="E152" s="20" t="s">
        <v>1298</v>
      </c>
      <c r="F152" s="20">
        <v>0</v>
      </c>
      <c r="G152" s="510" t="str">
        <f t="shared" si="31"/>
        <v>Ba</v>
      </c>
      <c r="H152" s="20" t="str">
        <f t="shared" si="30"/>
        <v>49</v>
      </c>
      <c r="I152" s="20" t="str">
        <f t="shared" si="32"/>
        <v>[Ba.xls]TEXT!Z49S5</v>
      </c>
    </row>
    <row r="153" spans="1:13">
      <c r="A153" s="509">
        <f>ROW()</f>
        <v>153</v>
      </c>
      <c r="B153" s="20">
        <v>0</v>
      </c>
      <c r="C153" s="20">
        <v>0</v>
      </c>
      <c r="D153" s="20">
        <v>0</v>
      </c>
      <c r="E153" s="20">
        <v>0</v>
      </c>
      <c r="F153" s="20">
        <v>0</v>
      </c>
    </row>
    <row r="154" spans="1:13">
      <c r="A154" s="509">
        <f>ROW()</f>
        <v>154</v>
      </c>
      <c r="B154" s="20" t="s">
        <v>1855</v>
      </c>
      <c r="C154" s="20">
        <v>81751600</v>
      </c>
      <c r="D154" s="20">
        <v>0</v>
      </c>
      <c r="E154" s="20" t="s">
        <v>1730</v>
      </c>
      <c r="F154" s="20">
        <v>0</v>
      </c>
      <c r="G154" s="510" t="str">
        <f>LEFT(E154,2)</f>
        <v>Ba</v>
      </c>
      <c r="H154" s="20" t="str">
        <f>SUBSTITUTE(E154,G154,"")</f>
        <v>37</v>
      </c>
      <c r="I154" s="20" t="str">
        <f>"["&amp;G154&amp;".xls]TEXT!Z"&amp;H154&amp;"S5"</f>
        <v>[Ba.xls]TEXT!Z37S5</v>
      </c>
    </row>
    <row r="155" spans="1:13">
      <c r="A155" s="509">
        <f>ROW()</f>
        <v>155</v>
      </c>
      <c r="B155" s="20">
        <v>0</v>
      </c>
      <c r="C155" s="20">
        <v>0</v>
      </c>
      <c r="D155" s="20">
        <v>0</v>
      </c>
      <c r="E155" s="20">
        <v>0</v>
      </c>
      <c r="F155" s="20">
        <v>0</v>
      </c>
    </row>
    <row r="156" spans="1:13">
      <c r="A156" s="509">
        <f>ROW()</f>
        <v>156</v>
      </c>
      <c r="B156" s="20" t="s">
        <v>1856</v>
      </c>
      <c r="C156" s="20">
        <v>0</v>
      </c>
      <c r="D156" s="20">
        <v>1.6</v>
      </c>
      <c r="E156" s="20">
        <v>0</v>
      </c>
      <c r="F156" s="20" t="s">
        <v>1372</v>
      </c>
      <c r="G156" s="510"/>
      <c r="K156" s="20" t="str">
        <f>LEFT(F156,2)</f>
        <v>Wi</v>
      </c>
      <c r="L156" s="20" t="str">
        <f>SUBSTITUTE(F156,K156,"")</f>
        <v>40</v>
      </c>
      <c r="M156" s="20" t="str">
        <f>"["&amp;IF(K156=$H$1,$L$1&amp;".xls]PARAMETER!Z"&amp;L156&amp;"S4",K156&amp;".xls]TEXT!Z"&amp;L156&amp;"S5")</f>
        <v>[Wi.xls]TEXT!Z40S5</v>
      </c>
    </row>
    <row r="157" spans="1:13">
      <c r="A157" s="509">
        <f>ROW()</f>
        <v>157</v>
      </c>
      <c r="B157" s="20" t="s">
        <v>1857</v>
      </c>
      <c r="C157" s="20">
        <v>0</v>
      </c>
      <c r="D157" s="20">
        <v>0</v>
      </c>
      <c r="E157" s="20" t="s">
        <v>1371</v>
      </c>
      <c r="F157" s="20">
        <v>0</v>
      </c>
      <c r="G157" s="510" t="str">
        <f>LEFT(E157,2)</f>
        <v>Wi</v>
      </c>
      <c r="H157" s="20" t="str">
        <f>SUBSTITUTE(E157,G157,"")</f>
        <v>20</v>
      </c>
      <c r="I157" s="20" t="str">
        <f>"["&amp;G157&amp;".xls]TEXT!Z"&amp;H157&amp;"S5"</f>
        <v>[Wi.xls]TEXT!Z20S5</v>
      </c>
    </row>
    <row r="158" spans="1:13">
      <c r="A158" s="509">
        <f>ROW()</f>
        <v>158</v>
      </c>
      <c r="B158" s="20" t="s">
        <v>1858</v>
      </c>
      <c r="C158" s="20">
        <v>0</v>
      </c>
      <c r="D158" s="20">
        <v>0</v>
      </c>
      <c r="E158" s="20" t="s">
        <v>1859</v>
      </c>
      <c r="F158" s="20">
        <v>0</v>
      </c>
      <c r="G158" s="510" t="str">
        <f>LEFT(E158,2)</f>
        <v>Wi</v>
      </c>
      <c r="H158" s="20" t="str">
        <f>SUBSTITUTE(E158,G158,"")</f>
        <v>21</v>
      </c>
      <c r="I158" s="20" t="str">
        <f>"["&amp;G158&amp;".xls]TEXT!Z"&amp;H158&amp;"S5"</f>
        <v>[Wi.xls]TEXT!Z21S5</v>
      </c>
    </row>
    <row r="159" spans="1:13">
      <c r="A159" s="509">
        <f>ROW()</f>
        <v>159</v>
      </c>
      <c r="B159" s="20" t="s">
        <v>1860</v>
      </c>
      <c r="C159" s="20">
        <v>0</v>
      </c>
      <c r="D159" s="20">
        <v>0</v>
      </c>
      <c r="E159" s="20" t="s">
        <v>1861</v>
      </c>
      <c r="F159" s="20">
        <v>0</v>
      </c>
      <c r="G159" s="510" t="str">
        <f>LEFT(E159,2)</f>
        <v>Wi</v>
      </c>
      <c r="H159" s="20" t="str">
        <f>SUBSTITUTE(E159,G159,"")</f>
        <v>14</v>
      </c>
      <c r="I159" s="20" t="str">
        <f>"["&amp;G159&amp;".xls]TEXT!Z"&amp;H159&amp;"S5"</f>
        <v>[Wi.xls]TEXT!Z14S5</v>
      </c>
    </row>
    <row r="160" spans="1:13">
      <c r="A160" s="509">
        <f>ROW()</f>
        <v>160</v>
      </c>
      <c r="B160" s="20">
        <v>0</v>
      </c>
      <c r="C160" s="20">
        <v>0</v>
      </c>
      <c r="D160" s="20">
        <v>0</v>
      </c>
      <c r="E160" s="20">
        <v>0</v>
      </c>
      <c r="F160" s="20">
        <v>0</v>
      </c>
      <c r="G160" s="510"/>
    </row>
    <row r="161" spans="1:13">
      <c r="A161" s="509">
        <f>ROW()</f>
        <v>161</v>
      </c>
      <c r="B161" s="20" t="s">
        <v>1862</v>
      </c>
      <c r="C161" s="20">
        <v>0</v>
      </c>
      <c r="D161" s="20">
        <v>0</v>
      </c>
      <c r="E161" s="20">
        <v>0</v>
      </c>
      <c r="F161" s="20" t="s">
        <v>1863</v>
      </c>
      <c r="K161" s="20" t="str">
        <f>LEFT(F161,2)</f>
        <v>Wi</v>
      </c>
      <c r="L161" s="20" t="str">
        <f>SUBSTITUTE(F161,K161,"")</f>
        <v>64</v>
      </c>
      <c r="M161" s="20" t="str">
        <f>"["&amp;IF(K161=$H$1,$L$1&amp;".xls]PARAMETER!Z"&amp;L161&amp;"S4",K161&amp;".xls]TEXT!Z"&amp;L161&amp;"S5")</f>
        <v>[Wi.xls]TEXT!Z64S5</v>
      </c>
    </row>
    <row r="162" spans="1:13">
      <c r="A162" s="509">
        <f>ROW()</f>
        <v>162</v>
      </c>
      <c r="B162" s="20" t="s">
        <v>1864</v>
      </c>
      <c r="C162" s="20">
        <v>0</v>
      </c>
      <c r="D162" s="20">
        <v>120000</v>
      </c>
      <c r="E162" s="20">
        <v>0</v>
      </c>
      <c r="F162" s="20" t="s">
        <v>1865</v>
      </c>
      <c r="K162" s="20" t="str">
        <f>LEFT(F162,2)</f>
        <v>Wi</v>
      </c>
      <c r="L162" s="20" t="str">
        <f>SUBSTITUTE(F162,K162,"")</f>
        <v>69</v>
      </c>
      <c r="M162" s="20" t="str">
        <f>"["&amp;IF(K162=$H$1,$L$1&amp;".xls]PARAMETER!Z"&amp;L162&amp;"S4",K162&amp;".xls]TEXT!Z"&amp;L162&amp;"S5")</f>
        <v>[Wi.xls]TEXT!Z69S5</v>
      </c>
    </row>
    <row r="163" spans="1:13">
      <c r="A163" s="509">
        <f>ROW()</f>
        <v>163</v>
      </c>
      <c r="B163" s="20" t="s">
        <v>1866</v>
      </c>
      <c r="C163" s="20">
        <v>0</v>
      </c>
      <c r="D163" s="20">
        <v>3000</v>
      </c>
      <c r="E163" s="20">
        <v>0</v>
      </c>
      <c r="F163" s="20" t="s">
        <v>1867</v>
      </c>
      <c r="K163" s="20" t="str">
        <f>LEFT(F163,2)</f>
        <v>Wi</v>
      </c>
      <c r="L163" s="20" t="str">
        <f>SUBSTITUTE(F163,K163,"")</f>
        <v>67</v>
      </c>
      <c r="M163" s="20" t="str">
        <f>"["&amp;IF(K163=$H$1,$L$1&amp;".xls]PARAMETER!Z"&amp;L163&amp;"S4",K163&amp;".xls]TEXT!Z"&amp;L163&amp;"S5")</f>
        <v>[Wi.xls]TEXT!Z67S5</v>
      </c>
    </row>
    <row r="164" spans="1:13">
      <c r="A164" s="509">
        <f>ROW()</f>
        <v>164</v>
      </c>
      <c r="B164" s="20" t="s">
        <v>1868</v>
      </c>
      <c r="C164" s="20">
        <v>0</v>
      </c>
      <c r="D164" s="20">
        <v>0</v>
      </c>
      <c r="E164" s="20">
        <v>0</v>
      </c>
      <c r="F164" s="20" t="s">
        <v>1625</v>
      </c>
      <c r="K164" s="20" t="str">
        <f>LEFT(F164,2)</f>
        <v>Wi</v>
      </c>
      <c r="L164" s="20" t="str">
        <f>SUBSTITUTE(F164,K164,"")</f>
        <v>70</v>
      </c>
      <c r="M164" s="20" t="str">
        <f>"["&amp;IF(K164=$H$1,$L$1&amp;".xls]PARAMETER!Z"&amp;L164&amp;"S4",K164&amp;".xls]TEXT!Z"&amp;L164&amp;"S5")</f>
        <v>[Wi.xls]TEXT!Z70S5</v>
      </c>
    </row>
    <row r="165" spans="1:13">
      <c r="A165" s="509">
        <f>ROW()</f>
        <v>165</v>
      </c>
      <c r="B165" s="20">
        <v>0</v>
      </c>
      <c r="C165" s="20">
        <v>0</v>
      </c>
      <c r="D165" s="20">
        <v>0</v>
      </c>
      <c r="E165" s="20">
        <v>0</v>
      </c>
      <c r="F165" s="20">
        <v>0</v>
      </c>
    </row>
    <row r="166" spans="1:13">
      <c r="A166" s="509">
        <f>ROW()</f>
        <v>166</v>
      </c>
      <c r="B166" s="20" t="s">
        <v>1642</v>
      </c>
      <c r="C166" s="20">
        <v>69.5</v>
      </c>
      <c r="D166" s="20">
        <v>0</v>
      </c>
      <c r="E166" s="20" t="s">
        <v>1644</v>
      </c>
      <c r="F166" s="20">
        <v>0</v>
      </c>
      <c r="G166" s="510" t="str">
        <f>LEFT(E166,2)</f>
        <v>Ba</v>
      </c>
      <c r="H166" s="20" t="str">
        <f>SUBSTITUTE(E166,G166,"")</f>
        <v>80</v>
      </c>
      <c r="I166" s="20" t="str">
        <f>"["&amp;G166&amp;".xls]TEXT!Z"&amp;H166&amp;"S5"</f>
        <v>[Ba.xls]TEXT!Z80S5</v>
      </c>
    </row>
    <row r="167" spans="1:13">
      <c r="A167" s="509">
        <f>ROW()</f>
        <v>167</v>
      </c>
      <c r="B167" s="20" t="s">
        <v>1645</v>
      </c>
      <c r="C167" s="20">
        <v>0</v>
      </c>
      <c r="D167" s="20">
        <v>73</v>
      </c>
      <c r="E167" s="20">
        <v>0</v>
      </c>
      <c r="F167" s="20" t="s">
        <v>520</v>
      </c>
      <c r="G167" s="510"/>
      <c r="K167" s="20" t="str">
        <f>LEFT(F167,2)</f>
        <v>Ba</v>
      </c>
      <c r="L167" s="20" t="str">
        <f>SUBSTITUTE(F167,K167,"")</f>
        <v>72</v>
      </c>
      <c r="M167" s="20" t="str">
        <f>"["&amp;IF(K167=$H$1,$L$1&amp;".xls]PARAMETER!Z"&amp;L167&amp;"S4",K167&amp;".xls]TEXT!Z"&amp;L167&amp;"S5")</f>
        <v>[Ba.xls]TEXT!Z72S5</v>
      </c>
    </row>
    <row r="168" spans="1:13">
      <c r="A168" s="509">
        <f>ROW()</f>
        <v>168</v>
      </c>
      <c r="B168" s="20" t="s">
        <v>1647</v>
      </c>
      <c r="C168" s="20">
        <v>0</v>
      </c>
      <c r="D168" s="20">
        <v>80</v>
      </c>
      <c r="E168" s="20">
        <v>0</v>
      </c>
      <c r="F168" s="20" t="s">
        <v>1649</v>
      </c>
      <c r="G168" s="510"/>
      <c r="K168" s="20" t="str">
        <f t="shared" ref="K168:K186" si="33">LEFT(F168,2)</f>
        <v>Ba</v>
      </c>
      <c r="L168" s="20" t="str">
        <f t="shared" ref="L168:L186" si="34">SUBSTITUTE(F168,K168,"")</f>
        <v>78</v>
      </c>
      <c r="M168" s="20" t="str">
        <f t="shared" ref="M168:M186" si="35">"["&amp;IF(K168=$H$1,$L$1&amp;".xls]PARAMETER!Z"&amp;L168&amp;"S4",K168&amp;".xls]TEXT!Z"&amp;L168&amp;"S5")</f>
        <v>[Ba.xls]TEXT!Z78S5</v>
      </c>
    </row>
    <row r="169" spans="1:13">
      <c r="A169" s="509">
        <f>ROW()</f>
        <v>169</v>
      </c>
      <c r="B169" s="20" t="s">
        <v>1650</v>
      </c>
      <c r="C169" s="20">
        <v>148</v>
      </c>
      <c r="D169" s="20">
        <v>0</v>
      </c>
      <c r="E169" s="20" t="s">
        <v>1652</v>
      </c>
      <c r="F169" s="20">
        <v>0</v>
      </c>
      <c r="G169" s="510" t="str">
        <f>LEFT(E169,2)</f>
        <v>Ba</v>
      </c>
      <c r="H169" s="20" t="str">
        <f>SUBSTITUTE(E169,G169,"")</f>
        <v>87</v>
      </c>
      <c r="I169" s="20" t="str">
        <f>"["&amp;G169&amp;".xls]TEXT!Z"&amp;H169&amp;"S5"</f>
        <v>[Ba.xls]TEXT!Z87S5</v>
      </c>
    </row>
    <row r="170" spans="1:13">
      <c r="A170" s="509">
        <f>ROW()</f>
        <v>170</v>
      </c>
      <c r="B170" s="20" t="s">
        <v>1653</v>
      </c>
      <c r="C170" s="20">
        <v>87.6</v>
      </c>
      <c r="D170" s="20">
        <v>0</v>
      </c>
      <c r="E170" s="20" t="s">
        <v>1655</v>
      </c>
      <c r="F170" s="20">
        <v>0</v>
      </c>
      <c r="G170" s="510" t="str">
        <f>LEFT(E170,2)</f>
        <v>Ba</v>
      </c>
      <c r="H170" s="20" t="str">
        <f>SUBSTITUTE(E170,G170,"")</f>
        <v>88</v>
      </c>
      <c r="I170" s="20" t="str">
        <f>"["&amp;G170&amp;".xls]TEXT!Z"&amp;H170&amp;"S5"</f>
        <v>[Ba.xls]TEXT!Z88S5</v>
      </c>
    </row>
    <row r="171" spans="1:13">
      <c r="A171" s="509">
        <f>ROW()</f>
        <v>171</v>
      </c>
      <c r="B171" s="20" t="s">
        <v>1656</v>
      </c>
      <c r="C171" s="20">
        <v>0</v>
      </c>
      <c r="D171" s="20">
        <v>15</v>
      </c>
      <c r="E171" s="20">
        <v>0</v>
      </c>
      <c r="F171" s="20" t="s">
        <v>697</v>
      </c>
      <c r="G171" s="510"/>
      <c r="K171" s="20" t="str">
        <f t="shared" si="33"/>
        <v>Ba</v>
      </c>
      <c r="L171" s="20" t="str">
        <f t="shared" si="34"/>
        <v>95</v>
      </c>
      <c r="M171" s="20" t="str">
        <f t="shared" si="35"/>
        <v>[Ba.xls]TEXT!Z95S5</v>
      </c>
    </row>
    <row r="172" spans="1:13">
      <c r="A172" s="509">
        <f>ROW()</f>
        <v>172</v>
      </c>
      <c r="B172" s="20" t="s">
        <v>1658</v>
      </c>
      <c r="C172" s="20">
        <v>0</v>
      </c>
      <c r="D172" s="20">
        <v>21</v>
      </c>
      <c r="E172" s="20">
        <v>0</v>
      </c>
      <c r="F172" s="20" t="s">
        <v>1660</v>
      </c>
      <c r="G172" s="510"/>
      <c r="K172" s="20" t="str">
        <f t="shared" si="33"/>
        <v>Ba</v>
      </c>
      <c r="L172" s="20" t="str">
        <f t="shared" si="34"/>
        <v>98</v>
      </c>
      <c r="M172" s="20" t="str">
        <f t="shared" si="35"/>
        <v>[Ba.xls]TEXT!Z98S5</v>
      </c>
    </row>
    <row r="173" spans="1:13">
      <c r="A173" s="509">
        <f>ROW()</f>
        <v>173</v>
      </c>
      <c r="B173" s="20" t="s">
        <v>1661</v>
      </c>
      <c r="C173" s="20">
        <v>0</v>
      </c>
      <c r="D173" s="20">
        <v>70</v>
      </c>
      <c r="E173" s="20">
        <v>0</v>
      </c>
      <c r="F173" s="20" t="s">
        <v>1663</v>
      </c>
      <c r="G173" s="510"/>
      <c r="K173" s="20" t="str">
        <f t="shared" si="33"/>
        <v>Ba</v>
      </c>
      <c r="L173" s="20" t="str">
        <f t="shared" si="34"/>
        <v>104</v>
      </c>
      <c r="M173" s="20" t="str">
        <f t="shared" si="35"/>
        <v>[Ba.xls]TEXT!Z104S5</v>
      </c>
    </row>
    <row r="174" spans="1:13">
      <c r="A174" s="509">
        <f>ROW()</f>
        <v>174</v>
      </c>
      <c r="B174" s="20" t="s">
        <v>1664</v>
      </c>
      <c r="C174" s="20">
        <v>0</v>
      </c>
      <c r="D174" s="20">
        <v>100</v>
      </c>
      <c r="E174" s="20">
        <v>0</v>
      </c>
      <c r="F174" s="20" t="s">
        <v>1666</v>
      </c>
      <c r="G174" s="510"/>
      <c r="K174" s="20" t="str">
        <f t="shared" si="33"/>
        <v>Ba</v>
      </c>
      <c r="L174" s="20" t="str">
        <f t="shared" si="34"/>
        <v>113</v>
      </c>
      <c r="M174" s="20" t="str">
        <f t="shared" si="35"/>
        <v>[Ba.xls]TEXT!Z113S5</v>
      </c>
    </row>
    <row r="175" spans="1:13">
      <c r="A175" s="509">
        <f>ROW()</f>
        <v>175</v>
      </c>
      <c r="B175" s="20" t="s">
        <v>1667</v>
      </c>
      <c r="C175" s="20">
        <v>0</v>
      </c>
      <c r="D175" s="20">
        <v>2</v>
      </c>
      <c r="E175" s="20">
        <v>0</v>
      </c>
      <c r="F175" s="20" t="s">
        <v>1669</v>
      </c>
      <c r="G175" s="510"/>
      <c r="K175" s="20" t="str">
        <f t="shared" si="33"/>
        <v>Ba</v>
      </c>
      <c r="L175" s="20" t="str">
        <f t="shared" si="34"/>
        <v>123</v>
      </c>
      <c r="M175" s="20" t="str">
        <f t="shared" si="35"/>
        <v>[Ba.xls]TEXT!Z123S5</v>
      </c>
    </row>
    <row r="176" spans="1:13">
      <c r="A176" s="509">
        <f>ROW()</f>
        <v>176</v>
      </c>
      <c r="B176" s="20" t="s">
        <v>1670</v>
      </c>
      <c r="C176" s="20">
        <v>0</v>
      </c>
      <c r="D176" s="20">
        <v>1.3333333333333335</v>
      </c>
      <c r="E176" s="20">
        <v>0</v>
      </c>
      <c r="F176" s="20" t="s">
        <v>1672</v>
      </c>
      <c r="G176" s="510"/>
      <c r="K176" s="20" t="str">
        <f t="shared" si="33"/>
        <v>Ba</v>
      </c>
      <c r="L176" s="20" t="str">
        <f t="shared" si="34"/>
        <v>124</v>
      </c>
      <c r="M176" s="20" t="str">
        <f t="shared" si="35"/>
        <v>[Ba.xls]TEXT!Z124S5</v>
      </c>
    </row>
    <row r="177" spans="1:13">
      <c r="A177" s="509">
        <f>ROW()</f>
        <v>177</v>
      </c>
      <c r="B177" s="20" t="s">
        <v>1673</v>
      </c>
      <c r="C177" s="20">
        <v>92.864253156598735</v>
      </c>
      <c r="D177" s="20">
        <v>0</v>
      </c>
      <c r="E177" s="20" t="s">
        <v>1675</v>
      </c>
      <c r="F177" s="20">
        <v>0</v>
      </c>
      <c r="G177" s="510" t="str">
        <f>LEFT(E177,2)</f>
        <v>Ba</v>
      </c>
      <c r="H177" s="20" t="str">
        <f>SUBSTITUTE(E177,G177,"")</f>
        <v>158</v>
      </c>
      <c r="I177" s="20" t="str">
        <f>"["&amp;G177&amp;".xls]TEXT!Z"&amp;H177&amp;"S5"</f>
        <v>[Ba.xls]TEXT!Z158S5</v>
      </c>
    </row>
    <row r="178" spans="1:13">
      <c r="A178" s="509">
        <f>ROW()</f>
        <v>178</v>
      </c>
      <c r="B178" s="20" t="s">
        <v>1676</v>
      </c>
      <c r="C178" s="20">
        <v>0</v>
      </c>
      <c r="D178" s="20">
        <v>80</v>
      </c>
      <c r="E178" s="20">
        <v>0</v>
      </c>
      <c r="F178" s="20" t="s">
        <v>1678</v>
      </c>
      <c r="G178" s="510"/>
      <c r="K178" s="20" t="str">
        <f t="shared" si="33"/>
        <v>Ba</v>
      </c>
      <c r="L178" s="20" t="str">
        <f t="shared" si="34"/>
        <v>147</v>
      </c>
      <c r="M178" s="20" t="str">
        <f t="shared" si="35"/>
        <v>[Ba.xls]TEXT!Z147S5</v>
      </c>
    </row>
    <row r="179" spans="1:13">
      <c r="A179" s="509">
        <f>ROW()</f>
        <v>179</v>
      </c>
      <c r="B179" s="20" t="s">
        <v>1679</v>
      </c>
      <c r="C179" s="20">
        <v>83.558030642806742</v>
      </c>
      <c r="D179" s="20">
        <v>0</v>
      </c>
      <c r="E179" s="20" t="s">
        <v>1681</v>
      </c>
      <c r="F179" s="20">
        <v>0</v>
      </c>
      <c r="G179" s="510" t="str">
        <f>LEFT(E179,2)</f>
        <v>Ba</v>
      </c>
      <c r="H179" s="20" t="str">
        <f>SUBSTITUTE(E179,G179,"")</f>
        <v>163</v>
      </c>
      <c r="I179" s="20" t="str">
        <f>"["&amp;G179&amp;".xls]TEXT!Z"&amp;H179&amp;"S5"</f>
        <v>[Ba.xls]TEXT!Z163S5</v>
      </c>
    </row>
    <row r="180" spans="1:13">
      <c r="A180" s="509">
        <f>ROW()</f>
        <v>180</v>
      </c>
      <c r="B180" s="20" t="s">
        <v>1682</v>
      </c>
      <c r="C180" s="20">
        <v>2.3195983788328021</v>
      </c>
      <c r="D180" s="20">
        <v>0</v>
      </c>
      <c r="E180" s="20" t="s">
        <v>1684</v>
      </c>
      <c r="F180" s="20">
        <v>0</v>
      </c>
      <c r="G180" s="510" t="str">
        <f>LEFT(E180,2)</f>
        <v>Ba</v>
      </c>
      <c r="H180" s="20" t="str">
        <f>SUBSTITUTE(E180,G180,"")</f>
        <v>165</v>
      </c>
      <c r="I180" s="20" t="str">
        <f>"["&amp;G180&amp;".xls]TEXT!Z"&amp;H180&amp;"S5"</f>
        <v>[Ba.xls]TEXT!Z165S5</v>
      </c>
    </row>
    <row r="181" spans="1:13">
      <c r="A181" s="509">
        <f>ROW()</f>
        <v>181</v>
      </c>
      <c r="B181" s="20" t="s">
        <v>1685</v>
      </c>
      <c r="C181" s="20">
        <v>23</v>
      </c>
      <c r="D181" s="20">
        <v>26</v>
      </c>
      <c r="E181" s="20" t="s">
        <v>1688</v>
      </c>
      <c r="F181" s="20" t="s">
        <v>1689</v>
      </c>
      <c r="G181" s="510" t="str">
        <f>LEFT(E181,2)</f>
        <v>Ba</v>
      </c>
      <c r="H181" s="20" t="str">
        <f>SUBSTITUTE(E181,G181,"")</f>
        <v>177</v>
      </c>
      <c r="I181" s="20" t="str">
        <f>"["&amp;G181&amp;".xls]TEXT!Z"&amp;H181&amp;"S5"</f>
        <v>[Ba.xls]TEXT!Z177S5</v>
      </c>
      <c r="K181" s="20" t="str">
        <f>LEFT(F181,2)</f>
        <v>Ba</v>
      </c>
      <c r="L181" s="20" t="str">
        <f>SUBSTITUTE(F181,K181,"")</f>
        <v>181</v>
      </c>
      <c r="M181" s="20" t="str">
        <f>"["&amp;IF(K181=$H$1,$L$1&amp;".xls]PARAMETER!Z"&amp;L181&amp;"S4",K181&amp;".xls]TEXT!Z"&amp;L181&amp;"S5")</f>
        <v>[Ba.xls]TEXT!Z181S5</v>
      </c>
    </row>
    <row r="182" spans="1:13">
      <c r="A182" s="509">
        <f>ROW()</f>
        <v>182</v>
      </c>
      <c r="B182" s="20" t="s">
        <v>1690</v>
      </c>
      <c r="C182" s="20">
        <v>0</v>
      </c>
      <c r="D182" s="20">
        <v>80</v>
      </c>
      <c r="E182" s="20">
        <v>0</v>
      </c>
      <c r="F182" s="20" t="s">
        <v>1692</v>
      </c>
      <c r="G182" s="510"/>
      <c r="K182" s="20" t="str">
        <f t="shared" si="33"/>
        <v>Ba</v>
      </c>
      <c r="L182" s="20" t="str">
        <f t="shared" si="34"/>
        <v>174</v>
      </c>
      <c r="M182" s="20" t="str">
        <f t="shared" si="35"/>
        <v>[Ba.xls]TEXT!Z174S5</v>
      </c>
    </row>
    <row r="183" spans="1:13">
      <c r="A183" s="509">
        <f>ROW()</f>
        <v>183</v>
      </c>
      <c r="B183" s="20" t="s">
        <v>1693</v>
      </c>
      <c r="C183" s="20">
        <v>0</v>
      </c>
      <c r="D183" s="20">
        <v>80</v>
      </c>
      <c r="E183" s="20">
        <v>0</v>
      </c>
      <c r="F183" s="20" t="s">
        <v>1695</v>
      </c>
      <c r="G183" s="510"/>
      <c r="K183" s="20" t="str">
        <f t="shared" si="33"/>
        <v>Ba</v>
      </c>
      <c r="L183" s="20" t="str">
        <f t="shared" si="34"/>
        <v>189</v>
      </c>
      <c r="M183" s="20" t="str">
        <f t="shared" si="35"/>
        <v>[Ba.xls]TEXT!Z189S5</v>
      </c>
    </row>
    <row r="184" spans="1:13">
      <c r="A184" s="509">
        <f>ROW()</f>
        <v>184</v>
      </c>
      <c r="B184" s="20" t="s">
        <v>1696</v>
      </c>
      <c r="C184" s="20">
        <v>8.8055254605824604</v>
      </c>
      <c r="D184" s="20">
        <v>95</v>
      </c>
      <c r="E184" s="20" t="s">
        <v>1699</v>
      </c>
      <c r="F184" s="20" t="s">
        <v>1700</v>
      </c>
      <c r="G184" s="510" t="str">
        <f>LEFT(E184,2)</f>
        <v>Ba</v>
      </c>
      <c r="H184" s="20" t="str">
        <f>SUBSTITUTE(E184,G184,"")</f>
        <v>191</v>
      </c>
      <c r="I184" s="20" t="str">
        <f>"["&amp;G184&amp;".xls]TEXT!Z"&amp;H184&amp;"S5"</f>
        <v>[Ba.xls]TEXT!Z191S5</v>
      </c>
      <c r="K184" s="20" t="str">
        <f>LEFT(F184,2)</f>
        <v>Ba</v>
      </c>
      <c r="L184" s="20" t="str">
        <f>SUBSTITUTE(F184,K184,"")</f>
        <v>194</v>
      </c>
      <c r="M184" s="20" t="str">
        <f>"["&amp;IF(K184=$H$1,$L$1&amp;".xls]PARAMETER!Z"&amp;L184&amp;"S4",K184&amp;".xls]TEXT!Z"&amp;L184&amp;"S5")</f>
        <v>[Ba.xls]TEXT!Z194S5</v>
      </c>
    </row>
    <row r="185" spans="1:13">
      <c r="A185" s="509">
        <f>ROW()</f>
        <v>185</v>
      </c>
      <c r="B185" s="20" t="s">
        <v>1701</v>
      </c>
      <c r="C185" s="20">
        <v>0</v>
      </c>
      <c r="D185" s="20">
        <v>70</v>
      </c>
      <c r="E185" s="20">
        <v>0</v>
      </c>
      <c r="F185" s="20" t="s">
        <v>1703</v>
      </c>
      <c r="G185" s="510"/>
      <c r="K185" s="20" t="str">
        <f t="shared" si="33"/>
        <v>Ba</v>
      </c>
      <c r="L185" s="20" t="str">
        <f t="shared" si="34"/>
        <v>205</v>
      </c>
      <c r="M185" s="20" t="str">
        <f t="shared" si="35"/>
        <v>[Ba.xls]TEXT!Z205S5</v>
      </c>
    </row>
    <row r="186" spans="1:13">
      <c r="A186" s="509">
        <f>ROW()</f>
        <v>186</v>
      </c>
      <c r="B186" s="20" t="s">
        <v>1704</v>
      </c>
      <c r="C186" s="20">
        <v>0</v>
      </c>
      <c r="D186" s="20">
        <v>70</v>
      </c>
      <c r="E186" s="20">
        <v>0</v>
      </c>
      <c r="F186" s="20" t="s">
        <v>1706</v>
      </c>
      <c r="G186" s="510"/>
      <c r="K186" s="20" t="str">
        <f t="shared" si="33"/>
        <v>Ba</v>
      </c>
      <c r="L186" s="20" t="str">
        <f t="shared" si="34"/>
        <v>209</v>
      </c>
      <c r="M186" s="20" t="str">
        <f t="shared" si="35"/>
        <v>[Ba.xls]TEXT!Z209S5</v>
      </c>
    </row>
    <row r="187" spans="1:13">
      <c r="A187" s="509">
        <f>ROW()</f>
        <v>187</v>
      </c>
      <c r="B187" s="20" t="s">
        <v>1707</v>
      </c>
      <c r="C187" s="20">
        <v>0</v>
      </c>
      <c r="D187" s="20">
        <v>0</v>
      </c>
      <c r="E187" s="20" t="s">
        <v>1708</v>
      </c>
      <c r="F187" s="20">
        <v>0</v>
      </c>
    </row>
    <row r="188" spans="1:13">
      <c r="A188" s="509">
        <f>ROW()</f>
        <v>188</v>
      </c>
      <c r="B188" s="20" t="s">
        <v>1709</v>
      </c>
      <c r="C188" s="20">
        <v>77</v>
      </c>
      <c r="D188" s="20">
        <v>0</v>
      </c>
      <c r="E188" s="20" t="s">
        <v>1711</v>
      </c>
      <c r="F188" s="20" t="s">
        <v>1712</v>
      </c>
      <c r="G188" s="510" t="str">
        <f>LEFT(E188,2)</f>
        <v>Ba</v>
      </c>
      <c r="H188" s="20" t="str">
        <f>SUBSTITUTE(E188,G188,"")</f>
        <v>142</v>
      </c>
      <c r="I188" s="20" t="str">
        <f>"["&amp;G188&amp;".xls]TEXT!Z"&amp;H188&amp;"S5"</f>
        <v>[Ba.xls]TEXT!Z142S5</v>
      </c>
      <c r="K188" s="20" t="str">
        <f>LEFT(F188,2)</f>
        <v>Ba</v>
      </c>
      <c r="L188" s="20" t="str">
        <f>SUBSTITUTE(F188,K188,"")</f>
        <v>134</v>
      </c>
      <c r="M188" s="20" t="str">
        <f>"["&amp;IF(K188=$H$1,$L$1&amp;".xls]PARAMETER!Z"&amp;L188&amp;"S4",K188&amp;".xls]TEXT!Z"&amp;L188&amp;"S5")</f>
        <v>[Ba.xls]TEXT!Z134S5</v>
      </c>
    </row>
    <row r="189" spans="1:13">
      <c r="A189" s="509">
        <f>ROW()</f>
        <v>189</v>
      </c>
      <c r="B189" s="20" t="s">
        <v>1713</v>
      </c>
      <c r="C189" s="20">
        <v>0</v>
      </c>
      <c r="D189" s="20">
        <v>70</v>
      </c>
      <c r="E189" s="20">
        <v>0</v>
      </c>
      <c r="F189" s="20" t="s">
        <v>1715</v>
      </c>
      <c r="K189" s="20" t="str">
        <f>LEFT(F189,2)</f>
        <v>Ba</v>
      </c>
      <c r="L189" s="20" t="str">
        <f>SUBSTITUTE(F189,K189,"")</f>
        <v>146</v>
      </c>
      <c r="M189" s="20" t="str">
        <f>"["&amp;IF(K189=$H$1,$L$1&amp;".xls]PARAMETER!Z"&amp;L189&amp;"S4",K189&amp;".xls]TEXT!Z"&amp;L189&amp;"S5")</f>
        <v>[Ba.xls]TEXT!Z146S5</v>
      </c>
    </row>
    <row r="190" spans="1:13">
      <c r="A190" s="509">
        <f>ROW()</f>
        <v>190</v>
      </c>
      <c r="B190" s="20">
        <v>0</v>
      </c>
      <c r="C190" s="20">
        <v>0</v>
      </c>
      <c r="D190" s="20">
        <v>0</v>
      </c>
      <c r="E190" s="20">
        <v>0</v>
      </c>
      <c r="F190" s="20">
        <v>0</v>
      </c>
    </row>
    <row r="191" spans="1:13">
      <c r="A191" s="509">
        <f>ROW()</f>
        <v>191</v>
      </c>
      <c r="B191" s="20">
        <v>0</v>
      </c>
      <c r="C191" s="20">
        <v>0</v>
      </c>
      <c r="D191" s="20">
        <v>0</v>
      </c>
      <c r="E191" s="20">
        <v>0</v>
      </c>
      <c r="F191" s="20">
        <v>0</v>
      </c>
    </row>
    <row r="192" spans="1:13">
      <c r="A192" s="509">
        <f>ROW()</f>
        <v>192</v>
      </c>
      <c r="B192" s="20">
        <v>0</v>
      </c>
      <c r="C192" s="20">
        <v>0</v>
      </c>
      <c r="D192" s="20">
        <v>0</v>
      </c>
      <c r="E192" s="20">
        <v>0</v>
      </c>
      <c r="F192" s="20">
        <v>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5"/>
  <dimension ref="A1:P43"/>
  <sheetViews>
    <sheetView topLeftCell="A13" workbookViewId="0">
      <selection activeCell="G27" sqref="G27"/>
    </sheetView>
  </sheetViews>
  <sheetFormatPr baseColWidth="10" defaultColWidth="11.5" defaultRowHeight="15"/>
  <cols>
    <col min="1" max="1" width="4.33203125" style="705" customWidth="1"/>
    <col min="2" max="2" width="3.6640625" style="705" customWidth="1"/>
    <col min="3" max="3" width="3.83203125" style="705" customWidth="1"/>
    <col min="4" max="4" width="13" style="705" customWidth="1"/>
    <col min="5" max="5" width="12.5" style="705" customWidth="1"/>
    <col min="6" max="6" width="12.83203125" style="705" customWidth="1"/>
    <col min="7" max="16384" width="11.5" style="705"/>
  </cols>
  <sheetData>
    <row r="1" spans="1:16">
      <c r="A1" s="705">
        <f>ROW()</f>
        <v>1</v>
      </c>
    </row>
    <row r="2" spans="1:16">
      <c r="A2" s="705">
        <f>ROW()</f>
        <v>2</v>
      </c>
      <c r="C2" s="706" t="s">
        <v>634</v>
      </c>
      <c r="D2" s="144"/>
      <c r="E2" s="144"/>
      <c r="F2" s="144"/>
      <c r="G2" s="144"/>
      <c r="H2" s="144"/>
      <c r="I2" s="144"/>
      <c r="J2" s="144"/>
      <c r="K2" s="144"/>
      <c r="L2" s="144"/>
      <c r="M2" s="144"/>
      <c r="N2" s="144"/>
      <c r="O2" s="144"/>
      <c r="P2" s="144"/>
    </row>
    <row r="3" spans="1:16">
      <c r="A3" s="705">
        <f>ROW()</f>
        <v>3</v>
      </c>
      <c r="C3" s="144"/>
      <c r="D3" s="144" t="s">
        <v>635</v>
      </c>
      <c r="E3" s="144"/>
      <c r="F3" s="144"/>
      <c r="G3" s="144"/>
      <c r="H3" s="144"/>
      <c r="I3" s="144"/>
      <c r="J3" s="144"/>
      <c r="K3" s="144"/>
      <c r="L3" s="144" t="s">
        <v>639</v>
      </c>
      <c r="M3" s="144" t="s">
        <v>639</v>
      </c>
      <c r="N3" s="144"/>
      <c r="O3" s="144"/>
      <c r="P3" s="144"/>
    </row>
    <row r="4" spans="1:16">
      <c r="A4" s="705">
        <f>ROW()</f>
        <v>4</v>
      </c>
      <c r="C4" s="144"/>
      <c r="D4" s="144" t="s">
        <v>636</v>
      </c>
      <c r="E4" s="144"/>
      <c r="F4" s="144"/>
      <c r="G4" s="144"/>
      <c r="H4" s="144"/>
      <c r="I4" s="144"/>
      <c r="J4" s="144"/>
      <c r="K4" s="144" t="s">
        <v>361</v>
      </c>
      <c r="L4" s="144">
        <v>68000</v>
      </c>
      <c r="M4" s="144">
        <v>34000</v>
      </c>
      <c r="N4" s="144"/>
      <c r="O4" s="144" t="s">
        <v>637</v>
      </c>
      <c r="P4" s="144"/>
    </row>
    <row r="5" spans="1:16">
      <c r="A5" s="705">
        <f>ROW()</f>
        <v>5</v>
      </c>
      <c r="C5" s="144"/>
      <c r="D5" s="144"/>
      <c r="E5" s="144"/>
      <c r="F5" s="144"/>
      <c r="G5" s="144"/>
      <c r="H5" s="144"/>
      <c r="I5" s="144"/>
      <c r="J5" s="144"/>
      <c r="K5" s="144"/>
      <c r="L5" s="144"/>
      <c r="M5" s="144"/>
      <c r="N5" s="144"/>
      <c r="O5" s="144"/>
      <c r="P5" s="144"/>
    </row>
    <row r="6" spans="1:16">
      <c r="A6" s="705">
        <f>ROW()</f>
        <v>6</v>
      </c>
      <c r="C6" s="144"/>
      <c r="D6" s="144" t="s">
        <v>640</v>
      </c>
      <c r="E6" s="144"/>
      <c r="F6" s="144"/>
      <c r="G6" s="144"/>
      <c r="H6" s="144"/>
      <c r="I6" s="144"/>
      <c r="J6" s="144"/>
      <c r="K6" s="144"/>
      <c r="L6" s="144"/>
      <c r="M6" s="144"/>
      <c r="N6" s="144"/>
      <c r="O6" s="144"/>
      <c r="P6" s="144"/>
    </row>
    <row r="7" spans="1:16">
      <c r="A7" s="705">
        <f>ROW()</f>
        <v>7</v>
      </c>
      <c r="C7" s="144"/>
      <c r="D7" s="144" t="s">
        <v>641</v>
      </c>
      <c r="E7" s="144"/>
      <c r="F7" s="144"/>
      <c r="G7" s="144"/>
      <c r="H7" s="144"/>
      <c r="I7" s="144"/>
      <c r="J7" s="144"/>
      <c r="K7" s="144" t="s">
        <v>361</v>
      </c>
      <c r="L7" s="144">
        <v>12743.456939452826</v>
      </c>
      <c r="M7" s="144">
        <v>73996.713652511855</v>
      </c>
      <c r="N7" s="144"/>
      <c r="O7" s="144"/>
      <c r="P7" s="144"/>
    </row>
    <row r="8" spans="1:16">
      <c r="A8" s="705">
        <f>ROW()</f>
        <v>8</v>
      </c>
      <c r="C8" s="144"/>
      <c r="D8" s="144" t="s">
        <v>642</v>
      </c>
      <c r="E8" s="144"/>
      <c r="F8" s="144"/>
      <c r="G8" s="144"/>
      <c r="H8" s="144"/>
      <c r="I8" s="144"/>
      <c r="J8" s="144"/>
      <c r="K8" s="144" t="s">
        <v>361</v>
      </c>
      <c r="L8" s="144">
        <v>2951.4169999999995</v>
      </c>
      <c r="M8" s="144">
        <v>105376.11385096473</v>
      </c>
      <c r="N8" s="144"/>
      <c r="O8" s="144"/>
      <c r="P8" s="144"/>
    </row>
    <row r="9" spans="1:16">
      <c r="A9" s="705">
        <f>ROW()</f>
        <v>9</v>
      </c>
      <c r="C9" s="144"/>
      <c r="D9" s="144" t="s">
        <v>643</v>
      </c>
      <c r="E9" s="144"/>
      <c r="F9" s="144"/>
      <c r="G9" s="144"/>
      <c r="H9" s="144"/>
      <c r="I9" s="144"/>
      <c r="J9" s="144"/>
      <c r="K9" s="144" t="s">
        <v>361</v>
      </c>
      <c r="L9" s="144">
        <v>251.00000000000003</v>
      </c>
      <c r="M9" s="144">
        <v>4501</v>
      </c>
      <c r="N9" s="144"/>
      <c r="O9" s="144"/>
      <c r="P9" s="144"/>
    </row>
    <row r="10" spans="1:16">
      <c r="A10" s="705">
        <f>ROW()</f>
        <v>10</v>
      </c>
      <c r="C10" s="144"/>
      <c r="D10" s="145" t="s">
        <v>644</v>
      </c>
      <c r="E10" s="145"/>
      <c r="F10" s="145"/>
      <c r="G10" s="144"/>
      <c r="H10" s="145"/>
      <c r="I10" s="145"/>
      <c r="J10" s="145"/>
      <c r="K10" s="145" t="s">
        <v>361</v>
      </c>
      <c r="L10" s="145">
        <v>8870.0005004898776</v>
      </c>
      <c r="M10" s="145">
        <v>701.20528749786934</v>
      </c>
      <c r="N10" s="144"/>
      <c r="O10" s="144"/>
      <c r="P10" s="144"/>
    </row>
    <row r="11" spans="1:16">
      <c r="A11" s="705">
        <f>ROW()</f>
        <v>11</v>
      </c>
      <c r="C11" s="144"/>
      <c r="D11" s="144"/>
      <c r="E11" s="144"/>
      <c r="F11" s="144"/>
      <c r="G11" s="144"/>
      <c r="H11" s="144"/>
      <c r="I11" s="144"/>
      <c r="J11" s="144"/>
      <c r="K11" s="144"/>
      <c r="L11" s="144"/>
      <c r="M11" s="144"/>
      <c r="N11" s="144"/>
      <c r="O11" s="144"/>
      <c r="P11" s="144"/>
    </row>
    <row r="12" spans="1:16">
      <c r="A12" s="705">
        <f>ROW()</f>
        <v>12</v>
      </c>
      <c r="C12" s="144"/>
      <c r="D12" s="144" t="s">
        <v>645</v>
      </c>
      <c r="E12" s="144"/>
      <c r="F12" s="144"/>
      <c r="G12" s="144"/>
      <c r="H12" s="144"/>
      <c r="I12" s="144"/>
      <c r="J12" s="144"/>
      <c r="K12" s="144"/>
      <c r="L12" s="144"/>
      <c r="M12" s="144"/>
      <c r="N12" s="144"/>
      <c r="O12" s="144"/>
      <c r="P12" s="144"/>
    </row>
    <row r="13" spans="1:16">
      <c r="A13" s="705">
        <f>ROW()</f>
        <v>13</v>
      </c>
      <c r="C13" s="144"/>
      <c r="D13" s="144" t="s">
        <v>646</v>
      </c>
      <c r="E13" s="144"/>
      <c r="F13" s="144"/>
      <c r="G13" s="144"/>
      <c r="H13" s="144"/>
      <c r="I13" s="144"/>
      <c r="J13" s="144"/>
      <c r="K13" s="144" t="s">
        <v>361</v>
      </c>
      <c r="L13" s="144">
        <v>0</v>
      </c>
      <c r="M13" s="144">
        <v>10000</v>
      </c>
      <c r="N13" s="144"/>
      <c r="O13" s="144"/>
      <c r="P13" s="144"/>
    </row>
    <row r="14" spans="1:16">
      <c r="A14" s="705">
        <f>ROW()</f>
        <v>14</v>
      </c>
    </row>
    <row r="15" spans="1:16">
      <c r="A15" s="705">
        <f>ROW()</f>
        <v>15</v>
      </c>
    </row>
    <row r="16" spans="1:16">
      <c r="A16" s="705">
        <f>ROW()</f>
        <v>16</v>
      </c>
    </row>
    <row r="17" spans="1:7">
      <c r="A17" s="705">
        <f>ROW()</f>
        <v>17</v>
      </c>
    </row>
    <row r="18" spans="1:7">
      <c r="A18" s="705">
        <f>ROW()</f>
        <v>18</v>
      </c>
    </row>
    <row r="19" spans="1:7">
      <c r="A19" s="705">
        <f>ROW()</f>
        <v>19</v>
      </c>
      <c r="C19" s="176" t="s">
        <v>638</v>
      </c>
    </row>
    <row r="20" spans="1:7">
      <c r="A20" s="705">
        <f>ROW()</f>
        <v>20</v>
      </c>
      <c r="D20" s="176" t="str">
        <f>[3]WS_!B20</f>
        <v>Wasserstofferzeugung:</v>
      </c>
    </row>
    <row r="21" spans="1:7">
      <c r="A21" s="705">
        <f>ROW()</f>
        <v>21</v>
      </c>
      <c r="D21" s="705">
        <f>[3]WS_!B21</f>
        <v>65</v>
      </c>
      <c r="E21" s="705" t="str">
        <f>[3]WS_!C21</f>
        <v>%</v>
      </c>
      <c r="F21" s="705">
        <f>[3]WS_!D21</f>
        <v>0</v>
      </c>
      <c r="G21" s="705" t="str">
        <f>[3]WS_!E21</f>
        <v>Jahresnutzungsgrad Wasserelektrolyse</v>
      </c>
    </row>
    <row r="22" spans="1:7">
      <c r="A22" s="705">
        <f>ROW()</f>
        <v>22</v>
      </c>
    </row>
    <row r="23" spans="1:7">
      <c r="A23" s="705">
        <f>ROW()</f>
        <v>23</v>
      </c>
      <c r="D23" s="176" t="str">
        <f>[3]WS_!B23</f>
        <v>Stromspeicherung:</v>
      </c>
    </row>
    <row r="24" spans="1:7">
      <c r="A24" s="705">
        <f>ROW()</f>
        <v>24</v>
      </c>
      <c r="D24" s="705">
        <f>[3]WS_!B24</f>
        <v>100</v>
      </c>
      <c r="E24" s="705" t="str">
        <f>[3]WS_!C24</f>
        <v>%</v>
      </c>
      <c r="F24" s="705" t="str">
        <f>[3]WS_!D24</f>
        <v>Pmax/Pv</v>
      </c>
      <c r="G24" s="705" t="str">
        <f>[3]WS_!E24</f>
        <v>Maximale Tages-Elektrolyseleistung relativ zu durchschn. Tagesverbrauch</v>
      </c>
    </row>
    <row r="25" spans="1:7">
      <c r="A25" s="705">
        <f>ROW()</f>
        <v>25</v>
      </c>
      <c r="D25" s="705">
        <f>[3]WS_!B25</f>
        <v>65.400000000000006</v>
      </c>
      <c r="E25" s="705" t="str">
        <f>[3]WS_!C25</f>
        <v>%</v>
      </c>
      <c r="F25" s="705" t="str">
        <f>[3]WS_!D25</f>
        <v>Eta ES</v>
      </c>
      <c r="G25" s="705" t="str">
        <f>[3]WS_!E25</f>
        <v>Jahres-Nutzungsgrad Wasser-Elektrolyse+Gaseinspeicherung (+ggf.Methanisierung)</v>
      </c>
    </row>
    <row r="26" spans="1:7">
      <c r="A26" s="705">
        <f>ROW()</f>
        <v>26</v>
      </c>
      <c r="D26" s="705">
        <f>[3]WS_!B26</f>
        <v>0.01</v>
      </c>
      <c r="E26" s="705" t="str">
        <f>[3]WS_!C26</f>
        <v>%/L/d</v>
      </c>
      <c r="F26" s="705">
        <f>[3]WS_!D26</f>
        <v>0</v>
      </c>
      <c r="G26" s="705" t="str">
        <f>[3]WS_!E26</f>
        <v>Tägliche Gasspeicher-Selbstendladungsrate in % pro Ladezustand</v>
      </c>
    </row>
    <row r="27" spans="1:7">
      <c r="A27" s="705">
        <f>ROW()</f>
        <v>27</v>
      </c>
      <c r="D27" s="705">
        <f>[3]WS_!B27</f>
        <v>58.5</v>
      </c>
      <c r="E27" s="705" t="str">
        <f>[3]WS_!C27</f>
        <v>%</v>
      </c>
      <c r="F27" s="705" t="str">
        <f>[3]WS_!D27</f>
        <v>Eta RS</v>
      </c>
      <c r="G27" s="705" t="str">
        <f>[3]WS_!E27</f>
        <v>Jahres-Nutzungsgrad Gas-Rückverstromung</v>
      </c>
    </row>
    <row r="28" spans="1:7">
      <c r="A28" s="705">
        <f>ROW()</f>
        <v>28</v>
      </c>
      <c r="D28" s="19">
        <f>[3]WS_!B28</f>
        <v>299414.16266615025</v>
      </c>
      <c r="E28" s="705" t="str">
        <f>[3]WS_!C28</f>
        <v>GWh/a</v>
      </c>
      <c r="F28" s="705">
        <f>[3]WS_!D28</f>
        <v>0</v>
      </c>
      <c r="G28" s="705" t="str">
        <f>[3]WS_!E28</f>
        <v>Stromspeicherung Aufnahme Elektrolyse</v>
      </c>
    </row>
    <row r="29" spans="1:7">
      <c r="A29" s="705">
        <f>ROW()</f>
        <v>29</v>
      </c>
      <c r="D29" s="603">
        <f>[3]WS_!B29</f>
        <v>37.689265930224394</v>
      </c>
      <c r="E29" s="705" t="str">
        <f>[3]WS_!C29</f>
        <v>GWh/a</v>
      </c>
      <c r="F29" s="705">
        <f>[3]WS_!D29</f>
        <v>0</v>
      </c>
      <c r="G29" s="705" t="str">
        <f>[3]WS_!E29</f>
        <v>Nutzungsgrad Stromspeicherung</v>
      </c>
    </row>
    <row r="30" spans="1:7">
      <c r="A30" s="705">
        <f>ROW()</f>
        <v>30</v>
      </c>
      <c r="D30" s="19">
        <f>[3]WS_!B30</f>
        <v>140225</v>
      </c>
      <c r="E30" s="705" t="str">
        <f>[3]WS_!C30</f>
        <v xml:space="preserve">GWh </v>
      </c>
      <c r="F30" s="705">
        <f>[3]WS_!D30</f>
        <v>0</v>
      </c>
      <c r="G30" s="705" t="str">
        <f>[3]WS_!E30</f>
        <v>Min. Gasspeicherkapazität</v>
      </c>
    </row>
    <row r="31" spans="1:7">
      <c r="A31" s="705">
        <f>ROW()</f>
        <v>31</v>
      </c>
      <c r="D31" s="19">
        <f>[3]WS_!B31</f>
        <v>10730.892227226817</v>
      </c>
      <c r="E31" s="705" t="str">
        <f>[3]WS_!C31</f>
        <v>GWh/a</v>
      </c>
      <c r="F31" s="705">
        <f>[3]WS_!D31</f>
        <v>0</v>
      </c>
      <c r="G31" s="705" t="str">
        <f>[3]WS_!E31</f>
        <v>Abregelung von Windenergie- und Photovoltaik-Anlagen</v>
      </c>
    </row>
    <row r="32" spans="1:7">
      <c r="A32" s="705">
        <f>ROW()</f>
        <v>32</v>
      </c>
      <c r="D32" s="19">
        <f>[3]WS_!B32</f>
        <v>948640.6917308172</v>
      </c>
      <c r="E32" s="705" t="str">
        <f>[3]WS_!C32</f>
        <v>GWh/a</v>
      </c>
      <c r="F32" s="705">
        <f>[3]WS_!D32</f>
        <v>0</v>
      </c>
      <c r="G32" s="705" t="str">
        <f>[3]WS_!E32</f>
        <v>Prüfsumme: Stromangebot aus eigenen erneuerbaren Energien</v>
      </c>
    </row>
    <row r="33" spans="1:7">
      <c r="A33" s="705">
        <f>ROW()</f>
        <v>33</v>
      </c>
      <c r="D33" s="19" t="str">
        <f>[3]WS_!B33</f>
        <v/>
      </c>
      <c r="E33" s="705">
        <f>[3]WS_!C33</f>
        <v>0</v>
      </c>
      <c r="F33" s="705">
        <f>[3]WS_!D33</f>
        <v>0</v>
      </c>
      <c r="G33" s="705" t="str">
        <f>[3]WS_!E33</f>
        <v>Abgleichwarnung</v>
      </c>
    </row>
    <row r="34" spans="1:7">
      <c r="A34" s="705">
        <f>ROW()</f>
        <v>34</v>
      </c>
    </row>
    <row r="35" spans="1:7">
      <c r="A35" s="705">
        <f>ROW()</f>
        <v>35</v>
      </c>
    </row>
    <row r="36" spans="1:7">
      <c r="A36" s="705">
        <f>ROW()</f>
        <v>36</v>
      </c>
    </row>
    <row r="37" spans="1:7">
      <c r="A37" s="705">
        <f>ROW()</f>
        <v>37</v>
      </c>
    </row>
    <row r="38" spans="1:7">
      <c r="A38" s="705">
        <f>ROW()</f>
        <v>38</v>
      </c>
    </row>
    <row r="39" spans="1:7">
      <c r="A39" s="705">
        <f>ROW()</f>
        <v>39</v>
      </c>
    </row>
    <row r="40" spans="1:7">
      <c r="A40" s="705">
        <f>ROW()</f>
        <v>40</v>
      </c>
    </row>
    <row r="41" spans="1:7">
      <c r="A41" s="705">
        <f>ROW()</f>
        <v>41</v>
      </c>
    </row>
    <row r="42" spans="1:7">
      <c r="A42" s="705">
        <f>ROW()</f>
        <v>42</v>
      </c>
    </row>
    <row r="43" spans="1:7">
      <c r="A43" s="705">
        <f>ROW()</f>
        <v>43</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7"/>
  <dimension ref="A1"/>
  <sheetViews>
    <sheetView workbookViewId="0"/>
  </sheetViews>
  <sheetFormatPr baseColWidth="10" defaultRowHeight="15"/>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6">
    <outlinePr summaryBelow="0" summaryRight="0"/>
  </sheetPr>
  <dimension ref="A1:CU63"/>
  <sheetViews>
    <sheetView showGridLines="0" showRowColHeaders="0" topLeftCell="D1" workbookViewId="0">
      <selection activeCell="M8" sqref="M8"/>
    </sheetView>
  </sheetViews>
  <sheetFormatPr baseColWidth="10" defaultColWidth="11.5" defaultRowHeight="15" outlineLevelCol="1"/>
  <cols>
    <col min="1" max="2" width="4.6640625" style="900" hidden="1" customWidth="1"/>
    <col min="3" max="3" width="1.5" style="900" hidden="1" customWidth="1"/>
    <col min="4" max="4" width="4.6640625" style="757" customWidth="1"/>
    <col min="5" max="5" width="1.6640625" style="900" customWidth="1"/>
    <col min="6" max="6" width="1.33203125" style="900" customWidth="1"/>
    <col min="7" max="13" width="11.5" style="900"/>
    <col min="14" max="14" width="6.1640625" style="900" customWidth="1"/>
    <col min="15" max="15" width="1.33203125" style="900" customWidth="1"/>
    <col min="16" max="16" width="3.5" style="900" customWidth="1"/>
    <col min="17" max="17" width="2" style="904" customWidth="1"/>
    <col min="18" max="18" width="11.5" style="900" customWidth="1" collapsed="1"/>
    <col min="19" max="23" width="11.5" style="900" hidden="1" customWidth="1" outlineLevel="1"/>
    <col min="24" max="24" width="99.6640625" style="900" hidden="1" customWidth="1" outlineLevel="1"/>
    <col min="25" max="16384" width="11.5" style="900"/>
  </cols>
  <sheetData>
    <row r="1" spans="1:99" s="901" customFormat="1">
      <c r="A1" s="951" t="str">
        <f>[1]Stempel!A6</f>
        <v>100prosim (_S.xlsx, 200730.1641_hsk)</v>
      </c>
      <c r="B1" s="609"/>
      <c r="C1" s="609"/>
      <c r="D1" s="451"/>
      <c r="E1" s="952"/>
      <c r="I1" s="953"/>
      <c r="J1" s="953"/>
      <c r="K1" s="954"/>
      <c r="L1" s="955"/>
      <c r="M1" s="955"/>
      <c r="N1" s="956"/>
      <c r="O1" s="957"/>
      <c r="Q1" s="958"/>
      <c r="R1" s="959" t="s">
        <v>209</v>
      </c>
      <c r="S1" s="900" t="str">
        <f ca="1">T1&amp;" "&amp;W1</f>
        <v>_. Copyright</v>
      </c>
      <c r="T1" s="905" t="str">
        <f ca="1">MID(U1,2,1)&amp;"."</f>
        <v>_.</v>
      </c>
      <c r="U1" s="452" t="str">
        <f ca="1">MID(X1,FIND("[",X1)+1,FIND("xls",X1)-FIND("[",X1)-1)</f>
        <v>D_Python.</v>
      </c>
      <c r="V1" s="452" t="str">
        <f ca="1">MID(X1,FIND("[",X1)+1,FIND("]",X1)-FIND("[",X1)-1)</f>
        <v>D_Python.xlsx</v>
      </c>
      <c r="W1" s="452" t="str">
        <f ca="1">MID(X1,FIND("]",X1)+1,255)</f>
        <v>Copyright</v>
      </c>
      <c r="X1" s="757" t="str">
        <f ca="1">CELL("dateiname",X1)</f>
        <v>/Users/izzetkilicarslan/PycharmProjects/Masterarbeit_100prosim/Excel_import/Python_Modell/[D_Python.xlsx]Copyright</v>
      </c>
    </row>
    <row r="2" spans="1:99" s="901" customFormat="1">
      <c r="A2" s="609"/>
      <c r="B2" s="609"/>
      <c r="C2" s="609"/>
      <c r="D2" s="451"/>
      <c r="H2" s="610"/>
      <c r="I2" s="450"/>
      <c r="J2" s="450"/>
      <c r="K2" s="610"/>
      <c r="L2" s="960"/>
      <c r="M2" s="960"/>
      <c r="N2" s="961"/>
      <c r="O2" s="950" t="str">
        <f ca="1">Stempel!$A$11&amp;" - "&amp;Stempel!$B$13&amp;" "&amp;Stempel!$B$14</f>
        <v>100prosim (D_Python.xlsx, 200818.2120_hsk) - 23.03.2021 10:34</v>
      </c>
      <c r="Q2" s="962"/>
      <c r="R2" s="494"/>
      <c r="S2" s="900"/>
      <c r="T2" s="905"/>
      <c r="U2" s="905"/>
      <c r="V2" s="452"/>
      <c r="W2" s="452"/>
      <c r="X2" s="757"/>
    </row>
    <row r="3" spans="1:99" s="901" customFormat="1" ht="18">
      <c r="A3" s="555"/>
      <c r="B3" s="555"/>
      <c r="C3" s="555"/>
      <c r="D3" s="634"/>
      <c r="E3" s="963" t="s">
        <v>1145</v>
      </c>
      <c r="F3" s="553"/>
      <c r="G3" s="553"/>
      <c r="H3" s="554"/>
      <c r="I3" s="555"/>
      <c r="J3" s="555"/>
      <c r="K3" s="555"/>
      <c r="L3" s="964"/>
      <c r="M3" s="965"/>
      <c r="N3" s="966"/>
      <c r="O3" s="555"/>
      <c r="P3" s="450"/>
      <c r="Q3" s="962"/>
    </row>
    <row r="4" spans="1:99" s="901" customFormat="1" ht="6.75" customHeight="1">
      <c r="A4" s="607" t="str">
        <f ca="1">T$1&amp;B4</f>
        <v>_.2</v>
      </c>
      <c r="B4" s="607">
        <v>2</v>
      </c>
      <c r="C4" s="607" t="str">
        <f>"["&amp;D4&amp;"] "</f>
        <v xml:space="preserve">[4] </v>
      </c>
      <c r="D4" s="967">
        <f>ROW()</f>
        <v>4</v>
      </c>
      <c r="E4" s="616"/>
      <c r="F4" s="615"/>
      <c r="G4" s="616"/>
      <c r="H4" s="616"/>
      <c r="I4" s="616"/>
      <c r="J4" s="616"/>
      <c r="K4" s="616"/>
      <c r="L4" s="617"/>
      <c r="M4" s="617"/>
      <c r="N4" s="968"/>
      <c r="O4" s="616"/>
      <c r="P4" s="450"/>
      <c r="Q4" s="962"/>
    </row>
    <row r="5" spans="1:99" ht="9" customHeight="1">
      <c r="C5" s="607" t="str">
        <f>"["&amp;D5&amp;"] "</f>
        <v xml:space="preserve">[5] </v>
      </c>
      <c r="D5" s="969">
        <f>ROW()</f>
        <v>5</v>
      </c>
      <c r="Q5" s="900"/>
    </row>
    <row r="6" spans="1:99" s="904" customFormat="1" ht="19">
      <c r="A6" s="900"/>
      <c r="B6" s="900"/>
      <c r="C6" s="607"/>
      <c r="D6" s="969">
        <f>ROW()</f>
        <v>6</v>
      </c>
      <c r="E6" s="970" t="s">
        <v>1146</v>
      </c>
      <c r="F6" s="900"/>
      <c r="H6" s="900"/>
      <c r="I6" s="900"/>
      <c r="J6" s="900"/>
      <c r="K6" s="900"/>
      <c r="L6" s="900"/>
      <c r="M6" s="900"/>
      <c r="N6" s="971" t="s">
        <v>1147</v>
      </c>
      <c r="O6" s="900"/>
      <c r="P6" s="900"/>
      <c r="Q6" s="900"/>
      <c r="R6" s="900"/>
      <c r="S6" s="900"/>
      <c r="T6" s="900"/>
      <c r="U6" s="900"/>
      <c r="V6" s="900"/>
      <c r="W6" s="900"/>
      <c r="X6" s="900"/>
    </row>
    <row r="7" spans="1:99">
      <c r="C7" s="607" t="str">
        <f>"["&amp;D7&amp;"] "</f>
        <v xml:space="preserve">[7] </v>
      </c>
      <c r="D7" s="969">
        <f>ROW()</f>
        <v>7</v>
      </c>
      <c r="E7" s="76"/>
      <c r="G7" s="972" t="s">
        <v>1148</v>
      </c>
      <c r="Q7" s="900"/>
    </row>
    <row r="8" spans="1:99" s="904" customFormat="1" ht="21" customHeight="1">
      <c r="A8" s="900"/>
      <c r="B8" s="900"/>
      <c r="C8" s="607"/>
      <c r="D8" s="969">
        <f>ROW()</f>
        <v>8</v>
      </c>
      <c r="E8" s="970" t="str">
        <f ca="1">V1</f>
        <v>D_Python.xlsx</v>
      </c>
      <c r="H8" s="900"/>
      <c r="I8" s="900"/>
      <c r="J8" s="900"/>
      <c r="K8" s="900"/>
      <c r="L8" s="900"/>
      <c r="M8" s="900"/>
      <c r="N8" s="900"/>
      <c r="O8" s="900"/>
      <c r="P8" s="900"/>
      <c r="Q8" s="900"/>
      <c r="R8" s="900"/>
      <c r="S8" s="900"/>
      <c r="T8" s="900"/>
      <c r="U8" s="900"/>
      <c r="V8" s="900"/>
      <c r="W8" s="900"/>
      <c r="X8" s="900"/>
    </row>
    <row r="9" spans="1:99">
      <c r="C9" s="607" t="str">
        <f>"["&amp;D9&amp;"] "</f>
        <v xml:space="preserve">[9] </v>
      </c>
      <c r="D9" s="969">
        <f>ROW()</f>
        <v>9</v>
      </c>
      <c r="E9" s="76"/>
      <c r="G9" s="176" t="s">
        <v>1149</v>
      </c>
      <c r="Q9" s="900"/>
    </row>
    <row r="10" spans="1:99" s="904" customFormat="1" ht="6" customHeight="1">
      <c r="A10" s="973"/>
      <c r="B10" s="973"/>
      <c r="C10" s="974"/>
      <c r="D10" s="969"/>
      <c r="E10" s="975"/>
      <c r="F10" s="973"/>
      <c r="H10" s="973"/>
      <c r="I10" s="973"/>
      <c r="J10" s="973"/>
      <c r="K10" s="973"/>
      <c r="L10" s="973"/>
      <c r="M10" s="973"/>
      <c r="N10" s="973"/>
      <c r="O10" s="973"/>
      <c r="P10" s="973"/>
      <c r="Q10" s="973"/>
      <c r="R10" s="973"/>
      <c r="S10" s="973"/>
      <c r="T10" s="973"/>
      <c r="U10" s="973"/>
      <c r="V10" s="973"/>
      <c r="W10" s="973"/>
      <c r="X10" s="973"/>
    </row>
    <row r="11" spans="1:99" s="904" customFormat="1" ht="21" customHeight="1">
      <c r="A11" s="900"/>
      <c r="B11" s="900"/>
      <c r="C11" s="607"/>
      <c r="D11" s="969">
        <f>ROW()</f>
        <v>11</v>
      </c>
      <c r="E11" s="1419" t="s">
        <v>1150</v>
      </c>
      <c r="F11" s="1419"/>
      <c r="G11" s="1419"/>
      <c r="H11" s="1419"/>
      <c r="I11" s="1419"/>
      <c r="J11" s="1419"/>
      <c r="K11" s="1419"/>
      <c r="L11" s="1419"/>
      <c r="O11" s="900"/>
      <c r="P11" s="900"/>
      <c r="Q11" s="900"/>
      <c r="R11" s="900"/>
      <c r="S11" s="900"/>
      <c r="T11" s="900"/>
      <c r="U11" s="900"/>
      <c r="V11" s="900"/>
      <c r="W11" s="900"/>
      <c r="X11" s="900"/>
    </row>
    <row r="12" spans="1:99" s="904" customFormat="1" ht="149.25" customHeight="1">
      <c r="A12" s="900"/>
      <c r="B12" s="900"/>
      <c r="C12" s="607"/>
      <c r="D12" s="969">
        <f>ROW()</f>
        <v>12</v>
      </c>
      <c r="E12" s="900"/>
      <c r="F12" s="900"/>
      <c r="G12" s="1420" t="str">
        <f>"    Copyright (C) "&amp;[1]Stempel!A12&amp;" "&amp;[1]Stempel!A15&amp;"
    This program is free software: you can redistribute it and/or modify
    it under the terms of the GNU General Public License as published by
    the Free Software Foundation, version 3 of the License."&amp;"
    This program is distributed in the hope that it will be useful,
    but WITHOUT ANY WARRANTY; without even the implied warranty of
    MERCHANTABILITY or FITNESS FOR A PARTICULAR PURPOSE. "&amp;" See the
    GNU General Public License for more details.
    You should have received a copy of the GNU General Public License
    along with this program.  If not, see:"</f>
        <v xml:space="preserve">    Copyright (C) 2020 Hans-Heinrich Schmidt-Kanefendt
    This program is free software: you can redistribute it and/or modify
    it under the terms of the GNU General Public License as published by
    the Free Software Foundation, version 3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v>
      </c>
      <c r="H12" s="1421"/>
      <c r="I12" s="1421"/>
      <c r="J12" s="1421"/>
      <c r="K12" s="1421"/>
      <c r="L12" s="1422"/>
      <c r="O12" s="900"/>
      <c r="P12" s="900"/>
      <c r="Q12" s="900"/>
      <c r="R12" s="900"/>
      <c r="S12" s="900"/>
      <c r="T12" s="900"/>
      <c r="U12" s="900"/>
      <c r="V12" s="900"/>
      <c r="W12" s="900"/>
      <c r="X12" s="900"/>
    </row>
    <row r="13" spans="1:99" s="904" customFormat="1">
      <c r="A13" s="900"/>
      <c r="B13" s="900"/>
      <c r="C13" s="607"/>
      <c r="D13" s="969">
        <f>ROW()</f>
        <v>13</v>
      </c>
      <c r="E13" s="900"/>
      <c r="F13" s="900"/>
      <c r="G13" s="976"/>
      <c r="H13" s="977"/>
      <c r="I13" s="977"/>
      <c r="J13" s="977"/>
      <c r="K13" s="977"/>
      <c r="L13" s="978" t="s">
        <v>1151</v>
      </c>
      <c r="N13" s="900"/>
      <c r="O13" s="900"/>
      <c r="P13" s="900"/>
      <c r="Q13" s="900"/>
      <c r="R13" s="900"/>
      <c r="S13" s="900"/>
      <c r="T13" s="900"/>
      <c r="U13" s="900"/>
      <c r="V13" s="900"/>
      <c r="W13" s="900"/>
      <c r="X13" s="900"/>
    </row>
    <row r="14" spans="1:99" s="904" customFormat="1" ht="7.5" customHeight="1">
      <c r="A14" s="900"/>
      <c r="B14" s="900"/>
      <c r="C14" s="607"/>
      <c r="D14" s="969"/>
      <c r="E14" s="900"/>
      <c r="F14" s="900"/>
      <c r="H14" s="900"/>
      <c r="I14" s="900"/>
      <c r="J14" s="900"/>
      <c r="K14" s="900"/>
      <c r="L14" s="900"/>
      <c r="M14" s="900"/>
      <c r="N14" s="900"/>
      <c r="O14" s="900"/>
      <c r="P14" s="900"/>
      <c r="Q14" s="900"/>
      <c r="R14" s="900"/>
      <c r="S14" s="900"/>
      <c r="T14" s="900"/>
      <c r="U14" s="900"/>
      <c r="V14" s="900"/>
      <c r="W14" s="900"/>
      <c r="X14" s="900"/>
    </row>
    <row r="15" spans="1:99" s="487" customFormat="1">
      <c r="A15" s="757"/>
      <c r="B15" s="757"/>
      <c r="C15" s="979"/>
      <c r="D15" s="969">
        <f>ROW()</f>
        <v>15</v>
      </c>
      <c r="E15" s="757"/>
      <c r="F15" s="757"/>
      <c r="G15" s="980"/>
      <c r="H15" s="981"/>
      <c r="I15" s="982" t="s">
        <v>1152</v>
      </c>
      <c r="J15" s="983" t="str">
        <f>Stempel!A15</f>
        <v>Hans-Heinrich Schmidt-Kanefendt</v>
      </c>
      <c r="K15" s="981"/>
      <c r="L15" s="984"/>
      <c r="M15" s="984"/>
      <c r="N15" s="984"/>
      <c r="O15" s="757"/>
      <c r="P15" s="757"/>
      <c r="R15" s="757"/>
      <c r="S15" s="757"/>
      <c r="T15" s="757"/>
      <c r="U15" s="757"/>
      <c r="V15" s="757"/>
      <c r="W15" s="757"/>
      <c r="X15" s="757"/>
      <c r="Y15" s="757"/>
      <c r="Z15" s="757"/>
      <c r="AA15" s="757"/>
      <c r="AB15" s="757"/>
      <c r="AC15" s="757"/>
      <c r="AD15" s="757"/>
      <c r="AE15" s="757"/>
      <c r="AF15" s="757"/>
      <c r="AG15" s="757"/>
      <c r="AH15" s="757"/>
      <c r="AI15" s="757"/>
      <c r="AJ15" s="757"/>
      <c r="AK15" s="757"/>
      <c r="AL15" s="757"/>
      <c r="AM15" s="757"/>
      <c r="AN15" s="757"/>
      <c r="AO15" s="757"/>
      <c r="AP15" s="757"/>
      <c r="AQ15" s="757"/>
      <c r="AR15" s="757"/>
      <c r="AS15" s="757"/>
      <c r="AT15" s="757"/>
      <c r="AU15" s="757"/>
      <c r="AV15" s="757"/>
      <c r="AW15" s="757"/>
      <c r="AX15" s="757"/>
      <c r="AY15" s="757"/>
      <c r="AZ15" s="757"/>
      <c r="BA15" s="757"/>
      <c r="BB15" s="757"/>
      <c r="BC15" s="757"/>
      <c r="BD15" s="757"/>
      <c r="BE15" s="757"/>
      <c r="BF15" s="757"/>
      <c r="BG15" s="757"/>
      <c r="BH15" s="757"/>
      <c r="BI15" s="757"/>
      <c r="BJ15" s="757"/>
      <c r="BK15" s="757"/>
      <c r="BL15" s="757"/>
      <c r="BM15" s="757"/>
      <c r="BN15" s="757"/>
      <c r="BO15" s="757"/>
      <c r="BP15" s="757"/>
      <c r="BQ15" s="757"/>
      <c r="BR15" s="757"/>
      <c r="BS15" s="757"/>
      <c r="BT15" s="757"/>
      <c r="BU15" s="757"/>
      <c r="BV15" s="757"/>
      <c r="BW15" s="757"/>
      <c r="BX15" s="757"/>
      <c r="BY15" s="757"/>
      <c r="BZ15" s="757"/>
      <c r="CA15" s="757"/>
      <c r="CB15" s="757"/>
      <c r="CC15" s="757"/>
      <c r="CD15" s="757"/>
      <c r="CE15" s="757"/>
      <c r="CF15" s="757"/>
      <c r="CG15" s="757"/>
      <c r="CH15" s="757"/>
      <c r="CI15" s="757"/>
      <c r="CJ15" s="757"/>
      <c r="CK15" s="757"/>
      <c r="CL15" s="757"/>
      <c r="CM15" s="757"/>
      <c r="CN15" s="757"/>
      <c r="CO15" s="757"/>
      <c r="CP15" s="757"/>
      <c r="CQ15" s="757"/>
      <c r="CR15" s="757"/>
      <c r="CS15" s="757"/>
      <c r="CT15" s="757"/>
      <c r="CU15" s="757"/>
    </row>
    <row r="16" spans="1:99" s="487" customFormat="1">
      <c r="A16" s="757"/>
      <c r="B16" s="757"/>
      <c r="C16" s="979"/>
      <c r="D16" s="969">
        <f>ROW()</f>
        <v>16</v>
      </c>
      <c r="E16" s="757"/>
      <c r="F16" s="757"/>
      <c r="G16" s="980"/>
      <c r="H16" s="981"/>
      <c r="I16" s="982" t="s">
        <v>1153</v>
      </c>
      <c r="J16" s="1014" t="str">
        <f>HYPERLINK(Stempel!A17)</f>
        <v>hsk@ernes.de</v>
      </c>
      <c r="K16" s="981"/>
      <c r="L16" s="984"/>
      <c r="M16" s="984"/>
      <c r="N16" s="984"/>
      <c r="O16" s="757"/>
      <c r="P16" s="757"/>
      <c r="R16" s="757"/>
      <c r="S16" s="757"/>
      <c r="T16" s="757"/>
      <c r="U16" s="757"/>
      <c r="V16" s="757"/>
      <c r="W16" s="757"/>
      <c r="X16" s="757"/>
      <c r="Y16" s="757"/>
      <c r="Z16" s="757"/>
      <c r="AA16" s="757"/>
      <c r="AB16" s="757"/>
      <c r="AC16" s="757"/>
      <c r="AD16" s="757"/>
      <c r="AE16" s="757"/>
      <c r="AF16" s="757"/>
      <c r="AG16" s="757"/>
      <c r="AH16" s="757"/>
      <c r="AI16" s="757"/>
      <c r="AJ16" s="757"/>
      <c r="AK16" s="757"/>
      <c r="AL16" s="757"/>
      <c r="AM16" s="757"/>
      <c r="AN16" s="757"/>
      <c r="AO16" s="757"/>
      <c r="AP16" s="757"/>
      <c r="AQ16" s="757"/>
      <c r="AR16" s="757"/>
      <c r="AS16" s="757"/>
      <c r="AT16" s="757"/>
      <c r="AU16" s="757"/>
      <c r="AV16" s="757"/>
      <c r="AW16" s="757"/>
      <c r="AX16" s="757"/>
      <c r="AY16" s="757"/>
      <c r="AZ16" s="757"/>
      <c r="BA16" s="757"/>
      <c r="BB16" s="757"/>
      <c r="BC16" s="757"/>
      <c r="BD16" s="757"/>
      <c r="BE16" s="757"/>
      <c r="BF16" s="757"/>
      <c r="BG16" s="757"/>
      <c r="BH16" s="757"/>
      <c r="BI16" s="757"/>
      <c r="BJ16" s="757"/>
      <c r="BK16" s="757"/>
      <c r="BL16" s="757"/>
      <c r="BM16" s="757"/>
      <c r="BN16" s="757"/>
      <c r="BO16" s="757"/>
      <c r="BP16" s="757"/>
      <c r="BQ16" s="757"/>
      <c r="BR16" s="757"/>
      <c r="BS16" s="757"/>
      <c r="BT16" s="757"/>
      <c r="BU16" s="757"/>
      <c r="BV16" s="757"/>
      <c r="BW16" s="757"/>
      <c r="BX16" s="757"/>
      <c r="BY16" s="757"/>
      <c r="BZ16" s="757"/>
      <c r="CA16" s="757"/>
      <c r="CB16" s="757"/>
      <c r="CC16" s="757"/>
      <c r="CD16" s="757"/>
      <c r="CE16" s="757"/>
      <c r="CF16" s="757"/>
      <c r="CG16" s="757"/>
      <c r="CH16" s="757"/>
      <c r="CI16" s="757"/>
      <c r="CJ16" s="757"/>
      <c r="CK16" s="757"/>
      <c r="CL16" s="757"/>
      <c r="CM16" s="757"/>
      <c r="CN16" s="757"/>
      <c r="CO16" s="757"/>
      <c r="CP16" s="757"/>
      <c r="CQ16" s="757"/>
      <c r="CR16" s="757"/>
      <c r="CS16" s="757"/>
      <c r="CT16" s="757"/>
      <c r="CU16" s="757"/>
    </row>
    <row r="17" spans="1:99" s="487" customFormat="1">
      <c r="A17" s="757"/>
      <c r="B17" s="757"/>
      <c r="C17" s="979"/>
      <c r="D17" s="969">
        <f>ROW()</f>
        <v>17</v>
      </c>
      <c r="E17" s="757"/>
      <c r="F17" s="757"/>
      <c r="G17" s="980"/>
      <c r="H17" s="981"/>
      <c r="I17" s="982" t="s">
        <v>1154</v>
      </c>
      <c r="J17" s="985" t="s">
        <v>1155</v>
      </c>
      <c r="K17" s="981"/>
      <c r="L17" s="984"/>
      <c r="M17" s="984"/>
      <c r="N17" s="984"/>
      <c r="O17" s="757"/>
      <c r="P17" s="757"/>
      <c r="R17" s="757"/>
      <c r="S17" s="757"/>
      <c r="T17" s="757"/>
      <c r="U17" s="757"/>
      <c r="V17" s="757"/>
      <c r="W17" s="757"/>
      <c r="X17" s="757"/>
      <c r="Y17" s="757"/>
      <c r="Z17" s="757"/>
      <c r="AA17" s="757"/>
      <c r="AB17" s="757"/>
      <c r="AC17" s="757"/>
      <c r="AD17" s="757"/>
      <c r="AE17" s="757"/>
      <c r="AF17" s="757"/>
      <c r="AG17" s="757"/>
      <c r="AH17" s="757"/>
      <c r="AI17" s="757"/>
      <c r="AJ17" s="757"/>
      <c r="AK17" s="757"/>
      <c r="AL17" s="757"/>
      <c r="AM17" s="757"/>
      <c r="AN17" s="757"/>
      <c r="AO17" s="757"/>
      <c r="AP17" s="757"/>
      <c r="AQ17" s="757"/>
      <c r="AR17" s="757"/>
      <c r="AS17" s="757"/>
      <c r="AT17" s="757"/>
      <c r="AU17" s="757"/>
      <c r="AV17" s="757"/>
      <c r="AW17" s="757"/>
      <c r="AX17" s="757"/>
      <c r="AY17" s="757"/>
      <c r="AZ17" s="757"/>
      <c r="BA17" s="757"/>
      <c r="BB17" s="757"/>
      <c r="BC17" s="757"/>
      <c r="BD17" s="757"/>
      <c r="BE17" s="757"/>
      <c r="BF17" s="757"/>
      <c r="BG17" s="757"/>
      <c r="BH17" s="757"/>
      <c r="BI17" s="757"/>
      <c r="BJ17" s="757"/>
      <c r="BK17" s="757"/>
      <c r="BL17" s="757"/>
      <c r="BM17" s="757"/>
      <c r="BN17" s="757"/>
      <c r="BO17" s="757"/>
      <c r="BP17" s="757"/>
      <c r="BQ17" s="757"/>
      <c r="BR17" s="757"/>
      <c r="BS17" s="757"/>
      <c r="BT17" s="757"/>
      <c r="BU17" s="757"/>
      <c r="BV17" s="757"/>
      <c r="BW17" s="757"/>
      <c r="BX17" s="757"/>
      <c r="BY17" s="757"/>
      <c r="BZ17" s="757"/>
      <c r="CA17" s="757"/>
      <c r="CB17" s="757"/>
      <c r="CC17" s="757"/>
      <c r="CD17" s="757"/>
      <c r="CE17" s="757"/>
      <c r="CF17" s="757"/>
      <c r="CG17" s="757"/>
      <c r="CH17" s="757"/>
      <c r="CI17" s="757"/>
      <c r="CJ17" s="757"/>
      <c r="CK17" s="757"/>
      <c r="CL17" s="757"/>
      <c r="CM17" s="757"/>
      <c r="CN17" s="757"/>
      <c r="CO17" s="757"/>
      <c r="CP17" s="757"/>
      <c r="CQ17" s="757"/>
      <c r="CR17" s="757"/>
      <c r="CS17" s="757"/>
      <c r="CT17" s="757"/>
      <c r="CU17" s="757"/>
    </row>
    <row r="18" spans="1:99" s="487" customFormat="1">
      <c r="A18" s="757"/>
      <c r="B18" s="757"/>
      <c r="C18" s="979"/>
      <c r="D18" s="969">
        <f>ROW()</f>
        <v>18</v>
      </c>
      <c r="E18" s="757"/>
      <c r="F18" s="757"/>
      <c r="G18" s="980"/>
      <c r="H18" s="981"/>
      <c r="I18" s="982" t="s">
        <v>1156</v>
      </c>
      <c r="J18" s="983" t="str">
        <f>Stempel!A18</f>
        <v>Hans-Heinrich Schmidt-Kanefendt</v>
      </c>
      <c r="K18" s="981"/>
      <c r="L18" s="984"/>
      <c r="M18" s="984"/>
      <c r="N18" s="984"/>
      <c r="O18" s="757"/>
      <c r="P18" s="757"/>
      <c r="R18" s="757"/>
      <c r="S18" s="757"/>
      <c r="T18" s="757"/>
      <c r="U18" s="757"/>
      <c r="V18" s="757"/>
      <c r="W18" s="757"/>
      <c r="X18" s="757"/>
      <c r="Y18" s="757"/>
      <c r="Z18" s="757"/>
      <c r="AA18" s="757"/>
      <c r="AB18" s="757"/>
      <c r="AC18" s="757"/>
      <c r="AD18" s="757"/>
      <c r="AE18" s="757"/>
      <c r="AF18" s="757"/>
      <c r="AG18" s="757"/>
      <c r="AH18" s="757"/>
      <c r="AI18" s="757"/>
      <c r="AJ18" s="757"/>
      <c r="AK18" s="757"/>
      <c r="AL18" s="757"/>
      <c r="AM18" s="757"/>
      <c r="AN18" s="757"/>
      <c r="AO18" s="757"/>
      <c r="AP18" s="757"/>
      <c r="AQ18" s="757"/>
      <c r="AR18" s="757"/>
      <c r="AS18" s="757"/>
      <c r="AT18" s="757"/>
      <c r="AU18" s="757"/>
      <c r="AV18" s="757"/>
      <c r="AW18" s="757"/>
      <c r="AX18" s="757"/>
      <c r="AY18" s="757"/>
      <c r="AZ18" s="757"/>
      <c r="BA18" s="757"/>
      <c r="BB18" s="757"/>
      <c r="BC18" s="757"/>
      <c r="BD18" s="757"/>
      <c r="BE18" s="757"/>
      <c r="BF18" s="757"/>
      <c r="BG18" s="757"/>
      <c r="BH18" s="757"/>
      <c r="BI18" s="757"/>
      <c r="BJ18" s="757"/>
      <c r="BK18" s="757"/>
      <c r="BL18" s="757"/>
      <c r="BM18" s="757"/>
      <c r="BN18" s="757"/>
      <c r="BO18" s="757"/>
      <c r="BP18" s="757"/>
      <c r="BQ18" s="757"/>
      <c r="BR18" s="757"/>
      <c r="BS18" s="757"/>
      <c r="BT18" s="757"/>
      <c r="BU18" s="757"/>
      <c r="BV18" s="757"/>
      <c r="BW18" s="757"/>
      <c r="BX18" s="757"/>
      <c r="BY18" s="757"/>
      <c r="BZ18" s="757"/>
      <c r="CA18" s="757"/>
      <c r="CB18" s="757"/>
      <c r="CC18" s="757"/>
      <c r="CD18" s="757"/>
      <c r="CE18" s="757"/>
      <c r="CF18" s="757"/>
      <c r="CG18" s="757"/>
      <c r="CH18" s="757"/>
      <c r="CI18" s="757"/>
      <c r="CJ18" s="757"/>
      <c r="CK18" s="757"/>
      <c r="CL18" s="757"/>
      <c r="CM18" s="757"/>
      <c r="CN18" s="757"/>
      <c r="CO18" s="757"/>
      <c r="CP18" s="757"/>
      <c r="CQ18" s="757"/>
      <c r="CR18" s="757"/>
      <c r="CS18" s="757"/>
      <c r="CT18" s="757"/>
      <c r="CU18" s="757"/>
    </row>
    <row r="19" spans="1:99" ht="13.5" customHeight="1">
      <c r="C19" s="607"/>
      <c r="D19" s="969">
        <f>ROW()</f>
        <v>19</v>
      </c>
      <c r="E19" s="902"/>
      <c r="F19" s="902"/>
      <c r="G19" s="902"/>
      <c r="H19" s="902"/>
      <c r="I19" s="902"/>
      <c r="J19" s="902"/>
      <c r="K19" s="902"/>
      <c r="L19" s="902"/>
      <c r="M19" s="902"/>
      <c r="N19" s="902"/>
      <c r="O19" s="902"/>
      <c r="Q19" s="900"/>
    </row>
    <row r="20" spans="1:99" s="904" customFormat="1" ht="39.75" customHeight="1">
      <c r="A20" s="900"/>
      <c r="B20" s="900"/>
      <c r="C20" s="607"/>
      <c r="D20" s="969">
        <f>ROW()</f>
        <v>20</v>
      </c>
      <c r="G20" s="1423" t="s">
        <v>1157</v>
      </c>
      <c r="H20" s="1423"/>
      <c r="I20" s="1423"/>
      <c r="J20" s="1423"/>
      <c r="K20" s="1423"/>
      <c r="L20" s="1423"/>
      <c r="M20" s="1423"/>
      <c r="N20" s="1423"/>
      <c r="O20" s="900"/>
      <c r="P20" s="900"/>
      <c r="Q20" s="900"/>
      <c r="R20" s="900"/>
      <c r="S20" s="900"/>
      <c r="T20" s="900"/>
      <c r="U20" s="900"/>
      <c r="V20" s="900"/>
      <c r="W20" s="900"/>
      <c r="X20" s="900"/>
    </row>
    <row r="21" spans="1:99" ht="13.5" customHeight="1">
      <c r="C21" s="607"/>
      <c r="D21" s="969">
        <f>ROW()</f>
        <v>21</v>
      </c>
      <c r="Q21" s="900"/>
    </row>
    <row r="22" spans="1:99" ht="16.5" customHeight="1">
      <c r="C22" s="607" t="str">
        <f>"["&amp;D22&amp;"] "</f>
        <v xml:space="preserve">[22] </v>
      </c>
      <c r="D22" s="969">
        <f>ROW()</f>
        <v>22</v>
      </c>
      <c r="E22" s="986" t="s">
        <v>1158</v>
      </c>
      <c r="F22" s="987"/>
      <c r="G22" s="987"/>
    </row>
    <row r="23" spans="1:99" ht="16.5" customHeight="1">
      <c r="C23" s="607"/>
      <c r="D23" s="969">
        <f>ROW()</f>
        <v>23</v>
      </c>
      <c r="E23" s="987"/>
      <c r="F23" s="987"/>
      <c r="G23" s="988" t="s">
        <v>1159</v>
      </c>
      <c r="Q23" s="900"/>
    </row>
    <row r="24" spans="1:99" ht="105.75" customHeight="1">
      <c r="C24" s="607" t="str">
        <f t="shared" ref="C24" si="0">"["&amp;D24&amp;"] "</f>
        <v xml:space="preserve">[24] </v>
      </c>
      <c r="D24" s="969">
        <f>ROW()</f>
        <v>24</v>
      </c>
      <c r="G24" s="1417" t="s">
        <v>1160</v>
      </c>
      <c r="H24" s="1418"/>
      <c r="I24" s="1418"/>
      <c r="J24" s="1418"/>
      <c r="K24" s="1418"/>
      <c r="L24" s="1418"/>
      <c r="M24" s="1418"/>
      <c r="N24" s="1418"/>
      <c r="O24" s="1418"/>
      <c r="Q24" s="900"/>
      <c r="Y24" s="989"/>
    </row>
    <row r="25" spans="1:99" ht="23.25" customHeight="1">
      <c r="C25" s="607"/>
      <c r="D25" s="969">
        <f>ROW()</f>
        <v>25</v>
      </c>
      <c r="G25" s="988" t="s">
        <v>1161</v>
      </c>
      <c r="Q25" s="900"/>
    </row>
    <row r="26" spans="1:99" ht="46.5" customHeight="1">
      <c r="C26" s="607" t="str">
        <f t="shared" ref="C26" si="1">"["&amp;D26&amp;"] "</f>
        <v xml:space="preserve">[26] </v>
      </c>
      <c r="D26" s="969">
        <f>ROW()</f>
        <v>26</v>
      </c>
      <c r="G26" s="1417" t="s">
        <v>1162</v>
      </c>
      <c r="H26" s="1418"/>
      <c r="I26" s="1418"/>
      <c r="J26" s="1418"/>
      <c r="K26" s="1418"/>
      <c r="L26" s="1418"/>
      <c r="M26" s="1418"/>
      <c r="N26" s="1418"/>
      <c r="O26" s="1418"/>
      <c r="Q26" s="900"/>
      <c r="Y26" s="989"/>
    </row>
    <row r="27" spans="1:99" ht="16.5" customHeight="1">
      <c r="C27" s="607"/>
      <c r="D27" s="969">
        <f>ROW()</f>
        <v>27</v>
      </c>
      <c r="G27" s="1424" t="s">
        <v>1163</v>
      </c>
      <c r="H27" s="1424"/>
      <c r="I27" s="1424"/>
      <c r="J27" s="1424"/>
      <c r="K27" s="1424"/>
      <c r="L27" s="1424"/>
      <c r="M27" s="1424"/>
      <c r="N27" s="1424"/>
      <c r="O27" s="990"/>
      <c r="Q27" s="900"/>
      <c r="Y27" s="989"/>
    </row>
    <row r="28" spans="1:99" s="991" customFormat="1">
      <c r="C28" s="992"/>
      <c r="D28" s="969">
        <f>ROW()</f>
        <v>28</v>
      </c>
      <c r="G28" s="1425" t="s">
        <v>1164</v>
      </c>
      <c r="H28" s="1425"/>
      <c r="I28" s="1425"/>
      <c r="J28" s="1425"/>
      <c r="K28" s="1425"/>
      <c r="L28" s="1425"/>
      <c r="M28" s="1425"/>
      <c r="N28" s="1425"/>
      <c r="O28" s="993"/>
    </row>
    <row r="29" spans="1:99">
      <c r="D29" s="969">
        <f>ROW()</f>
        <v>29</v>
      </c>
      <c r="G29" s="994" t="str">
        <f>IF(Q29="","",Q29&amp;"."&amp;#REF!&amp;", "&amp;TEXT(#REF!,"tt.")&amp;TEXT(#REF!,"MM.")&amp;TEXT(#REF!,"jjjj,")&amp;", "&amp;#REF!&amp;": "&amp;#REF!)</f>
        <v/>
      </c>
      <c r="Q29" s="900"/>
    </row>
    <row r="30" spans="1:99" ht="21">
      <c r="D30" s="969">
        <f>ROW()</f>
        <v>30</v>
      </c>
      <c r="E30" s="986" t="s">
        <v>1165</v>
      </c>
      <c r="F30" s="995"/>
      <c r="G30" s="996"/>
      <c r="Q30" s="900"/>
    </row>
    <row r="31" spans="1:99" ht="16">
      <c r="D31" s="969">
        <f>ROW()</f>
        <v>31</v>
      </c>
      <c r="E31" s="995"/>
      <c r="F31" s="995"/>
      <c r="G31" s="988" t="s">
        <v>1166</v>
      </c>
      <c r="Q31" s="900"/>
    </row>
    <row r="32" spans="1:99" ht="63.75" customHeight="1">
      <c r="D32" s="969">
        <f>ROW()</f>
        <v>32</v>
      </c>
      <c r="G32" s="1417" t="s">
        <v>1167</v>
      </c>
      <c r="H32" s="1418"/>
      <c r="I32" s="1418"/>
      <c r="J32" s="1418"/>
      <c r="K32" s="1418"/>
      <c r="L32" s="1418"/>
      <c r="M32" s="1418"/>
      <c r="N32" s="1418"/>
      <c r="Q32" s="900"/>
    </row>
    <row r="33" spans="4:17" ht="47.25" customHeight="1">
      <c r="D33" s="969">
        <f>ROW()</f>
        <v>33</v>
      </c>
      <c r="G33" s="1417" t="s">
        <v>1168</v>
      </c>
      <c r="H33" s="1418"/>
      <c r="I33" s="1418"/>
      <c r="J33" s="1418"/>
      <c r="K33" s="1418"/>
      <c r="L33" s="1418"/>
      <c r="M33" s="1418"/>
      <c r="N33" s="1418"/>
      <c r="Q33" s="900"/>
    </row>
    <row r="34" spans="4:17" ht="16">
      <c r="D34" s="969">
        <f>ROW()</f>
        <v>34</v>
      </c>
      <c r="G34" s="988" t="s">
        <v>1169</v>
      </c>
      <c r="Q34" s="900"/>
    </row>
    <row r="35" spans="4:17" ht="38.25" customHeight="1">
      <c r="D35" s="969">
        <f>ROW()</f>
        <v>35</v>
      </c>
      <c r="G35" s="1417" t="s">
        <v>1170</v>
      </c>
      <c r="H35" s="1418"/>
      <c r="I35" s="1418"/>
      <c r="J35" s="1418"/>
      <c r="K35" s="1418"/>
      <c r="L35" s="1418"/>
      <c r="M35" s="1418"/>
      <c r="N35" s="1418"/>
      <c r="Q35" s="900"/>
    </row>
    <row r="36" spans="4:17" ht="16">
      <c r="D36" s="969">
        <f>ROW()</f>
        <v>36</v>
      </c>
      <c r="G36" s="988" t="s">
        <v>1171</v>
      </c>
      <c r="Q36" s="900"/>
    </row>
    <row r="37" spans="4:17" ht="66" customHeight="1">
      <c r="D37" s="969">
        <f>ROW()</f>
        <v>37</v>
      </c>
      <c r="G37" s="1417" t="s">
        <v>1172</v>
      </c>
      <c r="H37" s="1418"/>
      <c r="I37" s="1418"/>
      <c r="J37" s="1418"/>
      <c r="K37" s="1418"/>
      <c r="L37" s="1418"/>
      <c r="M37" s="1418"/>
      <c r="N37" s="1418"/>
      <c r="Q37" s="900"/>
    </row>
    <row r="38" spans="4:17" ht="16">
      <c r="D38" s="969">
        <f>ROW()</f>
        <v>38</v>
      </c>
      <c r="G38" s="988" t="s">
        <v>1173</v>
      </c>
      <c r="Q38" s="900"/>
    </row>
    <row r="39" spans="4:17">
      <c r="D39" s="969">
        <f>ROW()</f>
        <v>39</v>
      </c>
      <c r="G39" s="1417" t="s">
        <v>1174</v>
      </c>
      <c r="H39" s="1418"/>
      <c r="I39" s="1418"/>
      <c r="J39" s="1418"/>
      <c r="K39" s="1418"/>
      <c r="L39" s="1418"/>
      <c r="M39" s="1418"/>
      <c r="N39" s="1418"/>
      <c r="Q39" s="900"/>
    </row>
    <row r="40" spans="4:17" ht="82.5" customHeight="1">
      <c r="D40" s="969">
        <f>ROW()</f>
        <v>40</v>
      </c>
      <c r="G40" s="1417" t="s">
        <v>1175</v>
      </c>
      <c r="H40" s="1418"/>
      <c r="I40" s="1418"/>
      <c r="J40" s="1418"/>
      <c r="K40" s="1418"/>
      <c r="L40" s="1418"/>
      <c r="M40" s="1418"/>
      <c r="N40" s="1418"/>
      <c r="Q40" s="900"/>
    </row>
    <row r="41" spans="4:17" ht="78.75" customHeight="1">
      <c r="D41" s="969">
        <f>ROW()</f>
        <v>41</v>
      </c>
      <c r="G41" s="1417" t="s">
        <v>1176</v>
      </c>
      <c r="H41" s="1418"/>
      <c r="I41" s="1418"/>
      <c r="J41" s="1418"/>
      <c r="K41" s="1418"/>
      <c r="L41" s="1418"/>
      <c r="M41" s="1418"/>
      <c r="N41" s="1418"/>
      <c r="Q41" s="900"/>
    </row>
    <row r="42" spans="4:17" ht="50.25" customHeight="1">
      <c r="D42" s="969">
        <f>ROW()</f>
        <v>42</v>
      </c>
      <c r="G42" s="1417" t="s">
        <v>1177</v>
      </c>
      <c r="H42" s="1418"/>
      <c r="I42" s="1418"/>
      <c r="J42" s="1418"/>
      <c r="K42" s="1418"/>
      <c r="L42" s="1418"/>
      <c r="M42" s="1418"/>
      <c r="N42" s="1418"/>
      <c r="Q42" s="900"/>
    </row>
    <row r="43" spans="4:17" ht="16">
      <c r="D43" s="969">
        <f>ROW()</f>
        <v>43</v>
      </c>
      <c r="G43" s="988" t="s">
        <v>1178</v>
      </c>
      <c r="Q43" s="900"/>
    </row>
    <row r="44" spans="4:17" ht="90" customHeight="1">
      <c r="D44" s="969">
        <f>ROW()</f>
        <v>44</v>
      </c>
      <c r="G44" s="1417" t="s">
        <v>1179</v>
      </c>
      <c r="H44" s="1418"/>
      <c r="I44" s="1418"/>
      <c r="J44" s="1418"/>
      <c r="K44" s="1418"/>
      <c r="L44" s="1418"/>
      <c r="M44" s="1418"/>
      <c r="N44" s="1418"/>
      <c r="Q44" s="900"/>
    </row>
    <row r="45" spans="4:17" ht="60" customHeight="1">
      <c r="D45" s="969">
        <f>ROW()</f>
        <v>45</v>
      </c>
      <c r="G45" s="1417" t="s">
        <v>1180</v>
      </c>
      <c r="H45" s="1418"/>
      <c r="I45" s="1418"/>
      <c r="J45" s="1418"/>
      <c r="K45" s="1418"/>
      <c r="L45" s="1418"/>
      <c r="M45" s="1418"/>
      <c r="N45" s="1418"/>
      <c r="Q45" s="900"/>
    </row>
    <row r="46" spans="4:17">
      <c r="D46" s="535"/>
      <c r="Q46" s="900"/>
    </row>
    <row r="47" spans="4:17">
      <c r="D47" s="535"/>
      <c r="Q47" s="900"/>
    </row>
    <row r="48" spans="4:17">
      <c r="D48" s="535"/>
      <c r="Q48" s="900"/>
    </row>
    <row r="49" spans="4:17">
      <c r="D49" s="535"/>
      <c r="Q49" s="900"/>
    </row>
    <row r="50" spans="4:17">
      <c r="D50" s="535"/>
      <c r="Q50" s="900"/>
    </row>
    <row r="51" spans="4:17">
      <c r="D51" s="535"/>
      <c r="Q51" s="900"/>
    </row>
    <row r="52" spans="4:17">
      <c r="D52" s="535"/>
      <c r="Q52" s="900"/>
    </row>
    <row r="53" spans="4:17">
      <c r="D53" s="535"/>
      <c r="Q53" s="900"/>
    </row>
    <row r="54" spans="4:17">
      <c r="D54" s="535"/>
      <c r="Q54" s="900"/>
    </row>
    <row r="55" spans="4:17">
      <c r="D55" s="535"/>
      <c r="Q55" s="900"/>
    </row>
    <row r="56" spans="4:17">
      <c r="D56" s="535"/>
      <c r="Q56" s="900"/>
    </row>
    <row r="57" spans="4:17">
      <c r="D57" s="535"/>
      <c r="Q57" s="900"/>
    </row>
    <row r="58" spans="4:17">
      <c r="D58" s="535"/>
      <c r="Q58" s="900"/>
    </row>
    <row r="59" spans="4:17">
      <c r="D59" s="535"/>
      <c r="Q59" s="900"/>
    </row>
    <row r="60" spans="4:17">
      <c r="D60" s="535"/>
      <c r="Q60" s="900"/>
    </row>
    <row r="61" spans="4:17">
      <c r="D61" s="535"/>
      <c r="Q61" s="900"/>
    </row>
    <row r="62" spans="4:17">
      <c r="D62" s="535"/>
      <c r="Q62" s="900"/>
    </row>
    <row r="63" spans="4:17">
      <c r="D63" s="535"/>
      <c r="Q63" s="900"/>
    </row>
  </sheetData>
  <sheetProtection algorithmName="SHA-512" hashValue="OHMkMTIJtrlULgWF2WORjznd9txDIfBVoVklNV4lxUHMsWuOe9c+DAD0TS+rnUmwirylIDB/1XKUO5jkrW97cQ==" saltValue="dtNmiwRZ4IjHVyMR2Q0gfQ==" spinCount="100000" sheet="1" objects="1" scenarios="1"/>
  <mergeCells count="17">
    <mergeCell ref="G39:N39"/>
    <mergeCell ref="E11:L11"/>
    <mergeCell ref="G12:L12"/>
    <mergeCell ref="G20:N20"/>
    <mergeCell ref="G24:O24"/>
    <mergeCell ref="G26:O26"/>
    <mergeCell ref="G27:N27"/>
    <mergeCell ref="G28:N28"/>
    <mergeCell ref="G32:N32"/>
    <mergeCell ref="G33:N33"/>
    <mergeCell ref="G35:N35"/>
    <mergeCell ref="G37:N37"/>
    <mergeCell ref="G40:N40"/>
    <mergeCell ref="G41:N41"/>
    <mergeCell ref="G42:N42"/>
    <mergeCell ref="G44:N44"/>
    <mergeCell ref="G45:N45"/>
  </mergeCells>
  <conditionalFormatting sqref="E1">
    <cfRule type="cellIs" dxfId="5" priority="4" operator="equal">
      <formula>"WS"</formula>
    </cfRule>
  </conditionalFormatting>
  <hyperlinks>
    <hyperlink ref="L13" r:id="rId1" xr:uid="{00000000-0004-0000-0B00-000000000000}"/>
    <hyperlink ref="J17" r:id="rId2" xr:uid="{00000000-0004-0000-0B00-000001000000}"/>
    <hyperlink ref="G28" r:id="rId3" xr:uid="{00000000-0004-0000-0B00-000002000000}"/>
  </hyperlinks>
  <pageMargins left="0.7" right="0.7" top="0.78740157499999996" bottom="0.78740157499999996" header="0.3" footer="0.3"/>
  <legacyDrawing r:id="rId4"/>
  <extLst>
    <ext xmlns:x14="http://schemas.microsoft.com/office/spreadsheetml/2009/9/main" uri="{78C0D931-6437-407d-A8EE-F0AAD7539E65}">
      <x14:conditionalFormattings>
        <x14:conditionalFormatting xmlns:xm="http://schemas.microsoft.com/office/excel/2006/main">
          <x14:cfRule type="expression" priority="3" id="{BCACF54B-10FB-4481-AB8D-E981E2660A6B}">
            <xm:f>'/Users/izzetkilicarslan/Library/Containers/com.microsoft.Excel/Data/Documents/Users\schmi\Documents\Niedersachsen190916.1205\[_S.xlsx]Stempel'!#REF!=0</xm:f>
            <x14:dxf>
              <font>
                <color rgb="FFFF0000"/>
              </font>
            </x14:dxf>
          </x14:cfRule>
          <xm:sqref>N2</xm:sqref>
        </x14:conditionalFormatting>
        <x14:conditionalFormatting xmlns:xm="http://schemas.microsoft.com/office/excel/2006/main">
          <x14:cfRule type="expression" priority="1" id="{BBC20948-2A87-4E80-B24A-9980B27B7EF0}">
            <xm:f>Stempel!$B$4=0</xm:f>
            <x14:dxf>
              <font>
                <color rgb="FFFF0000"/>
              </font>
            </x14:dxf>
          </x14:cfRule>
          <xm:sqref>O2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8">
    <outlinePr summaryBelow="0" summaryRight="0"/>
  </sheetPr>
  <dimension ref="A1:S139"/>
  <sheetViews>
    <sheetView workbookViewId="0">
      <selection activeCell="C4" sqref="C4"/>
    </sheetView>
  </sheetViews>
  <sheetFormatPr baseColWidth="10" defaultColWidth="11.5" defaultRowHeight="15" outlineLevelCol="1"/>
  <cols>
    <col min="1" max="1" width="13" style="909" customWidth="1"/>
    <col min="2" max="2" width="6.33203125" style="909" bestFit="1" customWidth="1"/>
    <col min="3" max="3" width="72.33203125" style="932" customWidth="1"/>
    <col min="4" max="4" width="3.5" style="928" customWidth="1" collapsed="1"/>
    <col min="5" max="5" width="3.5" style="928" hidden="1" customWidth="1" outlineLevel="1"/>
    <col min="6" max="6" width="20.6640625" style="912" hidden="1" customWidth="1" outlineLevel="1"/>
    <col min="7" max="7" width="14.1640625" style="912" hidden="1" customWidth="1" outlineLevel="1"/>
    <col min="8" max="8" width="15.1640625" style="931" hidden="1" customWidth="1" outlineLevel="1"/>
    <col min="9" max="9" width="2.6640625" style="912" hidden="1" customWidth="1" outlineLevel="1"/>
    <col min="10" max="10" width="3" style="912" hidden="1" customWidth="1" outlineLevel="1"/>
    <col min="11" max="13" width="2.6640625" style="912" hidden="1" customWidth="1" outlineLevel="1"/>
    <col min="14" max="17" width="3" style="912" hidden="1" customWidth="1" outlineLevel="1"/>
    <col min="18" max="18" width="12.5" style="924" hidden="1" customWidth="1" outlineLevel="1"/>
    <col min="19" max="19" width="18.5" style="912" customWidth="1"/>
    <col min="20" max="16384" width="11.5" style="900"/>
  </cols>
  <sheetData>
    <row r="1" spans="1:19">
      <c r="B1" s="910" t="s">
        <v>1071</v>
      </c>
      <c r="C1" s="950" t="str">
        <f ca="1">Stempel!$A$11&amp;" - "&amp;Stempel!$B$13&amp;" "&amp;Stempel!$B$14</f>
        <v>100prosim (D_Python.xlsx, 200818.2120_hsk) - 23.03.2021 10:34</v>
      </c>
      <c r="D1" s="911"/>
      <c r="E1" s="911"/>
      <c r="H1" s="913"/>
      <c r="I1" s="914"/>
      <c r="J1" s="915"/>
      <c r="K1" s="916"/>
      <c r="L1" s="916"/>
      <c r="M1" s="916"/>
      <c r="N1" s="915"/>
      <c r="O1" s="915"/>
      <c r="P1" s="915"/>
      <c r="Q1" s="915"/>
      <c r="R1" s="917"/>
    </row>
    <row r="2" spans="1:19" ht="12.75" customHeight="1">
      <c r="A2" s="918" t="s">
        <v>1072</v>
      </c>
      <c r="B2" s="919" t="s">
        <v>1073</v>
      </c>
      <c r="C2" s="920" t="s">
        <v>1074</v>
      </c>
      <c r="D2" s="921"/>
      <c r="E2" s="921"/>
      <c r="F2" s="922"/>
      <c r="G2" s="922"/>
      <c r="H2" s="923"/>
    </row>
    <row r="3" spans="1:19" ht="13.5" hidden="1" customHeight="1">
      <c r="A3" s="925" t="str">
        <f ca="1">R3</f>
        <v>210323.1034</v>
      </c>
      <c r="B3" s="926"/>
      <c r="C3" s="927"/>
      <c r="F3" s="929" t="s">
        <v>1076</v>
      </c>
      <c r="H3" s="913">
        <f ca="1">NOW()</f>
        <v>44278.44070983796</v>
      </c>
      <c r="I3" s="914" t="str">
        <f ca="1">RIGHT(YEAR(H3),2)</f>
        <v>21</v>
      </c>
      <c r="J3" s="916" t="str">
        <f ca="1">TEXT(MONTH(H3),"00")</f>
        <v>03</v>
      </c>
      <c r="K3" s="916" t="str">
        <f ca="1">TEXT(DAY(H3),"00")</f>
        <v>23</v>
      </c>
      <c r="L3" s="916" t="str">
        <f ca="1">TEXT(HOUR(H3),"00")</f>
        <v>10</v>
      </c>
      <c r="M3" s="916" t="str">
        <f ca="1">TEXT(MINUTE(H3),"00")</f>
        <v>34</v>
      </c>
      <c r="N3" s="915"/>
      <c r="O3" s="915"/>
      <c r="P3" s="915"/>
      <c r="Q3" s="915"/>
      <c r="R3" s="903" t="str">
        <f ca="1">I3&amp;J3&amp;K3&amp;"."&amp;L3&amp;M3</f>
        <v>210323.1034</v>
      </c>
      <c r="S3" s="924"/>
    </row>
    <row r="4" spans="1:19">
      <c r="A4" s="945" t="s">
        <v>1882</v>
      </c>
      <c r="B4" s="930" t="s">
        <v>1223</v>
      </c>
      <c r="C4" s="946" t="s">
        <v>1079</v>
      </c>
      <c r="F4" s="929"/>
      <c r="H4" s="913"/>
      <c r="I4" s="914"/>
      <c r="J4" s="916"/>
      <c r="K4" s="916"/>
      <c r="L4" s="916"/>
      <c r="M4" s="916"/>
      <c r="N4" s="915"/>
      <c r="O4" s="915"/>
      <c r="P4" s="915"/>
      <c r="Q4" s="915"/>
      <c r="R4" s="903"/>
      <c r="S4" s="924"/>
    </row>
    <row r="5" spans="1:19">
      <c r="A5" s="945" t="s">
        <v>1879</v>
      </c>
      <c r="B5" s="930" t="s">
        <v>1223</v>
      </c>
      <c r="C5" s="946" t="s">
        <v>1880</v>
      </c>
      <c r="F5" s="929"/>
      <c r="H5" s="913"/>
      <c r="I5" s="914"/>
      <c r="J5" s="916"/>
      <c r="K5" s="916"/>
      <c r="L5" s="916"/>
      <c r="M5" s="916"/>
      <c r="N5" s="915"/>
      <c r="O5" s="915"/>
      <c r="P5" s="915"/>
      <c r="Q5" s="915"/>
      <c r="R5" s="903"/>
      <c r="S5" s="924"/>
    </row>
    <row r="6" spans="1:19">
      <c r="A6" s="945" t="s">
        <v>1879</v>
      </c>
      <c r="B6" s="930" t="s">
        <v>1223</v>
      </c>
      <c r="C6" s="946" t="s">
        <v>1078</v>
      </c>
      <c r="F6" s="929"/>
      <c r="H6" s="913"/>
      <c r="I6" s="914"/>
      <c r="J6" s="916"/>
      <c r="K6" s="916"/>
      <c r="L6" s="916"/>
      <c r="M6" s="916"/>
      <c r="N6" s="915"/>
      <c r="O6" s="915"/>
      <c r="P6" s="915"/>
      <c r="Q6" s="915"/>
      <c r="R6" s="903"/>
      <c r="S6" s="924"/>
    </row>
    <row r="7" spans="1:19">
      <c r="A7" s="945" t="s">
        <v>1878</v>
      </c>
      <c r="B7" s="930" t="s">
        <v>1223</v>
      </c>
      <c r="C7" s="946" t="s">
        <v>1079</v>
      </c>
      <c r="F7" s="929"/>
      <c r="H7" s="913"/>
      <c r="I7" s="914"/>
      <c r="J7" s="916"/>
      <c r="K7" s="916"/>
      <c r="L7" s="916"/>
      <c r="M7" s="916"/>
      <c r="N7" s="915"/>
      <c r="O7" s="915"/>
      <c r="P7" s="915"/>
      <c r="Q7" s="915"/>
      <c r="R7" s="903"/>
      <c r="S7" s="924"/>
    </row>
    <row r="8" spans="1:19">
      <c r="A8" s="945" t="s">
        <v>1874</v>
      </c>
      <c r="B8" s="930" t="s">
        <v>1223</v>
      </c>
      <c r="C8" s="1105" t="s">
        <v>1875</v>
      </c>
      <c r="F8" s="929"/>
      <c r="H8" s="913"/>
      <c r="I8" s="914"/>
      <c r="J8" s="916"/>
      <c r="K8" s="916"/>
      <c r="L8" s="916"/>
      <c r="M8" s="916"/>
      <c r="N8" s="915"/>
      <c r="O8" s="915"/>
      <c r="P8" s="915"/>
      <c r="Q8" s="915"/>
      <c r="R8" s="903"/>
      <c r="S8" s="924"/>
    </row>
    <row r="9" spans="1:19">
      <c r="A9" s="945" t="s">
        <v>1874</v>
      </c>
      <c r="B9" s="930" t="s">
        <v>1223</v>
      </c>
      <c r="C9" s="946" t="s">
        <v>1078</v>
      </c>
      <c r="F9" s="929"/>
      <c r="H9" s="913"/>
      <c r="I9" s="914"/>
      <c r="J9" s="916"/>
      <c r="K9" s="916"/>
      <c r="L9" s="916"/>
      <c r="M9" s="916"/>
      <c r="N9" s="915"/>
      <c r="O9" s="915"/>
      <c r="P9" s="915"/>
      <c r="Q9" s="915"/>
      <c r="R9" s="903"/>
      <c r="S9" s="924"/>
    </row>
    <row r="10" spans="1:19">
      <c r="A10" s="945" t="s">
        <v>1873</v>
      </c>
      <c r="B10" s="930" t="s">
        <v>1223</v>
      </c>
      <c r="C10" s="946" t="s">
        <v>1079</v>
      </c>
      <c r="F10" s="929"/>
      <c r="H10" s="913"/>
      <c r="I10" s="914"/>
      <c r="J10" s="916"/>
      <c r="K10" s="916"/>
      <c r="L10" s="916"/>
      <c r="M10" s="916"/>
      <c r="N10" s="915"/>
      <c r="O10" s="915"/>
      <c r="P10" s="915"/>
      <c r="Q10" s="915"/>
      <c r="R10" s="903"/>
      <c r="S10" s="924"/>
    </row>
    <row r="11" spans="1:19" ht="24">
      <c r="A11" s="945" t="s">
        <v>1871</v>
      </c>
      <c r="B11" s="930" t="s">
        <v>1223</v>
      </c>
      <c r="C11" s="946" t="s">
        <v>1872</v>
      </c>
      <c r="F11" s="929"/>
      <c r="H11" s="913"/>
      <c r="I11" s="914"/>
      <c r="J11" s="916"/>
      <c r="K11" s="916"/>
      <c r="L11" s="916"/>
      <c r="M11" s="916"/>
      <c r="N11" s="915"/>
      <c r="O11" s="915"/>
      <c r="P11" s="915"/>
      <c r="Q11" s="915"/>
      <c r="R11" s="903"/>
      <c r="S11" s="924"/>
    </row>
    <row r="12" spans="1:19">
      <c r="A12" s="945" t="s">
        <v>1871</v>
      </c>
      <c r="B12" s="930" t="s">
        <v>1223</v>
      </c>
      <c r="C12" s="946" t="s">
        <v>1078</v>
      </c>
      <c r="F12" s="929"/>
      <c r="H12" s="913"/>
      <c r="I12" s="914"/>
      <c r="J12" s="916"/>
      <c r="K12" s="916"/>
      <c r="L12" s="916"/>
      <c r="M12" s="916"/>
      <c r="N12" s="915"/>
      <c r="O12" s="915"/>
      <c r="P12" s="915"/>
      <c r="Q12" s="915"/>
      <c r="R12" s="903"/>
      <c r="S12" s="924"/>
    </row>
    <row r="13" spans="1:19">
      <c r="A13" s="945" t="s">
        <v>1870</v>
      </c>
      <c r="B13" s="930" t="s">
        <v>1223</v>
      </c>
      <c r="C13" s="946" t="s">
        <v>1079</v>
      </c>
      <c r="F13" s="929"/>
      <c r="H13" s="913"/>
      <c r="I13" s="914"/>
      <c r="J13" s="916"/>
      <c r="K13" s="916"/>
      <c r="L13" s="916"/>
      <c r="M13" s="916"/>
      <c r="N13" s="915"/>
      <c r="O13" s="915"/>
      <c r="P13" s="915"/>
      <c r="Q13" s="915"/>
      <c r="R13" s="903"/>
      <c r="S13" s="924"/>
    </row>
    <row r="14" spans="1:19">
      <c r="A14" s="945" t="s">
        <v>1286</v>
      </c>
      <c r="B14" s="930" t="s">
        <v>1223</v>
      </c>
      <c r="C14" s="946" t="s">
        <v>1869</v>
      </c>
      <c r="F14" s="929"/>
      <c r="H14" s="913"/>
      <c r="I14" s="914"/>
      <c r="J14" s="916"/>
      <c r="K14" s="916"/>
      <c r="L14" s="916"/>
      <c r="M14" s="916"/>
      <c r="N14" s="915"/>
      <c r="O14" s="915"/>
      <c r="P14" s="915"/>
      <c r="Q14" s="915"/>
      <c r="R14" s="903"/>
      <c r="S14" s="924"/>
    </row>
    <row r="15" spans="1:19">
      <c r="A15" s="945" t="s">
        <v>1286</v>
      </c>
      <c r="B15" s="930" t="s">
        <v>1223</v>
      </c>
      <c r="C15" s="946" t="s">
        <v>1078</v>
      </c>
      <c r="F15" s="929"/>
      <c r="H15" s="913"/>
      <c r="I15" s="914"/>
      <c r="J15" s="916"/>
      <c r="K15" s="916"/>
      <c r="L15" s="916"/>
      <c r="M15" s="916"/>
      <c r="N15" s="915"/>
      <c r="O15" s="915"/>
      <c r="P15" s="915"/>
      <c r="Q15" s="915"/>
      <c r="R15" s="903"/>
      <c r="S15" s="924"/>
    </row>
    <row r="16" spans="1:19">
      <c r="A16" s="945" t="s">
        <v>1285</v>
      </c>
      <c r="B16" s="930" t="s">
        <v>1223</v>
      </c>
      <c r="C16" s="946" t="s">
        <v>1079</v>
      </c>
      <c r="F16" s="929"/>
      <c r="H16" s="913"/>
      <c r="I16" s="914"/>
      <c r="J16" s="916"/>
      <c r="K16" s="916"/>
      <c r="L16" s="916"/>
      <c r="M16" s="916"/>
      <c r="N16" s="915"/>
      <c r="O16" s="915"/>
      <c r="P16" s="915"/>
      <c r="Q16" s="915"/>
      <c r="R16" s="903"/>
      <c r="S16" s="924"/>
    </row>
    <row r="17" spans="1:19" ht="24">
      <c r="A17" s="945" t="s">
        <v>1282</v>
      </c>
      <c r="B17" s="930" t="s">
        <v>1223</v>
      </c>
      <c r="C17" s="946" t="s">
        <v>1284</v>
      </c>
      <c r="F17" s="929"/>
      <c r="H17" s="913"/>
      <c r="I17" s="914"/>
      <c r="J17" s="916"/>
      <c r="K17" s="916"/>
      <c r="L17" s="916"/>
      <c r="M17" s="916"/>
      <c r="N17" s="915"/>
      <c r="O17" s="915"/>
      <c r="P17" s="915"/>
      <c r="Q17" s="915"/>
      <c r="R17" s="903"/>
      <c r="S17" s="924"/>
    </row>
    <row r="18" spans="1:19">
      <c r="A18" s="945" t="s">
        <v>1282</v>
      </c>
      <c r="B18" s="930" t="s">
        <v>1223</v>
      </c>
      <c r="C18" s="946" t="s">
        <v>1078</v>
      </c>
      <c r="F18" s="929"/>
      <c r="H18" s="913"/>
      <c r="I18" s="914"/>
      <c r="J18" s="916"/>
      <c r="K18" s="916"/>
      <c r="L18" s="916"/>
      <c r="M18" s="916"/>
      <c r="N18" s="915"/>
      <c r="O18" s="915"/>
      <c r="P18" s="915"/>
      <c r="Q18" s="915"/>
      <c r="R18" s="903"/>
      <c r="S18" s="924"/>
    </row>
    <row r="19" spans="1:19">
      <c r="A19" s="945" t="s">
        <v>1281</v>
      </c>
      <c r="B19" s="930" t="s">
        <v>1223</v>
      </c>
      <c r="C19" s="946" t="s">
        <v>1079</v>
      </c>
      <c r="F19" s="929"/>
      <c r="H19" s="913"/>
      <c r="I19" s="914"/>
      <c r="J19" s="916"/>
      <c r="K19" s="916"/>
      <c r="L19" s="916"/>
      <c r="M19" s="916"/>
      <c r="N19" s="915"/>
      <c r="O19" s="915"/>
      <c r="P19" s="915"/>
      <c r="Q19" s="915"/>
      <c r="R19" s="903"/>
      <c r="S19" s="924"/>
    </row>
    <row r="20" spans="1:19">
      <c r="A20" s="945" t="s">
        <v>1279</v>
      </c>
      <c r="B20" s="930" t="s">
        <v>1223</v>
      </c>
      <c r="C20" s="946" t="s">
        <v>1280</v>
      </c>
      <c r="F20" s="929"/>
      <c r="H20" s="913"/>
      <c r="I20" s="914"/>
      <c r="J20" s="916"/>
      <c r="K20" s="916"/>
      <c r="L20" s="916"/>
      <c r="M20" s="916"/>
      <c r="N20" s="915"/>
      <c r="O20" s="915"/>
      <c r="P20" s="915"/>
      <c r="Q20" s="915"/>
      <c r="R20" s="903"/>
      <c r="S20" s="924"/>
    </row>
    <row r="21" spans="1:19">
      <c r="A21" s="945" t="s">
        <v>1279</v>
      </c>
      <c r="B21" s="930" t="s">
        <v>1223</v>
      </c>
      <c r="C21" s="946" t="s">
        <v>1078</v>
      </c>
      <c r="F21" s="929"/>
      <c r="H21" s="913"/>
      <c r="I21" s="914"/>
      <c r="J21" s="916"/>
      <c r="K21" s="916"/>
      <c r="L21" s="916"/>
      <c r="M21" s="916"/>
      <c r="N21" s="915"/>
      <c r="O21" s="915"/>
      <c r="P21" s="915"/>
      <c r="Q21" s="915"/>
      <c r="R21" s="903"/>
      <c r="S21" s="924"/>
    </row>
    <row r="22" spans="1:19">
      <c r="A22" s="945" t="s">
        <v>1278</v>
      </c>
      <c r="B22" s="930" t="s">
        <v>1223</v>
      </c>
      <c r="C22" s="946" t="s">
        <v>1079</v>
      </c>
      <c r="F22" s="929"/>
      <c r="H22" s="913"/>
      <c r="I22" s="914"/>
      <c r="J22" s="916"/>
      <c r="K22" s="916"/>
      <c r="L22" s="916"/>
      <c r="M22" s="916"/>
      <c r="N22" s="915"/>
      <c r="O22" s="915"/>
      <c r="P22" s="915"/>
      <c r="Q22" s="915"/>
      <c r="R22" s="903"/>
      <c r="S22" s="924"/>
    </row>
    <row r="23" spans="1:19" ht="24">
      <c r="A23" s="945" t="s">
        <v>1262</v>
      </c>
      <c r="B23" s="930" t="s">
        <v>1223</v>
      </c>
      <c r="C23" s="946" t="s">
        <v>1277</v>
      </c>
      <c r="F23" s="929"/>
      <c r="H23" s="913"/>
      <c r="I23" s="914"/>
      <c r="J23" s="916"/>
      <c r="K23" s="916"/>
      <c r="L23" s="916"/>
      <c r="M23" s="916"/>
      <c r="N23" s="915"/>
      <c r="O23" s="915"/>
      <c r="P23" s="915"/>
      <c r="Q23" s="915"/>
      <c r="R23" s="903"/>
      <c r="S23" s="924"/>
    </row>
    <row r="24" spans="1:19">
      <c r="A24" s="945" t="s">
        <v>1262</v>
      </c>
      <c r="B24" s="930" t="s">
        <v>1223</v>
      </c>
      <c r="C24" s="946" t="s">
        <v>1078</v>
      </c>
      <c r="F24" s="929"/>
      <c r="H24" s="913"/>
      <c r="I24" s="914"/>
      <c r="J24" s="916"/>
      <c r="K24" s="916"/>
      <c r="L24" s="916"/>
      <c r="M24" s="916"/>
      <c r="N24" s="915"/>
      <c r="O24" s="915"/>
      <c r="P24" s="915"/>
      <c r="Q24" s="915"/>
      <c r="R24" s="903"/>
      <c r="S24" s="924"/>
    </row>
    <row r="25" spans="1:19">
      <c r="A25" s="945" t="s">
        <v>1259</v>
      </c>
      <c r="B25" s="930" t="s">
        <v>1223</v>
      </c>
      <c r="C25" s="946" t="s">
        <v>1079</v>
      </c>
      <c r="F25" s="929"/>
      <c r="H25" s="913"/>
      <c r="I25" s="914"/>
      <c r="J25" s="916"/>
      <c r="K25" s="916"/>
      <c r="L25" s="916"/>
      <c r="M25" s="916"/>
      <c r="N25" s="915"/>
      <c r="O25" s="915"/>
      <c r="P25" s="915"/>
      <c r="Q25" s="915"/>
      <c r="R25" s="903"/>
      <c r="S25" s="924"/>
    </row>
    <row r="26" spans="1:19">
      <c r="A26" s="945" t="s">
        <v>1257</v>
      </c>
      <c r="B26" s="930" t="s">
        <v>1223</v>
      </c>
      <c r="C26" s="946" t="s">
        <v>1258</v>
      </c>
      <c r="F26" s="929"/>
      <c r="H26" s="913"/>
      <c r="I26" s="914"/>
      <c r="J26" s="916"/>
      <c r="K26" s="916"/>
      <c r="L26" s="916"/>
      <c r="M26" s="916"/>
      <c r="N26" s="915"/>
      <c r="O26" s="915"/>
      <c r="P26" s="915"/>
      <c r="Q26" s="915"/>
      <c r="R26" s="903"/>
      <c r="S26" s="924"/>
    </row>
    <row r="27" spans="1:19">
      <c r="A27" s="945" t="s">
        <v>1257</v>
      </c>
      <c r="B27" s="930" t="s">
        <v>1223</v>
      </c>
      <c r="C27" s="946" t="s">
        <v>1078</v>
      </c>
      <c r="F27" s="929"/>
      <c r="H27" s="913"/>
      <c r="I27" s="914"/>
      <c r="J27" s="916"/>
      <c r="K27" s="916"/>
      <c r="L27" s="916"/>
      <c r="M27" s="916"/>
      <c r="N27" s="915"/>
      <c r="O27" s="915"/>
      <c r="P27" s="915"/>
      <c r="Q27" s="915"/>
      <c r="R27" s="903"/>
      <c r="S27" s="924"/>
    </row>
    <row r="28" spans="1:19">
      <c r="A28" s="945" t="s">
        <v>1256</v>
      </c>
      <c r="B28" s="930" t="s">
        <v>1223</v>
      </c>
      <c r="C28" s="946" t="s">
        <v>1079</v>
      </c>
      <c r="F28" s="929"/>
      <c r="H28" s="913"/>
      <c r="I28" s="914"/>
      <c r="J28" s="916"/>
      <c r="K28" s="916"/>
      <c r="L28" s="916"/>
      <c r="M28" s="916"/>
      <c r="N28" s="915"/>
      <c r="O28" s="915"/>
      <c r="P28" s="915"/>
      <c r="Q28" s="915"/>
      <c r="R28" s="903"/>
      <c r="S28" s="924"/>
    </row>
    <row r="29" spans="1:19">
      <c r="A29" s="945" t="s">
        <v>1224</v>
      </c>
      <c r="B29" s="930" t="s">
        <v>1223</v>
      </c>
      <c r="C29" s="946" t="s">
        <v>1255</v>
      </c>
      <c r="F29" s="929"/>
      <c r="H29" s="913"/>
      <c r="I29" s="914"/>
      <c r="J29" s="916"/>
      <c r="K29" s="916"/>
      <c r="L29" s="916"/>
      <c r="M29" s="916"/>
      <c r="N29" s="915"/>
      <c r="O29" s="915"/>
      <c r="P29" s="915"/>
      <c r="Q29" s="915"/>
      <c r="R29" s="903"/>
      <c r="S29" s="924"/>
    </row>
    <row r="30" spans="1:19">
      <c r="A30" s="945" t="s">
        <v>1224</v>
      </c>
      <c r="B30" s="930" t="s">
        <v>1223</v>
      </c>
      <c r="C30" s="946" t="s">
        <v>1078</v>
      </c>
      <c r="F30" s="929"/>
      <c r="H30" s="913"/>
      <c r="I30" s="914"/>
      <c r="J30" s="916"/>
      <c r="K30" s="916"/>
      <c r="L30" s="916"/>
      <c r="M30" s="916"/>
      <c r="N30" s="915"/>
      <c r="O30" s="915"/>
      <c r="P30" s="915"/>
      <c r="Q30" s="915"/>
      <c r="R30" s="903"/>
      <c r="S30" s="924"/>
    </row>
    <row r="31" spans="1:19">
      <c r="A31" s="945" t="s">
        <v>1222</v>
      </c>
      <c r="B31" s="930" t="s">
        <v>1077</v>
      </c>
      <c r="C31" s="946" t="s">
        <v>1215</v>
      </c>
      <c r="F31" s="929"/>
      <c r="H31" s="913"/>
      <c r="I31" s="914"/>
      <c r="J31" s="916"/>
      <c r="K31" s="916"/>
      <c r="L31" s="916"/>
      <c r="M31" s="916"/>
      <c r="N31" s="915"/>
      <c r="O31" s="915"/>
      <c r="P31" s="915"/>
      <c r="Q31" s="915"/>
      <c r="R31" s="903"/>
      <c r="S31" s="924"/>
    </row>
    <row r="32" spans="1:19">
      <c r="A32" s="945" t="s">
        <v>1220</v>
      </c>
      <c r="B32" s="930" t="s">
        <v>1077</v>
      </c>
      <c r="C32" s="946" t="s">
        <v>1221</v>
      </c>
      <c r="F32" s="929"/>
      <c r="H32" s="913"/>
      <c r="I32" s="914"/>
      <c r="J32" s="916"/>
      <c r="K32" s="916"/>
      <c r="L32" s="916"/>
      <c r="M32" s="916"/>
      <c r="N32" s="915"/>
      <c r="O32" s="915"/>
      <c r="P32" s="915"/>
      <c r="Q32" s="915"/>
      <c r="R32" s="903"/>
      <c r="S32" s="924"/>
    </row>
    <row r="33" spans="1:19">
      <c r="A33" s="945" t="s">
        <v>1220</v>
      </c>
      <c r="B33" s="930" t="s">
        <v>1077</v>
      </c>
      <c r="C33" s="946" t="s">
        <v>1217</v>
      </c>
      <c r="F33" s="929"/>
      <c r="H33" s="913"/>
      <c r="I33" s="914"/>
      <c r="J33" s="916"/>
      <c r="K33" s="916"/>
      <c r="L33" s="916"/>
      <c r="M33" s="916"/>
      <c r="N33" s="915"/>
      <c r="O33" s="915"/>
      <c r="P33" s="915"/>
      <c r="Q33" s="915"/>
      <c r="R33" s="903"/>
      <c r="S33" s="924"/>
    </row>
    <row r="34" spans="1:19">
      <c r="A34" s="945" t="s">
        <v>1219</v>
      </c>
      <c r="B34" s="930" t="s">
        <v>1077</v>
      </c>
      <c r="C34" s="946" t="s">
        <v>1215</v>
      </c>
      <c r="F34" s="929"/>
      <c r="H34" s="913"/>
      <c r="I34" s="914"/>
      <c r="J34" s="916"/>
      <c r="K34" s="916"/>
      <c r="L34" s="916"/>
      <c r="M34" s="916"/>
      <c r="N34" s="915"/>
      <c r="O34" s="915"/>
      <c r="P34" s="915"/>
      <c r="Q34" s="915"/>
      <c r="R34" s="903"/>
      <c r="S34" s="924"/>
    </row>
    <row r="35" spans="1:19">
      <c r="A35" s="945" t="s">
        <v>1216</v>
      </c>
      <c r="B35" s="930" t="s">
        <v>1077</v>
      </c>
      <c r="C35" s="946" t="s">
        <v>1218</v>
      </c>
      <c r="F35" s="929"/>
      <c r="H35" s="913"/>
      <c r="I35" s="914"/>
      <c r="J35" s="916"/>
      <c r="K35" s="916"/>
      <c r="L35" s="916"/>
      <c r="M35" s="916"/>
      <c r="N35" s="915"/>
      <c r="O35" s="915"/>
      <c r="P35" s="915"/>
      <c r="Q35" s="915"/>
      <c r="R35" s="903"/>
      <c r="S35" s="924"/>
    </row>
    <row r="36" spans="1:19">
      <c r="A36" s="945" t="s">
        <v>1216</v>
      </c>
      <c r="B36" s="930" t="s">
        <v>1077</v>
      </c>
      <c r="C36" s="946" t="s">
        <v>1217</v>
      </c>
      <c r="F36" s="929"/>
      <c r="H36" s="913"/>
      <c r="I36" s="914"/>
      <c r="J36" s="916"/>
      <c r="K36" s="916"/>
      <c r="L36" s="916"/>
      <c r="M36" s="916"/>
      <c r="N36" s="915"/>
      <c r="O36" s="915"/>
      <c r="P36" s="915"/>
      <c r="Q36" s="915"/>
      <c r="R36" s="903"/>
      <c r="S36" s="924"/>
    </row>
    <row r="37" spans="1:19">
      <c r="A37" s="945" t="s">
        <v>1214</v>
      </c>
      <c r="B37" s="930" t="s">
        <v>1077</v>
      </c>
      <c r="C37" s="946" t="s">
        <v>1215</v>
      </c>
      <c r="F37" s="929"/>
      <c r="H37" s="913"/>
      <c r="I37" s="914"/>
      <c r="J37" s="916"/>
      <c r="K37" s="916"/>
      <c r="L37" s="916"/>
      <c r="M37" s="916"/>
      <c r="N37" s="915"/>
      <c r="O37" s="915"/>
      <c r="P37" s="915"/>
      <c r="Q37" s="915"/>
      <c r="R37" s="903"/>
      <c r="S37" s="924"/>
    </row>
    <row r="38" spans="1:19" ht="13.5" customHeight="1">
      <c r="A38" s="945"/>
      <c r="B38" s="930"/>
      <c r="C38" s="946" t="s">
        <v>1213</v>
      </c>
      <c r="F38" s="929"/>
      <c r="H38" s="913"/>
      <c r="I38" s="914"/>
      <c r="J38" s="916"/>
      <c r="K38" s="916"/>
      <c r="L38" s="916"/>
      <c r="M38" s="916"/>
      <c r="N38" s="915"/>
      <c r="O38" s="915"/>
      <c r="P38" s="915"/>
      <c r="Q38" s="915"/>
      <c r="R38" s="903"/>
      <c r="S38" s="924"/>
    </row>
    <row r="39" spans="1:19">
      <c r="A39" s="945" t="s">
        <v>1211</v>
      </c>
      <c r="B39" s="930" t="s">
        <v>1077</v>
      </c>
      <c r="C39" s="946" t="s">
        <v>1079</v>
      </c>
      <c r="F39" s="929"/>
      <c r="H39" s="913"/>
      <c r="I39" s="914"/>
      <c r="J39" s="916"/>
      <c r="K39" s="916"/>
      <c r="L39" s="916"/>
      <c r="M39" s="916"/>
      <c r="N39" s="915"/>
      <c r="O39" s="915"/>
      <c r="P39" s="915"/>
      <c r="Q39" s="915"/>
      <c r="R39" s="903"/>
      <c r="S39" s="924"/>
    </row>
    <row r="40" spans="1:19">
      <c r="A40" s="945" t="s">
        <v>1209</v>
      </c>
      <c r="B40" s="930" t="s">
        <v>1077</v>
      </c>
      <c r="C40" s="946" t="s">
        <v>1210</v>
      </c>
      <c r="F40" s="929"/>
      <c r="H40" s="913"/>
      <c r="I40" s="914"/>
      <c r="J40" s="916"/>
      <c r="K40" s="916"/>
      <c r="L40" s="916"/>
      <c r="M40" s="916"/>
      <c r="N40" s="915"/>
      <c r="O40" s="915"/>
      <c r="P40" s="915"/>
      <c r="Q40" s="915"/>
      <c r="R40" s="903"/>
      <c r="S40" s="924"/>
    </row>
    <row r="41" spans="1:19">
      <c r="A41" s="945" t="s">
        <v>1209</v>
      </c>
      <c r="B41" s="930" t="s">
        <v>1077</v>
      </c>
      <c r="C41" s="946" t="s">
        <v>1078</v>
      </c>
      <c r="F41" s="929"/>
      <c r="H41" s="913"/>
      <c r="I41" s="914"/>
      <c r="J41" s="916"/>
      <c r="K41" s="916"/>
      <c r="L41" s="916"/>
      <c r="M41" s="916"/>
      <c r="N41" s="915"/>
      <c r="O41" s="915"/>
      <c r="P41" s="915"/>
      <c r="Q41" s="915"/>
      <c r="R41" s="903"/>
      <c r="S41" s="924"/>
    </row>
    <row r="42" spans="1:19">
      <c r="A42" s="945" t="s">
        <v>1207</v>
      </c>
      <c r="B42" s="930" t="s">
        <v>1077</v>
      </c>
      <c r="C42" s="946" t="s">
        <v>1079</v>
      </c>
      <c r="F42" s="929"/>
      <c r="H42" s="913"/>
      <c r="I42" s="914"/>
      <c r="J42" s="916"/>
      <c r="K42" s="916"/>
      <c r="L42" s="916"/>
      <c r="M42" s="916"/>
      <c r="N42" s="915"/>
      <c r="O42" s="915"/>
      <c r="P42" s="915"/>
      <c r="Q42" s="915"/>
      <c r="R42" s="903"/>
      <c r="S42" s="924"/>
    </row>
    <row r="43" spans="1:19">
      <c r="A43" s="945" t="s">
        <v>1135</v>
      </c>
      <c r="B43" s="930" t="s">
        <v>1077</v>
      </c>
      <c r="C43" s="946" t="s">
        <v>1206</v>
      </c>
      <c r="F43" s="929"/>
      <c r="H43" s="913"/>
      <c r="I43" s="914"/>
      <c r="J43" s="916"/>
      <c r="K43" s="916"/>
      <c r="L43" s="916"/>
      <c r="M43" s="916"/>
      <c r="N43" s="915"/>
      <c r="O43" s="915"/>
      <c r="P43" s="915"/>
      <c r="Q43" s="915"/>
      <c r="R43" s="903"/>
      <c r="S43" s="924"/>
    </row>
    <row r="44" spans="1:19">
      <c r="A44" s="945" t="s">
        <v>1075</v>
      </c>
      <c r="B44" s="930" t="s">
        <v>1077</v>
      </c>
      <c r="C44" s="946" t="s">
        <v>1080</v>
      </c>
      <c r="F44" s="929"/>
      <c r="H44" s="913"/>
      <c r="I44" s="914"/>
      <c r="J44" s="916"/>
      <c r="K44" s="916"/>
      <c r="L44" s="916"/>
      <c r="M44" s="916"/>
      <c r="N44" s="915"/>
      <c r="O44" s="915"/>
      <c r="P44" s="915"/>
      <c r="Q44" s="915"/>
      <c r="R44" s="903"/>
      <c r="S44" s="924"/>
    </row>
    <row r="45" spans="1:19" ht="24">
      <c r="A45" s="947" t="s">
        <v>1081</v>
      </c>
      <c r="B45" s="930" t="s">
        <v>1077</v>
      </c>
      <c r="C45" s="928" t="s">
        <v>1082</v>
      </c>
      <c r="E45" s="907" t="s">
        <v>842</v>
      </c>
      <c r="F45" s="906">
        <v>43481</v>
      </c>
      <c r="H45" s="913">
        <v>43481</v>
      </c>
      <c r="I45" s="914" t="str">
        <f t="shared" ref="I45:I76" si="0">RIGHT(YEAR(H45),2)</f>
        <v>19</v>
      </c>
      <c r="J45" s="915">
        <f t="shared" ref="J45:J76" si="1">MONTH(H45)</f>
        <v>1</v>
      </c>
      <c r="K45" s="916">
        <f t="shared" ref="K45:K76" si="2">DAY(H45)</f>
        <v>16</v>
      </c>
      <c r="L45" s="916">
        <f t="shared" ref="L45:L76" si="3">HOUR(H45)</f>
        <v>0</v>
      </c>
      <c r="M45" s="916">
        <f t="shared" ref="M45:M76" si="4">MINUTE(H45)</f>
        <v>0</v>
      </c>
      <c r="N45" s="915" t="str">
        <f t="shared" ref="N45:N76" si="5">IF(LEN(J45)=1,"0"&amp;J45,J45)</f>
        <v>01</v>
      </c>
      <c r="O45" s="915">
        <f t="shared" ref="O45:O76" si="6">IF(LEN(K45)=1,"0"&amp;K45,K45)</f>
        <v>16</v>
      </c>
      <c r="P45" s="915" t="str">
        <f t="shared" ref="P45:P76" si="7">IF(LEN(L45)=1,"0"&amp;L45,L45)</f>
        <v>00</v>
      </c>
      <c r="Q45" s="915" t="str">
        <f t="shared" ref="Q45:Q76" si="8">IF(LEN(M45)=1,"0"&amp;M45,M45)</f>
        <v>00</v>
      </c>
      <c r="R45" s="917" t="str">
        <f t="shared" ref="R45:R76" si="9">I45&amp;N45&amp;O45&amp;","&amp;P45&amp;Q45</f>
        <v>190116,0000</v>
      </c>
    </row>
    <row r="46" spans="1:19">
      <c r="A46" s="947" t="s">
        <v>1083</v>
      </c>
      <c r="B46" s="930" t="s">
        <v>1077</v>
      </c>
      <c r="C46" s="928" t="s">
        <v>1084</v>
      </c>
      <c r="E46" s="907" t="s">
        <v>842</v>
      </c>
      <c r="F46" s="906">
        <v>43378</v>
      </c>
      <c r="H46" s="913">
        <v>43378</v>
      </c>
      <c r="I46" s="914" t="str">
        <f t="shared" si="0"/>
        <v>18</v>
      </c>
      <c r="J46" s="915">
        <f t="shared" si="1"/>
        <v>10</v>
      </c>
      <c r="K46" s="916">
        <f t="shared" si="2"/>
        <v>5</v>
      </c>
      <c r="L46" s="916">
        <f t="shared" si="3"/>
        <v>0</v>
      </c>
      <c r="M46" s="916">
        <f t="shared" si="4"/>
        <v>0</v>
      </c>
      <c r="N46" s="915">
        <f t="shared" si="5"/>
        <v>10</v>
      </c>
      <c r="O46" s="915" t="str">
        <f t="shared" si="6"/>
        <v>05</v>
      </c>
      <c r="P46" s="915" t="str">
        <f t="shared" si="7"/>
        <v>00</v>
      </c>
      <c r="Q46" s="915" t="str">
        <f t="shared" si="8"/>
        <v>00</v>
      </c>
      <c r="R46" s="917" t="str">
        <f t="shared" si="9"/>
        <v>181005,0000</v>
      </c>
    </row>
    <row r="47" spans="1:19">
      <c r="A47" s="947" t="s">
        <v>1085</v>
      </c>
      <c r="B47" s="930" t="s">
        <v>1077</v>
      </c>
      <c r="C47" s="928" t="s">
        <v>1070</v>
      </c>
      <c r="E47" s="907" t="s">
        <v>842</v>
      </c>
      <c r="F47" s="908">
        <v>43241</v>
      </c>
      <c r="H47" s="913">
        <v>43241</v>
      </c>
      <c r="I47" s="914" t="str">
        <f t="shared" si="0"/>
        <v>18</v>
      </c>
      <c r="J47" s="915">
        <f t="shared" si="1"/>
        <v>5</v>
      </c>
      <c r="K47" s="916">
        <f t="shared" si="2"/>
        <v>21</v>
      </c>
      <c r="L47" s="916">
        <f t="shared" si="3"/>
        <v>0</v>
      </c>
      <c r="M47" s="916">
        <f t="shared" si="4"/>
        <v>0</v>
      </c>
      <c r="N47" s="915" t="str">
        <f t="shared" si="5"/>
        <v>05</v>
      </c>
      <c r="O47" s="915">
        <f t="shared" si="6"/>
        <v>21</v>
      </c>
      <c r="P47" s="915" t="str">
        <f t="shared" si="7"/>
        <v>00</v>
      </c>
      <c r="Q47" s="915" t="str">
        <f t="shared" si="8"/>
        <v>00</v>
      </c>
      <c r="R47" s="917" t="str">
        <f t="shared" si="9"/>
        <v>180521,0000</v>
      </c>
    </row>
    <row r="48" spans="1:19" ht="48">
      <c r="A48" s="947" t="s">
        <v>1086</v>
      </c>
      <c r="B48" s="930" t="s">
        <v>1077</v>
      </c>
      <c r="C48" s="928" t="str">
        <f ca="1">"Ergänzt "&amp;'1.'!B891&amp;" - "&amp;'1.'!B897&amp;" und "&amp;'1.'!B938&amp;" - "&amp;'1.'!B938&amp;" Abgleichvorgabe Anteil Elektrotraktion an Verkehrsleistung. Ergänzt "&amp;'1.'!B926&amp;" - "&amp;'1.'!B929&amp;" Nutzungsgrad Brennstoffzellen-Traktion.
Ergänzt "&amp;'1.'!B619&amp;" - "&amp;'1.'!B623&amp;" Wasserstoff tankfähig Nutzungsgrad.
Ergänzt "&amp;'1.'!B921&amp;" - "&amp;'1.'!B924&amp;" Brennstoffzellentraktion statt Verbrenner."</f>
        <v>Ergänzt 1.891 - 1.897 und 1.938 - 1.938 Abgleichvorgabe Anteil Elektrotraktion an Verkehrsleistung. Ergänzt 1.926 - 1.929 Nutzungsgrad Brennstoffzellen-Traktion.
Ergänzt 1.619 - 1.623 Wasserstoff tankfähig Nutzungsgrad.
Ergänzt 1.921 - 1.924 Brennstoffzellentraktion statt Verbrenner.</v>
      </c>
      <c r="E48" s="907"/>
      <c r="F48" s="908">
        <v>43211</v>
      </c>
      <c r="H48" s="913">
        <v>43211</v>
      </c>
      <c r="I48" s="914" t="str">
        <f t="shared" si="0"/>
        <v>18</v>
      </c>
      <c r="J48" s="915">
        <f t="shared" si="1"/>
        <v>4</v>
      </c>
      <c r="K48" s="916">
        <f t="shared" si="2"/>
        <v>21</v>
      </c>
      <c r="L48" s="916">
        <f t="shared" si="3"/>
        <v>0</v>
      </c>
      <c r="M48" s="916">
        <f t="shared" si="4"/>
        <v>0</v>
      </c>
      <c r="N48" s="915" t="str">
        <f t="shared" si="5"/>
        <v>04</v>
      </c>
      <c r="O48" s="915">
        <f t="shared" si="6"/>
        <v>21</v>
      </c>
      <c r="P48" s="915" t="str">
        <f t="shared" si="7"/>
        <v>00</v>
      </c>
      <c r="Q48" s="915" t="str">
        <f t="shared" si="8"/>
        <v>00</v>
      </c>
      <c r="R48" s="917" t="str">
        <f t="shared" si="9"/>
        <v>180421,0000</v>
      </c>
    </row>
    <row r="49" spans="1:19" ht="36">
      <c r="A49" s="947" t="s">
        <v>1086</v>
      </c>
      <c r="B49" s="930" t="s">
        <v>1077</v>
      </c>
      <c r="C49" s="928" t="str">
        <f ca="1">"Ergänzt "&amp;'1.'!B951&amp;" - "&amp;'1.'!B957&amp;" und "&amp;'1.'!B2106&amp;" - "&amp;'1.'!B2106&amp;" Abgleichvorgabe Anteil Elektrotraktion an Verkehrsleistung. Ergänzt "&amp;'1.'!B2094&amp;" - "&amp;'1.'!B2097&amp;" Nutzungsgrad Brennstoffzellen-Traktion.
Ergänzt "&amp;'1.'!B679&amp;" - "&amp;'1.'!B683&amp;" Wasserstoff tankfähig Nutzungsgrad."</f>
        <v>Ergänzt 1.951 - 1.957 und  -  Abgleichvorgabe Anteil Elektrotraktion an Verkehrsleistung. Ergänzt  -  Nutzungsgrad Brennstoffzellen-Traktion.
Ergänzt 1.679 - 1.683 Wasserstoff tankfähig Nutzungsgrad.</v>
      </c>
      <c r="D49" s="900"/>
      <c r="E49" s="897"/>
      <c r="F49" s="906">
        <v>43211</v>
      </c>
      <c r="H49" s="913">
        <v>43211</v>
      </c>
      <c r="I49" s="914" t="str">
        <f t="shared" si="0"/>
        <v>18</v>
      </c>
      <c r="J49" s="915">
        <f t="shared" si="1"/>
        <v>4</v>
      </c>
      <c r="K49" s="916">
        <f t="shared" si="2"/>
        <v>21</v>
      </c>
      <c r="L49" s="916">
        <f t="shared" si="3"/>
        <v>0</v>
      </c>
      <c r="M49" s="916">
        <f t="shared" si="4"/>
        <v>0</v>
      </c>
      <c r="N49" s="915" t="str">
        <f t="shared" si="5"/>
        <v>04</v>
      </c>
      <c r="O49" s="915">
        <f t="shared" si="6"/>
        <v>21</v>
      </c>
      <c r="P49" s="915" t="str">
        <f t="shared" si="7"/>
        <v>00</v>
      </c>
      <c r="Q49" s="915" t="str">
        <f t="shared" si="8"/>
        <v>00</v>
      </c>
      <c r="R49" s="917" t="str">
        <f t="shared" si="9"/>
        <v>180421,0000</v>
      </c>
    </row>
    <row r="50" spans="1:19">
      <c r="A50" s="947" t="s">
        <v>1136</v>
      </c>
      <c r="B50" s="930" t="s">
        <v>1077</v>
      </c>
      <c r="C50" s="928" t="s">
        <v>1050</v>
      </c>
      <c r="D50" s="900"/>
      <c r="E50" s="897"/>
      <c r="F50" s="906">
        <v>43186</v>
      </c>
      <c r="H50" s="913">
        <v>43186</v>
      </c>
      <c r="I50" s="914" t="str">
        <f t="shared" si="0"/>
        <v>18</v>
      </c>
      <c r="J50" s="915">
        <f t="shared" si="1"/>
        <v>3</v>
      </c>
      <c r="K50" s="916">
        <f t="shared" si="2"/>
        <v>27</v>
      </c>
      <c r="L50" s="916">
        <f t="shared" si="3"/>
        <v>0</v>
      </c>
      <c r="M50" s="916">
        <f t="shared" si="4"/>
        <v>0</v>
      </c>
      <c r="N50" s="915" t="str">
        <f t="shared" si="5"/>
        <v>03</v>
      </c>
      <c r="O50" s="915">
        <f t="shared" si="6"/>
        <v>27</v>
      </c>
      <c r="P50" s="915" t="str">
        <f t="shared" si="7"/>
        <v>00</v>
      </c>
      <c r="Q50" s="915" t="str">
        <f t="shared" si="8"/>
        <v>00</v>
      </c>
      <c r="R50" s="917" t="str">
        <f t="shared" si="9"/>
        <v>180327,0000</v>
      </c>
    </row>
    <row r="51" spans="1:19" ht="24">
      <c r="A51" s="947" t="s">
        <v>1087</v>
      </c>
      <c r="B51" s="930" t="s">
        <v>1077</v>
      </c>
      <c r="C51" s="928" t="s">
        <v>921</v>
      </c>
      <c r="E51" s="907" t="s">
        <v>842</v>
      </c>
      <c r="F51" s="906">
        <v>42627</v>
      </c>
      <c r="H51" s="913">
        <v>42627</v>
      </c>
      <c r="I51" s="914" t="str">
        <f t="shared" si="0"/>
        <v>16</v>
      </c>
      <c r="J51" s="915">
        <f t="shared" si="1"/>
        <v>9</v>
      </c>
      <c r="K51" s="916">
        <f t="shared" si="2"/>
        <v>14</v>
      </c>
      <c r="L51" s="916">
        <f t="shared" si="3"/>
        <v>0</v>
      </c>
      <c r="M51" s="916">
        <f t="shared" si="4"/>
        <v>0</v>
      </c>
      <c r="N51" s="915" t="str">
        <f t="shared" si="5"/>
        <v>09</v>
      </c>
      <c r="O51" s="915">
        <f t="shared" si="6"/>
        <v>14</v>
      </c>
      <c r="P51" s="915" t="str">
        <f t="shared" si="7"/>
        <v>00</v>
      </c>
      <c r="Q51" s="915" t="str">
        <f t="shared" si="8"/>
        <v>00</v>
      </c>
      <c r="R51" s="917" t="str">
        <f t="shared" si="9"/>
        <v>160914,0000</v>
      </c>
    </row>
    <row r="52" spans="1:19">
      <c r="A52" s="947" t="s">
        <v>1088</v>
      </c>
      <c r="B52" s="930" t="s">
        <v>1077</v>
      </c>
      <c r="C52" s="928" t="s">
        <v>920</v>
      </c>
      <c r="E52" s="907"/>
      <c r="F52" s="906">
        <v>42589</v>
      </c>
      <c r="H52" s="913">
        <v>42589</v>
      </c>
      <c r="I52" s="914" t="str">
        <f t="shared" si="0"/>
        <v>16</v>
      </c>
      <c r="J52" s="915">
        <f t="shared" si="1"/>
        <v>8</v>
      </c>
      <c r="K52" s="916">
        <f t="shared" si="2"/>
        <v>7</v>
      </c>
      <c r="L52" s="916">
        <f t="shared" si="3"/>
        <v>0</v>
      </c>
      <c r="M52" s="916">
        <f t="shared" si="4"/>
        <v>0</v>
      </c>
      <c r="N52" s="915" t="str">
        <f t="shared" si="5"/>
        <v>08</v>
      </c>
      <c r="O52" s="915" t="str">
        <f t="shared" si="6"/>
        <v>07</v>
      </c>
      <c r="P52" s="915" t="str">
        <f t="shared" si="7"/>
        <v>00</v>
      </c>
      <c r="Q52" s="915" t="str">
        <f t="shared" si="8"/>
        <v>00</v>
      </c>
      <c r="R52" s="917" t="str">
        <f t="shared" si="9"/>
        <v>160807,0000</v>
      </c>
      <c r="S52" s="900"/>
    </row>
    <row r="53" spans="1:19" ht="24">
      <c r="A53" s="947" t="s">
        <v>1089</v>
      </c>
      <c r="B53" s="930" t="s">
        <v>1077</v>
      </c>
      <c r="C53" s="928" t="s">
        <v>862</v>
      </c>
      <c r="E53" s="907" t="s">
        <v>842</v>
      </c>
      <c r="F53" s="906">
        <v>42221</v>
      </c>
      <c r="H53" s="913">
        <v>42221</v>
      </c>
      <c r="I53" s="914" t="str">
        <f t="shared" si="0"/>
        <v>15</v>
      </c>
      <c r="J53" s="915">
        <f t="shared" si="1"/>
        <v>8</v>
      </c>
      <c r="K53" s="916">
        <f t="shared" si="2"/>
        <v>5</v>
      </c>
      <c r="L53" s="916">
        <f t="shared" si="3"/>
        <v>0</v>
      </c>
      <c r="M53" s="916">
        <f t="shared" si="4"/>
        <v>0</v>
      </c>
      <c r="N53" s="915" t="str">
        <f t="shared" si="5"/>
        <v>08</v>
      </c>
      <c r="O53" s="915" t="str">
        <f t="shared" si="6"/>
        <v>05</v>
      </c>
      <c r="P53" s="915" t="str">
        <f t="shared" si="7"/>
        <v>00</v>
      </c>
      <c r="Q53" s="915" t="str">
        <f t="shared" si="8"/>
        <v>00</v>
      </c>
      <c r="R53" s="917" t="str">
        <f t="shared" si="9"/>
        <v>150805,0000</v>
      </c>
      <c r="S53" s="900"/>
    </row>
    <row r="54" spans="1:19">
      <c r="A54" s="947" t="s">
        <v>1090</v>
      </c>
      <c r="B54" s="930" t="s">
        <v>1077</v>
      </c>
      <c r="C54" s="928" t="s">
        <v>843</v>
      </c>
      <c r="E54" s="907" t="s">
        <v>842</v>
      </c>
      <c r="F54" s="906">
        <v>42114</v>
      </c>
      <c r="H54" s="913">
        <v>42114</v>
      </c>
      <c r="I54" s="914" t="str">
        <f t="shared" si="0"/>
        <v>15</v>
      </c>
      <c r="J54" s="915">
        <f t="shared" si="1"/>
        <v>4</v>
      </c>
      <c r="K54" s="916">
        <f t="shared" si="2"/>
        <v>20</v>
      </c>
      <c r="L54" s="916">
        <f t="shared" si="3"/>
        <v>0</v>
      </c>
      <c r="M54" s="916">
        <f t="shared" si="4"/>
        <v>0</v>
      </c>
      <c r="N54" s="915" t="str">
        <f t="shared" si="5"/>
        <v>04</v>
      </c>
      <c r="O54" s="915">
        <f t="shared" si="6"/>
        <v>20</v>
      </c>
      <c r="P54" s="915" t="str">
        <f t="shared" si="7"/>
        <v>00</v>
      </c>
      <c r="Q54" s="915" t="str">
        <f t="shared" si="8"/>
        <v>00</v>
      </c>
      <c r="R54" s="917" t="str">
        <f t="shared" si="9"/>
        <v>150420,0000</v>
      </c>
      <c r="S54" s="900"/>
    </row>
    <row r="55" spans="1:19">
      <c r="A55" s="947" t="s">
        <v>1091</v>
      </c>
      <c r="B55" s="930" t="s">
        <v>1077</v>
      </c>
      <c r="C55" s="928" t="s">
        <v>823</v>
      </c>
      <c r="F55" s="906">
        <v>42103</v>
      </c>
      <c r="H55" s="913">
        <v>42103</v>
      </c>
      <c r="I55" s="914" t="str">
        <f t="shared" si="0"/>
        <v>15</v>
      </c>
      <c r="J55" s="915">
        <f t="shared" si="1"/>
        <v>4</v>
      </c>
      <c r="K55" s="916">
        <f t="shared" si="2"/>
        <v>9</v>
      </c>
      <c r="L55" s="916">
        <f t="shared" si="3"/>
        <v>0</v>
      </c>
      <c r="M55" s="916">
        <f t="shared" si="4"/>
        <v>0</v>
      </c>
      <c r="N55" s="915" t="str">
        <f t="shared" si="5"/>
        <v>04</v>
      </c>
      <c r="O55" s="915" t="str">
        <f t="shared" si="6"/>
        <v>09</v>
      </c>
      <c r="P55" s="915" t="str">
        <f t="shared" si="7"/>
        <v>00</v>
      </c>
      <c r="Q55" s="915" t="str">
        <f t="shared" si="8"/>
        <v>00</v>
      </c>
      <c r="R55" s="917" t="str">
        <f t="shared" si="9"/>
        <v>150409,0000</v>
      </c>
      <c r="S55" s="900"/>
    </row>
    <row r="56" spans="1:19">
      <c r="A56" s="947" t="s">
        <v>1092</v>
      </c>
      <c r="B56" s="930" t="s">
        <v>1077</v>
      </c>
      <c r="C56" s="928" t="s">
        <v>822</v>
      </c>
      <c r="F56" s="906">
        <v>42100</v>
      </c>
      <c r="H56" s="913">
        <v>42100</v>
      </c>
      <c r="I56" s="914" t="str">
        <f t="shared" si="0"/>
        <v>15</v>
      </c>
      <c r="J56" s="915">
        <f t="shared" si="1"/>
        <v>4</v>
      </c>
      <c r="K56" s="916">
        <f t="shared" si="2"/>
        <v>6</v>
      </c>
      <c r="L56" s="916">
        <f t="shared" si="3"/>
        <v>0</v>
      </c>
      <c r="M56" s="916">
        <f t="shared" si="4"/>
        <v>0</v>
      </c>
      <c r="N56" s="915" t="str">
        <f t="shared" si="5"/>
        <v>04</v>
      </c>
      <c r="O56" s="915" t="str">
        <f t="shared" si="6"/>
        <v>06</v>
      </c>
      <c r="P56" s="915" t="str">
        <f t="shared" si="7"/>
        <v>00</v>
      </c>
      <c r="Q56" s="915" t="str">
        <f t="shared" si="8"/>
        <v>00</v>
      </c>
      <c r="R56" s="917" t="str">
        <f t="shared" si="9"/>
        <v>150406,0000</v>
      </c>
      <c r="S56" s="900"/>
    </row>
    <row r="57" spans="1:19" ht="24">
      <c r="A57" s="947" t="s">
        <v>1093</v>
      </c>
      <c r="B57" s="930" t="s">
        <v>1077</v>
      </c>
      <c r="C57" s="928" t="s">
        <v>820</v>
      </c>
      <c r="F57" s="906">
        <v>42098</v>
      </c>
      <c r="H57" s="913">
        <v>42098</v>
      </c>
      <c r="I57" s="914" t="str">
        <f t="shared" si="0"/>
        <v>15</v>
      </c>
      <c r="J57" s="915">
        <f t="shared" si="1"/>
        <v>4</v>
      </c>
      <c r="K57" s="916">
        <f t="shared" si="2"/>
        <v>4</v>
      </c>
      <c r="L57" s="916">
        <f t="shared" si="3"/>
        <v>0</v>
      </c>
      <c r="M57" s="916">
        <f t="shared" si="4"/>
        <v>0</v>
      </c>
      <c r="N57" s="915" t="str">
        <f t="shared" si="5"/>
        <v>04</v>
      </c>
      <c r="O57" s="915" t="str">
        <f t="shared" si="6"/>
        <v>04</v>
      </c>
      <c r="P57" s="915" t="str">
        <f t="shared" si="7"/>
        <v>00</v>
      </c>
      <c r="Q57" s="915" t="str">
        <f t="shared" si="8"/>
        <v>00</v>
      </c>
      <c r="R57" s="917" t="str">
        <f t="shared" si="9"/>
        <v>150404,0000</v>
      </c>
      <c r="S57" s="900"/>
    </row>
    <row r="58" spans="1:19" ht="24">
      <c r="A58" s="947" t="s">
        <v>1094</v>
      </c>
      <c r="B58" s="930" t="s">
        <v>1077</v>
      </c>
      <c r="C58" s="928" t="s">
        <v>818</v>
      </c>
      <c r="F58" s="906">
        <v>42097</v>
      </c>
      <c r="H58" s="913">
        <v>42097</v>
      </c>
      <c r="I58" s="914" t="str">
        <f t="shared" si="0"/>
        <v>15</v>
      </c>
      <c r="J58" s="915">
        <f t="shared" si="1"/>
        <v>4</v>
      </c>
      <c r="K58" s="916">
        <f t="shared" si="2"/>
        <v>3</v>
      </c>
      <c r="L58" s="916">
        <f t="shared" si="3"/>
        <v>0</v>
      </c>
      <c r="M58" s="916">
        <f t="shared" si="4"/>
        <v>0</v>
      </c>
      <c r="N58" s="915" t="str">
        <f t="shared" si="5"/>
        <v>04</v>
      </c>
      <c r="O58" s="915" t="str">
        <f t="shared" si="6"/>
        <v>03</v>
      </c>
      <c r="P58" s="915" t="str">
        <f t="shared" si="7"/>
        <v>00</v>
      </c>
      <c r="Q58" s="915" t="str">
        <f t="shared" si="8"/>
        <v>00</v>
      </c>
      <c r="R58" s="917" t="str">
        <f t="shared" si="9"/>
        <v>150403,0000</v>
      </c>
      <c r="S58" s="900"/>
    </row>
    <row r="59" spans="1:19">
      <c r="A59" s="947" t="s">
        <v>1095</v>
      </c>
      <c r="B59" s="930" t="s">
        <v>1077</v>
      </c>
      <c r="C59" s="928" t="s">
        <v>808</v>
      </c>
      <c r="F59" s="906">
        <v>42096</v>
      </c>
      <c r="H59" s="913">
        <v>42096</v>
      </c>
      <c r="I59" s="914" t="str">
        <f t="shared" si="0"/>
        <v>15</v>
      </c>
      <c r="J59" s="915">
        <f t="shared" si="1"/>
        <v>4</v>
      </c>
      <c r="K59" s="916">
        <f t="shared" si="2"/>
        <v>2</v>
      </c>
      <c r="L59" s="916">
        <f t="shared" si="3"/>
        <v>0</v>
      </c>
      <c r="M59" s="916">
        <f t="shared" si="4"/>
        <v>0</v>
      </c>
      <c r="N59" s="915" t="str">
        <f t="shared" si="5"/>
        <v>04</v>
      </c>
      <c r="O59" s="915" t="str">
        <f t="shared" si="6"/>
        <v>02</v>
      </c>
      <c r="P59" s="915" t="str">
        <f t="shared" si="7"/>
        <v>00</v>
      </c>
      <c r="Q59" s="915" t="str">
        <f t="shared" si="8"/>
        <v>00</v>
      </c>
      <c r="R59" s="917" t="str">
        <f t="shared" si="9"/>
        <v>150402,0000</v>
      </c>
      <c r="S59" s="900"/>
    </row>
    <row r="60" spans="1:19" ht="24">
      <c r="A60" s="947" t="s">
        <v>1096</v>
      </c>
      <c r="B60" s="930" t="s">
        <v>1077</v>
      </c>
      <c r="C60" s="928" t="s">
        <v>805</v>
      </c>
      <c r="F60" s="906">
        <v>42095</v>
      </c>
      <c r="H60" s="913">
        <v>42095</v>
      </c>
      <c r="I60" s="914" t="str">
        <f t="shared" si="0"/>
        <v>15</v>
      </c>
      <c r="J60" s="915">
        <f t="shared" si="1"/>
        <v>4</v>
      </c>
      <c r="K60" s="916">
        <f t="shared" si="2"/>
        <v>1</v>
      </c>
      <c r="L60" s="916">
        <f t="shared" si="3"/>
        <v>0</v>
      </c>
      <c r="M60" s="916">
        <f t="shared" si="4"/>
        <v>0</v>
      </c>
      <c r="N60" s="915" t="str">
        <f t="shared" si="5"/>
        <v>04</v>
      </c>
      <c r="O60" s="915" t="str">
        <f t="shared" si="6"/>
        <v>01</v>
      </c>
      <c r="P60" s="915" t="str">
        <f t="shared" si="7"/>
        <v>00</v>
      </c>
      <c r="Q60" s="915" t="str">
        <f t="shared" si="8"/>
        <v>00</v>
      </c>
      <c r="R60" s="917" t="str">
        <f t="shared" si="9"/>
        <v>150401,0000</v>
      </c>
      <c r="S60" s="900"/>
    </row>
    <row r="61" spans="1:19" ht="24">
      <c r="A61" s="947" t="s">
        <v>1097</v>
      </c>
      <c r="B61" s="930" t="s">
        <v>1077</v>
      </c>
      <c r="C61" s="928" t="s">
        <v>773</v>
      </c>
      <c r="F61" s="906">
        <v>42093</v>
      </c>
      <c r="H61" s="913">
        <v>42093</v>
      </c>
      <c r="I61" s="914" t="str">
        <f t="shared" si="0"/>
        <v>15</v>
      </c>
      <c r="J61" s="915">
        <f t="shared" si="1"/>
        <v>3</v>
      </c>
      <c r="K61" s="916">
        <f t="shared" si="2"/>
        <v>30</v>
      </c>
      <c r="L61" s="916">
        <f t="shared" si="3"/>
        <v>0</v>
      </c>
      <c r="M61" s="916">
        <f t="shared" si="4"/>
        <v>0</v>
      </c>
      <c r="N61" s="915" t="str">
        <f t="shared" si="5"/>
        <v>03</v>
      </c>
      <c r="O61" s="915">
        <f t="shared" si="6"/>
        <v>30</v>
      </c>
      <c r="P61" s="915" t="str">
        <f t="shared" si="7"/>
        <v>00</v>
      </c>
      <c r="Q61" s="915" t="str">
        <f t="shared" si="8"/>
        <v>00</v>
      </c>
      <c r="R61" s="917" t="str">
        <f t="shared" si="9"/>
        <v>150330,0000</v>
      </c>
      <c r="S61" s="900"/>
    </row>
    <row r="62" spans="1:19" ht="24">
      <c r="A62" s="947" t="s">
        <v>1098</v>
      </c>
      <c r="B62" s="930" t="s">
        <v>1077</v>
      </c>
      <c r="C62" s="928" t="s">
        <v>758</v>
      </c>
      <c r="F62" s="906">
        <v>42092</v>
      </c>
      <c r="H62" s="913">
        <v>42092</v>
      </c>
      <c r="I62" s="914" t="str">
        <f t="shared" si="0"/>
        <v>15</v>
      </c>
      <c r="J62" s="915">
        <f t="shared" si="1"/>
        <v>3</v>
      </c>
      <c r="K62" s="916">
        <f t="shared" si="2"/>
        <v>29</v>
      </c>
      <c r="L62" s="916">
        <f t="shared" si="3"/>
        <v>0</v>
      </c>
      <c r="M62" s="916">
        <f t="shared" si="4"/>
        <v>0</v>
      </c>
      <c r="N62" s="915" t="str">
        <f t="shared" si="5"/>
        <v>03</v>
      </c>
      <c r="O62" s="915">
        <f t="shared" si="6"/>
        <v>29</v>
      </c>
      <c r="P62" s="915" t="str">
        <f t="shared" si="7"/>
        <v>00</v>
      </c>
      <c r="Q62" s="915" t="str">
        <f t="shared" si="8"/>
        <v>00</v>
      </c>
      <c r="R62" s="917" t="str">
        <f t="shared" si="9"/>
        <v>150329,0000</v>
      </c>
      <c r="S62" s="900"/>
    </row>
    <row r="63" spans="1:19" ht="36">
      <c r="A63" s="947" t="s">
        <v>1099</v>
      </c>
      <c r="B63" s="930" t="s">
        <v>1077</v>
      </c>
      <c r="C63" s="928" t="s">
        <v>735</v>
      </c>
      <c r="F63" s="906">
        <v>42091</v>
      </c>
      <c r="H63" s="913">
        <v>42091</v>
      </c>
      <c r="I63" s="914" t="str">
        <f t="shared" si="0"/>
        <v>15</v>
      </c>
      <c r="J63" s="915">
        <f t="shared" si="1"/>
        <v>3</v>
      </c>
      <c r="K63" s="916">
        <f t="shared" si="2"/>
        <v>28</v>
      </c>
      <c r="L63" s="916">
        <f t="shared" si="3"/>
        <v>0</v>
      </c>
      <c r="M63" s="916">
        <f t="shared" si="4"/>
        <v>0</v>
      </c>
      <c r="N63" s="915" t="str">
        <f t="shared" si="5"/>
        <v>03</v>
      </c>
      <c r="O63" s="915">
        <f t="shared" si="6"/>
        <v>28</v>
      </c>
      <c r="P63" s="915" t="str">
        <f t="shared" si="7"/>
        <v>00</v>
      </c>
      <c r="Q63" s="915" t="str">
        <f t="shared" si="8"/>
        <v>00</v>
      </c>
      <c r="R63" s="917" t="str">
        <f t="shared" si="9"/>
        <v>150328,0000</v>
      </c>
      <c r="S63" s="900"/>
    </row>
    <row r="64" spans="1:19">
      <c r="A64" s="947" t="s">
        <v>1100</v>
      </c>
      <c r="B64" s="930" t="s">
        <v>1077</v>
      </c>
      <c r="C64" s="928" t="s">
        <v>721</v>
      </c>
      <c r="F64" s="906">
        <v>42088</v>
      </c>
      <c r="H64" s="913">
        <v>42088</v>
      </c>
      <c r="I64" s="914" t="str">
        <f t="shared" si="0"/>
        <v>15</v>
      </c>
      <c r="J64" s="915">
        <f t="shared" si="1"/>
        <v>3</v>
      </c>
      <c r="K64" s="916">
        <f t="shared" si="2"/>
        <v>25</v>
      </c>
      <c r="L64" s="916">
        <f t="shared" si="3"/>
        <v>0</v>
      </c>
      <c r="M64" s="916">
        <f t="shared" si="4"/>
        <v>0</v>
      </c>
      <c r="N64" s="915" t="str">
        <f t="shared" si="5"/>
        <v>03</v>
      </c>
      <c r="O64" s="915">
        <f t="shared" si="6"/>
        <v>25</v>
      </c>
      <c r="P64" s="915" t="str">
        <f t="shared" si="7"/>
        <v>00</v>
      </c>
      <c r="Q64" s="915" t="str">
        <f t="shared" si="8"/>
        <v>00</v>
      </c>
      <c r="R64" s="917" t="str">
        <f t="shared" si="9"/>
        <v>150325,0000</v>
      </c>
      <c r="S64" s="900"/>
    </row>
    <row r="65" spans="1:19">
      <c r="A65" s="947" t="s">
        <v>1101</v>
      </c>
      <c r="B65" s="930" t="s">
        <v>1077</v>
      </c>
      <c r="C65" s="928" t="s">
        <v>720</v>
      </c>
      <c r="F65" s="906">
        <v>42087</v>
      </c>
      <c r="H65" s="913">
        <v>42087</v>
      </c>
      <c r="I65" s="914" t="str">
        <f t="shared" si="0"/>
        <v>15</v>
      </c>
      <c r="J65" s="915">
        <f t="shared" si="1"/>
        <v>3</v>
      </c>
      <c r="K65" s="916">
        <f t="shared" si="2"/>
        <v>24</v>
      </c>
      <c r="L65" s="916">
        <f t="shared" si="3"/>
        <v>0</v>
      </c>
      <c r="M65" s="916">
        <f t="shared" si="4"/>
        <v>0</v>
      </c>
      <c r="N65" s="915" t="str">
        <f t="shared" si="5"/>
        <v>03</v>
      </c>
      <c r="O65" s="915">
        <f t="shared" si="6"/>
        <v>24</v>
      </c>
      <c r="P65" s="915" t="str">
        <f t="shared" si="7"/>
        <v>00</v>
      </c>
      <c r="Q65" s="915" t="str">
        <f t="shared" si="8"/>
        <v>00</v>
      </c>
      <c r="R65" s="917" t="str">
        <f t="shared" si="9"/>
        <v>150324,0000</v>
      </c>
      <c r="S65" s="900"/>
    </row>
    <row r="66" spans="1:19" ht="24">
      <c r="A66" s="947" t="s">
        <v>1102</v>
      </c>
      <c r="B66" s="930" t="s">
        <v>1077</v>
      </c>
      <c r="C66" s="928" t="s">
        <v>719</v>
      </c>
      <c r="F66" s="906">
        <v>42085</v>
      </c>
      <c r="H66" s="913">
        <v>42085</v>
      </c>
      <c r="I66" s="914" t="str">
        <f t="shared" si="0"/>
        <v>15</v>
      </c>
      <c r="J66" s="915">
        <f t="shared" si="1"/>
        <v>3</v>
      </c>
      <c r="K66" s="916">
        <f t="shared" si="2"/>
        <v>22</v>
      </c>
      <c r="L66" s="916">
        <f t="shared" si="3"/>
        <v>0</v>
      </c>
      <c r="M66" s="916">
        <f t="shared" si="4"/>
        <v>0</v>
      </c>
      <c r="N66" s="915" t="str">
        <f t="shared" si="5"/>
        <v>03</v>
      </c>
      <c r="O66" s="915">
        <f t="shared" si="6"/>
        <v>22</v>
      </c>
      <c r="P66" s="915" t="str">
        <f t="shared" si="7"/>
        <v>00</v>
      </c>
      <c r="Q66" s="915" t="str">
        <f t="shared" si="8"/>
        <v>00</v>
      </c>
      <c r="R66" s="917" t="str">
        <f t="shared" si="9"/>
        <v>150322,0000</v>
      </c>
      <c r="S66" s="900"/>
    </row>
    <row r="67" spans="1:19">
      <c r="A67" s="947" t="s">
        <v>1103</v>
      </c>
      <c r="B67" s="930" t="s">
        <v>1077</v>
      </c>
      <c r="C67" s="928" t="s">
        <v>713</v>
      </c>
      <c r="F67" s="906">
        <v>42084</v>
      </c>
      <c r="H67" s="913">
        <v>42084</v>
      </c>
      <c r="I67" s="914" t="str">
        <f t="shared" si="0"/>
        <v>15</v>
      </c>
      <c r="J67" s="915">
        <f t="shared" si="1"/>
        <v>3</v>
      </c>
      <c r="K67" s="916">
        <f t="shared" si="2"/>
        <v>21</v>
      </c>
      <c r="L67" s="916">
        <f t="shared" si="3"/>
        <v>0</v>
      </c>
      <c r="M67" s="916">
        <f t="shared" si="4"/>
        <v>0</v>
      </c>
      <c r="N67" s="915" t="str">
        <f t="shared" si="5"/>
        <v>03</v>
      </c>
      <c r="O67" s="915">
        <f t="shared" si="6"/>
        <v>21</v>
      </c>
      <c r="P67" s="915" t="str">
        <f t="shared" si="7"/>
        <v>00</v>
      </c>
      <c r="Q67" s="915" t="str">
        <f t="shared" si="8"/>
        <v>00</v>
      </c>
      <c r="R67" s="917" t="str">
        <f t="shared" si="9"/>
        <v>150321,0000</v>
      </c>
      <c r="S67" s="900"/>
    </row>
    <row r="68" spans="1:19" ht="24">
      <c r="A68" s="947" t="s">
        <v>1104</v>
      </c>
      <c r="B68" s="930" t="s">
        <v>1077</v>
      </c>
      <c r="C68" s="928" t="s">
        <v>711</v>
      </c>
      <c r="F68" s="906">
        <v>42082</v>
      </c>
      <c r="H68" s="913">
        <v>42082</v>
      </c>
      <c r="I68" s="914" t="str">
        <f t="shared" si="0"/>
        <v>15</v>
      </c>
      <c r="J68" s="915">
        <f t="shared" si="1"/>
        <v>3</v>
      </c>
      <c r="K68" s="916">
        <f t="shared" si="2"/>
        <v>19</v>
      </c>
      <c r="L68" s="916">
        <f t="shared" si="3"/>
        <v>0</v>
      </c>
      <c r="M68" s="916">
        <f t="shared" si="4"/>
        <v>0</v>
      </c>
      <c r="N68" s="915" t="str">
        <f t="shared" si="5"/>
        <v>03</v>
      </c>
      <c r="O68" s="915">
        <f t="shared" si="6"/>
        <v>19</v>
      </c>
      <c r="P68" s="915" t="str">
        <f t="shared" si="7"/>
        <v>00</v>
      </c>
      <c r="Q68" s="915" t="str">
        <f t="shared" si="8"/>
        <v>00</v>
      </c>
      <c r="R68" s="917" t="str">
        <f t="shared" si="9"/>
        <v>150319,0000</v>
      </c>
      <c r="S68" s="900"/>
    </row>
    <row r="69" spans="1:19">
      <c r="A69" s="947" t="s">
        <v>1105</v>
      </c>
      <c r="B69" s="930" t="s">
        <v>1077</v>
      </c>
      <c r="C69" s="928" t="s">
        <v>701</v>
      </c>
      <c r="F69" s="906">
        <v>42080</v>
      </c>
      <c r="H69" s="913">
        <v>42080</v>
      </c>
      <c r="I69" s="914" t="str">
        <f t="shared" si="0"/>
        <v>15</v>
      </c>
      <c r="J69" s="915">
        <f t="shared" si="1"/>
        <v>3</v>
      </c>
      <c r="K69" s="916">
        <f t="shared" si="2"/>
        <v>17</v>
      </c>
      <c r="L69" s="916">
        <f t="shared" si="3"/>
        <v>0</v>
      </c>
      <c r="M69" s="916">
        <f t="shared" si="4"/>
        <v>0</v>
      </c>
      <c r="N69" s="915" t="str">
        <f t="shared" si="5"/>
        <v>03</v>
      </c>
      <c r="O69" s="915">
        <f t="shared" si="6"/>
        <v>17</v>
      </c>
      <c r="P69" s="915" t="str">
        <f t="shared" si="7"/>
        <v>00</v>
      </c>
      <c r="Q69" s="915" t="str">
        <f t="shared" si="8"/>
        <v>00</v>
      </c>
      <c r="R69" s="917" t="str">
        <f t="shared" si="9"/>
        <v>150317,0000</v>
      </c>
      <c r="S69" s="900"/>
    </row>
    <row r="70" spans="1:19">
      <c r="A70" s="947" t="s">
        <v>1106</v>
      </c>
      <c r="B70" s="930" t="s">
        <v>1077</v>
      </c>
      <c r="C70" s="928" t="s">
        <v>700</v>
      </c>
      <c r="F70" s="906">
        <v>42078</v>
      </c>
      <c r="H70" s="913">
        <v>42078</v>
      </c>
      <c r="I70" s="914" t="str">
        <f t="shared" si="0"/>
        <v>15</v>
      </c>
      <c r="J70" s="915">
        <f t="shared" si="1"/>
        <v>3</v>
      </c>
      <c r="K70" s="916">
        <f t="shared" si="2"/>
        <v>15</v>
      </c>
      <c r="L70" s="916">
        <f t="shared" si="3"/>
        <v>0</v>
      </c>
      <c r="M70" s="916">
        <f t="shared" si="4"/>
        <v>0</v>
      </c>
      <c r="N70" s="915" t="str">
        <f t="shared" si="5"/>
        <v>03</v>
      </c>
      <c r="O70" s="915">
        <f t="shared" si="6"/>
        <v>15</v>
      </c>
      <c r="P70" s="915" t="str">
        <f t="shared" si="7"/>
        <v>00</v>
      </c>
      <c r="Q70" s="915" t="str">
        <f t="shared" si="8"/>
        <v>00</v>
      </c>
      <c r="R70" s="917" t="str">
        <f t="shared" si="9"/>
        <v>150315,0000</v>
      </c>
      <c r="S70" s="900"/>
    </row>
    <row r="71" spans="1:19" ht="24">
      <c r="A71" s="947" t="s">
        <v>1107</v>
      </c>
      <c r="B71" s="930" t="s">
        <v>1077</v>
      </c>
      <c r="C71" s="928" t="s">
        <v>672</v>
      </c>
      <c r="F71" s="906">
        <v>42077</v>
      </c>
      <c r="H71" s="913">
        <v>42077</v>
      </c>
      <c r="I71" s="914" t="str">
        <f t="shared" si="0"/>
        <v>15</v>
      </c>
      <c r="J71" s="915">
        <f t="shared" si="1"/>
        <v>3</v>
      </c>
      <c r="K71" s="916">
        <f t="shared" si="2"/>
        <v>14</v>
      </c>
      <c r="L71" s="916">
        <f t="shared" si="3"/>
        <v>0</v>
      </c>
      <c r="M71" s="916">
        <f t="shared" si="4"/>
        <v>0</v>
      </c>
      <c r="N71" s="915" t="str">
        <f t="shared" si="5"/>
        <v>03</v>
      </c>
      <c r="O71" s="915">
        <f t="shared" si="6"/>
        <v>14</v>
      </c>
      <c r="P71" s="915" t="str">
        <f t="shared" si="7"/>
        <v>00</v>
      </c>
      <c r="Q71" s="915" t="str">
        <f t="shared" si="8"/>
        <v>00</v>
      </c>
      <c r="R71" s="917" t="str">
        <f t="shared" si="9"/>
        <v>150314,0000</v>
      </c>
      <c r="S71" s="900"/>
    </row>
    <row r="72" spans="1:19" ht="36">
      <c r="A72" s="947" t="s">
        <v>1108</v>
      </c>
      <c r="B72" s="930" t="s">
        <v>1077</v>
      </c>
      <c r="C72" s="928" t="s">
        <v>667</v>
      </c>
      <c r="F72" s="906">
        <v>42075</v>
      </c>
      <c r="H72" s="913">
        <v>42075</v>
      </c>
      <c r="I72" s="914" t="str">
        <f t="shared" si="0"/>
        <v>15</v>
      </c>
      <c r="J72" s="915">
        <f t="shared" si="1"/>
        <v>3</v>
      </c>
      <c r="K72" s="916">
        <f t="shared" si="2"/>
        <v>12</v>
      </c>
      <c r="L72" s="916">
        <f t="shared" si="3"/>
        <v>0</v>
      </c>
      <c r="M72" s="916">
        <f t="shared" si="4"/>
        <v>0</v>
      </c>
      <c r="N72" s="915" t="str">
        <f t="shared" si="5"/>
        <v>03</v>
      </c>
      <c r="O72" s="915">
        <f t="shared" si="6"/>
        <v>12</v>
      </c>
      <c r="P72" s="915" t="str">
        <f t="shared" si="7"/>
        <v>00</v>
      </c>
      <c r="Q72" s="915" t="str">
        <f t="shared" si="8"/>
        <v>00</v>
      </c>
      <c r="R72" s="917" t="str">
        <f t="shared" si="9"/>
        <v>150312,0000</v>
      </c>
      <c r="S72" s="900"/>
    </row>
    <row r="73" spans="1:19" ht="24">
      <c r="A73" s="947" t="s">
        <v>1109</v>
      </c>
      <c r="B73" s="930" t="s">
        <v>1077</v>
      </c>
      <c r="C73" s="928" t="s">
        <v>658</v>
      </c>
      <c r="F73" s="906">
        <v>42074</v>
      </c>
      <c r="H73" s="913">
        <v>42074</v>
      </c>
      <c r="I73" s="914" t="str">
        <f t="shared" si="0"/>
        <v>15</v>
      </c>
      <c r="J73" s="915">
        <f t="shared" si="1"/>
        <v>3</v>
      </c>
      <c r="K73" s="916">
        <f t="shared" si="2"/>
        <v>11</v>
      </c>
      <c r="L73" s="916">
        <f t="shared" si="3"/>
        <v>0</v>
      </c>
      <c r="M73" s="916">
        <f t="shared" si="4"/>
        <v>0</v>
      </c>
      <c r="N73" s="915" t="str">
        <f t="shared" si="5"/>
        <v>03</v>
      </c>
      <c r="O73" s="915">
        <f t="shared" si="6"/>
        <v>11</v>
      </c>
      <c r="P73" s="915" t="str">
        <f t="shared" si="7"/>
        <v>00</v>
      </c>
      <c r="Q73" s="915" t="str">
        <f t="shared" si="8"/>
        <v>00</v>
      </c>
      <c r="R73" s="917" t="str">
        <f t="shared" si="9"/>
        <v>150311,0000</v>
      </c>
      <c r="S73" s="900"/>
    </row>
    <row r="74" spans="1:19">
      <c r="A74" s="947" t="s">
        <v>1110</v>
      </c>
      <c r="B74" s="930" t="s">
        <v>1077</v>
      </c>
      <c r="C74" s="928" t="s">
        <v>629</v>
      </c>
      <c r="F74" s="906">
        <v>42072</v>
      </c>
      <c r="H74" s="913">
        <v>42072</v>
      </c>
      <c r="I74" s="914" t="str">
        <f t="shared" si="0"/>
        <v>15</v>
      </c>
      <c r="J74" s="915">
        <f t="shared" si="1"/>
        <v>3</v>
      </c>
      <c r="K74" s="916">
        <f t="shared" si="2"/>
        <v>9</v>
      </c>
      <c r="L74" s="916">
        <f t="shared" si="3"/>
        <v>0</v>
      </c>
      <c r="M74" s="916">
        <f t="shared" si="4"/>
        <v>0</v>
      </c>
      <c r="N74" s="915" t="str">
        <f t="shared" si="5"/>
        <v>03</v>
      </c>
      <c r="O74" s="915" t="str">
        <f t="shared" si="6"/>
        <v>09</v>
      </c>
      <c r="P74" s="915" t="str">
        <f t="shared" si="7"/>
        <v>00</v>
      </c>
      <c r="Q74" s="915" t="str">
        <f t="shared" si="8"/>
        <v>00</v>
      </c>
      <c r="R74" s="917" t="str">
        <f t="shared" si="9"/>
        <v>150309,0000</v>
      </c>
      <c r="S74" s="900"/>
    </row>
    <row r="75" spans="1:19" ht="36">
      <c r="A75" s="947" t="s">
        <v>1111</v>
      </c>
      <c r="B75" s="930" t="s">
        <v>1077</v>
      </c>
      <c r="C75" s="928" t="s">
        <v>630</v>
      </c>
      <c r="F75" s="906">
        <v>42071</v>
      </c>
      <c r="H75" s="913">
        <v>42071</v>
      </c>
      <c r="I75" s="914" t="str">
        <f t="shared" si="0"/>
        <v>15</v>
      </c>
      <c r="J75" s="915">
        <f t="shared" si="1"/>
        <v>3</v>
      </c>
      <c r="K75" s="916">
        <f t="shared" si="2"/>
        <v>8</v>
      </c>
      <c r="L75" s="916">
        <f t="shared" si="3"/>
        <v>0</v>
      </c>
      <c r="M75" s="916">
        <f t="shared" si="4"/>
        <v>0</v>
      </c>
      <c r="N75" s="915" t="str">
        <f t="shared" si="5"/>
        <v>03</v>
      </c>
      <c r="O75" s="915" t="str">
        <f t="shared" si="6"/>
        <v>08</v>
      </c>
      <c r="P75" s="915" t="str">
        <f t="shared" si="7"/>
        <v>00</v>
      </c>
      <c r="Q75" s="915" t="str">
        <f t="shared" si="8"/>
        <v>00</v>
      </c>
      <c r="R75" s="917" t="str">
        <f t="shared" si="9"/>
        <v>150308,0000</v>
      </c>
      <c r="S75" s="900"/>
    </row>
    <row r="76" spans="1:19">
      <c r="A76" s="947" t="s">
        <v>1112</v>
      </c>
      <c r="B76" s="930" t="s">
        <v>1077</v>
      </c>
      <c r="C76" s="928" t="s">
        <v>594</v>
      </c>
      <c r="F76" s="906">
        <v>42070</v>
      </c>
      <c r="H76" s="913">
        <v>42070</v>
      </c>
      <c r="I76" s="914" t="str">
        <f t="shared" si="0"/>
        <v>15</v>
      </c>
      <c r="J76" s="915">
        <f t="shared" si="1"/>
        <v>3</v>
      </c>
      <c r="K76" s="916">
        <f t="shared" si="2"/>
        <v>7</v>
      </c>
      <c r="L76" s="916">
        <f t="shared" si="3"/>
        <v>0</v>
      </c>
      <c r="M76" s="916">
        <f t="shared" si="4"/>
        <v>0</v>
      </c>
      <c r="N76" s="915" t="str">
        <f t="shared" si="5"/>
        <v>03</v>
      </c>
      <c r="O76" s="915" t="str">
        <f t="shared" si="6"/>
        <v>07</v>
      </c>
      <c r="P76" s="915" t="str">
        <f t="shared" si="7"/>
        <v>00</v>
      </c>
      <c r="Q76" s="915" t="str">
        <f t="shared" si="8"/>
        <v>00</v>
      </c>
      <c r="R76" s="917" t="str">
        <f t="shared" si="9"/>
        <v>150307,0000</v>
      </c>
      <c r="S76" s="900"/>
    </row>
    <row r="77" spans="1:19">
      <c r="A77" s="947" t="s">
        <v>1113</v>
      </c>
      <c r="B77" s="930" t="s">
        <v>1077</v>
      </c>
      <c r="C77" s="928" t="s">
        <v>585</v>
      </c>
      <c r="F77" s="906">
        <v>42069</v>
      </c>
      <c r="H77" s="913">
        <v>42069</v>
      </c>
      <c r="I77" s="914" t="str">
        <f t="shared" ref="I77:I98" si="10">RIGHT(YEAR(H77),2)</f>
        <v>15</v>
      </c>
      <c r="J77" s="915">
        <f t="shared" ref="J77:J98" si="11">MONTH(H77)</f>
        <v>3</v>
      </c>
      <c r="K77" s="916">
        <f t="shared" ref="K77:K98" si="12">DAY(H77)</f>
        <v>6</v>
      </c>
      <c r="L77" s="916">
        <f t="shared" ref="L77:L98" si="13">HOUR(H77)</f>
        <v>0</v>
      </c>
      <c r="M77" s="916">
        <f t="shared" ref="M77:M98" si="14">MINUTE(H77)</f>
        <v>0</v>
      </c>
      <c r="N77" s="915" t="str">
        <f t="shared" ref="N77:N98" si="15">IF(LEN(J77)=1,"0"&amp;J77,J77)</f>
        <v>03</v>
      </c>
      <c r="O77" s="915" t="str">
        <f t="shared" ref="O77:O98" si="16">IF(LEN(K77)=1,"0"&amp;K77,K77)</f>
        <v>06</v>
      </c>
      <c r="P77" s="915" t="str">
        <f t="shared" ref="P77:P98" si="17">IF(LEN(L77)=1,"0"&amp;L77,L77)</f>
        <v>00</v>
      </c>
      <c r="Q77" s="915" t="str">
        <f t="shared" ref="Q77:Q98" si="18">IF(LEN(M77)=1,"0"&amp;M77,M77)</f>
        <v>00</v>
      </c>
      <c r="R77" s="917" t="str">
        <f t="shared" ref="R77:R98" si="19">I77&amp;N77&amp;O77&amp;","&amp;P77&amp;Q77</f>
        <v>150306,0000</v>
      </c>
      <c r="S77" s="900"/>
    </row>
    <row r="78" spans="1:19" ht="24">
      <c r="A78" s="947" t="s">
        <v>1114</v>
      </c>
      <c r="B78" s="930" t="s">
        <v>1077</v>
      </c>
      <c r="C78" s="928" t="s">
        <v>584</v>
      </c>
      <c r="F78" s="906">
        <v>42068</v>
      </c>
      <c r="H78" s="913">
        <v>42068</v>
      </c>
      <c r="I78" s="914" t="str">
        <f t="shared" si="10"/>
        <v>15</v>
      </c>
      <c r="J78" s="915">
        <f t="shared" si="11"/>
        <v>3</v>
      </c>
      <c r="K78" s="916">
        <f t="shared" si="12"/>
        <v>5</v>
      </c>
      <c r="L78" s="916">
        <f t="shared" si="13"/>
        <v>0</v>
      </c>
      <c r="M78" s="916">
        <f t="shared" si="14"/>
        <v>0</v>
      </c>
      <c r="N78" s="915" t="str">
        <f t="shared" si="15"/>
        <v>03</v>
      </c>
      <c r="O78" s="915" t="str">
        <f t="shared" si="16"/>
        <v>05</v>
      </c>
      <c r="P78" s="915" t="str">
        <f t="shared" si="17"/>
        <v>00</v>
      </c>
      <c r="Q78" s="915" t="str">
        <f t="shared" si="18"/>
        <v>00</v>
      </c>
      <c r="R78" s="917" t="str">
        <f t="shared" si="19"/>
        <v>150305,0000</v>
      </c>
      <c r="S78" s="900"/>
    </row>
    <row r="79" spans="1:19">
      <c r="A79" s="947" t="s">
        <v>1115</v>
      </c>
      <c r="B79" s="930" t="s">
        <v>1077</v>
      </c>
      <c r="C79" s="928" t="s">
        <v>566</v>
      </c>
      <c r="F79" s="906">
        <v>42067</v>
      </c>
      <c r="H79" s="913">
        <v>42067</v>
      </c>
      <c r="I79" s="914" t="str">
        <f t="shared" si="10"/>
        <v>15</v>
      </c>
      <c r="J79" s="915">
        <f t="shared" si="11"/>
        <v>3</v>
      </c>
      <c r="K79" s="916">
        <f t="shared" si="12"/>
        <v>4</v>
      </c>
      <c r="L79" s="916">
        <f t="shared" si="13"/>
        <v>0</v>
      </c>
      <c r="M79" s="916">
        <f t="shared" si="14"/>
        <v>0</v>
      </c>
      <c r="N79" s="915" t="str">
        <f t="shared" si="15"/>
        <v>03</v>
      </c>
      <c r="O79" s="915" t="str">
        <f t="shared" si="16"/>
        <v>04</v>
      </c>
      <c r="P79" s="915" t="str">
        <f t="shared" si="17"/>
        <v>00</v>
      </c>
      <c r="Q79" s="915" t="str">
        <f t="shared" si="18"/>
        <v>00</v>
      </c>
      <c r="R79" s="917" t="str">
        <f t="shared" si="19"/>
        <v>150304,0000</v>
      </c>
      <c r="S79" s="900"/>
    </row>
    <row r="80" spans="1:19">
      <c r="A80" s="947" t="s">
        <v>1116</v>
      </c>
      <c r="B80" s="930" t="s">
        <v>1077</v>
      </c>
      <c r="C80" s="928" t="s">
        <v>552</v>
      </c>
      <c r="F80" s="906">
        <v>42066</v>
      </c>
      <c r="H80" s="913">
        <v>42066</v>
      </c>
      <c r="I80" s="914" t="str">
        <f t="shared" si="10"/>
        <v>15</v>
      </c>
      <c r="J80" s="915">
        <f t="shared" si="11"/>
        <v>3</v>
      </c>
      <c r="K80" s="916">
        <f t="shared" si="12"/>
        <v>3</v>
      </c>
      <c r="L80" s="916">
        <f t="shared" si="13"/>
        <v>0</v>
      </c>
      <c r="M80" s="916">
        <f t="shared" si="14"/>
        <v>0</v>
      </c>
      <c r="N80" s="915" t="str">
        <f t="shared" si="15"/>
        <v>03</v>
      </c>
      <c r="O80" s="915" t="str">
        <f t="shared" si="16"/>
        <v>03</v>
      </c>
      <c r="P80" s="915" t="str">
        <f t="shared" si="17"/>
        <v>00</v>
      </c>
      <c r="Q80" s="915" t="str">
        <f t="shared" si="18"/>
        <v>00</v>
      </c>
      <c r="R80" s="917" t="str">
        <f t="shared" si="19"/>
        <v>150303,0000</v>
      </c>
      <c r="S80" s="900"/>
    </row>
    <row r="81" spans="1:19" ht="24">
      <c r="A81" s="947" t="s">
        <v>1117</v>
      </c>
      <c r="B81" s="930" t="s">
        <v>1077</v>
      </c>
      <c r="C81" s="928" t="s">
        <v>528</v>
      </c>
      <c r="F81" s="906">
        <v>42065</v>
      </c>
      <c r="H81" s="913">
        <v>42065</v>
      </c>
      <c r="I81" s="914" t="str">
        <f t="shared" si="10"/>
        <v>15</v>
      </c>
      <c r="J81" s="915">
        <f t="shared" si="11"/>
        <v>3</v>
      </c>
      <c r="K81" s="916">
        <f t="shared" si="12"/>
        <v>2</v>
      </c>
      <c r="L81" s="916">
        <f t="shared" si="13"/>
        <v>0</v>
      </c>
      <c r="M81" s="916">
        <f t="shared" si="14"/>
        <v>0</v>
      </c>
      <c r="N81" s="915" t="str">
        <f t="shared" si="15"/>
        <v>03</v>
      </c>
      <c r="O81" s="915" t="str">
        <f t="shared" si="16"/>
        <v>02</v>
      </c>
      <c r="P81" s="915" t="str">
        <f t="shared" si="17"/>
        <v>00</v>
      </c>
      <c r="Q81" s="915" t="str">
        <f t="shared" si="18"/>
        <v>00</v>
      </c>
      <c r="R81" s="917" t="str">
        <f t="shared" si="19"/>
        <v>150302,0000</v>
      </c>
      <c r="S81" s="900"/>
    </row>
    <row r="82" spans="1:19">
      <c r="A82" s="947" t="s">
        <v>1118</v>
      </c>
      <c r="B82" s="930" t="s">
        <v>1077</v>
      </c>
      <c r="C82" s="928" t="s">
        <v>510</v>
      </c>
      <c r="F82" s="906">
        <v>42064</v>
      </c>
      <c r="H82" s="913">
        <v>42064</v>
      </c>
      <c r="I82" s="914" t="str">
        <f t="shared" si="10"/>
        <v>15</v>
      </c>
      <c r="J82" s="915">
        <f t="shared" si="11"/>
        <v>3</v>
      </c>
      <c r="K82" s="916">
        <f t="shared" si="12"/>
        <v>1</v>
      </c>
      <c r="L82" s="916">
        <f t="shared" si="13"/>
        <v>0</v>
      </c>
      <c r="M82" s="916">
        <f t="shared" si="14"/>
        <v>0</v>
      </c>
      <c r="N82" s="915" t="str">
        <f t="shared" si="15"/>
        <v>03</v>
      </c>
      <c r="O82" s="915" t="str">
        <f t="shared" si="16"/>
        <v>01</v>
      </c>
      <c r="P82" s="915" t="str">
        <f t="shared" si="17"/>
        <v>00</v>
      </c>
      <c r="Q82" s="915" t="str">
        <f t="shared" si="18"/>
        <v>00</v>
      </c>
      <c r="R82" s="917" t="str">
        <f t="shared" si="19"/>
        <v>150301,0000</v>
      </c>
      <c r="S82" s="900"/>
    </row>
    <row r="83" spans="1:19" ht="72">
      <c r="A83" s="947" t="s">
        <v>1119</v>
      </c>
      <c r="B83" s="930" t="s">
        <v>1077</v>
      </c>
      <c r="C83" s="928" t="s">
        <v>506</v>
      </c>
      <c r="F83" s="906">
        <v>42063</v>
      </c>
      <c r="H83" s="913">
        <v>42063</v>
      </c>
      <c r="I83" s="914" t="str">
        <f t="shared" si="10"/>
        <v>15</v>
      </c>
      <c r="J83" s="915">
        <f t="shared" si="11"/>
        <v>2</v>
      </c>
      <c r="K83" s="916">
        <f t="shared" si="12"/>
        <v>28</v>
      </c>
      <c r="L83" s="916">
        <f t="shared" si="13"/>
        <v>0</v>
      </c>
      <c r="M83" s="916">
        <f t="shared" si="14"/>
        <v>0</v>
      </c>
      <c r="N83" s="915" t="str">
        <f t="shared" si="15"/>
        <v>02</v>
      </c>
      <c r="O83" s="915">
        <f t="shared" si="16"/>
        <v>28</v>
      </c>
      <c r="P83" s="915" t="str">
        <f t="shared" si="17"/>
        <v>00</v>
      </c>
      <c r="Q83" s="915" t="str">
        <f t="shared" si="18"/>
        <v>00</v>
      </c>
      <c r="R83" s="917" t="str">
        <f t="shared" si="19"/>
        <v>150228,0000</v>
      </c>
      <c r="S83" s="900"/>
    </row>
    <row r="84" spans="1:19">
      <c r="A84" s="947" t="s">
        <v>1120</v>
      </c>
      <c r="B84" s="930" t="s">
        <v>1077</v>
      </c>
      <c r="C84" s="928" t="s">
        <v>505</v>
      </c>
      <c r="F84" s="906">
        <v>42061</v>
      </c>
      <c r="H84" s="913">
        <v>42061</v>
      </c>
      <c r="I84" s="914" t="str">
        <f t="shared" si="10"/>
        <v>15</v>
      </c>
      <c r="J84" s="915">
        <f t="shared" si="11"/>
        <v>2</v>
      </c>
      <c r="K84" s="916">
        <f t="shared" si="12"/>
        <v>26</v>
      </c>
      <c r="L84" s="916">
        <f t="shared" si="13"/>
        <v>0</v>
      </c>
      <c r="M84" s="916">
        <f t="shared" si="14"/>
        <v>0</v>
      </c>
      <c r="N84" s="915" t="str">
        <f t="shared" si="15"/>
        <v>02</v>
      </c>
      <c r="O84" s="915">
        <f t="shared" si="16"/>
        <v>26</v>
      </c>
      <c r="P84" s="915" t="str">
        <f t="shared" si="17"/>
        <v>00</v>
      </c>
      <c r="Q84" s="915" t="str">
        <f t="shared" si="18"/>
        <v>00</v>
      </c>
      <c r="R84" s="917" t="str">
        <f t="shared" si="19"/>
        <v>150226,0000</v>
      </c>
      <c r="S84" s="900"/>
    </row>
    <row r="85" spans="1:19" ht="24">
      <c r="A85" s="947" t="s">
        <v>1121</v>
      </c>
      <c r="B85" s="930" t="s">
        <v>1077</v>
      </c>
      <c r="C85" s="928" t="s">
        <v>495</v>
      </c>
      <c r="F85" s="906">
        <v>42060</v>
      </c>
      <c r="H85" s="913">
        <v>42060</v>
      </c>
      <c r="I85" s="914" t="str">
        <f t="shared" si="10"/>
        <v>15</v>
      </c>
      <c r="J85" s="915">
        <f t="shared" si="11"/>
        <v>2</v>
      </c>
      <c r="K85" s="916">
        <f t="shared" si="12"/>
        <v>25</v>
      </c>
      <c r="L85" s="916">
        <f t="shared" si="13"/>
        <v>0</v>
      </c>
      <c r="M85" s="916">
        <f t="shared" si="14"/>
        <v>0</v>
      </c>
      <c r="N85" s="915" t="str">
        <f t="shared" si="15"/>
        <v>02</v>
      </c>
      <c r="O85" s="915">
        <f t="shared" si="16"/>
        <v>25</v>
      </c>
      <c r="P85" s="915" t="str">
        <f t="shared" si="17"/>
        <v>00</v>
      </c>
      <c r="Q85" s="915" t="str">
        <f t="shared" si="18"/>
        <v>00</v>
      </c>
      <c r="R85" s="917" t="str">
        <f t="shared" si="19"/>
        <v>150225,0000</v>
      </c>
      <c r="S85" s="900"/>
    </row>
    <row r="86" spans="1:19">
      <c r="A86" s="947" t="s">
        <v>1122</v>
      </c>
      <c r="B86" s="930" t="s">
        <v>1077</v>
      </c>
      <c r="C86" s="928" t="s">
        <v>483</v>
      </c>
      <c r="F86" s="906">
        <v>42059</v>
      </c>
      <c r="H86" s="913">
        <v>42059</v>
      </c>
      <c r="I86" s="914" t="str">
        <f t="shared" si="10"/>
        <v>15</v>
      </c>
      <c r="J86" s="915">
        <f t="shared" si="11"/>
        <v>2</v>
      </c>
      <c r="K86" s="916">
        <f t="shared" si="12"/>
        <v>24</v>
      </c>
      <c r="L86" s="916">
        <f t="shared" si="13"/>
        <v>0</v>
      </c>
      <c r="M86" s="916">
        <f t="shared" si="14"/>
        <v>0</v>
      </c>
      <c r="N86" s="915" t="str">
        <f t="shared" si="15"/>
        <v>02</v>
      </c>
      <c r="O86" s="915">
        <f t="shared" si="16"/>
        <v>24</v>
      </c>
      <c r="P86" s="915" t="str">
        <f t="shared" si="17"/>
        <v>00</v>
      </c>
      <c r="Q86" s="915" t="str">
        <f t="shared" si="18"/>
        <v>00</v>
      </c>
      <c r="R86" s="917" t="str">
        <f t="shared" si="19"/>
        <v>150224,0000</v>
      </c>
      <c r="S86" s="900"/>
    </row>
    <row r="87" spans="1:19">
      <c r="A87" s="947" t="s">
        <v>1123</v>
      </c>
      <c r="B87" s="930" t="s">
        <v>1077</v>
      </c>
      <c r="C87" s="928" t="s">
        <v>452</v>
      </c>
      <c r="F87" s="906">
        <v>42058</v>
      </c>
      <c r="H87" s="913">
        <v>42058</v>
      </c>
      <c r="I87" s="914" t="str">
        <f t="shared" si="10"/>
        <v>15</v>
      </c>
      <c r="J87" s="915">
        <f t="shared" si="11"/>
        <v>2</v>
      </c>
      <c r="K87" s="916">
        <f t="shared" si="12"/>
        <v>23</v>
      </c>
      <c r="L87" s="916">
        <f t="shared" si="13"/>
        <v>0</v>
      </c>
      <c r="M87" s="916">
        <f t="shared" si="14"/>
        <v>0</v>
      </c>
      <c r="N87" s="915" t="str">
        <f t="shared" si="15"/>
        <v>02</v>
      </c>
      <c r="O87" s="915">
        <f t="shared" si="16"/>
        <v>23</v>
      </c>
      <c r="P87" s="915" t="str">
        <f t="shared" si="17"/>
        <v>00</v>
      </c>
      <c r="Q87" s="915" t="str">
        <f t="shared" si="18"/>
        <v>00</v>
      </c>
      <c r="R87" s="917" t="str">
        <f t="shared" si="19"/>
        <v>150223,0000</v>
      </c>
      <c r="S87" s="900"/>
    </row>
    <row r="88" spans="1:19" ht="36">
      <c r="A88" s="947" t="s">
        <v>1124</v>
      </c>
      <c r="B88" s="930" t="s">
        <v>1077</v>
      </c>
      <c r="C88" s="928" t="s">
        <v>442</v>
      </c>
      <c r="F88" s="906">
        <v>42051</v>
      </c>
      <c r="H88" s="913">
        <v>42051</v>
      </c>
      <c r="I88" s="914" t="str">
        <f t="shared" si="10"/>
        <v>15</v>
      </c>
      <c r="J88" s="915">
        <f t="shared" si="11"/>
        <v>2</v>
      </c>
      <c r="K88" s="916">
        <f t="shared" si="12"/>
        <v>16</v>
      </c>
      <c r="L88" s="916">
        <f t="shared" si="13"/>
        <v>0</v>
      </c>
      <c r="M88" s="916">
        <f t="shared" si="14"/>
        <v>0</v>
      </c>
      <c r="N88" s="915" t="str">
        <f t="shared" si="15"/>
        <v>02</v>
      </c>
      <c r="O88" s="915">
        <f t="shared" si="16"/>
        <v>16</v>
      </c>
      <c r="P88" s="915" t="str">
        <f t="shared" si="17"/>
        <v>00</v>
      </c>
      <c r="Q88" s="915" t="str">
        <f t="shared" si="18"/>
        <v>00</v>
      </c>
      <c r="R88" s="917" t="str">
        <f t="shared" si="19"/>
        <v>150216,0000</v>
      </c>
      <c r="S88" s="900"/>
    </row>
    <row r="89" spans="1:19">
      <c r="A89" s="947" t="s">
        <v>1125</v>
      </c>
      <c r="B89" s="930" t="s">
        <v>1077</v>
      </c>
      <c r="C89" s="928" t="s">
        <v>426</v>
      </c>
      <c r="F89" s="906">
        <v>42050</v>
      </c>
      <c r="H89" s="913">
        <v>42050</v>
      </c>
      <c r="I89" s="914" t="str">
        <f t="shared" si="10"/>
        <v>15</v>
      </c>
      <c r="J89" s="915">
        <f t="shared" si="11"/>
        <v>2</v>
      </c>
      <c r="K89" s="916">
        <f t="shared" si="12"/>
        <v>15</v>
      </c>
      <c r="L89" s="916">
        <f t="shared" si="13"/>
        <v>0</v>
      </c>
      <c r="M89" s="916">
        <f t="shared" si="14"/>
        <v>0</v>
      </c>
      <c r="N89" s="915" t="str">
        <f t="shared" si="15"/>
        <v>02</v>
      </c>
      <c r="O89" s="915">
        <f t="shared" si="16"/>
        <v>15</v>
      </c>
      <c r="P89" s="915" t="str">
        <f t="shared" si="17"/>
        <v>00</v>
      </c>
      <c r="Q89" s="915" t="str">
        <f t="shared" si="18"/>
        <v>00</v>
      </c>
      <c r="R89" s="917" t="str">
        <f t="shared" si="19"/>
        <v>150215,0000</v>
      </c>
      <c r="S89" s="900"/>
    </row>
    <row r="90" spans="1:19">
      <c r="A90" s="947" t="s">
        <v>1126</v>
      </c>
      <c r="B90" s="930" t="s">
        <v>1077</v>
      </c>
      <c r="C90" s="928" t="s">
        <v>415</v>
      </c>
      <c r="F90" s="906">
        <v>42049</v>
      </c>
      <c r="H90" s="913">
        <v>42049</v>
      </c>
      <c r="I90" s="914" t="str">
        <f t="shared" si="10"/>
        <v>15</v>
      </c>
      <c r="J90" s="915">
        <f t="shared" si="11"/>
        <v>2</v>
      </c>
      <c r="K90" s="916">
        <f t="shared" si="12"/>
        <v>14</v>
      </c>
      <c r="L90" s="916">
        <f t="shared" si="13"/>
        <v>0</v>
      </c>
      <c r="M90" s="916">
        <f t="shared" si="14"/>
        <v>0</v>
      </c>
      <c r="N90" s="915" t="str">
        <f t="shared" si="15"/>
        <v>02</v>
      </c>
      <c r="O90" s="915">
        <f t="shared" si="16"/>
        <v>14</v>
      </c>
      <c r="P90" s="915" t="str">
        <f t="shared" si="17"/>
        <v>00</v>
      </c>
      <c r="Q90" s="915" t="str">
        <f t="shared" si="18"/>
        <v>00</v>
      </c>
      <c r="R90" s="917" t="str">
        <f t="shared" si="19"/>
        <v>150214,0000</v>
      </c>
      <c r="S90" s="900"/>
    </row>
    <row r="91" spans="1:19">
      <c r="A91" s="947" t="s">
        <v>1127</v>
      </c>
      <c r="B91" s="930" t="s">
        <v>1077</v>
      </c>
      <c r="C91" s="928" t="s">
        <v>403</v>
      </c>
      <c r="F91" s="906">
        <v>42048</v>
      </c>
      <c r="H91" s="913">
        <v>42048</v>
      </c>
      <c r="I91" s="914" t="str">
        <f t="shared" si="10"/>
        <v>15</v>
      </c>
      <c r="J91" s="915">
        <f t="shared" si="11"/>
        <v>2</v>
      </c>
      <c r="K91" s="916">
        <f t="shared" si="12"/>
        <v>13</v>
      </c>
      <c r="L91" s="916">
        <f t="shared" si="13"/>
        <v>0</v>
      </c>
      <c r="M91" s="916">
        <f t="shared" si="14"/>
        <v>0</v>
      </c>
      <c r="N91" s="915" t="str">
        <f t="shared" si="15"/>
        <v>02</v>
      </c>
      <c r="O91" s="915">
        <f t="shared" si="16"/>
        <v>13</v>
      </c>
      <c r="P91" s="915" t="str">
        <f t="shared" si="17"/>
        <v>00</v>
      </c>
      <c r="Q91" s="915" t="str">
        <f t="shared" si="18"/>
        <v>00</v>
      </c>
      <c r="R91" s="917" t="str">
        <f t="shared" si="19"/>
        <v>150213,0000</v>
      </c>
      <c r="S91" s="900"/>
    </row>
    <row r="92" spans="1:19">
      <c r="A92" s="947" t="s">
        <v>1128</v>
      </c>
      <c r="B92" s="930" t="s">
        <v>1077</v>
      </c>
      <c r="C92" s="928" t="s">
        <v>388</v>
      </c>
      <c r="F92" s="906">
        <v>42046</v>
      </c>
      <c r="H92" s="913">
        <v>42046</v>
      </c>
      <c r="I92" s="914" t="str">
        <f t="shared" si="10"/>
        <v>15</v>
      </c>
      <c r="J92" s="915">
        <f t="shared" si="11"/>
        <v>2</v>
      </c>
      <c r="K92" s="916">
        <f t="shared" si="12"/>
        <v>11</v>
      </c>
      <c r="L92" s="916">
        <f t="shared" si="13"/>
        <v>0</v>
      </c>
      <c r="M92" s="916">
        <f t="shared" si="14"/>
        <v>0</v>
      </c>
      <c r="N92" s="915" t="str">
        <f t="shared" si="15"/>
        <v>02</v>
      </c>
      <c r="O92" s="915">
        <f t="shared" si="16"/>
        <v>11</v>
      </c>
      <c r="P92" s="915" t="str">
        <f t="shared" si="17"/>
        <v>00</v>
      </c>
      <c r="Q92" s="915" t="str">
        <f t="shared" si="18"/>
        <v>00</v>
      </c>
      <c r="R92" s="917" t="str">
        <f t="shared" si="19"/>
        <v>150211,0000</v>
      </c>
      <c r="S92" s="900"/>
    </row>
    <row r="93" spans="1:19" ht="24">
      <c r="A93" s="947" t="s">
        <v>1129</v>
      </c>
      <c r="B93" s="930" t="s">
        <v>1077</v>
      </c>
      <c r="C93" s="928" t="s">
        <v>344</v>
      </c>
      <c r="F93" s="906">
        <v>42040</v>
      </c>
      <c r="H93" s="913">
        <v>42040</v>
      </c>
      <c r="I93" s="914" t="str">
        <f t="shared" si="10"/>
        <v>15</v>
      </c>
      <c r="J93" s="915">
        <f t="shared" si="11"/>
        <v>2</v>
      </c>
      <c r="K93" s="916">
        <f t="shared" si="12"/>
        <v>5</v>
      </c>
      <c r="L93" s="916">
        <f t="shared" si="13"/>
        <v>0</v>
      </c>
      <c r="M93" s="916">
        <f t="shared" si="14"/>
        <v>0</v>
      </c>
      <c r="N93" s="915" t="str">
        <f t="shared" si="15"/>
        <v>02</v>
      </c>
      <c r="O93" s="915" t="str">
        <f t="shared" si="16"/>
        <v>05</v>
      </c>
      <c r="P93" s="915" t="str">
        <f t="shared" si="17"/>
        <v>00</v>
      </c>
      <c r="Q93" s="915" t="str">
        <f t="shared" si="18"/>
        <v>00</v>
      </c>
      <c r="R93" s="917" t="str">
        <f t="shared" si="19"/>
        <v>150205,0000</v>
      </c>
      <c r="S93" s="900"/>
    </row>
    <row r="94" spans="1:19">
      <c r="A94" s="947" t="s">
        <v>1130</v>
      </c>
      <c r="B94" s="930" t="s">
        <v>1077</v>
      </c>
      <c r="C94" s="928" t="s">
        <v>317</v>
      </c>
      <c r="F94" s="906">
        <v>42039</v>
      </c>
      <c r="H94" s="913">
        <v>42039</v>
      </c>
      <c r="I94" s="914" t="str">
        <f t="shared" si="10"/>
        <v>15</v>
      </c>
      <c r="J94" s="915">
        <f t="shared" si="11"/>
        <v>2</v>
      </c>
      <c r="K94" s="916">
        <f t="shared" si="12"/>
        <v>4</v>
      </c>
      <c r="L94" s="916">
        <f t="shared" si="13"/>
        <v>0</v>
      </c>
      <c r="M94" s="916">
        <f t="shared" si="14"/>
        <v>0</v>
      </c>
      <c r="N94" s="915" t="str">
        <f t="shared" si="15"/>
        <v>02</v>
      </c>
      <c r="O94" s="915" t="str">
        <f t="shared" si="16"/>
        <v>04</v>
      </c>
      <c r="P94" s="915" t="str">
        <f t="shared" si="17"/>
        <v>00</v>
      </c>
      <c r="Q94" s="915" t="str">
        <f t="shared" si="18"/>
        <v>00</v>
      </c>
      <c r="R94" s="917" t="str">
        <f t="shared" si="19"/>
        <v>150204,0000</v>
      </c>
      <c r="S94" s="900"/>
    </row>
    <row r="95" spans="1:19">
      <c r="A95" s="947" t="s">
        <v>1131</v>
      </c>
      <c r="B95" s="930" t="s">
        <v>1077</v>
      </c>
      <c r="C95" s="928" t="s">
        <v>318</v>
      </c>
      <c r="F95" s="906">
        <v>42038</v>
      </c>
      <c r="H95" s="913">
        <v>42038</v>
      </c>
      <c r="I95" s="914" t="str">
        <f t="shared" si="10"/>
        <v>15</v>
      </c>
      <c r="J95" s="915">
        <f t="shared" si="11"/>
        <v>2</v>
      </c>
      <c r="K95" s="916">
        <f t="shared" si="12"/>
        <v>3</v>
      </c>
      <c r="L95" s="916">
        <f t="shared" si="13"/>
        <v>0</v>
      </c>
      <c r="M95" s="916">
        <f t="shared" si="14"/>
        <v>0</v>
      </c>
      <c r="N95" s="915" t="str">
        <f t="shared" si="15"/>
        <v>02</v>
      </c>
      <c r="O95" s="915" t="str">
        <f t="shared" si="16"/>
        <v>03</v>
      </c>
      <c r="P95" s="915" t="str">
        <f t="shared" si="17"/>
        <v>00</v>
      </c>
      <c r="Q95" s="915" t="str">
        <f t="shared" si="18"/>
        <v>00</v>
      </c>
      <c r="R95" s="917" t="str">
        <f t="shared" si="19"/>
        <v>150203,0000</v>
      </c>
      <c r="S95" s="900"/>
    </row>
    <row r="96" spans="1:19">
      <c r="A96" s="947" t="s">
        <v>1132</v>
      </c>
      <c r="B96" s="930" t="s">
        <v>1077</v>
      </c>
      <c r="C96" s="928" t="s">
        <v>316</v>
      </c>
      <c r="F96" s="906">
        <v>42035</v>
      </c>
      <c r="H96" s="913">
        <v>42035</v>
      </c>
      <c r="I96" s="914" t="str">
        <f t="shared" si="10"/>
        <v>15</v>
      </c>
      <c r="J96" s="915">
        <f t="shared" si="11"/>
        <v>1</v>
      </c>
      <c r="K96" s="916">
        <f t="shared" si="12"/>
        <v>31</v>
      </c>
      <c r="L96" s="916">
        <f t="shared" si="13"/>
        <v>0</v>
      </c>
      <c r="M96" s="916">
        <f t="shared" si="14"/>
        <v>0</v>
      </c>
      <c r="N96" s="915" t="str">
        <f t="shared" si="15"/>
        <v>01</v>
      </c>
      <c r="O96" s="915">
        <f t="shared" si="16"/>
        <v>31</v>
      </c>
      <c r="P96" s="915" t="str">
        <f t="shared" si="17"/>
        <v>00</v>
      </c>
      <c r="Q96" s="915" t="str">
        <f t="shared" si="18"/>
        <v>00</v>
      </c>
      <c r="R96" s="917" t="str">
        <f t="shared" si="19"/>
        <v>150131,0000</v>
      </c>
      <c r="S96" s="900"/>
    </row>
    <row r="97" spans="1:19" ht="25">
      <c r="A97" s="947" t="s">
        <v>1133</v>
      </c>
      <c r="B97" s="930" t="s">
        <v>1077</v>
      </c>
      <c r="C97" s="948" t="s">
        <v>261</v>
      </c>
      <c r="F97" s="906">
        <v>42030</v>
      </c>
      <c r="H97" s="913">
        <v>42030</v>
      </c>
      <c r="I97" s="914" t="str">
        <f t="shared" si="10"/>
        <v>15</v>
      </c>
      <c r="J97" s="915">
        <f t="shared" si="11"/>
        <v>1</v>
      </c>
      <c r="K97" s="916">
        <f t="shared" si="12"/>
        <v>26</v>
      </c>
      <c r="L97" s="916">
        <f t="shared" si="13"/>
        <v>0</v>
      </c>
      <c r="M97" s="916">
        <f t="shared" si="14"/>
        <v>0</v>
      </c>
      <c r="N97" s="915" t="str">
        <f t="shared" si="15"/>
        <v>01</v>
      </c>
      <c r="O97" s="915">
        <f t="shared" si="16"/>
        <v>26</v>
      </c>
      <c r="P97" s="915" t="str">
        <f t="shared" si="17"/>
        <v>00</v>
      </c>
      <c r="Q97" s="915" t="str">
        <f t="shared" si="18"/>
        <v>00</v>
      </c>
      <c r="R97" s="917" t="str">
        <f t="shared" si="19"/>
        <v>150126,0000</v>
      </c>
      <c r="S97" s="900"/>
    </row>
    <row r="98" spans="1:19">
      <c r="A98" s="947" t="s">
        <v>1134</v>
      </c>
      <c r="B98" s="930" t="s">
        <v>1077</v>
      </c>
      <c r="C98" s="928" t="s">
        <v>260</v>
      </c>
      <c r="F98" s="906">
        <v>42005</v>
      </c>
      <c r="H98" s="913">
        <v>42005</v>
      </c>
      <c r="I98" s="914" t="str">
        <f t="shared" si="10"/>
        <v>15</v>
      </c>
      <c r="J98" s="915">
        <f t="shared" si="11"/>
        <v>1</v>
      </c>
      <c r="K98" s="916">
        <f t="shared" si="12"/>
        <v>1</v>
      </c>
      <c r="L98" s="916">
        <f t="shared" si="13"/>
        <v>0</v>
      </c>
      <c r="M98" s="916">
        <f t="shared" si="14"/>
        <v>0</v>
      </c>
      <c r="N98" s="915" t="str">
        <f t="shared" si="15"/>
        <v>01</v>
      </c>
      <c r="O98" s="915" t="str">
        <f t="shared" si="16"/>
        <v>01</v>
      </c>
      <c r="P98" s="915" t="str">
        <f t="shared" si="17"/>
        <v>00</v>
      </c>
      <c r="Q98" s="915" t="str">
        <f t="shared" si="18"/>
        <v>00</v>
      </c>
      <c r="R98" s="917" t="str">
        <f t="shared" si="19"/>
        <v>150101,0000</v>
      </c>
      <c r="S98" s="900"/>
    </row>
    <row r="99" spans="1:19">
      <c r="A99" s="1013"/>
      <c r="B99" s="1013"/>
      <c r="C99" s="928"/>
    </row>
    <row r="100" spans="1:19">
      <c r="A100" s="1013"/>
      <c r="B100" s="1013"/>
      <c r="C100" s="928"/>
    </row>
    <row r="101" spans="1:19">
      <c r="A101" s="1013"/>
      <c r="B101" s="1013"/>
      <c r="C101" s="928"/>
    </row>
    <row r="102" spans="1:19">
      <c r="A102" s="1013"/>
      <c r="B102" s="1013"/>
      <c r="C102" s="928"/>
    </row>
    <row r="103" spans="1:19">
      <c r="A103" s="1013"/>
      <c r="B103" s="1013"/>
      <c r="C103" s="928"/>
    </row>
    <row r="104" spans="1:19">
      <c r="A104" s="1013"/>
      <c r="B104" s="1013"/>
      <c r="C104" s="928"/>
    </row>
    <row r="105" spans="1:19">
      <c r="A105" s="1013"/>
      <c r="B105" s="1013"/>
      <c r="C105" s="928"/>
    </row>
    <row r="106" spans="1:19">
      <c r="A106" s="1013"/>
      <c r="B106" s="1013"/>
      <c r="C106" s="928"/>
    </row>
    <row r="107" spans="1:19">
      <c r="A107" s="1013"/>
      <c r="B107" s="1013"/>
      <c r="C107" s="928"/>
    </row>
    <row r="108" spans="1:19">
      <c r="A108" s="1013"/>
      <c r="B108" s="1013"/>
      <c r="C108" s="928"/>
    </row>
    <row r="109" spans="1:19">
      <c r="A109" s="1013"/>
      <c r="B109" s="1013"/>
      <c r="C109" s="928"/>
    </row>
    <row r="110" spans="1:19">
      <c r="A110" s="1013"/>
      <c r="B110" s="1013"/>
      <c r="C110" s="928"/>
    </row>
    <row r="111" spans="1:19">
      <c r="A111" s="1013"/>
      <c r="B111" s="1013"/>
      <c r="C111" s="928"/>
    </row>
    <row r="112" spans="1:19">
      <c r="A112" s="1013"/>
      <c r="B112" s="1013"/>
      <c r="C112" s="928"/>
    </row>
    <row r="113" spans="1:3">
      <c r="A113" s="1013"/>
      <c r="B113" s="1013"/>
      <c r="C113" s="928"/>
    </row>
    <row r="114" spans="1:3">
      <c r="A114" s="1013"/>
      <c r="B114" s="1013"/>
      <c r="C114" s="928"/>
    </row>
    <row r="115" spans="1:3">
      <c r="A115" s="1013"/>
      <c r="B115" s="1013"/>
      <c r="C115" s="928"/>
    </row>
    <row r="116" spans="1:3">
      <c r="A116" s="1013"/>
      <c r="B116" s="1013"/>
      <c r="C116" s="928"/>
    </row>
    <row r="117" spans="1:3">
      <c r="A117" s="1013"/>
      <c r="B117" s="1013"/>
      <c r="C117" s="928"/>
    </row>
    <row r="118" spans="1:3">
      <c r="A118" s="1013"/>
      <c r="B118" s="1013"/>
      <c r="C118" s="928"/>
    </row>
    <row r="119" spans="1:3">
      <c r="A119" s="1013"/>
      <c r="B119" s="1013"/>
      <c r="C119" s="928"/>
    </row>
    <row r="120" spans="1:3">
      <c r="A120" s="1013"/>
      <c r="B120" s="1013"/>
      <c r="C120" s="928"/>
    </row>
    <row r="121" spans="1:3">
      <c r="A121" s="1013"/>
      <c r="B121" s="1013"/>
      <c r="C121" s="928"/>
    </row>
    <row r="122" spans="1:3">
      <c r="A122" s="1013"/>
      <c r="B122" s="1013"/>
      <c r="C122" s="928"/>
    </row>
    <row r="123" spans="1:3">
      <c r="A123" s="1013"/>
      <c r="B123" s="1013"/>
      <c r="C123" s="928"/>
    </row>
    <row r="124" spans="1:3">
      <c r="A124" s="1013"/>
      <c r="B124" s="1013"/>
      <c r="C124" s="928"/>
    </row>
    <row r="125" spans="1:3">
      <c r="A125" s="1013"/>
      <c r="B125" s="1013"/>
      <c r="C125" s="928"/>
    </row>
    <row r="126" spans="1:3">
      <c r="A126" s="1013"/>
      <c r="B126" s="1013"/>
      <c r="C126" s="928"/>
    </row>
    <row r="127" spans="1:3">
      <c r="A127" s="1013"/>
      <c r="B127" s="1013"/>
      <c r="C127" s="928"/>
    </row>
    <row r="128" spans="1:3">
      <c r="A128" s="1013"/>
      <c r="B128" s="1013"/>
      <c r="C128" s="928"/>
    </row>
    <row r="129" spans="1:3">
      <c r="A129" s="1013"/>
      <c r="B129" s="1013"/>
      <c r="C129" s="928"/>
    </row>
    <row r="130" spans="1:3">
      <c r="A130" s="1013"/>
      <c r="B130" s="1013"/>
      <c r="C130" s="928"/>
    </row>
    <row r="131" spans="1:3">
      <c r="A131" s="1013"/>
      <c r="B131" s="1013"/>
      <c r="C131" s="928"/>
    </row>
    <row r="132" spans="1:3">
      <c r="A132" s="1013"/>
      <c r="B132" s="1013"/>
      <c r="C132" s="928"/>
    </row>
    <row r="133" spans="1:3">
      <c r="A133" s="1013"/>
      <c r="B133" s="1013"/>
      <c r="C133" s="928"/>
    </row>
    <row r="134" spans="1:3">
      <c r="A134" s="1013"/>
      <c r="B134" s="1013"/>
      <c r="C134" s="928"/>
    </row>
    <row r="135" spans="1:3">
      <c r="A135" s="1013"/>
      <c r="B135" s="1013"/>
      <c r="C135" s="928"/>
    </row>
    <row r="136" spans="1:3">
      <c r="A136" s="1013"/>
      <c r="B136" s="1013"/>
      <c r="C136" s="928"/>
    </row>
    <row r="137" spans="1:3">
      <c r="A137" s="1013"/>
      <c r="B137" s="1013"/>
      <c r="C137" s="928"/>
    </row>
    <row r="138" spans="1:3">
      <c r="A138" s="1013"/>
      <c r="B138" s="1013"/>
      <c r="C138" s="928"/>
    </row>
    <row r="139" spans="1:3">
      <c r="A139" s="1013"/>
      <c r="B139" s="1013"/>
      <c r="C139" s="928"/>
    </row>
  </sheetData>
  <sheetProtection algorithmName="SHA-512" hashValue="BOCLv/nN8k34EmLuv/msjMgAvficrVhPFLaQ4HxMzgZMpNT9gxs9stwvcgGEF1IfQiQBbTR5mvtQ18BblURUcg==" saltValue="2KRFL0ftm2wwNY3jSCwlrA==" spinCount="100000" sheet="1" objects="1" scenarios="1" formatCells="0" formatRows="0" insertRows="0"/>
  <sortState xmlns:xlrd2="http://schemas.microsoft.com/office/spreadsheetml/2017/richdata2" ref="A39:S144">
    <sortCondition descending="1" ref="A144"/>
  </sortState>
  <conditionalFormatting sqref="F73:F97">
    <cfRule type="expression" dxfId="2" priority="3" stopIfTrue="1">
      <formula>J73&gt;9</formula>
    </cfRule>
  </conditionalFormatting>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expression" priority="1" id="{C3ADF3BE-1035-4643-89D2-E4E22148822B}">
            <xm:f>Stempel!$B$4=0</xm:f>
            <x14:dxf>
              <font>
                <color rgb="FFFF0000"/>
              </font>
            </x14:dxf>
          </x14:cfRule>
          <xm:sqref>C1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9">
    <tabColor rgb="FFFF0000"/>
  </sheetPr>
  <dimension ref="A1:L24"/>
  <sheetViews>
    <sheetView topLeftCell="A20" workbookViewId="0">
      <selection activeCell="G31" sqref="G31"/>
    </sheetView>
  </sheetViews>
  <sheetFormatPr baseColWidth="10" defaultColWidth="11.5" defaultRowHeight="15"/>
  <cols>
    <col min="1" max="1" width="15.1640625" style="900" bestFit="1" customWidth="1"/>
    <col min="2" max="16384" width="11.5" style="900"/>
  </cols>
  <sheetData>
    <row r="1" spans="1:12" s="901" customFormat="1" hidden="1">
      <c r="A1" s="933" t="str">
        <f ca="1">CELL("dateiname",A1)</f>
        <v>/Users/izzetkilicarslan/PycharmProjects/Masterarbeit_100prosim/Excel_import/Python_Modell/[D_Python.xlsx]Stempel</v>
      </c>
      <c r="G1" s="905"/>
      <c r="H1" s="905"/>
      <c r="I1" s="905"/>
      <c r="L1" s="904"/>
    </row>
    <row r="2" spans="1:12" hidden="1">
      <c r="A2" s="934" t="str">
        <f ca="1">MID(A1,FIND("[",A1)+1,FIND("xls",A1)-FIND("[",A1)-1)</f>
        <v>D_Python.</v>
      </c>
    </row>
    <row r="3" spans="1:12" hidden="1">
      <c r="A3" s="935" t="str">
        <f ca="1">INDIRECT("Versionen!A4")</f>
        <v>200818.2120</v>
      </c>
    </row>
    <row r="4" spans="1:12" hidden="1">
      <c r="A4" s="936"/>
      <c r="B4" s="900">
        <f>IF(A4="",1,0)</f>
        <v>1</v>
      </c>
    </row>
    <row r="5" spans="1:12" hidden="1">
      <c r="A5" s="936" t="s">
        <v>1223</v>
      </c>
    </row>
    <row r="6" spans="1:12" hidden="1">
      <c r="A6" s="937" t="str">
        <f ca="1">A7&amp;A2&amp;A8&amp;A3&amp;"_"&amp;A5&amp;A4&amp;")"</f>
        <v>100prosim (D_Python.xlsx, 200818.2120_hsk)</v>
      </c>
    </row>
    <row r="7" spans="1:12" hidden="1">
      <c r="A7" s="938" t="s">
        <v>1137</v>
      </c>
    </row>
    <row r="8" spans="1:12" hidden="1">
      <c r="A8" s="938" t="s">
        <v>1138</v>
      </c>
    </row>
    <row r="9" spans="1:12" hidden="1">
      <c r="A9" s="938" t="s">
        <v>1139</v>
      </c>
    </row>
    <row r="10" spans="1:12" hidden="1">
      <c r="A10" s="938"/>
    </row>
    <row r="11" spans="1:12" hidden="1">
      <c r="A11" s="939" t="str">
        <f ca="1">A6</f>
        <v>100prosim (D_Python.xlsx, 200818.2120_hsk)</v>
      </c>
    </row>
    <row r="12" spans="1:12" hidden="1">
      <c r="A12" s="938" t="str">
        <f ca="1">"20"&amp;LEFT(A3,2)</f>
        <v>2020</v>
      </c>
    </row>
    <row r="13" spans="1:12" hidden="1">
      <c r="A13" s="940">
        <f ca="1">NOW()</f>
        <v>44278.44070983796</v>
      </c>
      <c r="B13" s="941" t="str">
        <f ca="1">TEXT(TODAY(),"TT.MM.JJJJ")</f>
        <v>23.03.2021</v>
      </c>
    </row>
    <row r="14" spans="1:12" hidden="1">
      <c r="B14" s="942" t="str">
        <f ca="1">TEXT(NOW(),"hh:mm")</f>
        <v>10:34</v>
      </c>
    </row>
    <row r="15" spans="1:12" hidden="1">
      <c r="A15" s="936" t="s">
        <v>1140</v>
      </c>
    </row>
    <row r="16" spans="1:12" hidden="1">
      <c r="A16" s="943" t="str">
        <f>A5</f>
        <v>hsk</v>
      </c>
    </row>
    <row r="17" spans="1:9" hidden="1">
      <c r="A17" s="936" t="s">
        <v>1212</v>
      </c>
    </row>
    <row r="18" spans="1:9" hidden="1">
      <c r="A18" s="900" t="s">
        <v>1140</v>
      </c>
    </row>
    <row r="19" spans="1:9" hidden="1">
      <c r="A19" s="902"/>
      <c r="B19" s="902"/>
      <c r="C19" s="902"/>
      <c r="D19" s="902"/>
      <c r="E19" s="902"/>
      <c r="F19" s="902"/>
      <c r="G19" s="902"/>
      <c r="H19" s="902"/>
      <c r="I19" s="944" t="s">
        <v>1141</v>
      </c>
    </row>
    <row r="20" spans="1:9">
      <c r="E20" s="949" t="s">
        <v>1142</v>
      </c>
      <c r="F20" s="949"/>
      <c r="G20" s="949"/>
      <c r="H20" s="949"/>
      <c r="I20" s="949"/>
    </row>
    <row r="23" spans="1:9">
      <c r="B23" s="943" t="s">
        <v>1143</v>
      </c>
    </row>
    <row r="24" spans="1:9">
      <c r="B24" s="900" t="s">
        <v>1144</v>
      </c>
    </row>
  </sheetData>
  <pageMargins left="0.7" right="0.7" top="0.78740157499999996" bottom="0.78740157499999996"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10"/>
  <dimension ref="A1:D34"/>
  <sheetViews>
    <sheetView topLeftCell="A5" workbookViewId="0">
      <selection activeCell="A6" sqref="A6"/>
    </sheetView>
  </sheetViews>
  <sheetFormatPr baseColWidth="10" defaultColWidth="11.5" defaultRowHeight="15"/>
  <cols>
    <col min="1" max="1" width="14.83203125" style="1004" customWidth="1"/>
    <col min="2" max="2" width="18.1640625" style="1004" bestFit="1" customWidth="1"/>
    <col min="3" max="4" width="11.5" style="1004"/>
    <col min="5" max="16384" width="11.5" style="900"/>
  </cols>
  <sheetData>
    <row r="1" spans="1:3" s="900" customFormat="1" ht="16" hidden="1" thickTop="1">
      <c r="A1" s="997" t="s">
        <v>1883</v>
      </c>
      <c r="B1" s="998">
        <f>ROW(A7)</f>
        <v>7</v>
      </c>
      <c r="C1" s="999" t="s">
        <v>1181</v>
      </c>
    </row>
    <row r="2" spans="1:3" s="900" customFormat="1" hidden="1">
      <c r="A2" s="1000" t="s">
        <v>1182</v>
      </c>
      <c r="B2" s="1001">
        <f ca="1">COUNTIF(B8:B52,"*")</f>
        <v>6</v>
      </c>
      <c r="C2" s="1002" t="s">
        <v>1183</v>
      </c>
    </row>
    <row r="3" spans="1:3" s="900" customFormat="1" hidden="1">
      <c r="A3" s="1000"/>
      <c r="B3" s="1003"/>
      <c r="C3" s="1004"/>
    </row>
    <row r="4" spans="1:3" s="900" customFormat="1" ht="16" hidden="1" thickBot="1">
      <c r="A4" s="1005" t="s">
        <v>1184</v>
      </c>
      <c r="B4" s="1006">
        <v>6</v>
      </c>
      <c r="C4" s="1007" t="s">
        <v>1185</v>
      </c>
    </row>
    <row r="5" spans="1:3" s="900" customFormat="1" ht="16">
      <c r="A5" s="1008" t="str">
        <f ca="1">Stempel!$A$11&amp;" - Arbeitsblätter zur Baustellen-Öffnung/-Schließung"</f>
        <v>100prosim (D_Python.xlsx, 200818.2120_hsk) - Arbeitsblätter zur Baustellen-Öffnung/-Schließung</v>
      </c>
      <c r="B5" s="1004"/>
      <c r="C5" s="1004"/>
    </row>
    <row r="6" spans="1:3" s="900" customFormat="1">
      <c r="A6" s="1004" t="s">
        <v>1186</v>
      </c>
      <c r="B6" s="1009" t="str">
        <f ca="1">INDIRECT("B"&amp;B4+B1)</f>
        <v>EingabeEinAus</v>
      </c>
      <c r="C6" s="1004"/>
    </row>
    <row r="8" spans="1:3" s="900" customFormat="1">
      <c r="A8" s="1004"/>
      <c r="B8" s="1010" t="str">
        <f ca="1">'1.'!BX1</f>
        <v>1.</v>
      </c>
      <c r="C8" s="1004"/>
    </row>
    <row r="9" spans="1:3" s="900" customFormat="1">
      <c r="A9" s="1004"/>
      <c r="B9" s="1010" t="str">
        <f ca="1">'7.VerbrauchStatus'!AE1</f>
        <v>7.VerbrauchStatus</v>
      </c>
      <c r="C9" s="1004"/>
    </row>
    <row r="10" spans="1:3" s="900" customFormat="1">
      <c r="A10" s="1004"/>
      <c r="B10" s="1010" t="str">
        <f ca="1">'8.Kennzahlen'!AE1</f>
        <v>8.Kennzahlen</v>
      </c>
      <c r="C10" s="1004"/>
    </row>
    <row r="11" spans="1:3" s="900" customFormat="1">
      <c r="A11" s="1004"/>
      <c r="B11" s="1010" t="str">
        <f ca="1">'9.Quellen'!AF1</f>
        <v>9.Quellen</v>
      </c>
      <c r="C11" s="1004"/>
    </row>
    <row r="12" spans="1:3" s="900" customFormat="1">
      <c r="A12" s="1004"/>
      <c r="B12" s="1010" t="s">
        <v>1187</v>
      </c>
      <c r="C12" s="1011" t="s">
        <v>1188</v>
      </c>
    </row>
    <row r="13" spans="1:3" s="900" customFormat="1">
      <c r="A13" s="1004"/>
      <c r="B13" s="1010" t="s">
        <v>1189</v>
      </c>
      <c r="C13" s="1004"/>
    </row>
    <row r="14" spans="1:3" s="900" customFormat="1">
      <c r="A14" s="1004"/>
      <c r="B14" s="1010"/>
      <c r="C14" s="1004"/>
    </row>
    <row r="15" spans="1:3" s="900" customFormat="1">
      <c r="A15" s="1004"/>
      <c r="B15" s="1010"/>
      <c r="C15" s="1004"/>
    </row>
    <row r="16" spans="1:3" s="900" customFormat="1">
      <c r="A16" s="1004"/>
      <c r="B16" s="1010"/>
      <c r="C16" s="1004"/>
    </row>
    <row r="17" spans="2:3" s="900" customFormat="1">
      <c r="B17" s="1010"/>
      <c r="C17" s="1011"/>
    </row>
    <row r="18" spans="2:3" s="900" customFormat="1">
      <c r="B18" s="1010"/>
      <c r="C18" s="1004"/>
    </row>
    <row r="19" spans="2:3" s="900" customFormat="1">
      <c r="B19" s="1010"/>
      <c r="C19" s="1004"/>
    </row>
    <row r="20" spans="2:3" s="900" customFormat="1">
      <c r="B20" s="1010"/>
      <c r="C20" s="1004"/>
    </row>
    <row r="21" spans="2:3" s="900" customFormat="1">
      <c r="B21" s="1010"/>
      <c r="C21" s="1004"/>
    </row>
    <row r="22" spans="2:3" s="900" customFormat="1">
      <c r="B22" s="1010"/>
      <c r="C22" s="1004"/>
    </row>
    <row r="23" spans="2:3" s="900" customFormat="1">
      <c r="B23" s="1010"/>
      <c r="C23" s="1004"/>
    </row>
    <row r="24" spans="2:3" s="900" customFormat="1">
      <c r="B24" s="1010"/>
      <c r="C24" s="1004"/>
    </row>
    <row r="25" spans="2:3" s="900" customFormat="1">
      <c r="B25" s="1010"/>
      <c r="C25" s="1004"/>
    </row>
    <row r="26" spans="2:3" s="900" customFormat="1">
      <c r="B26" s="1010"/>
      <c r="C26" s="1004"/>
    </row>
    <row r="27" spans="2:3" s="900" customFormat="1">
      <c r="B27" s="1010"/>
      <c r="C27" s="1004"/>
    </row>
    <row r="28" spans="2:3" s="900" customFormat="1">
      <c r="B28" s="1010"/>
      <c r="C28" s="1004"/>
    </row>
    <row r="29" spans="2:3" s="900" customFormat="1">
      <c r="B29" s="1010"/>
      <c r="C29" s="1004"/>
    </row>
    <row r="30" spans="2:3" s="900" customFormat="1">
      <c r="B30" s="1010"/>
      <c r="C30" s="1004"/>
    </row>
    <row r="31" spans="2:3" s="900" customFormat="1">
      <c r="B31" s="1010"/>
      <c r="C31" s="1004"/>
    </row>
    <row r="32" spans="2:3" s="900" customFormat="1">
      <c r="B32" s="1010"/>
      <c r="C32" s="1004"/>
    </row>
    <row r="33" spans="2:2" s="900" customFormat="1">
      <c r="B33" s="1010"/>
    </row>
    <row r="34" spans="2:2" s="900" customFormat="1">
      <c r="B34" s="1010"/>
    </row>
  </sheetData>
  <sheetProtection algorithmName="SHA-512" hashValue="g3b3DaRG6NuAyBSjeTF1x3ZL18OYK0L4a0Snz6Z2+D08h7JRb3b9AXRB8U9SLIp0eF3u9anKNiMsAzt4QK/ihw==" saltValue="xaUN4D31Vm1bqY199IEgVA==" spinCount="100000" sheet="1" objects="1" scenarios="1" formatRows="0"/>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2"/>
  <dimension ref="A1:B10"/>
  <sheetViews>
    <sheetView workbookViewId="0"/>
  </sheetViews>
  <sheetFormatPr baseColWidth="10" defaultColWidth="11.5" defaultRowHeight="15"/>
  <cols>
    <col min="1" max="16384" width="11.5" style="900"/>
  </cols>
  <sheetData>
    <row r="1" spans="1:2" ht="16">
      <c r="A1" s="1015" t="s">
        <v>1883</v>
      </c>
    </row>
    <row r="2" spans="1:2">
      <c r="A2" s="1012" t="str">
        <f ca="1">'1.'!BW1</f>
        <v>1.</v>
      </c>
      <c r="B2" s="176" t="s">
        <v>1190</v>
      </c>
    </row>
    <row r="3" spans="1:2">
      <c r="A3" s="1012" t="s">
        <v>1191</v>
      </c>
      <c r="B3" s="900" t="s">
        <v>1192</v>
      </c>
    </row>
    <row r="4" spans="1:2">
      <c r="A4" s="1012" t="s">
        <v>1193</v>
      </c>
      <c r="B4" s="900" t="s">
        <v>1194</v>
      </c>
    </row>
    <row r="5" spans="1:2">
      <c r="A5" s="1012" t="s">
        <v>1195</v>
      </c>
      <c r="B5" s="900" t="s">
        <v>1196</v>
      </c>
    </row>
    <row r="6" spans="1:2">
      <c r="A6" s="1012" t="str">
        <f ca="1">'9.Quellen'!AF1</f>
        <v>9.Quellen</v>
      </c>
      <c r="B6" s="176" t="s">
        <v>1197</v>
      </c>
    </row>
    <row r="7" spans="1:2">
      <c r="A7" s="1012" t="s">
        <v>1198</v>
      </c>
      <c r="B7" s="900" t="s">
        <v>1199</v>
      </c>
    </row>
    <row r="8" spans="1:2">
      <c r="A8" s="1012" t="s">
        <v>1200</v>
      </c>
      <c r="B8" s="900" t="s">
        <v>1201</v>
      </c>
    </row>
    <row r="9" spans="1:2">
      <c r="A9" s="1012" t="s">
        <v>1202</v>
      </c>
      <c r="B9" s="900" t="s">
        <v>1203</v>
      </c>
    </row>
    <row r="10" spans="1:2">
      <c r="A10" s="1012" t="s">
        <v>1204</v>
      </c>
      <c r="B10" s="900" t="s">
        <v>1205</v>
      </c>
    </row>
  </sheetData>
  <sheetProtection algorithmName="SHA-512" hashValue="f0Pxvfc+EfjtbJlDvMYh+071V4JlJJrFrjGAjn4itVOIFyH7BW2fJg6xxmH9GUzyjW8MWQ4VN1CC8fsLStIDRA==" saltValue="FkBDnSae3kIAVoO3hO0jJg==" spinCount="100000" sheet="1" objects="1" scenarios="1" formatRows="0"/>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expression" priority="1" id="{092059D2-EB29-40AA-A8D4-044B06CB1B17}">
            <xm:f>Stempel!$B$4=0</xm:f>
            <x14:dxf>
              <font>
                <color rgb="FFFF0000"/>
              </font>
            </x14:dxf>
          </x14:cfRule>
          <xm:sqref>A1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Arbeitsblätter</vt:lpstr>
      </vt:variant>
      <vt:variant>
        <vt:i4>16</vt:i4>
      </vt:variant>
      <vt:variant>
        <vt:lpstr>Benannte Bereiche</vt:lpstr>
      </vt:variant>
      <vt:variant>
        <vt:i4>9</vt:i4>
      </vt:variant>
    </vt:vector>
  </HeadingPairs>
  <TitlesOfParts>
    <vt:vector size="25" baseType="lpstr">
      <vt:lpstr>1.</vt:lpstr>
      <vt:lpstr>7.VerbrauchStatus</vt:lpstr>
      <vt:lpstr>8.Kennzahlen</vt:lpstr>
      <vt:lpstr>9.Quellen</vt:lpstr>
      <vt:lpstr>O_</vt:lpstr>
      <vt:lpstr>I_BS.2</vt:lpstr>
      <vt:lpstr>I_BS.3</vt:lpstr>
      <vt:lpstr>I_Region</vt:lpstr>
      <vt:lpstr>I_Basisdaten</vt:lpstr>
      <vt:lpstr>WS_</vt:lpstr>
      <vt:lpstr>PSZ_</vt:lpstr>
      <vt:lpstr>Copyright</vt:lpstr>
      <vt:lpstr>Versionen</vt:lpstr>
      <vt:lpstr>Stempel</vt:lpstr>
      <vt:lpstr>Arbeitsblätter</vt:lpstr>
      <vt:lpstr>EingabeEinAus</vt:lpstr>
      <vt:lpstr>Alpha</vt:lpstr>
      <vt:lpstr>'1.'!Druckbereich</vt:lpstr>
      <vt:lpstr>'7.VerbrauchStatus'!Druckbereich</vt:lpstr>
      <vt:lpstr>'8.Kennzahlen'!Druckbereich</vt:lpstr>
      <vt:lpstr>'9.Quellen'!Druckbereich</vt:lpstr>
      <vt:lpstr>'1.'!Drucktitel</vt:lpstr>
      <vt:lpstr>'7.VerbrauchStatus'!Drucktitel</vt:lpstr>
      <vt:lpstr>'8.Kennzahlen'!Drucktitel</vt:lpstr>
      <vt:lpstr>'9.Quellen'!Drucktitel</vt:lpstr>
    </vt:vector>
  </TitlesOfParts>
  <Company>Ostfalia Hochschule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hsk</dc:creator>
  <cp:lastModifiedBy>Izzet Kilicarslan</cp:lastModifiedBy>
  <cp:lastPrinted>2018-03-27T13:38:42Z</cp:lastPrinted>
  <dcterms:created xsi:type="dcterms:W3CDTF">2014-11-11T09:55:46Z</dcterms:created>
  <dcterms:modified xsi:type="dcterms:W3CDTF">2021-03-23T09:34:37Z</dcterms:modified>
</cp:coreProperties>
</file>