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c\Documents\"/>
    </mc:Choice>
  </mc:AlternateContent>
  <xr:revisionPtr revIDLastSave="0" documentId="13_ncr:1_{5E594EC6-1D0B-432F-BC56-4D9D2935644B}" xr6:coauthVersionLast="36" xr6:coauthVersionMax="41" xr10:uidLastSave="{00000000-0000-0000-0000-000000000000}"/>
  <bookViews>
    <workbookView xWindow="0" yWindow="0" windowWidth="20490" windowHeight="7545" xr2:uid="{3B85E315-878B-4D23-8101-3A5D7F89C4D3}"/>
  </bookViews>
  <sheets>
    <sheet name="Model Formulation" sheetId="4" r:id="rId1"/>
    <sheet name="Model Optimization" sheetId="3" r:id="rId2"/>
    <sheet name="Model Optimization_STS" sheetId="5" state="veryHidden" r:id="rId3"/>
    <sheet name="Sensitivity_Demand_XL" sheetId="8" r:id="rId4"/>
    <sheet name="Sensitivity_Demand_XR" sheetId="9" r:id="rId5"/>
    <sheet name="Sensitivity_Demand_XS" sheetId="10" r:id="rId6"/>
    <sheet name="Sensitivity_Profit_XS" sheetId="12" r:id="rId7"/>
    <sheet name="Sensitivity_Profit_XL" sheetId="15" r:id="rId8"/>
    <sheet name="Sensitivity_XLinplant2" sheetId="16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hartData" localSheetId="3">Sensitivity_Demand_XL!$K$5:$K$95</definedName>
    <definedName name="ChartData" localSheetId="4">Sensitivity_Demand_XR!$K$5:$K$95</definedName>
    <definedName name="ChartData" localSheetId="5">Sensitivity_Demand_XS!$K$5:$K$95</definedName>
    <definedName name="ChartData" localSheetId="7">Sensitivity_Profit_XL!$K$5:$K$14</definedName>
    <definedName name="ChartData" localSheetId="6">Sensitivity_Profit_XS!$K$5:$K$14</definedName>
    <definedName name="ChartData" localSheetId="8">Sensitivity_XLinplant2!$K$5:$K$14</definedName>
    <definedName name="InputValues" localSheetId="3">Sensitivity_Demand_XL!$A$5:$A$95</definedName>
    <definedName name="InputValues" localSheetId="4">Sensitivity_Demand_XR!$A$5:$A$95</definedName>
    <definedName name="InputValues" localSheetId="5">Sensitivity_Demand_XS!$A$5:$A$95</definedName>
    <definedName name="InputValues" localSheetId="7">Sensitivity_Profit_XL!$A$5:$A$14</definedName>
    <definedName name="InputValues" localSheetId="6">Sensitivity_Profit_XS!$A$5:$A$14</definedName>
    <definedName name="InputValues" localSheetId="8">Sensitivity_XLinplant2!$A$5:$A$14</definedName>
    <definedName name="OutputAddresses" localSheetId="3">Sensitivity_Demand_XL!$B$4</definedName>
    <definedName name="OutputAddresses" localSheetId="4">Sensitivity_Demand_XR!$B$4</definedName>
    <definedName name="OutputAddresses" localSheetId="5">Sensitivity_Demand_XS!$B$4</definedName>
    <definedName name="OutputAddresses" localSheetId="7">Sensitivity_Profit_XL!$B$4</definedName>
    <definedName name="OutputAddresses" localSheetId="6">Sensitivity_Profit_XS!$B$4</definedName>
    <definedName name="OutputAddresses" localSheetId="8">Sensitivity_XLinplant2!$B$4</definedName>
    <definedName name="OutputValues" localSheetId="3">Sensitivity_Demand_XL!$B$5:$B$95</definedName>
    <definedName name="OutputValues" localSheetId="4">Sensitivity_Demand_XR!$B$5:$B$95</definedName>
    <definedName name="OutputValues" localSheetId="5">Sensitivity_Demand_XS!$B$5:$B$95</definedName>
    <definedName name="OutputValues" localSheetId="7">Sensitivity_Profit_XL!$B$5:$B$14</definedName>
    <definedName name="OutputValues" localSheetId="6">Sensitivity_Profit_XS!$B$5:$B$14</definedName>
    <definedName name="OutputValues" localSheetId="8">Sensitivity_XLinplant2!$B$5:$B$14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1" hidden="1">'Model Optimization'!$E$16:$F$16,'Model Optimization'!$B$20:$F$22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'Model Optimization'!$B$20:$F$22</definedName>
    <definedName name="solver_lhs2" localSheetId="1" hidden="1">'Model Optimization'!$B$30:$B$32</definedName>
    <definedName name="solver_lhs3" localSheetId="1" hidden="1">'Model Optimization'!$B$34:$B$38</definedName>
    <definedName name="solver_lhs4" localSheetId="1" hidden="1">'Model Optimization'!$B$40:$B$42</definedName>
    <definedName name="solver_lhs5" localSheetId="1" hidden="1">'Model Optimization'!$E$16:$F$16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'Model Optimization'!$B$27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1</definedName>
    <definedName name="solver_rel3" localSheetId="1" hidden="1">1</definedName>
    <definedName name="solver_rel4" localSheetId="1" hidden="1">2</definedName>
    <definedName name="solver_rel5" localSheetId="1" hidden="1">5</definedName>
    <definedName name="solver_rhs1" localSheetId="1" hidden="1">integer</definedName>
    <definedName name="solver_rhs2" localSheetId="1" hidden="1">'Model Optimization'!$D$30:$D$32</definedName>
    <definedName name="solver_rhs3" localSheetId="1" hidden="1">'Model Optimization'!$D$34:$D$38</definedName>
    <definedName name="solver_rhs4" localSheetId="1" hidden="1">'Model Optimization'!$D$40:$D$42</definedName>
    <definedName name="solver_rhs5" localSheetId="1" hidden="1">binary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6" l="1"/>
  <c r="K14" i="16"/>
  <c r="K13" i="16"/>
  <c r="K12" i="16"/>
  <c r="K11" i="16"/>
  <c r="K10" i="16"/>
  <c r="K9" i="16"/>
  <c r="K8" i="16"/>
  <c r="K7" i="16"/>
  <c r="K6" i="16"/>
  <c r="K5" i="16"/>
  <c r="J4" i="16"/>
  <c r="K1" i="15"/>
  <c r="K14" i="15"/>
  <c r="K13" i="15"/>
  <c r="K12" i="15"/>
  <c r="K11" i="15"/>
  <c r="K10" i="15"/>
  <c r="K9" i="15"/>
  <c r="K8" i="15"/>
  <c r="K7" i="15"/>
  <c r="K6" i="15"/>
  <c r="K5" i="15"/>
  <c r="J4" i="15"/>
  <c r="K1" i="12"/>
  <c r="K14" i="12"/>
  <c r="K13" i="12"/>
  <c r="K12" i="12"/>
  <c r="K11" i="12"/>
  <c r="K10" i="12"/>
  <c r="K9" i="12"/>
  <c r="K8" i="12"/>
  <c r="K7" i="12"/>
  <c r="K6" i="12"/>
  <c r="K5" i="12"/>
  <c r="J4" i="12"/>
  <c r="K1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J4" i="10"/>
  <c r="K1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J4" i="9"/>
  <c r="K1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J4" i="8"/>
  <c r="B16" i="3"/>
  <c r="C16" i="3"/>
  <c r="B27" i="3"/>
  <c r="F25" i="3"/>
  <c r="D38" i="3"/>
  <c r="E25" i="3"/>
  <c r="D37" i="3"/>
  <c r="D36" i="3"/>
  <c r="C25" i="3"/>
  <c r="D35" i="3"/>
  <c r="B25" i="3"/>
  <c r="D34" i="3"/>
  <c r="B42" i="3"/>
  <c r="B41" i="3"/>
  <c r="B40" i="3"/>
  <c r="F23" i="3"/>
  <c r="B38" i="3"/>
  <c r="E23" i="3"/>
  <c r="B37" i="3"/>
  <c r="B36" i="3"/>
  <c r="B35" i="3"/>
  <c r="B34" i="3"/>
  <c r="G22" i="3"/>
  <c r="B32" i="3"/>
  <c r="G21" i="3"/>
  <c r="B31" i="3"/>
  <c r="G20" i="3"/>
  <c r="B30" i="3"/>
  <c r="I20" i="3"/>
  <c r="I21" i="3"/>
  <c r="I22" i="3"/>
  <c r="C23" i="3"/>
  <c r="D23" i="3"/>
  <c r="B23" i="3"/>
  <c r="D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stsc</author>
  </authors>
  <commentList>
    <comment ref="B5" authorId="0" shapeId="0" xr:uid="{733FF5A0-B255-427A-81AA-B472DBFFF7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23679163-C1DD-4192-909B-38EAFEC5F7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E6CD725D-4F3E-4EAA-BB84-2C40E070E0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A1C81B9A-18C8-4639-936D-ECE5260034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CB023B3C-7F07-4733-B70D-7EF5EE884F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7D62EE4B-9D7C-433F-B9E6-16E6253637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C9F9F245-D280-4DAC-9E2A-E22E0E6B10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87FC6608-A4C5-4453-B02C-BDC0BD77AE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623C3BBE-E1D9-4F31-B0A2-F46FADC07E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BA5916F2-8258-4F40-8C1F-D689261426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D984D63A-616A-4415-A2D8-5A1DB4E412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7195382D-724D-4E24-81D4-F5084277DB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1C48E0A0-6C8C-4E05-84AA-2BB08CB176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4FAFF6A4-7275-4E97-A8B4-94B023D3A3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F45279F2-7D13-46D6-B4C1-D243736D43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CC28A703-BEE8-4258-BF9D-F2AAC41047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B076433C-F3AC-4737-B4DF-91D775F471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87FC730C-484D-4287-A26D-7835E7BAFF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0EEDA921-095D-4D3B-96EC-5045E6D37B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5DF90B2E-D0C7-49EB-BE25-E62A13A24B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25DA2B8A-C911-4719-9156-BB93862D78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200C9DEE-2C1C-4E01-AB99-6205B98071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4D2ABAE9-AD3C-496D-9745-588269B482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DE6D77BB-0A95-4E14-9EB8-FAB0C108C7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3EEA1637-6619-4ABB-B769-01FC79CC18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 xr:uid="{3C7C8939-031E-4CE0-9177-59E21D28F0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E0BBAF61-9AC5-4DA1-B564-EC27B7A3CE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6FB7E286-6255-456E-B160-ED5BDDB687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69E9E381-BAE5-4C76-AEB7-37B1C67455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F9647E73-99B6-4F5A-9881-53D7FE33BC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CEC08F64-D319-4D14-80B3-8A5FC9CAEF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" authorId="0" shapeId="0" xr:uid="{356E86EC-BA8E-4F2C-A9BF-E9614A1C58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 xr:uid="{71C4AA93-BFA0-45A7-B80D-D41178E1FD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" authorId="0" shapeId="0" xr:uid="{F1F69939-C689-4EFD-A26B-BF14B6C82D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" authorId="0" shapeId="0" xr:uid="{41BFA58F-1B6A-4324-BCBC-331B93D85A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" authorId="0" shapeId="0" xr:uid="{0D23267C-7A37-412E-AE86-0922027411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 shapeId="0" xr:uid="{A372892B-B49D-4FCE-8C4E-EDFB950610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" authorId="0" shapeId="0" xr:uid="{15439250-351F-4DC4-8DA4-46781A26A2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" authorId="0" shapeId="0" xr:uid="{32BB38ED-D003-4B14-83BC-DBE8A38C78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" authorId="0" shapeId="0" xr:uid="{8DB4713F-9398-4F11-B008-1159EA61A5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" authorId="0" shapeId="0" xr:uid="{6DE6167B-2215-47AD-85C0-F439199192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" authorId="0" shapeId="0" xr:uid="{354B5C00-7A65-4B00-8F41-57400293DD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" authorId="0" shapeId="0" xr:uid="{9FA8468F-54F8-490D-970A-53C61D2AA5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" authorId="0" shapeId="0" xr:uid="{88E513D9-DED3-4B8F-A40B-748FEF602C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" authorId="0" shapeId="0" xr:uid="{158C0E89-D671-46F2-A191-270802CB1B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" authorId="0" shapeId="0" xr:uid="{CAA49E6B-4F76-4845-BA35-9A7E19C5E5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" authorId="0" shapeId="0" xr:uid="{509CD016-0822-4440-92FF-A157F6877C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" authorId="0" shapeId="0" xr:uid="{6D5758D9-55D1-4B53-BD78-63FABFF7A1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" authorId="0" shapeId="0" xr:uid="{609DB001-5086-4CF0-A791-9FC30059D0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" authorId="0" shapeId="0" xr:uid="{328C5910-046E-4EE5-910A-06D31DDA96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5" authorId="0" shapeId="0" xr:uid="{827428B0-34E7-4EC6-BCBC-DF5B097AD9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" authorId="0" shapeId="0" xr:uid="{C1A0BEFB-9DD9-45F6-8BF3-5248D2E6E7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" authorId="0" shapeId="0" xr:uid="{BBE82062-FF7A-4061-8ECF-AD6828E982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" authorId="0" shapeId="0" xr:uid="{ED7FCE06-E655-46C7-8D38-24A7071189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9" authorId="0" shapeId="0" xr:uid="{EBD015F7-D226-4D36-A778-EB9191AB63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0" authorId="0" shapeId="0" xr:uid="{D52C1B8C-9FF5-4748-AD5C-DAA5F55A54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" authorId="0" shapeId="0" xr:uid="{6CAD47BC-9F71-4FFE-8A32-C78A1CD9A3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" authorId="0" shapeId="0" xr:uid="{7F98AB9B-E9DE-4526-9BF9-9E66F1612A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" authorId="0" shapeId="0" xr:uid="{C59BBA86-5BE0-4362-82D4-4F16E6636B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" authorId="0" shapeId="0" xr:uid="{22280912-7B60-4D8C-B5CE-3DDE7A3A86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" authorId="0" shapeId="0" xr:uid="{AE2F2C66-F067-46BA-A356-ACFEDF763B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" authorId="0" shapeId="0" xr:uid="{EB5F936E-1A33-4CD8-A758-D0419F2105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7" authorId="0" shapeId="0" xr:uid="{0CA99A9A-BA08-49B4-ADFC-7EE089C4BE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8" authorId="0" shapeId="0" xr:uid="{7D920675-8A83-4D11-99F2-052286343F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" authorId="0" shapeId="0" xr:uid="{100E8338-3D2B-4E64-A7D7-6AC75F0616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" authorId="0" shapeId="0" xr:uid="{A1CBE6AE-CCEE-4581-8C39-537A9EE148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" authorId="0" shapeId="0" xr:uid="{E93C69BC-1C45-40B3-8671-BBF36ECF98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" authorId="0" shapeId="0" xr:uid="{27FF57D1-5F33-46AE-B6F5-124FEBBD7C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" authorId="0" shapeId="0" xr:uid="{1C529B88-1B12-43B6-95B3-E7FFA1C9AF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" authorId="0" shapeId="0" xr:uid="{A4DFE788-CCBC-456E-A3B6-50FE6C5903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5" authorId="0" shapeId="0" xr:uid="{6B4C2C1F-4578-496D-B274-BAE9CF0779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6" authorId="0" shapeId="0" xr:uid="{D04B6A6D-5870-4DEE-A24D-E4B141701E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" authorId="0" shapeId="0" xr:uid="{B780D15F-3CA7-4C3D-BF32-EA97631543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" authorId="0" shapeId="0" xr:uid="{CD179B77-A50D-4825-92C5-937494F42B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" authorId="0" shapeId="0" xr:uid="{A0E7C9D4-F56C-4202-A330-7E693BD7F9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" authorId="0" shapeId="0" xr:uid="{6B76AE4C-451F-4F42-A7E1-A76EEC36E1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1" authorId="0" shapeId="0" xr:uid="{4F346259-9939-4ABE-B35F-DAEC664C6F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2" authorId="0" shapeId="0" xr:uid="{05540569-9C00-48D0-9DD6-CC7F1E23F7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3" authorId="0" shapeId="0" xr:uid="{EB5E728F-FF82-4AEF-A13C-557F725798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4" authorId="0" shapeId="0" xr:uid="{E6DE9F25-22AE-448F-B90E-0EAD7A2B26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5" authorId="0" shapeId="0" xr:uid="{F490420A-FEB9-4D95-898A-5DB72DA2FC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6" authorId="0" shapeId="0" xr:uid="{BFDDF32E-2F31-4F63-803A-4E2EE2AE39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7" authorId="0" shapeId="0" xr:uid="{A0FEC025-BA66-42E4-BE06-DEC01E077B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8" authorId="0" shapeId="0" xr:uid="{A2E6F160-D93C-4E6D-91EF-A519AAB7ED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9" authorId="0" shapeId="0" xr:uid="{EB1E4BFB-7980-4021-B4E8-E43A9F5AC3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0" authorId="0" shapeId="0" xr:uid="{21F98BC9-5C57-4A7C-A6DC-40BD3F7F47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1" authorId="0" shapeId="0" xr:uid="{17BBCBF3-D94C-4294-89E8-8E8C49D5B3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2" authorId="0" shapeId="0" xr:uid="{F63C3558-BF36-4104-B639-A8A24EC1A1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3" authorId="0" shapeId="0" xr:uid="{E4C7A586-092A-4037-AC60-095B409CF2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4" authorId="0" shapeId="0" xr:uid="{65DC5349-E8C1-436D-ACA5-4B63FE6DFC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5" authorId="0" shapeId="0" xr:uid="{97E407BD-4638-4151-B070-6B27A9C378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stsc</author>
  </authors>
  <commentList>
    <comment ref="B5" authorId="0" shapeId="0" xr:uid="{B595EBF6-0066-4D58-A0ED-5BBB5A3670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06A2978F-5C65-4AAA-B438-046AC4A7C0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21C7FD91-1ECE-44FE-9639-68B7183550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5FCDA7CD-805F-4805-8F33-6DB93EE55E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49B9E7E9-753F-4197-A10F-B81F3E6762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738DD713-2EA0-4C0B-8AF8-4EE81D328F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09BC6099-7355-4F6A-8F94-21D0B6F7AC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2531AD4C-C8AA-4273-9003-AAB3916957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726EFE94-8927-477E-AAFC-5E42A44D00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5D0C223B-6A46-449E-A8CE-357BC676C6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CBB04D47-0EC1-4DD2-9554-EBE5317F48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DE82D783-0E93-4C98-963D-36A1ED33D2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1E2D0335-285A-4AA9-8524-5702316C9B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70B333A0-E314-4F12-A514-EC55A605A9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6EFF7D84-C080-4087-83BA-FE17199915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4835FE23-EF22-4895-BB2F-23474B2CF3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1C70CDF8-6F34-490E-BDB8-24F3F385EE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9B73CFF5-B9B7-4C48-B6D7-1EAAD15881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FD7F4814-3799-4318-9974-216235B198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80B082F1-DB8F-4A31-BB91-961091FA8E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75C4ED5A-A02C-4622-8D17-E59E518C7B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F60BE013-D982-41E5-8FA4-6B9D3243BD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9778C63C-0B29-4418-8110-1C4C93D328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9DDB5321-E40B-4634-81A4-CB288FC0B9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1444EB9F-2128-4B86-A306-A9DD093AA6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 xr:uid="{5B9C985C-7323-43FE-A228-0E00DAEF98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25191246-CA46-4D02-8D62-144FF889C4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1715297F-1A37-44E8-9BAA-1995255BB2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B146BD57-17B6-4963-9A76-BBBACDEF18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CF5B2061-177B-4F09-A010-22E6E20C68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D004841A-511A-48CE-B339-AC237C5B3F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" authorId="0" shapeId="0" xr:uid="{4639B6A2-F835-47E5-99DD-4F66708103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 xr:uid="{3DCB1504-3022-4F1A-8564-C9D6B195CA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" authorId="0" shapeId="0" xr:uid="{F69FBD5A-0FCC-43CD-B202-AA340DAA1C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" authorId="0" shapeId="0" xr:uid="{031DCFA3-0B4B-4966-ABC4-C452ECA545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" authorId="0" shapeId="0" xr:uid="{9AD2A14E-8C34-4E6E-9693-27515984FB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 shapeId="0" xr:uid="{136321D1-0030-4C6F-8389-30A2451590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" authorId="0" shapeId="0" xr:uid="{0FEF953F-225E-44AF-A93C-840ECE2AF7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" authorId="0" shapeId="0" xr:uid="{941BCF4F-EAE9-4F37-9D78-B056209AA1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" authorId="0" shapeId="0" xr:uid="{5F562323-4581-4A6E-ACB8-820DA33EBF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" authorId="0" shapeId="0" xr:uid="{AF0AFD08-14F9-4DAC-9592-3EAD68AA6E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" authorId="0" shapeId="0" xr:uid="{94199C44-4826-4EE8-8FA0-ADCD613232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" authorId="0" shapeId="0" xr:uid="{B4973B7F-C8EA-4CF6-885E-AA615138C6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" authorId="0" shapeId="0" xr:uid="{F4634C39-12C6-47BB-94EB-42D06895DE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" authorId="0" shapeId="0" xr:uid="{C4A42101-FDA3-43D6-B691-49721F8E04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" authorId="0" shapeId="0" xr:uid="{6B783513-CCFB-4761-98E4-562C875AE1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" authorId="0" shapeId="0" xr:uid="{1574D079-26A8-43E7-BD51-F8D6888898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" authorId="0" shapeId="0" xr:uid="{00D1CE5D-3DB3-4DAF-9CB8-D59D7DA496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" authorId="0" shapeId="0" xr:uid="{768CE1F9-022B-48D2-86C3-293C8DAFBA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" authorId="0" shapeId="0" xr:uid="{E0EB9BA5-5B9D-4364-B1DE-A2582F3D6B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5" authorId="0" shapeId="0" xr:uid="{27F8E50B-9DA0-4198-9BCA-119889EAB2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" authorId="0" shapeId="0" xr:uid="{57139F73-8A2F-4A67-8276-A27C4AFFB9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" authorId="0" shapeId="0" xr:uid="{E73B4E01-D9C4-4C54-8D46-2137983962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" authorId="0" shapeId="0" xr:uid="{CC75DB08-AC06-43E6-8169-28C6F351E8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9" authorId="0" shapeId="0" xr:uid="{5BFC8851-9DD0-4C61-B42D-44064C55C8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0" authorId="0" shapeId="0" xr:uid="{5D057CB8-AA5E-4B67-B703-AACAB4A900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" authorId="0" shapeId="0" xr:uid="{C7125FB3-D4DD-45E2-B082-2216276077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" authorId="0" shapeId="0" xr:uid="{FDC6051E-519C-4E6C-85F9-C7EB25E81F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" authorId="0" shapeId="0" xr:uid="{287609A2-538F-463A-BA1F-1DE0D3FE4C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" authorId="0" shapeId="0" xr:uid="{8D31DF74-AAE9-4677-9065-4CAAB6DCAC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" authorId="0" shapeId="0" xr:uid="{A15D42BB-CDC4-4C89-85B9-B10CBB6BA2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" authorId="0" shapeId="0" xr:uid="{CA25D371-152E-4F71-BC24-BD915706C0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7" authorId="0" shapeId="0" xr:uid="{BA7D64A2-62F8-4C01-B2C5-6FF49C6CAE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8" authorId="0" shapeId="0" xr:uid="{5220D1A9-7330-4A05-89D4-499114FA42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" authorId="0" shapeId="0" xr:uid="{13C260E2-825D-46E9-B472-57D9739618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" authorId="0" shapeId="0" xr:uid="{F6D10038-65B7-4241-AC3F-827EC19FE4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" authorId="0" shapeId="0" xr:uid="{EC8B573F-67E4-4063-962E-72A841E79C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" authorId="0" shapeId="0" xr:uid="{98FEEC2D-4DCE-4528-A831-D7E345F315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" authorId="0" shapeId="0" xr:uid="{8FDC5027-8714-4818-A8A3-59CACA05A8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" authorId="0" shapeId="0" xr:uid="{2B6FA6AE-0E59-43E0-8192-CE01B43FEA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5" authorId="0" shapeId="0" xr:uid="{E484154A-8AB8-49BD-BBEE-54EBBE46F0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6" authorId="0" shapeId="0" xr:uid="{FEB9E9BB-8815-4E39-BC13-C60242AD79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" authorId="0" shapeId="0" xr:uid="{335BA943-2374-4CA9-A29A-ECDA9D9237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" authorId="0" shapeId="0" xr:uid="{131A5C67-187F-44EB-8C3C-165FD9B36A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" authorId="0" shapeId="0" xr:uid="{1B1891E6-46DC-4FC5-AADB-D6A5FC07CB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" authorId="0" shapeId="0" xr:uid="{41ACF2F8-AB91-48A9-ABC5-98BDD5A954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1" authorId="0" shapeId="0" xr:uid="{7B9DC49C-B4C8-42D4-8303-FE05CF5D91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2" authorId="0" shapeId="0" xr:uid="{840AB839-EAAF-4B87-831D-0337E51A49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3" authorId="0" shapeId="0" xr:uid="{D64D5DBA-E9D2-4C8B-BCD4-20162A0E47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4" authorId="0" shapeId="0" xr:uid="{7384BCC4-7178-4154-BCDD-452F3CF90A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5" authorId="0" shapeId="0" xr:uid="{4B906555-C654-43C9-9F61-3B2BACADA0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6" authorId="0" shapeId="0" xr:uid="{FA889922-B4D1-4529-9C6F-394F6C6EA4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7" authorId="0" shapeId="0" xr:uid="{CAE867BA-F7A3-4AAF-B8E8-965798E0EB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8" authorId="0" shapeId="0" xr:uid="{A1950A9D-89E2-44BC-ACAD-871443B8F2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9" authorId="0" shapeId="0" xr:uid="{4987C934-DC86-4B84-8730-1B1EF4669A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0" authorId="0" shapeId="0" xr:uid="{7F29412A-E615-4880-BF93-1E131EB185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1" authorId="0" shapeId="0" xr:uid="{C16DAA19-13AD-489D-A6AF-CB9336C6CB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2" authorId="0" shapeId="0" xr:uid="{52B90B6A-62DE-4223-946E-42A1D858CA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3" authorId="0" shapeId="0" xr:uid="{0C035305-399E-4AB3-9045-696F6C4D42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4" authorId="0" shapeId="0" xr:uid="{A16E54BB-463E-49F1-BDC5-F484BE7767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5" authorId="0" shapeId="0" xr:uid="{74991A48-24D8-4B3E-9DBE-8A5E447947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stsc</author>
  </authors>
  <commentList>
    <comment ref="B5" authorId="0" shapeId="0" xr:uid="{E6A807B7-04B5-4929-9C10-588B34C5AA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F86761D0-D827-4BC8-A29F-CA47AE70EA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8D111A73-85CA-421D-A84C-5133DD7878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AF9C59F5-FCE7-4C36-A1A3-FF15A6F55E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C98CD9ED-B856-4613-B91D-0AB8341376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894B4646-20FF-427E-BF4F-4BB9FB5F34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A24AF0A3-405D-4935-82D9-BEBB43A3D0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B34358EB-7902-4894-9BDA-086D2171F7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CB66F169-CC30-442E-928B-E7600B1185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7A5477CF-FCD4-4111-9870-9C99847E09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9ED90332-68BD-464A-A28F-290357C161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A53B1FE4-6601-486B-90A0-B611E555DD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18306EC0-58A9-495B-94ED-0DAD32521B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D329A7F3-6E02-40E1-8094-C17F4B5D36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25EF5959-9D91-47FA-B892-839367F1C7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BB9F424D-E907-486B-A2F3-4B68807219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E2E718D5-6C78-42C8-9EF7-BCAFE46129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A5A4F878-64F1-4BE3-893D-95EF3D2F6B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BF05016B-56F7-4B6F-AD62-E563B84334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A6C9E1E7-1570-42E6-9690-7195070642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FFAE1134-112F-4705-8F04-2CBEEEC3C3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74AB5893-4FA9-4978-970D-06AE3FDB83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AE7464D9-42EB-41BE-A019-9E2D273DBF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6F80EFFC-B83A-459B-9173-8AC5C8C6CC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5BEC0E12-DDA8-4A9E-B4BA-3F1DE2025A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 xr:uid="{953B89D5-C60D-4491-9826-F3F95048FA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AAAAF7A0-6F1C-44D7-B183-901ADD84CF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9882DBF6-2828-4B34-B9DC-70953E0ED3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FA78D35C-5707-4A83-90A1-D11C240522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61E9FBAF-DFD9-4CEB-9E98-9222510A09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C85299F4-267C-4328-BCC9-3D5E743B0D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" authorId="0" shapeId="0" xr:uid="{6FB60B24-E4AF-481F-B587-0D1C9B94FE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 xr:uid="{2CEE31F8-C8DE-4871-8D6E-7B42BE2A60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" authorId="0" shapeId="0" xr:uid="{1AC08FB8-C0FF-417E-9AED-8E7D52A007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" authorId="0" shapeId="0" xr:uid="{74647FE3-9DA7-41F4-ADAC-850F8C9A97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" authorId="0" shapeId="0" xr:uid="{A0B83B18-D943-495C-A0C9-BD6F68D953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 shapeId="0" xr:uid="{0AE9AF73-DCC9-49B4-843B-889E45FC92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" authorId="0" shapeId="0" xr:uid="{64762E39-1C19-4BCE-A840-247FEA4C27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" authorId="0" shapeId="0" xr:uid="{23DEE0D0-FCA3-48EA-A411-8601042A3E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" authorId="0" shapeId="0" xr:uid="{7B7B9338-DD91-4D2E-A18E-8914CBC34B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" authorId="0" shapeId="0" xr:uid="{BC5F82BA-4EB0-49C9-924A-C156BA1010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" authorId="0" shapeId="0" xr:uid="{32882AA7-31E4-48EE-859F-1B7CB2F351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" authorId="0" shapeId="0" xr:uid="{16250D33-9935-4529-B6F8-A26999B946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" authorId="0" shapeId="0" xr:uid="{1B55A965-19C1-4FDE-BAF1-D0623D650A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" authorId="0" shapeId="0" xr:uid="{2A99DC38-B890-43C7-87E5-91A38F74A6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" authorId="0" shapeId="0" xr:uid="{27A98DE5-E709-485B-A5F8-C8BE9180BD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" authorId="0" shapeId="0" xr:uid="{8E81699E-4FE1-42D4-A3FE-8CF663DA47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" authorId="0" shapeId="0" xr:uid="{FAF9C7A5-7C3F-40EB-A86E-5C81074CB0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" authorId="0" shapeId="0" xr:uid="{863B2CDF-1531-4025-BA3C-CB37922173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" authorId="0" shapeId="0" xr:uid="{378A2C31-DF38-476D-BD77-B7AA4BD2C2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5" authorId="0" shapeId="0" xr:uid="{7AA47944-1F65-4B5C-BE0B-B3E7658E02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" authorId="0" shapeId="0" xr:uid="{996BBEDC-41E8-4015-83F7-791C3267CD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" authorId="0" shapeId="0" xr:uid="{599A7196-1B8E-475C-8909-64EA1EC5A8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" authorId="0" shapeId="0" xr:uid="{9675368F-350F-4121-928C-4A5295C265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9" authorId="0" shapeId="0" xr:uid="{614526C3-7C3D-4364-9C95-46FFDFC09D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0" authorId="0" shapeId="0" xr:uid="{B1C2DE96-3754-4562-B571-3CE6CB1974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" authorId="0" shapeId="0" xr:uid="{377BB227-330B-40D6-8D55-C0166D8AB7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" authorId="0" shapeId="0" xr:uid="{1C0523A5-DF07-461C-AB15-0CC54B508D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3" authorId="0" shapeId="0" xr:uid="{1638874A-6B25-4D9B-9B2C-120AAD211A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" authorId="0" shapeId="0" xr:uid="{85CB95AD-2764-400C-BA70-789CCEC99C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" authorId="0" shapeId="0" xr:uid="{B2CE972E-006C-4B1B-8AB0-33A24660DF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" authorId="0" shapeId="0" xr:uid="{3F584827-31C6-4CFE-8E73-4A0D8603A9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7" authorId="0" shapeId="0" xr:uid="{956C52B6-BF22-4197-A01C-86AB3872D8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8" authorId="0" shapeId="0" xr:uid="{E658FDBE-5C2C-461D-AC68-6DD24DBB94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" authorId="0" shapeId="0" xr:uid="{D1DD5500-CE7D-4431-91EC-CA02A81073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" authorId="0" shapeId="0" xr:uid="{E1C7CA85-6008-44FD-BB8E-DABE291C80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" authorId="0" shapeId="0" xr:uid="{BB42F8BE-BD3E-458E-A7B0-958D4E6F65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" authorId="0" shapeId="0" xr:uid="{AA13E489-1976-4E96-812B-83B79F9071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" authorId="0" shapeId="0" xr:uid="{92B58818-A804-4456-AAD0-148A2F11B6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" authorId="0" shapeId="0" xr:uid="{B0E3BB7B-868C-4A0E-991A-D997A708A0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5" authorId="0" shapeId="0" xr:uid="{6B2F2470-A981-471C-839C-CDDA2BECEA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6" authorId="0" shapeId="0" xr:uid="{DB8A46CD-1238-494A-B579-BD7F10476C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" authorId="0" shapeId="0" xr:uid="{5BAB10DC-E87A-4519-A427-7DEE76B7A4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" authorId="0" shapeId="0" xr:uid="{8AFC3D4C-9140-4E60-BF31-3DBF428B53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" authorId="0" shapeId="0" xr:uid="{E9614E1B-ACFE-4911-BAC4-D9CFA68D25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" authorId="0" shapeId="0" xr:uid="{1F0EDE9C-FA10-4553-BC8C-10AA31E43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1" authorId="0" shapeId="0" xr:uid="{1D1FABF7-B35E-4651-BB4D-D5ACB17DEE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2" authorId="0" shapeId="0" xr:uid="{330D14E1-9616-4901-A6EA-EA97DE5E6E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3" authorId="0" shapeId="0" xr:uid="{8D657F94-B233-4889-A8BC-F7AE40EA52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4" authorId="0" shapeId="0" xr:uid="{90FF572A-71BC-4223-BC9D-B21D815407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5" authorId="0" shapeId="0" xr:uid="{8519BDFC-D697-48B3-8AD3-A266822BB7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6" authorId="0" shapeId="0" xr:uid="{D476C70E-3429-4433-AE44-57AE15E40C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7" authorId="0" shapeId="0" xr:uid="{5FEE3272-B5D5-43BB-B02A-76757A0D60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8" authorId="0" shapeId="0" xr:uid="{3556F3CD-F582-4FA1-BCBA-35103847FC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9" authorId="0" shapeId="0" xr:uid="{E07DA651-C964-4DC4-8D4C-B5382A513B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0" authorId="0" shapeId="0" xr:uid="{E2F53C3F-6581-444E-822E-C59AEA2D31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1" authorId="0" shapeId="0" xr:uid="{A221F66B-59B1-4A9A-8EEA-7E3A2FE38F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2" authorId="0" shapeId="0" xr:uid="{AF080121-8814-4369-8940-F33BF2588A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3" authorId="0" shapeId="0" xr:uid="{1B8B5D30-445A-43AC-B756-E074CBB15C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4" authorId="0" shapeId="0" xr:uid="{9D690EC4-3E7F-4258-B00E-EEBE61EF79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5" authorId="0" shapeId="0" xr:uid="{7AC521ED-370C-49AD-A235-36B89467E2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stsc</author>
  </authors>
  <commentList>
    <comment ref="B5" authorId="0" shapeId="0" xr:uid="{838A85C6-7387-486B-BF2E-B770D0FFA2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6E030E35-1888-43C4-992C-2A60C2CB59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55781213-F59F-4C6E-8FA9-248998EAFE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EDF6E224-4982-45B0-BB31-8B5CA29CBB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83D6E101-D611-4A1B-92AB-71AEC3C2F4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BE3D6BB3-E6D3-4CBC-A182-801910536E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F3E8251F-EF79-42A5-B35B-C6C0AC7543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AAAD3453-28A7-40BA-8591-72962CCEAA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0CC7C996-02D7-43EC-8ED9-927B3228CE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4FB44AD4-4126-46CD-83DF-881ED62D90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stsc</author>
  </authors>
  <commentList>
    <comment ref="B5" authorId="0" shapeId="0" xr:uid="{F512A3D6-264C-406D-9FAF-EEFF6B8082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9218E7B6-CF4E-4D16-AEC6-749890F0A5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4FEA59DD-41CE-4B02-9ECA-3623A3D1E1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9E3505CA-B74B-40F6-ACD1-F9A18B493C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5DA8F90-D4BC-47CA-9907-E2EE2A4609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ACD6C2C1-C29E-466B-B376-213AE0FA6D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8CCC1EFB-D61E-43B1-897C-8310F65F91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2D952E96-3FEA-4127-8AB0-C12BB7B9B2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A580DE42-6F68-4481-8E3D-7608A237B9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12594B84-E129-4C6B-A65B-129EFD2747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stsc</author>
  </authors>
  <commentList>
    <comment ref="B5" authorId="0" shapeId="0" xr:uid="{802BDA9E-83F7-4204-9EC8-6017199C75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64DB87AC-5F8C-4CE2-AD0E-7042942156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82DD81EF-5845-4634-88E3-9EF812B890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C4BEF3D7-929B-4C52-BFD0-E32CCEE95B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E2CC3683-03D3-4261-9D51-A1326402D4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809E4A21-ACDA-4374-B0FB-FBFD5718AF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2A56519A-7A07-4B18-8B42-5B5CE828BE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A76D8F6C-39E9-461C-AE11-8B02DF27FB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7F64D2A8-C2D8-4CFF-943A-72AD62F2F2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6B51C6F3-ACF7-4391-8771-6784F83BC0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<sst xmlns="http://schemas.openxmlformats.org/spreadsheetml/2006/main" count="200" uniqueCount="92">
  <si>
    <t>Capacity in 1000</t>
  </si>
  <si>
    <t>MobXS</t>
  </si>
  <si>
    <t>MobXR</t>
  </si>
  <si>
    <t>MobXL</t>
  </si>
  <si>
    <t xml:space="preserve">MobXS </t>
  </si>
  <si>
    <t>New plant1</t>
  </si>
  <si>
    <t>Newplant 2</t>
  </si>
  <si>
    <t>Manufacturing plants</t>
  </si>
  <si>
    <t>MOBXR</t>
  </si>
  <si>
    <t>MOBXL</t>
  </si>
  <si>
    <t>Demand for mobile phones ( in 1000)</t>
  </si>
  <si>
    <t>Demand diversion matrix</t>
  </si>
  <si>
    <t>Mob XS</t>
  </si>
  <si>
    <t>Profit margin per phone( in 100$)</t>
  </si>
  <si>
    <t>Decision variables</t>
  </si>
  <si>
    <t>Total</t>
  </si>
  <si>
    <t>Decision variable:</t>
  </si>
  <si>
    <t>yes-1, No=0</t>
  </si>
  <si>
    <t>Plant selection</t>
  </si>
  <si>
    <t>&lt;=</t>
  </si>
  <si>
    <t>Capacity of plant</t>
  </si>
  <si>
    <t>Adjusted Demand with Diversion</t>
  </si>
  <si>
    <t>Total Profit</t>
  </si>
  <si>
    <t>Model Formulation</t>
  </si>
  <si>
    <t xml:space="preserve">Objective function to maximize the profit: </t>
  </si>
  <si>
    <t>Zi: The unsatisfied demand of mobile i in 1000 (According to Demand diversion matrix)</t>
  </si>
  <si>
    <t>Xj: Availability of plant (Binary variables 0/1)</t>
  </si>
  <si>
    <t>Constraints:</t>
  </si>
  <si>
    <t>X3 = 1</t>
  </si>
  <si>
    <t>Y12, Y13, Y21, Y23, Y31, Y32, Y34 = 0</t>
  </si>
  <si>
    <t>Y11 + Y14 + Y15 + Z1 = 3000</t>
  </si>
  <si>
    <t>Y22 + Y24 + Y25 - 0.3 Z1 + Z2 = 2000</t>
  </si>
  <si>
    <t xml:space="preserve">Y33 + Y35 - 0.2 Z1 - 0.15 Z2 + Z3 = 1500 </t>
  </si>
  <si>
    <t>Xj belongs to {0,1}</t>
  </si>
  <si>
    <t>X1 + X4 = 1</t>
  </si>
  <si>
    <t>X2 + X5 = 1</t>
  </si>
  <si>
    <t>Xj, Yj, Zj = integer</t>
  </si>
  <si>
    <t xml:space="preserve">Yj, Zj &gt;= 0 </t>
  </si>
  <si>
    <t>j: Index of manufacturing plants for j = {MobXR, MobXS, MobXL, New Plant 1, New Plant 2}</t>
  </si>
  <si>
    <t>i: Index of mobile phones I = {MobXR, MobXR, MobXL}</t>
  </si>
  <si>
    <t>ij : Index of mobile models i produced by plant j</t>
  </si>
  <si>
    <t>Indices:</t>
  </si>
  <si>
    <t xml:space="preserve">Decision Variables: </t>
  </si>
  <si>
    <t>Yij: The amount of mobile i produced from plant j (in 1000)</t>
  </si>
  <si>
    <t>Total production quantity</t>
  </si>
  <si>
    <t>Fixed Cost(in 10000)</t>
  </si>
  <si>
    <t xml:space="preserve">Either Plant MobXS or new Plant 1 can be active </t>
  </si>
  <si>
    <t xml:space="preserve">Either Plant MobXR or New Plant 2 can be active </t>
  </si>
  <si>
    <t>Plant MobXL</t>
  </si>
  <si>
    <t>The amount of mobiles produced by plants</t>
  </si>
  <si>
    <t>Integer constraint</t>
  </si>
  <si>
    <t>Non-negativity constraint</t>
  </si>
  <si>
    <t>Binary constraint</t>
  </si>
  <si>
    <t xml:space="preserve">Production must be less than the demand </t>
  </si>
  <si>
    <t>Constraints</t>
  </si>
  <si>
    <t>maximize [(( 2*Y11 + 2.6*Y14 +2.4*Y15 + 2.5* Y22 + 2.5*Y24 + 3*Y25 + 4*Y33 + 3.5*Y35)*100*1000) - (1500*X1 - 1600*X2 -1800*X3 - 2200*X4 - 2500*X5)*10000</t>
  </si>
  <si>
    <t>(1000s)</t>
  </si>
  <si>
    <t>$B$27</t>
  </si>
  <si>
    <t>Y11 &lt;= 1200 X1</t>
  </si>
  <si>
    <t>Y22 &lt;= 1000 X2</t>
  </si>
  <si>
    <t>Y33 &lt;= 1700 X3</t>
  </si>
  <si>
    <t>Y14 + Y24 &lt;= 860 X3</t>
  </si>
  <si>
    <t>Y15 + Y25 + Y35 &lt;= 1500 X3</t>
  </si>
  <si>
    <t xml:space="preserve">Production Capacity </t>
  </si>
  <si>
    <t xml:space="preserve">Either Plant 1 or MobXS active </t>
  </si>
  <si>
    <t>=</t>
  </si>
  <si>
    <t>Integer</t>
  </si>
  <si>
    <t>Binary</t>
  </si>
  <si>
    <t xml:space="preserve">Xj, Yj, Zj </t>
  </si>
  <si>
    <t>Yj, Zj</t>
  </si>
  <si>
    <t>&gt;=</t>
  </si>
  <si>
    <t xml:space="preserve">Xj </t>
  </si>
  <si>
    <t>Oneway analysis for Solver model in Model Optimization worksheet</t>
  </si>
  <si>
    <t>Data for chart</t>
  </si>
  <si>
    <t>$D$32</t>
  </si>
  <si>
    <t>Adjusted Demand for MobXL</t>
  </si>
  <si>
    <t>Adjusted Demand for MobXL (cell $D$32) values along side, output cell(s) along top</t>
  </si>
  <si>
    <t>Adjusted Demand for MobXR (cell $D$31) values along side, output cell(s) along top</t>
  </si>
  <si>
    <t>Adjusted Demand for MobXS (cell $D$30) values along side, output cell(s) along top</t>
  </si>
  <si>
    <t>Profit Margin for MobXS($100s) (cell $B$9) values along side, output cell(s) along top</t>
  </si>
  <si>
    <t>$D$11</t>
  </si>
  <si>
    <t>Profit Margin for MobXL($100s) in MobXL Plant (cell $D$11) values along side, output cell(s) along top</t>
  </si>
  <si>
    <t>$F$11</t>
  </si>
  <si>
    <t>Profit Margin for MobXL($100s) in NewPlant 2</t>
  </si>
  <si>
    <t>Profit Margin for MobXL($100s) in NewPlant 2 (cell $F$11) values along side, output cell(s) along top</t>
  </si>
  <si>
    <t/>
  </si>
  <si>
    <t>Input1</t>
  </si>
  <si>
    <t>Adjusted Demand Diversion for MobXS</t>
  </si>
  <si>
    <t>For MobXR</t>
  </si>
  <si>
    <t>For MobXL</t>
  </si>
  <si>
    <t xml:space="preserve">Either MobXR or Plant 2 </t>
  </si>
  <si>
    <t>Optimization of the plant capacity for profit maximization for a mobile manufacturing company (EMV)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</si>
</sst>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1" xfId="0" applyFont="1" applyFill="1" applyBorder="1"/>
    <xf numFmtId="44" fontId="0" fillId="0" borderId="5" xfId="2" applyFont="1" applyBorder="1"/>
    <xf numFmtId="44" fontId="0" fillId="0" borderId="8" xfId="2" applyFont="1" applyBorder="1"/>
    <xf numFmtId="43" fontId="0" fillId="0" borderId="0" xfId="1" applyFont="1" applyBorder="1"/>
    <xf numFmtId="43" fontId="0" fillId="0" borderId="7" xfId="1" applyFont="1" applyBorder="1"/>
    <xf numFmtId="0" fontId="3" fillId="4" borderId="0" xfId="0" applyFont="1" applyFill="1" applyBorder="1"/>
    <xf numFmtId="0" fontId="5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/>
    <xf numFmtId="49" fontId="0" fillId="0" borderId="0" xfId="0" applyNumberFormat="1"/>
    <xf numFmtId="0" fontId="6" fillId="0" borderId="0" xfId="0" applyFont="1"/>
    <xf numFmtId="0" fontId="3" fillId="2" borderId="12" xfId="0" applyFont="1" applyFill="1" applyBorder="1"/>
    <xf numFmtId="0" fontId="4" fillId="0" borderId="12" xfId="0" applyFont="1" applyBorder="1"/>
    <xf numFmtId="0" fontId="0" fillId="3" borderId="12" xfId="0" applyFill="1" applyBorder="1"/>
    <xf numFmtId="43" fontId="0" fillId="0" borderId="12" xfId="1" applyFont="1" applyBorder="1"/>
    <xf numFmtId="44" fontId="0" fillId="0" borderId="12" xfId="2" applyFont="1" applyBorder="1"/>
    <xf numFmtId="0" fontId="0" fillId="0" borderId="12" xfId="0" applyBorder="1" applyAlignment="1">
      <alignment horizontal="center"/>
    </xf>
    <xf numFmtId="0" fontId="0" fillId="5" borderId="12" xfId="0" applyFont="1" applyFill="1" applyBorder="1"/>
    <xf numFmtId="43" fontId="0" fillId="5" borderId="12" xfId="0" applyNumberFormat="1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ont="1" applyBorder="1"/>
    <xf numFmtId="0" fontId="0" fillId="0" borderId="16" xfId="0" applyBorder="1"/>
    <xf numFmtId="0" fontId="0" fillId="0" borderId="0" xfId="0"/>
    <xf numFmtId="0" fontId="0" fillId="0" borderId="17" xfId="0" applyBorder="1"/>
    <xf numFmtId="0" fontId="0" fillId="0" borderId="18" xfId="0" applyBorder="1"/>
    <xf numFmtId="0" fontId="6" fillId="0" borderId="0" xfId="0" applyFont="1"/>
    <xf numFmtId="0" fontId="0" fillId="0" borderId="19" xfId="0" applyBorder="1"/>
    <xf numFmtId="0" fontId="3" fillId="2" borderId="20" xfId="0" applyFont="1" applyFill="1" applyBorder="1"/>
    <xf numFmtId="0" fontId="3" fillId="2" borderId="21" xfId="0" applyFont="1" applyFill="1" applyBorder="1"/>
    <xf numFmtId="0" fontId="0" fillId="0" borderId="22" xfId="0" applyBorder="1"/>
    <xf numFmtId="0" fontId="2" fillId="0" borderId="23" xfId="0" applyFont="1" applyBorder="1"/>
    <xf numFmtId="0" fontId="2" fillId="0" borderId="24" xfId="0" applyFont="1" applyBorder="1"/>
    <xf numFmtId="0" fontId="0" fillId="0" borderId="2" xfId="0" applyBorder="1"/>
    <xf numFmtId="0" fontId="0" fillId="0" borderId="0" xfId="0"/>
    <xf numFmtId="0" fontId="3" fillId="0" borderId="0" xfId="0" applyFont="1"/>
    <xf numFmtId="0" fontId="0" fillId="0" borderId="0" xfId="0" applyNumberFormat="1"/>
    <xf numFmtId="0" fontId="0" fillId="0" borderId="0" xfId="0" applyAlignment="1">
      <alignment horizontal="right" textRotation="90"/>
    </xf>
    <xf numFmtId="0" fontId="0" fillId="2" borderId="0" xfId="0" applyFill="1" applyAlignment="1">
      <alignment horizontal="right" textRotation="90"/>
    </xf>
    <xf numFmtId="0" fontId="7" fillId="0" borderId="0" xfId="0" applyFont="1"/>
    <xf numFmtId="43" fontId="0" fillId="0" borderId="25" xfId="0" applyNumberFormat="1" applyBorder="1"/>
    <xf numFmtId="43" fontId="0" fillId="0" borderId="26" xfId="0" applyNumberFormat="1" applyBorder="1"/>
    <xf numFmtId="43" fontId="0" fillId="0" borderId="27" xfId="0" applyNumberFormat="1" applyBorder="1"/>
    <xf numFmtId="0" fontId="0" fillId="0" borderId="12" xfId="0" applyFill="1" applyBorder="1"/>
    <xf numFmtId="43" fontId="0" fillId="0" borderId="0" xfId="0" applyNumberFormat="1"/>
    <xf numFmtId="44" fontId="0" fillId="0" borderId="0" xfId="0" applyNumberFormat="1"/>
    <xf numFmtId="0" fontId="6" fillId="0" borderId="0" xfId="0" applyFont="1"/>
    <xf numFmtId="0" fontId="0" fillId="0" borderId="0" xfId="0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/>
    <xf numFmtId="0" fontId="3" fillId="2" borderId="1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9" fillId="2" borderId="0" xfId="0" applyFont="1" applyFill="1" applyBorder="1"/>
    <xf numFmtId="0" fontId="9" fillId="2" borderId="5" xfId="0" applyFont="1" applyFill="1" applyBorder="1"/>
    <xf numFmtId="0" fontId="3" fillId="0" borderId="4" xfId="0" applyFont="1" applyBorder="1"/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25" xfId="0" applyBorder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Sensitivity_Demand_XL!$K$1</c:f>
          <c:strCache>
            <c:ptCount val="1"/>
            <c:pt idx="0">
              <c:v>Sensitivity of $B$27 to Adjusted Demand for MobXL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Sensitivity_Demand_XL!$A$5:$A$95</c:f>
              <c:numCache>
                <c:formatCode>General</c:formatCode>
                <c:ptCount val="9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  <c:pt idx="81">
                  <c:v>4550</c:v>
                </c:pt>
                <c:pt idx="82">
                  <c:v>4600</c:v>
                </c:pt>
                <c:pt idx="83">
                  <c:v>4650</c:v>
                </c:pt>
                <c:pt idx="84">
                  <c:v>4700</c:v>
                </c:pt>
                <c:pt idx="85">
                  <c:v>4750</c:v>
                </c:pt>
                <c:pt idx="86">
                  <c:v>4800</c:v>
                </c:pt>
                <c:pt idx="87">
                  <c:v>4850</c:v>
                </c:pt>
                <c:pt idx="88">
                  <c:v>4900</c:v>
                </c:pt>
                <c:pt idx="89">
                  <c:v>4950</c:v>
                </c:pt>
                <c:pt idx="90">
                  <c:v>5000</c:v>
                </c:pt>
              </c:numCache>
            </c:numRef>
          </c:cat>
          <c:val>
            <c:numRef>
              <c:f>Sensitivity_Demand_XL!$K$5:$K$95</c:f>
              <c:numCache>
                <c:formatCode>General</c:formatCode>
                <c:ptCount val="91"/>
                <c:pt idx="0">
                  <c:v>1035000000</c:v>
                </c:pt>
                <c:pt idx="1">
                  <c:v>1055000000</c:v>
                </c:pt>
                <c:pt idx="2">
                  <c:v>1075000000</c:v>
                </c:pt>
                <c:pt idx="3">
                  <c:v>1095000000</c:v>
                </c:pt>
                <c:pt idx="4">
                  <c:v>1115000000</c:v>
                </c:pt>
                <c:pt idx="5">
                  <c:v>1135000000</c:v>
                </c:pt>
                <c:pt idx="6">
                  <c:v>1155000000</c:v>
                </c:pt>
                <c:pt idx="7">
                  <c:v>1175000000</c:v>
                </c:pt>
                <c:pt idx="8">
                  <c:v>1181000000</c:v>
                </c:pt>
                <c:pt idx="9">
                  <c:v>1183500000</c:v>
                </c:pt>
                <c:pt idx="10">
                  <c:v>1186000000</c:v>
                </c:pt>
                <c:pt idx="11">
                  <c:v>1188500000</c:v>
                </c:pt>
                <c:pt idx="12">
                  <c:v>1191000000</c:v>
                </c:pt>
                <c:pt idx="13">
                  <c:v>1193500000</c:v>
                </c:pt>
                <c:pt idx="14">
                  <c:v>1196000000</c:v>
                </c:pt>
                <c:pt idx="15">
                  <c:v>1198500000</c:v>
                </c:pt>
                <c:pt idx="16">
                  <c:v>1201000000</c:v>
                </c:pt>
                <c:pt idx="17">
                  <c:v>1203500000</c:v>
                </c:pt>
                <c:pt idx="18">
                  <c:v>1206000000</c:v>
                </c:pt>
                <c:pt idx="19">
                  <c:v>1208500000</c:v>
                </c:pt>
                <c:pt idx="20">
                  <c:v>1211000000</c:v>
                </c:pt>
                <c:pt idx="21">
                  <c:v>1213500000</c:v>
                </c:pt>
                <c:pt idx="22">
                  <c:v>1216000000</c:v>
                </c:pt>
                <c:pt idx="23">
                  <c:v>1218500000</c:v>
                </c:pt>
                <c:pt idx="24">
                  <c:v>1221000000</c:v>
                </c:pt>
                <c:pt idx="25">
                  <c:v>1223500000</c:v>
                </c:pt>
                <c:pt idx="26">
                  <c:v>1226000000</c:v>
                </c:pt>
                <c:pt idx="27">
                  <c:v>1228500000</c:v>
                </c:pt>
                <c:pt idx="28">
                  <c:v>1231000000</c:v>
                </c:pt>
                <c:pt idx="29">
                  <c:v>1233500000</c:v>
                </c:pt>
                <c:pt idx="30">
                  <c:v>1236000000</c:v>
                </c:pt>
                <c:pt idx="31">
                  <c:v>1238500000</c:v>
                </c:pt>
                <c:pt idx="32">
                  <c:v>1241000000</c:v>
                </c:pt>
                <c:pt idx="33">
                  <c:v>1243500000</c:v>
                </c:pt>
                <c:pt idx="34">
                  <c:v>1246000000</c:v>
                </c:pt>
                <c:pt idx="35">
                  <c:v>1248500000</c:v>
                </c:pt>
                <c:pt idx="36">
                  <c:v>1251000000</c:v>
                </c:pt>
                <c:pt idx="37">
                  <c:v>1253500000</c:v>
                </c:pt>
                <c:pt idx="38">
                  <c:v>1256000000</c:v>
                </c:pt>
                <c:pt idx="39">
                  <c:v>1258500000</c:v>
                </c:pt>
                <c:pt idx="40">
                  <c:v>1261000000</c:v>
                </c:pt>
                <c:pt idx="41">
                  <c:v>1263500000</c:v>
                </c:pt>
                <c:pt idx="42">
                  <c:v>1264000000</c:v>
                </c:pt>
                <c:pt idx="43">
                  <c:v>1264000000</c:v>
                </c:pt>
                <c:pt idx="44">
                  <c:v>1264000000</c:v>
                </c:pt>
                <c:pt idx="45">
                  <c:v>1264000000</c:v>
                </c:pt>
                <c:pt idx="46">
                  <c:v>1264000000</c:v>
                </c:pt>
                <c:pt idx="47">
                  <c:v>1264000000</c:v>
                </c:pt>
                <c:pt idx="48">
                  <c:v>1264000000</c:v>
                </c:pt>
                <c:pt idx="49">
                  <c:v>1264000000</c:v>
                </c:pt>
                <c:pt idx="50">
                  <c:v>1264000000</c:v>
                </c:pt>
                <c:pt idx="51">
                  <c:v>1264000000</c:v>
                </c:pt>
                <c:pt idx="52">
                  <c:v>1264000000</c:v>
                </c:pt>
                <c:pt idx="53">
                  <c:v>1264000000</c:v>
                </c:pt>
                <c:pt idx="54">
                  <c:v>1264000000</c:v>
                </c:pt>
                <c:pt idx="55">
                  <c:v>1264000000</c:v>
                </c:pt>
                <c:pt idx="56">
                  <c:v>1264000000</c:v>
                </c:pt>
                <c:pt idx="57">
                  <c:v>1264000000</c:v>
                </c:pt>
                <c:pt idx="58">
                  <c:v>1264000000</c:v>
                </c:pt>
                <c:pt idx="59">
                  <c:v>1264000000</c:v>
                </c:pt>
                <c:pt idx="60">
                  <c:v>1264000000</c:v>
                </c:pt>
                <c:pt idx="61">
                  <c:v>1264000000</c:v>
                </c:pt>
                <c:pt idx="62">
                  <c:v>1264000000</c:v>
                </c:pt>
                <c:pt idx="63">
                  <c:v>1264000000</c:v>
                </c:pt>
                <c:pt idx="64">
                  <c:v>1264000000</c:v>
                </c:pt>
                <c:pt idx="65">
                  <c:v>1264000000</c:v>
                </c:pt>
                <c:pt idx="66">
                  <c:v>1264000000</c:v>
                </c:pt>
                <c:pt idx="67">
                  <c:v>1264000000</c:v>
                </c:pt>
                <c:pt idx="68">
                  <c:v>1264000000</c:v>
                </c:pt>
                <c:pt idx="69">
                  <c:v>1264000000</c:v>
                </c:pt>
                <c:pt idx="70">
                  <c:v>1264000000</c:v>
                </c:pt>
                <c:pt idx="71">
                  <c:v>1264000000</c:v>
                </c:pt>
                <c:pt idx="72">
                  <c:v>1264000000</c:v>
                </c:pt>
                <c:pt idx="73">
                  <c:v>1264000000</c:v>
                </c:pt>
                <c:pt idx="74">
                  <c:v>1264000000</c:v>
                </c:pt>
                <c:pt idx="75">
                  <c:v>1264000000</c:v>
                </c:pt>
                <c:pt idx="76">
                  <c:v>1264000000</c:v>
                </c:pt>
                <c:pt idx="77">
                  <c:v>1264000000</c:v>
                </c:pt>
                <c:pt idx="78">
                  <c:v>1264000000</c:v>
                </c:pt>
                <c:pt idx="79">
                  <c:v>1264000000</c:v>
                </c:pt>
                <c:pt idx="80">
                  <c:v>1264000000</c:v>
                </c:pt>
                <c:pt idx="81">
                  <c:v>1264000000</c:v>
                </c:pt>
                <c:pt idx="82">
                  <c:v>1264000000</c:v>
                </c:pt>
                <c:pt idx="83">
                  <c:v>1264000000</c:v>
                </c:pt>
                <c:pt idx="84">
                  <c:v>1264000000</c:v>
                </c:pt>
                <c:pt idx="85">
                  <c:v>1264000000</c:v>
                </c:pt>
                <c:pt idx="86">
                  <c:v>1264000000</c:v>
                </c:pt>
                <c:pt idx="87">
                  <c:v>1264000000</c:v>
                </c:pt>
                <c:pt idx="88">
                  <c:v>1264000000</c:v>
                </c:pt>
                <c:pt idx="89">
                  <c:v>1264000000</c:v>
                </c:pt>
                <c:pt idx="90">
                  <c:v>1264000000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B-40D8-AE4E-F5FA58228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802015"/>
        <c:axId val="680336191"/>
      </c:lineChart>
      <c:catAx>
        <c:axId val="70980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Adjusted Demand for MobXL ($D$32)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336191"/>
        <c:crosses val="autoZero"/>
        <c:auto val="1"/>
        <c:lblAlgn val="ctr"/>
        <c:lblOffset val="100"/>
        <c:noMultiLvlLbl val="0"/>
      </c:catAx>
      <c:valAx>
        <c:axId val="680336191"/>
        <c:scaling>
          <c:orientation val="minMax"/>
          <c:min val="100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980201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Sensitivity_Demand_XR!$K$1</c:f>
          <c:strCache>
            <c:ptCount val="1"/>
            <c:pt idx="0">
              <c:v>Sensitivity of $B$27 to Adjusted Demand for MobXR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Sensitivity_Demand_XR!$A$5:$A$95</c:f>
              <c:numCache>
                <c:formatCode>General</c:formatCode>
                <c:ptCount val="9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  <c:pt idx="81">
                  <c:v>4550</c:v>
                </c:pt>
                <c:pt idx="82">
                  <c:v>4600</c:v>
                </c:pt>
                <c:pt idx="83">
                  <c:v>4650</c:v>
                </c:pt>
                <c:pt idx="84">
                  <c:v>4700</c:v>
                </c:pt>
                <c:pt idx="85">
                  <c:v>4750</c:v>
                </c:pt>
                <c:pt idx="86">
                  <c:v>4800</c:v>
                </c:pt>
                <c:pt idx="87">
                  <c:v>4850</c:v>
                </c:pt>
                <c:pt idx="88">
                  <c:v>4900</c:v>
                </c:pt>
                <c:pt idx="89">
                  <c:v>4950</c:v>
                </c:pt>
                <c:pt idx="90">
                  <c:v>5000</c:v>
                </c:pt>
              </c:numCache>
            </c:numRef>
          </c:cat>
          <c:val>
            <c:numRef>
              <c:f>Sensitivity_Demand_XR!$K$5:$K$95</c:f>
              <c:numCache>
                <c:formatCode>General</c:formatCode>
                <c:ptCount val="91"/>
                <c:pt idx="0">
                  <c:v>1240850000</c:v>
                </c:pt>
                <c:pt idx="1">
                  <c:v>1240850000</c:v>
                </c:pt>
                <c:pt idx="2">
                  <c:v>1240850000</c:v>
                </c:pt>
                <c:pt idx="3">
                  <c:v>1240850000</c:v>
                </c:pt>
                <c:pt idx="4">
                  <c:v>1240850000</c:v>
                </c:pt>
                <c:pt idx="5">
                  <c:v>1240850000</c:v>
                </c:pt>
                <c:pt idx="6">
                  <c:v>1240850000</c:v>
                </c:pt>
                <c:pt idx="7">
                  <c:v>1240850000</c:v>
                </c:pt>
                <c:pt idx="8">
                  <c:v>1240850000</c:v>
                </c:pt>
                <c:pt idx="9">
                  <c:v>1240850000</c:v>
                </c:pt>
                <c:pt idx="10">
                  <c:v>1240850000</c:v>
                </c:pt>
                <c:pt idx="11">
                  <c:v>1240850000</c:v>
                </c:pt>
                <c:pt idx="12">
                  <c:v>1240850000</c:v>
                </c:pt>
                <c:pt idx="13">
                  <c:v>1240850000</c:v>
                </c:pt>
                <c:pt idx="14">
                  <c:v>1240850000</c:v>
                </c:pt>
                <c:pt idx="15">
                  <c:v>1240850000</c:v>
                </c:pt>
                <c:pt idx="16">
                  <c:v>1240850000</c:v>
                </c:pt>
                <c:pt idx="17">
                  <c:v>1240850000</c:v>
                </c:pt>
                <c:pt idx="18">
                  <c:v>1240850000</c:v>
                </c:pt>
                <c:pt idx="19">
                  <c:v>1240850000</c:v>
                </c:pt>
                <c:pt idx="20">
                  <c:v>1240850000</c:v>
                </c:pt>
                <c:pt idx="21">
                  <c:v>1240850000</c:v>
                </c:pt>
                <c:pt idx="22">
                  <c:v>1240850000</c:v>
                </c:pt>
                <c:pt idx="23">
                  <c:v>1240850000</c:v>
                </c:pt>
                <c:pt idx="24">
                  <c:v>1240850000</c:v>
                </c:pt>
                <c:pt idx="25">
                  <c:v>1240850000</c:v>
                </c:pt>
                <c:pt idx="26">
                  <c:v>1240850000</c:v>
                </c:pt>
                <c:pt idx="27">
                  <c:v>1240850000</c:v>
                </c:pt>
                <c:pt idx="28">
                  <c:v>1240850000</c:v>
                </c:pt>
                <c:pt idx="29">
                  <c:v>1240850000</c:v>
                </c:pt>
                <c:pt idx="30">
                  <c:v>1240850000</c:v>
                </c:pt>
                <c:pt idx="31">
                  <c:v>1240850000</c:v>
                </c:pt>
                <c:pt idx="32">
                  <c:v>1240850000</c:v>
                </c:pt>
                <c:pt idx="33">
                  <c:v>1240850000</c:v>
                </c:pt>
                <c:pt idx="34">
                  <c:v>1240850000</c:v>
                </c:pt>
                <c:pt idx="35">
                  <c:v>1240850000</c:v>
                </c:pt>
                <c:pt idx="36">
                  <c:v>1240850000</c:v>
                </c:pt>
                <c:pt idx="37">
                  <c:v>1240850000</c:v>
                </c:pt>
                <c:pt idx="38">
                  <c:v>1240850000</c:v>
                </c:pt>
                <c:pt idx="39">
                  <c:v>1240850000</c:v>
                </c:pt>
                <c:pt idx="40">
                  <c:v>1240850000</c:v>
                </c:pt>
                <c:pt idx="41">
                  <c:v>1240850000</c:v>
                </c:pt>
                <c:pt idx="42">
                  <c:v>1240850000</c:v>
                </c:pt>
                <c:pt idx="43">
                  <c:v>1240850000</c:v>
                </c:pt>
                <c:pt idx="44">
                  <c:v>1240850000</c:v>
                </c:pt>
                <c:pt idx="45">
                  <c:v>1240850000</c:v>
                </c:pt>
                <c:pt idx="46">
                  <c:v>1240850000</c:v>
                </c:pt>
                <c:pt idx="47">
                  <c:v>1240850000</c:v>
                </c:pt>
                <c:pt idx="48">
                  <c:v>1240850000</c:v>
                </c:pt>
                <c:pt idx="49">
                  <c:v>1240850000</c:v>
                </c:pt>
                <c:pt idx="50">
                  <c:v>1240850000</c:v>
                </c:pt>
                <c:pt idx="51">
                  <c:v>1240850000</c:v>
                </c:pt>
                <c:pt idx="52">
                  <c:v>1240850000</c:v>
                </c:pt>
                <c:pt idx="53">
                  <c:v>1240850000</c:v>
                </c:pt>
                <c:pt idx="54">
                  <c:v>1240850000</c:v>
                </c:pt>
                <c:pt idx="55">
                  <c:v>1240850000</c:v>
                </c:pt>
                <c:pt idx="56">
                  <c:v>1240850000</c:v>
                </c:pt>
                <c:pt idx="57">
                  <c:v>1240850000</c:v>
                </c:pt>
                <c:pt idx="58">
                  <c:v>1240850000</c:v>
                </c:pt>
                <c:pt idx="59">
                  <c:v>1240850000</c:v>
                </c:pt>
                <c:pt idx="60">
                  <c:v>1240850000</c:v>
                </c:pt>
                <c:pt idx="61">
                  <c:v>1240850000</c:v>
                </c:pt>
                <c:pt idx="62">
                  <c:v>1240850000</c:v>
                </c:pt>
                <c:pt idx="63">
                  <c:v>1240850000</c:v>
                </c:pt>
                <c:pt idx="64">
                  <c:v>1240850000</c:v>
                </c:pt>
                <c:pt idx="65">
                  <c:v>1240850000</c:v>
                </c:pt>
                <c:pt idx="66">
                  <c:v>1240850000</c:v>
                </c:pt>
                <c:pt idx="67">
                  <c:v>1240850000</c:v>
                </c:pt>
                <c:pt idx="68">
                  <c:v>1240850000</c:v>
                </c:pt>
                <c:pt idx="69">
                  <c:v>1240850000</c:v>
                </c:pt>
                <c:pt idx="70">
                  <c:v>1240850000</c:v>
                </c:pt>
                <c:pt idx="71">
                  <c:v>1240850000</c:v>
                </c:pt>
                <c:pt idx="72">
                  <c:v>1240850000</c:v>
                </c:pt>
                <c:pt idx="73">
                  <c:v>1240850000</c:v>
                </c:pt>
                <c:pt idx="74">
                  <c:v>1240850000</c:v>
                </c:pt>
                <c:pt idx="75">
                  <c:v>1240850000</c:v>
                </c:pt>
                <c:pt idx="76">
                  <c:v>1240850000</c:v>
                </c:pt>
                <c:pt idx="77">
                  <c:v>1240850000</c:v>
                </c:pt>
                <c:pt idx="78">
                  <c:v>1240850000</c:v>
                </c:pt>
                <c:pt idx="79">
                  <c:v>1240850000</c:v>
                </c:pt>
                <c:pt idx="80">
                  <c:v>1240850000</c:v>
                </c:pt>
                <c:pt idx="81">
                  <c:v>1240850000</c:v>
                </c:pt>
                <c:pt idx="82">
                  <c:v>1240850000</c:v>
                </c:pt>
                <c:pt idx="83">
                  <c:v>1240850000</c:v>
                </c:pt>
                <c:pt idx="84">
                  <c:v>1240850000</c:v>
                </c:pt>
                <c:pt idx="85">
                  <c:v>1240850000</c:v>
                </c:pt>
                <c:pt idx="86">
                  <c:v>1240850000</c:v>
                </c:pt>
                <c:pt idx="87">
                  <c:v>1240850000</c:v>
                </c:pt>
                <c:pt idx="88">
                  <c:v>1240850000</c:v>
                </c:pt>
                <c:pt idx="89">
                  <c:v>1240850000</c:v>
                </c:pt>
                <c:pt idx="90">
                  <c:v>1240850000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E-433C-BEDF-EEE65F464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332047"/>
        <c:axId val="494077727"/>
      </c:lineChart>
      <c:catAx>
        <c:axId val="499332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Adjusted Demand for MobXR ($D$31)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077727"/>
        <c:crosses val="autoZero"/>
        <c:auto val="1"/>
        <c:lblAlgn val="ctr"/>
        <c:lblOffset val="100"/>
        <c:noMultiLvlLbl val="0"/>
      </c:catAx>
      <c:valAx>
        <c:axId val="4940777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33204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Sensitivity_Demand_XS!$K$1</c:f>
          <c:strCache>
            <c:ptCount val="1"/>
            <c:pt idx="0">
              <c:v>Sensitivity of $B$27 to Adjusted Demand for MobXS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Sensitivity_Demand_XS!$A$5:$A$95</c:f>
              <c:numCache>
                <c:formatCode>General</c:formatCode>
                <c:ptCount val="9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  <c:pt idx="81">
                  <c:v>4550</c:v>
                </c:pt>
                <c:pt idx="82">
                  <c:v>4600</c:v>
                </c:pt>
                <c:pt idx="83">
                  <c:v>4650</c:v>
                </c:pt>
                <c:pt idx="84">
                  <c:v>4700</c:v>
                </c:pt>
                <c:pt idx="85">
                  <c:v>4750</c:v>
                </c:pt>
                <c:pt idx="86">
                  <c:v>4800</c:v>
                </c:pt>
                <c:pt idx="87">
                  <c:v>4850</c:v>
                </c:pt>
                <c:pt idx="88">
                  <c:v>4900</c:v>
                </c:pt>
                <c:pt idx="89">
                  <c:v>4950</c:v>
                </c:pt>
                <c:pt idx="90">
                  <c:v>5000</c:v>
                </c:pt>
              </c:numCache>
            </c:numRef>
          </c:cat>
          <c:val>
            <c:numRef>
              <c:f>Sensitivity_Demand_XS!$K$5:$K$95</c:f>
              <c:numCache>
                <c:formatCode>General</c:formatCode>
                <c:ptCount val="91"/>
                <c:pt idx="0">
                  <c:v>1230850000</c:v>
                </c:pt>
                <c:pt idx="1">
                  <c:v>1231350000</c:v>
                </c:pt>
                <c:pt idx="2">
                  <c:v>1231850000</c:v>
                </c:pt>
                <c:pt idx="3">
                  <c:v>1232350000</c:v>
                </c:pt>
                <c:pt idx="4">
                  <c:v>1232850000</c:v>
                </c:pt>
                <c:pt idx="5">
                  <c:v>1233350000</c:v>
                </c:pt>
                <c:pt idx="6">
                  <c:v>1233850000</c:v>
                </c:pt>
                <c:pt idx="7">
                  <c:v>1234350000</c:v>
                </c:pt>
                <c:pt idx="8">
                  <c:v>1234850000</c:v>
                </c:pt>
                <c:pt idx="9">
                  <c:v>1235350000</c:v>
                </c:pt>
                <c:pt idx="10">
                  <c:v>1235850000</c:v>
                </c:pt>
                <c:pt idx="11">
                  <c:v>1236350000</c:v>
                </c:pt>
                <c:pt idx="12">
                  <c:v>1236850000</c:v>
                </c:pt>
                <c:pt idx="13">
                  <c:v>1237350000</c:v>
                </c:pt>
                <c:pt idx="14">
                  <c:v>1237850000</c:v>
                </c:pt>
                <c:pt idx="15">
                  <c:v>1238350000</c:v>
                </c:pt>
                <c:pt idx="16">
                  <c:v>1238850000</c:v>
                </c:pt>
                <c:pt idx="17">
                  <c:v>1239350000</c:v>
                </c:pt>
                <c:pt idx="18">
                  <c:v>1239850000</c:v>
                </c:pt>
                <c:pt idx="19">
                  <c:v>1240350000</c:v>
                </c:pt>
                <c:pt idx="20">
                  <c:v>1240850000</c:v>
                </c:pt>
                <c:pt idx="21">
                  <c:v>1240850000</c:v>
                </c:pt>
                <c:pt idx="22">
                  <c:v>1240850000</c:v>
                </c:pt>
                <c:pt idx="23">
                  <c:v>1240850000</c:v>
                </c:pt>
                <c:pt idx="24">
                  <c:v>1240850000</c:v>
                </c:pt>
                <c:pt idx="25">
                  <c:v>1240850000</c:v>
                </c:pt>
                <c:pt idx="26">
                  <c:v>1240850000</c:v>
                </c:pt>
                <c:pt idx="27">
                  <c:v>1240850000</c:v>
                </c:pt>
                <c:pt idx="28">
                  <c:v>1240850000</c:v>
                </c:pt>
                <c:pt idx="29">
                  <c:v>1240850000</c:v>
                </c:pt>
                <c:pt idx="30">
                  <c:v>1240850000</c:v>
                </c:pt>
                <c:pt idx="31">
                  <c:v>1240850000</c:v>
                </c:pt>
                <c:pt idx="32">
                  <c:v>1240850000</c:v>
                </c:pt>
                <c:pt idx="33">
                  <c:v>1240850000</c:v>
                </c:pt>
                <c:pt idx="34">
                  <c:v>1240850000</c:v>
                </c:pt>
                <c:pt idx="35">
                  <c:v>1240850000</c:v>
                </c:pt>
                <c:pt idx="36">
                  <c:v>1240850000</c:v>
                </c:pt>
                <c:pt idx="37">
                  <c:v>1240850000</c:v>
                </c:pt>
                <c:pt idx="38">
                  <c:v>1240850000</c:v>
                </c:pt>
                <c:pt idx="39">
                  <c:v>1240850000</c:v>
                </c:pt>
                <c:pt idx="40">
                  <c:v>1240850000</c:v>
                </c:pt>
                <c:pt idx="41">
                  <c:v>1240850000</c:v>
                </c:pt>
                <c:pt idx="42">
                  <c:v>1240850000</c:v>
                </c:pt>
                <c:pt idx="43">
                  <c:v>1240850000</c:v>
                </c:pt>
                <c:pt idx="44">
                  <c:v>1240850000</c:v>
                </c:pt>
                <c:pt idx="45">
                  <c:v>1240850000</c:v>
                </c:pt>
                <c:pt idx="46">
                  <c:v>1240850000</c:v>
                </c:pt>
                <c:pt idx="47">
                  <c:v>1240850000</c:v>
                </c:pt>
                <c:pt idx="48">
                  <c:v>1240850000</c:v>
                </c:pt>
                <c:pt idx="49">
                  <c:v>1240850000</c:v>
                </c:pt>
                <c:pt idx="50">
                  <c:v>1240850000</c:v>
                </c:pt>
                <c:pt idx="51">
                  <c:v>1240850000</c:v>
                </c:pt>
                <c:pt idx="52">
                  <c:v>1240850000</c:v>
                </c:pt>
                <c:pt idx="53">
                  <c:v>1240850000</c:v>
                </c:pt>
                <c:pt idx="54">
                  <c:v>1240850000</c:v>
                </c:pt>
                <c:pt idx="55">
                  <c:v>1240850000</c:v>
                </c:pt>
                <c:pt idx="56">
                  <c:v>1240850000</c:v>
                </c:pt>
                <c:pt idx="57">
                  <c:v>1240850000</c:v>
                </c:pt>
                <c:pt idx="58">
                  <c:v>1240850000</c:v>
                </c:pt>
                <c:pt idx="59">
                  <c:v>1240850000</c:v>
                </c:pt>
                <c:pt idx="60">
                  <c:v>1240850000</c:v>
                </c:pt>
                <c:pt idx="61">
                  <c:v>1240850000</c:v>
                </c:pt>
                <c:pt idx="62">
                  <c:v>1240850000</c:v>
                </c:pt>
                <c:pt idx="63">
                  <c:v>1240850000</c:v>
                </c:pt>
                <c:pt idx="64">
                  <c:v>1240850000</c:v>
                </c:pt>
                <c:pt idx="65">
                  <c:v>1240850000</c:v>
                </c:pt>
                <c:pt idx="66">
                  <c:v>1240850000</c:v>
                </c:pt>
                <c:pt idx="67">
                  <c:v>1240850000</c:v>
                </c:pt>
                <c:pt idx="68">
                  <c:v>1240850000</c:v>
                </c:pt>
                <c:pt idx="69">
                  <c:v>1240850000</c:v>
                </c:pt>
                <c:pt idx="70">
                  <c:v>1240850000</c:v>
                </c:pt>
                <c:pt idx="71">
                  <c:v>1240850000</c:v>
                </c:pt>
                <c:pt idx="72">
                  <c:v>1240850000</c:v>
                </c:pt>
                <c:pt idx="73">
                  <c:v>1240850000</c:v>
                </c:pt>
                <c:pt idx="74">
                  <c:v>1240850000</c:v>
                </c:pt>
                <c:pt idx="75">
                  <c:v>1240850000</c:v>
                </c:pt>
                <c:pt idx="76">
                  <c:v>1240850000</c:v>
                </c:pt>
                <c:pt idx="77">
                  <c:v>1240850000</c:v>
                </c:pt>
                <c:pt idx="78">
                  <c:v>1240850000</c:v>
                </c:pt>
                <c:pt idx="79">
                  <c:v>1240850000</c:v>
                </c:pt>
                <c:pt idx="80">
                  <c:v>1240850000</c:v>
                </c:pt>
                <c:pt idx="81">
                  <c:v>1240850000</c:v>
                </c:pt>
                <c:pt idx="82">
                  <c:v>1240850000</c:v>
                </c:pt>
                <c:pt idx="83">
                  <c:v>1240850000</c:v>
                </c:pt>
                <c:pt idx="84">
                  <c:v>1240850000</c:v>
                </c:pt>
                <c:pt idx="85">
                  <c:v>1240850000</c:v>
                </c:pt>
                <c:pt idx="86">
                  <c:v>1240850000</c:v>
                </c:pt>
                <c:pt idx="87">
                  <c:v>1240850000</c:v>
                </c:pt>
                <c:pt idx="88">
                  <c:v>1240850000</c:v>
                </c:pt>
                <c:pt idx="89">
                  <c:v>1240850000</c:v>
                </c:pt>
                <c:pt idx="90">
                  <c:v>1240850000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5-4DBC-87DD-986BADEC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329647"/>
        <c:axId val="494078975"/>
      </c:lineChart>
      <c:catAx>
        <c:axId val="49932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Adjusted Demand for MobXS ($D$30)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078975"/>
        <c:crosses val="autoZero"/>
        <c:auto val="1"/>
        <c:lblAlgn val="ctr"/>
        <c:lblOffset val="100"/>
        <c:noMultiLvlLbl val="0"/>
      </c:catAx>
      <c:valAx>
        <c:axId val="494078975"/>
        <c:scaling>
          <c:orientation val="minMax"/>
          <c:min val="123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32964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Sensitivity_Profit_XS!$K$1</c:f>
          <c:strCache>
            <c:ptCount val="1"/>
            <c:pt idx="0">
              <c:v>Sensitivity of $B$27 to Profit Margin for MobXS($100s)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Sensitivity_Profit_XS!$A$5:$A$14</c:f>
              <c:numCache>
                <c:formatCode>_(* #,##0.00_);_(* \(#,##0.00\);_(* "-"??_);_(@_)</c:formatCode>
                <c:ptCount val="10"/>
                <c:pt idx="0">
                  <c:v>0.10000000149011612</c:v>
                </c:pt>
                <c:pt idx="1">
                  <c:v>0.60000002384185791</c:v>
                </c:pt>
                <c:pt idx="2">
                  <c:v>1.1000000238418579</c:v>
                </c:pt>
                <c:pt idx="3">
                  <c:v>1.6000000238418579</c:v>
                </c:pt>
                <c:pt idx="4">
                  <c:v>2.0999999046325684</c:v>
                </c:pt>
                <c:pt idx="5">
                  <c:v>2.5999999046325684</c:v>
                </c:pt>
                <c:pt idx="6">
                  <c:v>3.0999999046325684</c:v>
                </c:pt>
                <c:pt idx="7">
                  <c:v>3.5999999046325684</c:v>
                </c:pt>
                <c:pt idx="8">
                  <c:v>4.0999999046325684</c:v>
                </c:pt>
                <c:pt idx="9">
                  <c:v>4.5999999046325684</c:v>
                </c:pt>
              </c:numCache>
            </c:numRef>
          </c:cat>
          <c:val>
            <c:numRef>
              <c:f>Sensitivity_Profit_XS!$K$5:$K$14</c:f>
              <c:numCache>
                <c:formatCode>General</c:formatCode>
                <c:ptCount val="10"/>
                <c:pt idx="0">
                  <c:v>1240850000</c:v>
                </c:pt>
                <c:pt idx="1">
                  <c:v>1240850000</c:v>
                </c:pt>
                <c:pt idx="2">
                  <c:v>1240850000</c:v>
                </c:pt>
                <c:pt idx="3">
                  <c:v>1240850000</c:v>
                </c:pt>
                <c:pt idx="4">
                  <c:v>1240850000</c:v>
                </c:pt>
                <c:pt idx="5">
                  <c:v>1240850000</c:v>
                </c:pt>
                <c:pt idx="6">
                  <c:v>1240850000</c:v>
                </c:pt>
                <c:pt idx="7">
                  <c:v>1289849988.5559082</c:v>
                </c:pt>
                <c:pt idx="8">
                  <c:v>1349849988.5559082</c:v>
                </c:pt>
                <c:pt idx="9">
                  <c:v>1409849988.5559082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F-46E1-ADE4-B098958D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796015"/>
        <c:axId val="701949439"/>
      </c:lineChart>
      <c:catAx>
        <c:axId val="709796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Margin for MobXS($100s) ($B$9)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01949439"/>
        <c:crosses val="autoZero"/>
        <c:auto val="1"/>
        <c:lblAlgn val="ctr"/>
        <c:lblOffset val="100"/>
        <c:noMultiLvlLbl val="0"/>
      </c:catAx>
      <c:valAx>
        <c:axId val="7019494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979601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Sensitivity_Profit_XL!$K$1</c:f>
          <c:strCache>
            <c:ptCount val="1"/>
            <c:pt idx="0">
              <c:v>Sensitivity of $B$27 to Profit Margin for MobXL($100s) in MobXL Plant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Sensitivity_Profit_XL!$A$5:$A$14</c:f>
              <c:numCache>
                <c:formatCode>_(* #,##0.00_);_(* \(#,##0.00\);_(* "-"??_);_(@_)</c:formatCode>
                <c:ptCount val="10"/>
                <c:pt idx="0">
                  <c:v>0.10000000149011612</c:v>
                </c:pt>
                <c:pt idx="1">
                  <c:v>0.60000002384185791</c:v>
                </c:pt>
                <c:pt idx="2">
                  <c:v>1.1000000238418579</c:v>
                </c:pt>
                <c:pt idx="3">
                  <c:v>1.6000000238418579</c:v>
                </c:pt>
                <c:pt idx="4">
                  <c:v>2.0999999046325684</c:v>
                </c:pt>
                <c:pt idx="5">
                  <c:v>2.5999999046325684</c:v>
                </c:pt>
                <c:pt idx="6">
                  <c:v>3.0999999046325684</c:v>
                </c:pt>
                <c:pt idx="7">
                  <c:v>3.5999999046325684</c:v>
                </c:pt>
                <c:pt idx="8">
                  <c:v>4.0999999046325684</c:v>
                </c:pt>
                <c:pt idx="9">
                  <c:v>4.5999999046325684</c:v>
                </c:pt>
              </c:numCache>
            </c:numRef>
          </c:cat>
          <c:val>
            <c:numRef>
              <c:f>Sensitivity_Profit_XL!$K$5:$K$14</c:f>
              <c:numCache>
                <c:formatCode>General</c:formatCode>
                <c:ptCount val="10"/>
                <c:pt idx="0">
                  <c:v>923970000.05915761</c:v>
                </c:pt>
                <c:pt idx="1">
                  <c:v>948450002.05039978</c:v>
                </c:pt>
                <c:pt idx="2">
                  <c:v>991450002.05039978</c:v>
                </c:pt>
                <c:pt idx="3">
                  <c:v>1034450002.0503998</c:v>
                </c:pt>
                <c:pt idx="4">
                  <c:v>1077449991.7984009</c:v>
                </c:pt>
                <c:pt idx="5">
                  <c:v>1120449991.7984009</c:v>
                </c:pt>
                <c:pt idx="6">
                  <c:v>1163449991.7984009</c:v>
                </c:pt>
                <c:pt idx="7">
                  <c:v>1206449991.7984009</c:v>
                </c:pt>
                <c:pt idx="8">
                  <c:v>1249449991.7984009</c:v>
                </c:pt>
                <c:pt idx="9">
                  <c:v>1292449991.7984009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0-4249-9774-41200D3A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652191"/>
        <c:axId val="502389807"/>
      </c:lineChart>
      <c:catAx>
        <c:axId val="69865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Margin for MobXL($100s) in MobXL Plant ($D$11)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02389807"/>
        <c:crosses val="autoZero"/>
        <c:auto val="1"/>
        <c:lblAlgn val="ctr"/>
        <c:lblOffset val="100"/>
        <c:noMultiLvlLbl val="0"/>
      </c:catAx>
      <c:valAx>
        <c:axId val="5023898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65219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Sensitivity_XLinplant2!$K$1</c:f>
          <c:strCache>
            <c:ptCount val="1"/>
            <c:pt idx="0">
              <c:v>Sensitivity of $B$27 to Profit Margin for MobXL($100s) in NewPlant 2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Sensitivity_XLinplant2!$A$5:$A$14</c:f>
              <c:numCache>
                <c:formatCode>_("$"* #,##0.00_);_("$"* \(#,##0.00\);_("$"* "-"??_);_(@_)</c:formatCode>
                <c:ptCount val="10"/>
                <c:pt idx="0">
                  <c:v>0.10000000149011612</c:v>
                </c:pt>
                <c:pt idx="1">
                  <c:v>0.60000002384185791</c:v>
                </c:pt>
                <c:pt idx="2">
                  <c:v>1.1000000238418579</c:v>
                </c:pt>
                <c:pt idx="3">
                  <c:v>1.6000000238418579</c:v>
                </c:pt>
                <c:pt idx="4">
                  <c:v>2.0999999046325684</c:v>
                </c:pt>
                <c:pt idx="5">
                  <c:v>2.5999999046325684</c:v>
                </c:pt>
                <c:pt idx="6">
                  <c:v>3.0999999046325684</c:v>
                </c:pt>
                <c:pt idx="7">
                  <c:v>3.5999999046325684</c:v>
                </c:pt>
                <c:pt idx="8">
                  <c:v>4.0999999046325684</c:v>
                </c:pt>
                <c:pt idx="9">
                  <c:v>4.5999999046325684</c:v>
                </c:pt>
              </c:numCache>
            </c:numRef>
          </c:cat>
          <c:val>
            <c:numRef>
              <c:f>Sensitivity_XLinplant2!$K$5:$K$14</c:f>
              <c:numCache>
                <c:formatCode>General</c:formatCode>
                <c:ptCount val="10"/>
                <c:pt idx="0">
                  <c:v>1179000000</c:v>
                </c:pt>
                <c:pt idx="1">
                  <c:v>1179000000</c:v>
                </c:pt>
                <c:pt idx="2">
                  <c:v>1179000000</c:v>
                </c:pt>
                <c:pt idx="3">
                  <c:v>1179000000</c:v>
                </c:pt>
                <c:pt idx="4">
                  <c:v>1179000000</c:v>
                </c:pt>
                <c:pt idx="5">
                  <c:v>1179000000</c:v>
                </c:pt>
                <c:pt idx="6">
                  <c:v>1191369988.2030487</c:v>
                </c:pt>
                <c:pt idx="7">
                  <c:v>1253219988.2030487</c:v>
                </c:pt>
                <c:pt idx="8">
                  <c:v>1315069988.2030487</c:v>
                </c:pt>
                <c:pt idx="9">
                  <c:v>1376919988.2030487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D-4498-92C0-41D23B33B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80735"/>
        <c:axId val="701250751"/>
      </c:lineChart>
      <c:catAx>
        <c:axId val="55908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Margin for MobXL($100s) in NewPlant 2 ($F$11)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701250751"/>
        <c:crosses val="autoZero"/>
        <c:auto val="1"/>
        <c:lblAlgn val="ctr"/>
        <c:lblOffset val="100"/>
        <c:noMultiLvlLbl val="0"/>
      </c:catAx>
      <c:valAx>
        <c:axId val="7012507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908073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3</xdr:row>
      <xdr:rowOff>381000</xdr:rowOff>
    </xdr:from>
    <xdr:to>
      <xdr:col>10</xdr:col>
      <xdr:colOff>0</xdr:colOff>
      <xdr:row>18</xdr:row>
      <xdr:rowOff>161925</xdr:rowOff>
    </xdr:to>
    <xdr:graphicFrame macro="">
      <xdr:nvGraphicFramePr>
        <xdr:cNvPr id="2" name="STS_3_Chart">
          <a:extLst>
            <a:ext uri="{FF2B5EF4-FFF2-40B4-BE49-F238E27FC236}">
              <a16:creationId xmlns:a16="http://schemas.microsoft.com/office/drawing/2014/main" id="{348EED61-224B-4ED1-98DF-9548699CE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95250</xdr:colOff>
      <xdr:row>3</xdr:row>
      <xdr:rowOff>0</xdr:rowOff>
    </xdr:from>
    <xdr:to>
      <xdr:col>15</xdr:col>
      <xdr:colOff>95250</xdr:colOff>
      <xdr:row>5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B96A4C-F34B-43D2-B5AF-C2908B8C0568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1085850</xdr:colOff>
      <xdr:row>4</xdr:row>
      <xdr:rowOff>0</xdr:rowOff>
    </xdr:from>
    <xdr:to>
      <xdr:col>9</xdr:col>
      <xdr:colOff>571500</xdr:colOff>
      <xdr:row>19</xdr:row>
      <xdr:rowOff>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FB51C77C-732B-4191-AF2B-B2DAEF025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95250</xdr:colOff>
      <xdr:row>3</xdr:row>
      <xdr:rowOff>0</xdr:rowOff>
    </xdr:from>
    <xdr:to>
      <xdr:col>15</xdr:col>
      <xdr:colOff>95250</xdr:colOff>
      <xdr:row>5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440E56-F816-4511-92EB-34B9D4335BE2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1095375</xdr:colOff>
      <xdr:row>3</xdr:row>
      <xdr:rowOff>266700</xdr:rowOff>
    </xdr:from>
    <xdr:to>
      <xdr:col>9</xdr:col>
      <xdr:colOff>581025</xdr:colOff>
      <xdr:row>18</xdr:row>
      <xdr:rowOff>47625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7DD26CFE-0B8C-4567-A653-7044293FC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95250</xdr:colOff>
      <xdr:row>3</xdr:row>
      <xdr:rowOff>0</xdr:rowOff>
    </xdr:from>
    <xdr:to>
      <xdr:col>15</xdr:col>
      <xdr:colOff>95250</xdr:colOff>
      <xdr:row>5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D1EC3F-DCDC-48D1-903C-34771E8D52B9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9525</xdr:colOff>
      <xdr:row>3</xdr:row>
      <xdr:rowOff>390525</xdr:rowOff>
    </xdr:from>
    <xdr:to>
      <xdr:col>10</xdr:col>
      <xdr:colOff>9525</xdr:colOff>
      <xdr:row>18</xdr:row>
      <xdr:rowOff>171450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46E457D8-DBF4-4DFF-9E96-83F5D10C5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95250</xdr:colOff>
      <xdr:row>3</xdr:row>
      <xdr:rowOff>0</xdr:rowOff>
    </xdr:from>
    <xdr:to>
      <xdr:col>15</xdr:col>
      <xdr:colOff>95250</xdr:colOff>
      <xdr:row>5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57F84-1B63-4FD3-9EB4-97731111F5FF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1104900</xdr:colOff>
      <xdr:row>3</xdr:row>
      <xdr:rowOff>57150</xdr:rowOff>
    </xdr:from>
    <xdr:to>
      <xdr:col>9</xdr:col>
      <xdr:colOff>590550</xdr:colOff>
      <xdr:row>17</xdr:row>
      <xdr:rowOff>28575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D672E59F-32AA-492E-A21B-718ABB9C1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95250</xdr:colOff>
      <xdr:row>3</xdr:row>
      <xdr:rowOff>0</xdr:rowOff>
    </xdr:from>
    <xdr:to>
      <xdr:col>15</xdr:col>
      <xdr:colOff>95250</xdr:colOff>
      <xdr:row>5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816FF0-0682-400D-9995-F86A9BB9FDA6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3</xdr:row>
      <xdr:rowOff>133350</xdr:rowOff>
    </xdr:from>
    <xdr:to>
      <xdr:col>10</xdr:col>
      <xdr:colOff>0</xdr:colOff>
      <xdr:row>17</xdr:row>
      <xdr:rowOff>104775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6E8D24C3-BF58-4279-BD25-B39C58C2A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95250</xdr:colOff>
      <xdr:row>3</xdr:row>
      <xdr:rowOff>0</xdr:rowOff>
    </xdr:from>
    <xdr:to>
      <xdr:col>15</xdr:col>
      <xdr:colOff>95250</xdr:colOff>
      <xdr:row>5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AABF956-8E00-47A0-ADD5-DE3E5D714504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670E-1687-4345-B191-EE62DE150ECA}">
  <dimension ref="A1:M42"/>
  <sheetViews>
    <sheetView tabSelected="1" workbookViewId="0">
      <selection activeCell="N13" sqref="N13"/>
    </sheetView>
  </sheetViews>
  <sheetFormatPr defaultRowHeight="15" x14ac:dyDescent="0.25"/>
  <cols>
    <col min="1" max="1" width="23" customWidth="1"/>
    <col min="5" max="5" width="33.42578125" bestFit="1" customWidth="1"/>
    <col min="6" max="6" width="12.7109375" customWidth="1"/>
    <col min="8" max="8" width="24.140625" customWidth="1"/>
    <col min="9" max="9" width="13.7109375" customWidth="1"/>
    <col min="10" max="10" width="7.140625" bestFit="1" customWidth="1"/>
  </cols>
  <sheetData>
    <row r="1" spans="1:12" s="50" customFormat="1" ht="18.75" x14ac:dyDescent="0.3">
      <c r="B1" s="85" t="s">
        <v>91</v>
      </c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2" ht="15.75" thickBot="1" x14ac:dyDescent="0.3">
      <c r="A2" s="18" t="s">
        <v>23</v>
      </c>
    </row>
    <row r="3" spans="1:12" x14ac:dyDescent="0.25">
      <c r="A3" s="12" t="s">
        <v>14</v>
      </c>
      <c r="B3" s="64" t="s">
        <v>7</v>
      </c>
      <c r="C3" s="64"/>
      <c r="D3" s="64"/>
      <c r="E3" s="64"/>
      <c r="F3" s="65"/>
      <c r="H3" s="66" t="s">
        <v>10</v>
      </c>
      <c r="I3" s="65"/>
    </row>
    <row r="4" spans="1:12" x14ac:dyDescent="0.25">
      <c r="A4" s="2"/>
      <c r="B4" s="70" t="s">
        <v>4</v>
      </c>
      <c r="C4" s="70" t="s">
        <v>2</v>
      </c>
      <c r="D4" s="70" t="s">
        <v>3</v>
      </c>
      <c r="E4" s="70" t="s">
        <v>5</v>
      </c>
      <c r="F4" s="71" t="s">
        <v>6</v>
      </c>
      <c r="H4" s="72" t="s">
        <v>1</v>
      </c>
      <c r="I4" s="4">
        <v>3000</v>
      </c>
    </row>
    <row r="5" spans="1:12" x14ac:dyDescent="0.25">
      <c r="A5" s="2" t="s">
        <v>0</v>
      </c>
      <c r="B5" s="3">
        <v>1200</v>
      </c>
      <c r="C5" s="3">
        <v>1000</v>
      </c>
      <c r="D5" s="3">
        <v>860</v>
      </c>
      <c r="E5" s="3">
        <v>1500</v>
      </c>
      <c r="F5" s="4">
        <v>1700</v>
      </c>
      <c r="H5" s="72" t="s">
        <v>8</v>
      </c>
      <c r="I5" s="4">
        <v>2000</v>
      </c>
    </row>
    <row r="6" spans="1:12" ht="15.75" thickBot="1" x14ac:dyDescent="0.3">
      <c r="A6" s="19" t="s">
        <v>45</v>
      </c>
      <c r="B6" s="20">
        <v>1500</v>
      </c>
      <c r="C6" s="20">
        <v>1600</v>
      </c>
      <c r="D6" s="20">
        <v>1800</v>
      </c>
      <c r="E6" s="20">
        <v>2200</v>
      </c>
      <c r="F6" s="21">
        <v>2500</v>
      </c>
      <c r="H6" s="73" t="s">
        <v>9</v>
      </c>
      <c r="I6" s="7">
        <v>1500</v>
      </c>
    </row>
    <row r="8" spans="1:12" ht="15.75" thickBot="1" x14ac:dyDescent="0.3"/>
    <row r="9" spans="1:12" x14ac:dyDescent="0.25">
      <c r="A9" s="1"/>
      <c r="B9" s="8" t="s">
        <v>13</v>
      </c>
      <c r="C9" s="8"/>
      <c r="D9" s="8"/>
      <c r="E9" s="8"/>
      <c r="F9" s="9"/>
      <c r="H9" s="12" t="s">
        <v>11</v>
      </c>
      <c r="I9" s="8" t="s">
        <v>12</v>
      </c>
      <c r="J9" s="8" t="s">
        <v>8</v>
      </c>
      <c r="K9" s="9" t="s">
        <v>9</v>
      </c>
    </row>
    <row r="10" spans="1:12" x14ac:dyDescent="0.25">
      <c r="A10" s="2"/>
      <c r="B10" s="10" t="s">
        <v>4</v>
      </c>
      <c r="C10" s="10" t="s">
        <v>2</v>
      </c>
      <c r="D10" s="10" t="s">
        <v>3</v>
      </c>
      <c r="E10" s="10" t="s">
        <v>5</v>
      </c>
      <c r="F10" s="11" t="s">
        <v>6</v>
      </c>
      <c r="H10" s="72" t="s">
        <v>1</v>
      </c>
      <c r="I10" s="3">
        <v>0</v>
      </c>
      <c r="J10" s="3">
        <v>0.3</v>
      </c>
      <c r="K10" s="4">
        <v>0.2</v>
      </c>
    </row>
    <row r="11" spans="1:12" x14ac:dyDescent="0.25">
      <c r="A11" s="72" t="s">
        <v>1</v>
      </c>
      <c r="B11" s="15">
        <v>2</v>
      </c>
      <c r="C11" s="15">
        <v>0</v>
      </c>
      <c r="D11" s="15">
        <v>0</v>
      </c>
      <c r="E11" s="15">
        <v>2.6</v>
      </c>
      <c r="F11" s="13">
        <v>2.4</v>
      </c>
      <c r="H11" s="72" t="s">
        <v>8</v>
      </c>
      <c r="I11" s="3">
        <v>0</v>
      </c>
      <c r="J11" s="3">
        <v>0</v>
      </c>
      <c r="K11" s="4">
        <v>0.15</v>
      </c>
    </row>
    <row r="12" spans="1:12" ht="15.75" thickBot="1" x14ac:dyDescent="0.3">
      <c r="A12" s="72" t="s">
        <v>8</v>
      </c>
      <c r="B12" s="15">
        <v>0</v>
      </c>
      <c r="C12" s="15">
        <v>2.5</v>
      </c>
      <c r="D12" s="15">
        <v>0</v>
      </c>
      <c r="E12" s="15">
        <v>2.5</v>
      </c>
      <c r="F12" s="13">
        <v>3</v>
      </c>
      <c r="H12" s="73" t="s">
        <v>9</v>
      </c>
      <c r="I12" s="6">
        <v>0</v>
      </c>
      <c r="J12" s="6">
        <v>0</v>
      </c>
      <c r="K12" s="7">
        <v>0</v>
      </c>
    </row>
    <row r="13" spans="1:12" ht="15.75" thickBot="1" x14ac:dyDescent="0.3">
      <c r="A13" s="73" t="s">
        <v>9</v>
      </c>
      <c r="B13" s="16">
        <v>0</v>
      </c>
      <c r="C13" s="16">
        <v>0</v>
      </c>
      <c r="D13" s="16">
        <v>4</v>
      </c>
      <c r="E13" s="16">
        <v>0</v>
      </c>
      <c r="F13" s="14">
        <v>3.5</v>
      </c>
    </row>
    <row r="15" spans="1:12" x14ac:dyDescent="0.25">
      <c r="A15" s="25" t="s">
        <v>41</v>
      </c>
    </row>
    <row r="16" spans="1:12" x14ac:dyDescent="0.25">
      <c r="A16" s="63" t="s">
        <v>38</v>
      </c>
      <c r="B16" s="63"/>
      <c r="C16" s="63"/>
      <c r="D16" s="63"/>
      <c r="E16" s="63"/>
      <c r="F16" s="63"/>
      <c r="G16" s="63"/>
    </row>
    <row r="17" spans="1:13" x14ac:dyDescent="0.25">
      <c r="A17" s="63" t="s">
        <v>39</v>
      </c>
      <c r="B17" s="63"/>
      <c r="C17" s="63"/>
      <c r="D17" s="63"/>
      <c r="E17" s="63"/>
      <c r="F17" s="63"/>
      <c r="G17" s="63"/>
    </row>
    <row r="18" spans="1:13" x14ac:dyDescent="0.25">
      <c r="A18" s="63" t="s">
        <v>40</v>
      </c>
      <c r="B18" s="63"/>
      <c r="C18" s="63"/>
      <c r="D18" s="63"/>
      <c r="E18" s="63"/>
      <c r="F18" s="63"/>
      <c r="G18" s="63"/>
    </row>
    <row r="20" spans="1:13" x14ac:dyDescent="0.25">
      <c r="A20" s="25" t="s">
        <v>42</v>
      </c>
    </row>
    <row r="21" spans="1:13" x14ac:dyDescent="0.25">
      <c r="A21" s="67" t="s">
        <v>26</v>
      </c>
      <c r="B21" s="67"/>
      <c r="C21" s="67"/>
      <c r="D21" s="67"/>
      <c r="E21" s="67"/>
    </row>
    <row r="22" spans="1:13" x14ac:dyDescent="0.25">
      <c r="A22" s="67" t="s">
        <v>43</v>
      </c>
      <c r="B22" s="67"/>
      <c r="C22" s="67"/>
      <c r="D22" s="67"/>
      <c r="E22" s="67"/>
    </row>
    <row r="23" spans="1:13" x14ac:dyDescent="0.25">
      <c r="A23" s="63" t="s">
        <v>25</v>
      </c>
      <c r="B23" s="63"/>
      <c r="C23" s="63"/>
      <c r="D23" s="63"/>
      <c r="E23" s="63"/>
      <c r="F23" s="63"/>
      <c r="G23" s="63"/>
    </row>
    <row r="25" spans="1:13" x14ac:dyDescent="0.25">
      <c r="A25" s="62" t="s">
        <v>24</v>
      </c>
      <c r="B25" s="62"/>
      <c r="C25" s="62"/>
      <c r="D25" s="63" t="s">
        <v>55</v>
      </c>
      <c r="E25" s="63"/>
      <c r="F25" s="63"/>
      <c r="G25" s="63"/>
      <c r="H25" s="63"/>
      <c r="I25" s="63"/>
      <c r="J25" s="63"/>
      <c r="K25" s="63"/>
      <c r="L25" s="63"/>
      <c r="M25" s="63"/>
    </row>
    <row r="27" spans="1:13" ht="15.75" thickBot="1" x14ac:dyDescent="0.3">
      <c r="A27" s="25" t="s">
        <v>27</v>
      </c>
      <c r="B27" s="23"/>
      <c r="C27" s="23"/>
      <c r="D27" s="23"/>
      <c r="E27" s="23"/>
    </row>
    <row r="28" spans="1:13" ht="15.75" thickBot="1" x14ac:dyDescent="0.3">
      <c r="A28" s="75" t="s">
        <v>46</v>
      </c>
      <c r="B28" s="76"/>
      <c r="C28" s="76"/>
      <c r="D28" s="77"/>
      <c r="E28" s="36" t="s">
        <v>34</v>
      </c>
    </row>
    <row r="29" spans="1:13" ht="15.75" thickBot="1" x14ac:dyDescent="0.3">
      <c r="A29" s="75" t="s">
        <v>47</v>
      </c>
      <c r="B29" s="76"/>
      <c r="C29" s="76"/>
      <c r="D29" s="77"/>
      <c r="E29" s="36" t="s">
        <v>35</v>
      </c>
    </row>
    <row r="30" spans="1:13" ht="15.75" thickBot="1" x14ac:dyDescent="0.3">
      <c r="A30" s="75" t="s">
        <v>48</v>
      </c>
      <c r="B30" s="76"/>
      <c r="C30" s="76"/>
      <c r="D30" s="77"/>
      <c r="E30" s="36" t="s">
        <v>28</v>
      </c>
    </row>
    <row r="31" spans="1:13" x14ac:dyDescent="0.25">
      <c r="A31" s="78" t="s">
        <v>49</v>
      </c>
      <c r="B31" s="79"/>
      <c r="C31" s="79"/>
      <c r="D31" s="80"/>
      <c r="E31" s="37" t="s">
        <v>58</v>
      </c>
    </row>
    <row r="32" spans="1:13" x14ac:dyDescent="0.25">
      <c r="A32" s="2"/>
      <c r="B32" s="3"/>
      <c r="C32" s="3"/>
      <c r="D32" s="3"/>
      <c r="E32" s="38" t="s">
        <v>59</v>
      </c>
    </row>
    <row r="33" spans="1:5" x14ac:dyDescent="0.25">
      <c r="A33" s="2"/>
      <c r="B33" s="3"/>
      <c r="C33" s="3"/>
      <c r="D33" s="3"/>
      <c r="E33" s="38" t="s">
        <v>60</v>
      </c>
    </row>
    <row r="34" spans="1:5" x14ac:dyDescent="0.25">
      <c r="A34" s="2"/>
      <c r="B34" s="3"/>
      <c r="C34" s="3"/>
      <c r="D34" s="3"/>
      <c r="E34" s="38" t="s">
        <v>61</v>
      </c>
    </row>
    <row r="35" spans="1:5" x14ac:dyDescent="0.25">
      <c r="A35" s="2"/>
      <c r="B35" s="3"/>
      <c r="C35" s="3"/>
      <c r="D35" s="3"/>
      <c r="E35" s="38" t="s">
        <v>62</v>
      </c>
    </row>
    <row r="36" spans="1:5" ht="14.25" customHeight="1" thickBot="1" x14ac:dyDescent="0.3">
      <c r="A36" s="2"/>
      <c r="B36" s="3"/>
      <c r="C36" s="3"/>
      <c r="D36" s="3"/>
      <c r="E36" s="38" t="s">
        <v>29</v>
      </c>
    </row>
    <row r="37" spans="1:5" x14ac:dyDescent="0.25">
      <c r="A37" s="81" t="s">
        <v>53</v>
      </c>
      <c r="B37" s="82"/>
      <c r="C37" s="82"/>
      <c r="D37" s="49"/>
      <c r="E37" s="40" t="s">
        <v>30</v>
      </c>
    </row>
    <row r="38" spans="1:5" x14ac:dyDescent="0.25">
      <c r="A38" s="2"/>
      <c r="B38" s="3"/>
      <c r="C38" s="3"/>
      <c r="D38" s="3"/>
      <c r="E38" s="38" t="s">
        <v>31</v>
      </c>
    </row>
    <row r="39" spans="1:5" ht="15.75" thickBot="1" x14ac:dyDescent="0.3">
      <c r="A39" s="5"/>
      <c r="B39" s="6"/>
      <c r="C39" s="6"/>
      <c r="D39" s="6"/>
      <c r="E39" s="41" t="s">
        <v>32</v>
      </c>
    </row>
    <row r="40" spans="1:5" ht="15.75" thickBot="1" x14ac:dyDescent="0.3">
      <c r="A40" s="34" t="s">
        <v>50</v>
      </c>
      <c r="B40" s="35"/>
      <c r="C40" s="35"/>
      <c r="D40" s="35"/>
      <c r="E40" s="36" t="s">
        <v>36</v>
      </c>
    </row>
    <row r="41" spans="1:5" ht="15.75" thickBot="1" x14ac:dyDescent="0.3">
      <c r="A41" s="2" t="s">
        <v>51</v>
      </c>
      <c r="B41" s="3"/>
      <c r="C41" s="3"/>
      <c r="D41" s="3"/>
      <c r="E41" s="38" t="s">
        <v>37</v>
      </c>
    </row>
    <row r="42" spans="1:5" ht="15.75" thickBot="1" x14ac:dyDescent="0.3">
      <c r="A42" s="34" t="s">
        <v>52</v>
      </c>
      <c r="B42" s="35"/>
      <c r="C42" s="35"/>
      <c r="D42" s="35"/>
      <c r="E42" s="36" t="s">
        <v>33</v>
      </c>
    </row>
  </sheetData>
  <mergeCells count="15">
    <mergeCell ref="B1:L1"/>
    <mergeCell ref="A25:C25"/>
    <mergeCell ref="D25:M25"/>
    <mergeCell ref="B3:F3"/>
    <mergeCell ref="H3:I3"/>
    <mergeCell ref="A22:E22"/>
    <mergeCell ref="A21:E21"/>
    <mergeCell ref="A23:G23"/>
    <mergeCell ref="A16:G16"/>
    <mergeCell ref="A17:G17"/>
    <mergeCell ref="A18:G18"/>
    <mergeCell ref="A29:D29"/>
    <mergeCell ref="A28:D28"/>
    <mergeCell ref="A30:D30"/>
    <mergeCell ref="A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4550-BA36-4859-81C8-64E97716B55D}">
  <dimension ref="A1:K52"/>
  <sheetViews>
    <sheetView workbookViewId="0">
      <selection activeCell="A51" sqref="A51:G51"/>
    </sheetView>
  </sheetViews>
  <sheetFormatPr defaultRowHeight="15" x14ac:dyDescent="0.25"/>
  <cols>
    <col min="1" max="1" width="35.140625" customWidth="1"/>
    <col min="2" max="2" width="17.7109375" bestFit="1" customWidth="1"/>
    <col min="5" max="6" width="11.140625" bestFit="1" customWidth="1"/>
    <col min="8" max="8" width="34.42578125" bestFit="1" customWidth="1"/>
    <col min="9" max="9" width="30.85546875" bestFit="1" customWidth="1"/>
    <col min="10" max="10" width="19.7109375" bestFit="1" customWidth="1"/>
  </cols>
  <sheetData>
    <row r="1" spans="1:11" x14ac:dyDescent="0.25">
      <c r="A1" s="22"/>
      <c r="B1" s="68" t="s">
        <v>7</v>
      </c>
      <c r="C1" s="68"/>
      <c r="D1" s="68"/>
      <c r="E1" s="68"/>
      <c r="F1" s="68"/>
      <c r="H1" s="68" t="s">
        <v>10</v>
      </c>
      <c r="I1" s="68"/>
    </row>
    <row r="2" spans="1:11" x14ac:dyDescent="0.25">
      <c r="A2" s="22"/>
      <c r="B2" s="22" t="s">
        <v>4</v>
      </c>
      <c r="C2" s="22" t="s">
        <v>2</v>
      </c>
      <c r="D2" s="22" t="s">
        <v>3</v>
      </c>
      <c r="E2" s="22" t="s">
        <v>5</v>
      </c>
      <c r="F2" s="22" t="s">
        <v>6</v>
      </c>
      <c r="H2" s="22" t="s">
        <v>1</v>
      </c>
      <c r="I2" s="22">
        <v>3000</v>
      </c>
    </row>
    <row r="3" spans="1:11" x14ac:dyDescent="0.25">
      <c r="A3" s="22" t="s">
        <v>0</v>
      </c>
      <c r="B3" s="22">
        <v>1200</v>
      </c>
      <c r="C3" s="22">
        <v>1000</v>
      </c>
      <c r="D3" s="22">
        <v>860</v>
      </c>
      <c r="E3" s="22">
        <v>1500</v>
      </c>
      <c r="F3" s="22">
        <v>1700</v>
      </c>
      <c r="H3" s="22" t="s">
        <v>8</v>
      </c>
      <c r="I3" s="22">
        <v>2000</v>
      </c>
    </row>
    <row r="4" spans="1:11" x14ac:dyDescent="0.25">
      <c r="A4" s="22" t="s">
        <v>45</v>
      </c>
      <c r="B4" s="22">
        <v>1500</v>
      </c>
      <c r="C4" s="22">
        <v>1600</v>
      </c>
      <c r="D4" s="22">
        <v>1800</v>
      </c>
      <c r="E4" s="22">
        <v>2200</v>
      </c>
      <c r="F4" s="22">
        <v>2500</v>
      </c>
      <c r="H4" s="22" t="s">
        <v>9</v>
      </c>
      <c r="I4" s="22">
        <v>1500</v>
      </c>
    </row>
    <row r="7" spans="1:11" x14ac:dyDescent="0.25">
      <c r="A7" s="22"/>
      <c r="B7" s="26" t="s">
        <v>13</v>
      </c>
      <c r="C7" s="26"/>
      <c r="D7" s="26"/>
      <c r="E7" s="26"/>
      <c r="F7" s="26"/>
      <c r="H7" s="26" t="s">
        <v>11</v>
      </c>
      <c r="I7" s="26" t="s">
        <v>12</v>
      </c>
      <c r="J7" s="26" t="s">
        <v>8</v>
      </c>
      <c r="K7" s="26" t="s">
        <v>9</v>
      </c>
    </row>
    <row r="8" spans="1:11" x14ac:dyDescent="0.25">
      <c r="A8" s="22"/>
      <c r="B8" s="26" t="s">
        <v>4</v>
      </c>
      <c r="C8" s="26" t="s">
        <v>2</v>
      </c>
      <c r="D8" s="26" t="s">
        <v>3</v>
      </c>
      <c r="E8" s="26" t="s">
        <v>5</v>
      </c>
      <c r="F8" s="26" t="s">
        <v>6</v>
      </c>
      <c r="H8" s="22" t="s">
        <v>1</v>
      </c>
      <c r="I8" s="22">
        <v>0</v>
      </c>
      <c r="J8" s="22">
        <v>0.3</v>
      </c>
      <c r="K8" s="22">
        <v>0.2</v>
      </c>
    </row>
    <row r="9" spans="1:11" x14ac:dyDescent="0.25">
      <c r="A9" s="74" t="s">
        <v>1</v>
      </c>
      <c r="B9" s="29">
        <v>2</v>
      </c>
      <c r="C9" s="29">
        <v>0</v>
      </c>
      <c r="D9" s="29">
        <v>0</v>
      </c>
      <c r="E9" s="29">
        <v>2.6</v>
      </c>
      <c r="F9" s="30">
        <v>2.4</v>
      </c>
      <c r="H9" s="22" t="s">
        <v>8</v>
      </c>
      <c r="I9" s="22">
        <v>0</v>
      </c>
      <c r="J9" s="22">
        <v>0</v>
      </c>
      <c r="K9" s="22">
        <v>0.15</v>
      </c>
    </row>
    <row r="10" spans="1:11" x14ac:dyDescent="0.25">
      <c r="A10" s="74" t="s">
        <v>8</v>
      </c>
      <c r="B10" s="29">
        <v>0</v>
      </c>
      <c r="C10" s="29">
        <v>2.5</v>
      </c>
      <c r="D10" s="29">
        <v>0</v>
      </c>
      <c r="E10" s="29">
        <v>2.5</v>
      </c>
      <c r="F10" s="30">
        <v>3</v>
      </c>
      <c r="H10" s="22" t="s">
        <v>9</v>
      </c>
      <c r="I10" s="22">
        <v>0</v>
      </c>
      <c r="J10" s="22">
        <v>0</v>
      </c>
      <c r="K10" s="22">
        <v>0</v>
      </c>
    </row>
    <row r="11" spans="1:11" x14ac:dyDescent="0.25">
      <c r="A11" s="74" t="s">
        <v>9</v>
      </c>
      <c r="B11" s="29">
        <v>0</v>
      </c>
      <c r="C11" s="29">
        <v>0</v>
      </c>
      <c r="D11" s="29">
        <v>4</v>
      </c>
      <c r="E11" s="29">
        <v>0</v>
      </c>
      <c r="F11" s="30">
        <v>3.5</v>
      </c>
    </row>
    <row r="14" spans="1:11" ht="15.75" thickBot="1" x14ac:dyDescent="0.3">
      <c r="A14" s="25" t="s">
        <v>16</v>
      </c>
      <c r="B14" s="25" t="s">
        <v>18</v>
      </c>
    </row>
    <row r="15" spans="1:11" x14ac:dyDescent="0.25">
      <c r="A15" s="43"/>
      <c r="B15" s="44" t="s">
        <v>4</v>
      </c>
      <c r="C15" s="44" t="s">
        <v>2</v>
      </c>
      <c r="D15" s="44" t="s">
        <v>3</v>
      </c>
      <c r="E15" s="44" t="s">
        <v>5</v>
      </c>
      <c r="F15" s="45" t="s">
        <v>6</v>
      </c>
    </row>
    <row r="16" spans="1:11" ht="15.75" thickBot="1" x14ac:dyDescent="0.3">
      <c r="A16" s="46" t="s">
        <v>17</v>
      </c>
      <c r="B16" s="47">
        <f>1-E16</f>
        <v>0</v>
      </c>
      <c r="C16" s="47">
        <f>1-F16</f>
        <v>0</v>
      </c>
      <c r="D16" s="47">
        <v>1</v>
      </c>
      <c r="E16" s="47">
        <v>1</v>
      </c>
      <c r="F16" s="48">
        <v>1</v>
      </c>
    </row>
    <row r="18" spans="1:10" x14ac:dyDescent="0.25">
      <c r="A18" s="25" t="s">
        <v>14</v>
      </c>
      <c r="B18" s="69" t="s">
        <v>44</v>
      </c>
      <c r="C18" s="69"/>
      <c r="D18" s="25" t="s">
        <v>56</v>
      </c>
    </row>
    <row r="19" spans="1:10" x14ac:dyDescent="0.25">
      <c r="A19" s="22"/>
      <c r="B19" s="26" t="s">
        <v>4</v>
      </c>
      <c r="C19" s="26" t="s">
        <v>2</v>
      </c>
      <c r="D19" s="26" t="s">
        <v>3</v>
      </c>
      <c r="E19" s="26" t="s">
        <v>5</v>
      </c>
      <c r="F19" s="26" t="s">
        <v>6</v>
      </c>
      <c r="G19" s="26" t="s">
        <v>15</v>
      </c>
      <c r="H19" s="22"/>
      <c r="I19" s="26" t="s">
        <v>21</v>
      </c>
      <c r="J19" s="17"/>
    </row>
    <row r="20" spans="1:10" x14ac:dyDescent="0.25">
      <c r="A20" s="74" t="s">
        <v>1</v>
      </c>
      <c r="B20" s="27">
        <v>0</v>
      </c>
      <c r="C20" s="27">
        <v>0</v>
      </c>
      <c r="D20" s="27">
        <v>0</v>
      </c>
      <c r="E20" s="27">
        <v>1500</v>
      </c>
      <c r="F20" s="27">
        <v>0</v>
      </c>
      <c r="G20" s="28">
        <f>SUM(B20:F20)</f>
        <v>1500</v>
      </c>
      <c r="H20" s="31" t="s">
        <v>19</v>
      </c>
      <c r="I20" s="22">
        <f>I2</f>
        <v>3000</v>
      </c>
    </row>
    <row r="21" spans="1:10" x14ac:dyDescent="0.25">
      <c r="A21" s="74" t="s">
        <v>8</v>
      </c>
      <c r="B21" s="27">
        <v>0</v>
      </c>
      <c r="C21" s="27">
        <v>0</v>
      </c>
      <c r="D21" s="27">
        <v>0</v>
      </c>
      <c r="E21" s="27">
        <v>0</v>
      </c>
      <c r="F21" s="27">
        <v>463</v>
      </c>
      <c r="G21" s="28">
        <f t="shared" ref="G21:G22" si="0">SUM(B21:F21)</f>
        <v>463</v>
      </c>
      <c r="H21" s="31" t="s">
        <v>19</v>
      </c>
      <c r="I21" s="22">
        <f>I3+((I20-G20)*J8)</f>
        <v>2450</v>
      </c>
    </row>
    <row r="22" spans="1:10" x14ac:dyDescent="0.25">
      <c r="A22" s="74" t="s">
        <v>9</v>
      </c>
      <c r="B22" s="27">
        <v>0</v>
      </c>
      <c r="C22" s="27">
        <v>0</v>
      </c>
      <c r="D22" s="27">
        <v>860</v>
      </c>
      <c r="E22" s="27">
        <v>0</v>
      </c>
      <c r="F22" s="27">
        <v>1237</v>
      </c>
      <c r="G22" s="28">
        <f t="shared" si="0"/>
        <v>2097</v>
      </c>
      <c r="H22" s="31" t="s">
        <v>19</v>
      </c>
      <c r="I22" s="22">
        <f>I4+((I20-G20)*K8)+((I21-G21)*K9)</f>
        <v>2098.0500000000002</v>
      </c>
    </row>
    <row r="23" spans="1:10" x14ac:dyDescent="0.25">
      <c r="A23" s="26" t="s">
        <v>15</v>
      </c>
      <c r="B23" s="28">
        <f>SUM(B20:B22)</f>
        <v>0</v>
      </c>
      <c r="C23" s="28">
        <f t="shared" ref="C23:F23" si="1">SUM(C20:C22)</f>
        <v>0</v>
      </c>
      <c r="D23" s="28">
        <f t="shared" si="1"/>
        <v>860</v>
      </c>
      <c r="E23" s="28">
        <f t="shared" si="1"/>
        <v>1500</v>
      </c>
      <c r="F23" s="28">
        <f t="shared" si="1"/>
        <v>1700</v>
      </c>
      <c r="G23" s="22"/>
    </row>
    <row r="24" spans="1:10" x14ac:dyDescent="0.25">
      <c r="B24" t="s">
        <v>19</v>
      </c>
      <c r="C24" t="s">
        <v>19</v>
      </c>
      <c r="D24" t="s">
        <v>19</v>
      </c>
      <c r="E24" t="s">
        <v>19</v>
      </c>
      <c r="F24" t="s">
        <v>19</v>
      </c>
    </row>
    <row r="25" spans="1:10" x14ac:dyDescent="0.25">
      <c r="A25" s="22" t="s">
        <v>20</v>
      </c>
      <c r="B25" s="22">
        <f>B3*B16</f>
        <v>0</v>
      </c>
      <c r="C25" s="22">
        <f t="shared" ref="C25:F25" si="2">C3*C16</f>
        <v>0</v>
      </c>
      <c r="D25" s="22">
        <f t="shared" si="2"/>
        <v>860</v>
      </c>
      <c r="E25" s="22">
        <f>E3*E16</f>
        <v>1500</v>
      </c>
      <c r="F25" s="22">
        <f t="shared" si="2"/>
        <v>1700</v>
      </c>
      <c r="G25" s="22"/>
    </row>
    <row r="27" spans="1:10" x14ac:dyDescent="0.25">
      <c r="A27" s="32" t="s">
        <v>22</v>
      </c>
      <c r="B27" s="33">
        <f>(SUMPRODUCT(B9:F11,B20:F22)*100000)-(SUMPRODUCT(B4:F4,B16:F16)*10000)</f>
        <v>1240850000</v>
      </c>
    </row>
    <row r="29" spans="1:10" x14ac:dyDescent="0.25">
      <c r="A29" s="42" t="s">
        <v>54</v>
      </c>
    </row>
    <row r="30" spans="1:10" x14ac:dyDescent="0.25">
      <c r="A30" s="22" t="s">
        <v>87</v>
      </c>
      <c r="B30" s="22">
        <f>G20</f>
        <v>1500</v>
      </c>
      <c r="C30" s="22" t="s">
        <v>19</v>
      </c>
      <c r="D30" s="22">
        <v>3000</v>
      </c>
    </row>
    <row r="31" spans="1:10" x14ac:dyDescent="0.25">
      <c r="A31" s="22" t="s">
        <v>88</v>
      </c>
      <c r="B31" s="22">
        <f>G21</f>
        <v>463</v>
      </c>
      <c r="C31" s="22" t="s">
        <v>19</v>
      </c>
      <c r="D31" s="22">
        <v>2450</v>
      </c>
    </row>
    <row r="32" spans="1:10" x14ac:dyDescent="0.25">
      <c r="A32" s="22" t="s">
        <v>89</v>
      </c>
      <c r="B32" s="22">
        <f>G22</f>
        <v>2097</v>
      </c>
      <c r="C32" s="22" t="s">
        <v>19</v>
      </c>
      <c r="D32" s="22">
        <v>2097.14990234375</v>
      </c>
    </row>
    <row r="33" spans="1:5" x14ac:dyDescent="0.25">
      <c r="A33" s="22"/>
      <c r="B33" s="22"/>
      <c r="C33" s="22"/>
      <c r="D33" s="22"/>
    </row>
    <row r="34" spans="1:5" x14ac:dyDescent="0.25">
      <c r="A34" s="22" t="s">
        <v>63</v>
      </c>
      <c r="B34" s="22">
        <f>B20</f>
        <v>0</v>
      </c>
      <c r="C34" s="22" t="s">
        <v>19</v>
      </c>
      <c r="D34" s="22">
        <f>B25</f>
        <v>0</v>
      </c>
    </row>
    <row r="35" spans="1:5" x14ac:dyDescent="0.25">
      <c r="A35" s="22"/>
      <c r="B35" s="22">
        <f>C21</f>
        <v>0</v>
      </c>
      <c r="C35" s="22" t="s">
        <v>19</v>
      </c>
      <c r="D35" s="22">
        <f>C25</f>
        <v>0</v>
      </c>
    </row>
    <row r="36" spans="1:5" x14ac:dyDescent="0.25">
      <c r="A36" s="22"/>
      <c r="B36" s="22">
        <f>D22</f>
        <v>860</v>
      </c>
      <c r="C36" s="22" t="s">
        <v>19</v>
      </c>
      <c r="D36" s="22">
        <f>D25</f>
        <v>860</v>
      </c>
    </row>
    <row r="37" spans="1:5" x14ac:dyDescent="0.25">
      <c r="A37" s="22"/>
      <c r="B37" s="22">
        <f>E23</f>
        <v>1500</v>
      </c>
      <c r="C37" s="22" t="s">
        <v>19</v>
      </c>
      <c r="D37" s="22">
        <f>E25</f>
        <v>1500</v>
      </c>
    </row>
    <row r="38" spans="1:5" x14ac:dyDescent="0.25">
      <c r="A38" s="22"/>
      <c r="B38" s="22">
        <f>F23</f>
        <v>1700</v>
      </c>
      <c r="C38" s="22" t="s">
        <v>19</v>
      </c>
      <c r="D38" s="22">
        <f>F25</f>
        <v>1700</v>
      </c>
    </row>
    <row r="39" spans="1:5" x14ac:dyDescent="0.25">
      <c r="A39" s="22"/>
      <c r="B39" s="22"/>
      <c r="C39" s="22"/>
      <c r="D39" s="22"/>
    </row>
    <row r="40" spans="1:5" x14ac:dyDescent="0.25">
      <c r="A40" s="22" t="s">
        <v>64</v>
      </c>
      <c r="B40" s="22">
        <f>B16+E16</f>
        <v>1</v>
      </c>
      <c r="C40" s="22" t="s">
        <v>65</v>
      </c>
      <c r="D40" s="22">
        <v>1</v>
      </c>
    </row>
    <row r="41" spans="1:5" x14ac:dyDescent="0.25">
      <c r="A41" s="83" t="s">
        <v>90</v>
      </c>
      <c r="B41" s="83">
        <f>C16+F16</f>
        <v>1</v>
      </c>
      <c r="C41" s="83" t="s">
        <v>65</v>
      </c>
      <c r="D41" s="83">
        <v>1</v>
      </c>
    </row>
    <row r="42" spans="1:5" x14ac:dyDescent="0.25">
      <c r="A42" s="22" t="s">
        <v>3</v>
      </c>
      <c r="B42" s="22">
        <f>D16</f>
        <v>1</v>
      </c>
      <c r="C42" s="22" t="s">
        <v>65</v>
      </c>
      <c r="D42" s="22">
        <v>1</v>
      </c>
    </row>
    <row r="43" spans="1:5" x14ac:dyDescent="0.25">
      <c r="A43" s="3"/>
      <c r="B43" s="3"/>
      <c r="C43" s="3"/>
      <c r="D43" s="3"/>
    </row>
    <row r="44" spans="1:5" x14ac:dyDescent="0.25">
      <c r="A44" s="22" t="s">
        <v>50</v>
      </c>
      <c r="B44" s="22" t="s">
        <v>68</v>
      </c>
      <c r="C44" s="22" t="s">
        <v>65</v>
      </c>
      <c r="D44" s="22" t="s">
        <v>66</v>
      </c>
    </row>
    <row r="45" spans="1:5" x14ac:dyDescent="0.25">
      <c r="A45" s="22" t="s">
        <v>51</v>
      </c>
      <c r="B45" s="22" t="s">
        <v>69</v>
      </c>
      <c r="C45" s="22" t="s">
        <v>70</v>
      </c>
      <c r="D45" s="59">
        <v>0</v>
      </c>
    </row>
    <row r="46" spans="1:5" x14ac:dyDescent="0.25">
      <c r="A46" s="22" t="s">
        <v>52</v>
      </c>
      <c r="B46" s="22" t="s">
        <v>71</v>
      </c>
      <c r="C46" s="22" t="s">
        <v>65</v>
      </c>
      <c r="D46" s="22" t="s">
        <v>67</v>
      </c>
    </row>
    <row r="47" spans="1:5" x14ac:dyDescent="0.25">
      <c r="A47" s="22" t="s">
        <v>29</v>
      </c>
      <c r="B47" s="22"/>
      <c r="C47" s="22"/>
      <c r="D47" s="22"/>
      <c r="E47" s="3"/>
    </row>
    <row r="49" spans="1:7" x14ac:dyDescent="0.25">
      <c r="A49" s="42" t="s">
        <v>41</v>
      </c>
      <c r="B49" s="39"/>
      <c r="C49" s="39"/>
      <c r="D49" s="39"/>
      <c r="E49" s="39"/>
      <c r="F49" s="39"/>
      <c r="G49" s="39"/>
    </row>
    <row r="50" spans="1:7" x14ac:dyDescent="0.25">
      <c r="A50" s="63" t="s">
        <v>38</v>
      </c>
      <c r="B50" s="63"/>
      <c r="C50" s="63"/>
      <c r="D50" s="63"/>
      <c r="E50" s="63"/>
      <c r="F50" s="63"/>
      <c r="G50" s="63"/>
    </row>
    <row r="51" spans="1:7" x14ac:dyDescent="0.25">
      <c r="A51" s="63" t="s">
        <v>39</v>
      </c>
      <c r="B51" s="63"/>
      <c r="C51" s="63"/>
      <c r="D51" s="63"/>
      <c r="E51" s="63"/>
      <c r="F51" s="63"/>
      <c r="G51" s="63"/>
    </row>
    <row r="52" spans="1:7" x14ac:dyDescent="0.25">
      <c r="A52" s="63" t="s">
        <v>40</v>
      </c>
      <c r="B52" s="63"/>
      <c r="C52" s="63"/>
      <c r="D52" s="63"/>
      <c r="E52" s="63"/>
      <c r="F52" s="63"/>
      <c r="G52" s="63"/>
    </row>
  </sheetData>
  <mergeCells count="6">
    <mergeCell ref="A52:G52"/>
    <mergeCell ref="B1:F1"/>
    <mergeCell ref="H1:I1"/>
    <mergeCell ref="B18:C18"/>
    <mergeCell ref="A50:G50"/>
    <mergeCell ref="A51:G5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1234-7304-4C3A-BF45-A37000A57FA8}">
  <dimension ref="A1:B18"/>
  <sheetViews>
    <sheetView workbookViewId="0"/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 t="s">
        <v>82</v>
      </c>
      <c r="B2" t="s">
        <v>80</v>
      </c>
    </row>
    <row r="3" spans="1:2" x14ac:dyDescent="0.25">
      <c r="A3">
        <v>1</v>
      </c>
      <c r="B3">
        <v>1</v>
      </c>
    </row>
    <row r="4" spans="1:2" x14ac:dyDescent="0.25">
      <c r="A4">
        <v>0.1</v>
      </c>
      <c r="B4">
        <v>0</v>
      </c>
    </row>
    <row r="5" spans="1:2" x14ac:dyDescent="0.25">
      <c r="A5">
        <v>5</v>
      </c>
      <c r="B5">
        <v>5</v>
      </c>
    </row>
    <row r="6" spans="1:2" x14ac:dyDescent="0.25">
      <c r="A6">
        <v>0.5</v>
      </c>
      <c r="B6">
        <v>0.5</v>
      </c>
    </row>
    <row r="8" spans="1:2" x14ac:dyDescent="0.25">
      <c r="A8" s="24"/>
      <c r="B8" s="24" t="s">
        <v>85</v>
      </c>
    </row>
    <row r="9" spans="1:2" x14ac:dyDescent="0.25">
      <c r="A9" t="s">
        <v>57</v>
      </c>
      <c r="B9" t="s">
        <v>74</v>
      </c>
    </row>
    <row r="10" spans="1:2" x14ac:dyDescent="0.25">
      <c r="A10" t="s">
        <v>83</v>
      </c>
      <c r="B10">
        <v>1</v>
      </c>
    </row>
    <row r="11" spans="1:2" x14ac:dyDescent="0.25">
      <c r="B11">
        <v>500</v>
      </c>
    </row>
    <row r="12" spans="1:2" x14ac:dyDescent="0.25">
      <c r="B12">
        <v>5000</v>
      </c>
    </row>
    <row r="13" spans="1:2" x14ac:dyDescent="0.25">
      <c r="B13">
        <v>50</v>
      </c>
    </row>
    <row r="15" spans="1:2" x14ac:dyDescent="0.25">
      <c r="B15" s="24" t="s">
        <v>85</v>
      </c>
    </row>
    <row r="16" spans="1:2" x14ac:dyDescent="0.25">
      <c r="B16" t="s">
        <v>57</v>
      </c>
    </row>
    <row r="17" spans="2:2" x14ac:dyDescent="0.25">
      <c r="B17" t="s">
        <v>86</v>
      </c>
    </row>
    <row r="18" spans="2:2" x14ac:dyDescent="0.25">
      <c r="B18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B600-E8E0-45D7-87A4-2584B45041D7}">
  <dimension ref="A1:K95"/>
  <sheetViews>
    <sheetView workbookViewId="0">
      <selection activeCell="O18" sqref="O18"/>
    </sheetView>
  </sheetViews>
  <sheetFormatPr defaultRowHeight="15" x14ac:dyDescent="0.25"/>
  <cols>
    <col min="2" max="2" width="16.85546875" bestFit="1" customWidth="1"/>
  </cols>
  <sheetData>
    <row r="1" spans="1:11" x14ac:dyDescent="0.25">
      <c r="A1" s="51" t="s">
        <v>72</v>
      </c>
      <c r="K1" s="55" t="str">
        <f>CONCATENATE("Sensitivity of ",$K$4," to ","Adjusted Demand for MobXL")</f>
        <v>Sensitivity of $B$27 to Adjusted Demand for MobXL</v>
      </c>
    </row>
    <row r="3" spans="1:11" x14ac:dyDescent="0.25">
      <c r="A3" t="s">
        <v>76</v>
      </c>
      <c r="K3" t="s">
        <v>73</v>
      </c>
    </row>
    <row r="4" spans="1:11" ht="32.25" x14ac:dyDescent="0.25">
      <c r="B4" s="53" t="s">
        <v>57</v>
      </c>
      <c r="J4" s="55">
        <f>MATCH($K$4,OutputAddresses,0)</f>
        <v>1</v>
      </c>
      <c r="K4" s="54" t="s">
        <v>57</v>
      </c>
    </row>
    <row r="5" spans="1:11" x14ac:dyDescent="0.25">
      <c r="A5" s="52">
        <v>500</v>
      </c>
      <c r="B5" s="56">
        <v>1035000000</v>
      </c>
      <c r="K5">
        <f>INDEX(OutputValues,1,$J$4)</f>
        <v>1035000000</v>
      </c>
    </row>
    <row r="6" spans="1:11" x14ac:dyDescent="0.25">
      <c r="A6" s="52">
        <v>550</v>
      </c>
      <c r="B6" s="57">
        <v>1055000000</v>
      </c>
      <c r="K6">
        <f>INDEX(OutputValues,2,$J$4)</f>
        <v>1055000000</v>
      </c>
    </row>
    <row r="7" spans="1:11" x14ac:dyDescent="0.25">
      <c r="A7" s="52">
        <v>600</v>
      </c>
      <c r="B7" s="57">
        <v>1075000000</v>
      </c>
      <c r="K7">
        <f>INDEX(OutputValues,3,$J$4)</f>
        <v>1075000000</v>
      </c>
    </row>
    <row r="8" spans="1:11" x14ac:dyDescent="0.25">
      <c r="A8" s="52">
        <v>650</v>
      </c>
      <c r="B8" s="57">
        <v>1095000000</v>
      </c>
      <c r="K8">
        <f>INDEX(OutputValues,4,$J$4)</f>
        <v>1095000000</v>
      </c>
    </row>
    <row r="9" spans="1:11" x14ac:dyDescent="0.25">
      <c r="A9" s="52">
        <v>700</v>
      </c>
      <c r="B9" s="57">
        <v>1115000000</v>
      </c>
      <c r="K9">
        <f>INDEX(OutputValues,5,$J$4)</f>
        <v>1115000000</v>
      </c>
    </row>
    <row r="10" spans="1:11" x14ac:dyDescent="0.25">
      <c r="A10" s="52">
        <v>750</v>
      </c>
      <c r="B10" s="57">
        <v>1135000000</v>
      </c>
      <c r="K10">
        <f>INDEX(OutputValues,6,$J$4)</f>
        <v>1135000000</v>
      </c>
    </row>
    <row r="11" spans="1:11" x14ac:dyDescent="0.25">
      <c r="A11" s="52">
        <v>800</v>
      </c>
      <c r="B11" s="57">
        <v>1155000000</v>
      </c>
      <c r="K11">
        <f>INDEX(OutputValues,7,$J$4)</f>
        <v>1155000000</v>
      </c>
    </row>
    <row r="12" spans="1:11" x14ac:dyDescent="0.25">
      <c r="A12" s="52">
        <v>850</v>
      </c>
      <c r="B12" s="57">
        <v>1175000000</v>
      </c>
      <c r="K12">
        <f>INDEX(OutputValues,8,$J$4)</f>
        <v>1175000000</v>
      </c>
    </row>
    <row r="13" spans="1:11" x14ac:dyDescent="0.25">
      <c r="A13" s="52">
        <v>900</v>
      </c>
      <c r="B13" s="57">
        <v>1181000000</v>
      </c>
      <c r="K13">
        <f>INDEX(OutputValues,9,$J$4)</f>
        <v>1181000000</v>
      </c>
    </row>
    <row r="14" spans="1:11" x14ac:dyDescent="0.25">
      <c r="A14" s="52">
        <v>950</v>
      </c>
      <c r="B14" s="57">
        <v>1183500000</v>
      </c>
      <c r="K14">
        <f>INDEX(OutputValues,10,$J$4)</f>
        <v>1183500000</v>
      </c>
    </row>
    <row r="15" spans="1:11" x14ac:dyDescent="0.25">
      <c r="A15" s="52">
        <v>1000</v>
      </c>
      <c r="B15" s="57">
        <v>1186000000</v>
      </c>
      <c r="K15">
        <f>INDEX(OutputValues,11,$J$4)</f>
        <v>1186000000</v>
      </c>
    </row>
    <row r="16" spans="1:11" x14ac:dyDescent="0.25">
      <c r="A16" s="52">
        <v>1050</v>
      </c>
      <c r="B16" s="57">
        <v>1188500000</v>
      </c>
      <c r="K16">
        <f>INDEX(OutputValues,12,$J$4)</f>
        <v>1188500000</v>
      </c>
    </row>
    <row r="17" spans="1:11" x14ac:dyDescent="0.25">
      <c r="A17" s="52">
        <v>1100</v>
      </c>
      <c r="B17" s="57">
        <v>1191000000</v>
      </c>
      <c r="K17">
        <f>INDEX(OutputValues,13,$J$4)</f>
        <v>1191000000</v>
      </c>
    </row>
    <row r="18" spans="1:11" x14ac:dyDescent="0.25">
      <c r="A18" s="52">
        <v>1150</v>
      </c>
      <c r="B18" s="57">
        <v>1193500000</v>
      </c>
      <c r="K18">
        <f>INDEX(OutputValues,14,$J$4)</f>
        <v>1193500000</v>
      </c>
    </row>
    <row r="19" spans="1:11" x14ac:dyDescent="0.25">
      <c r="A19" s="52">
        <v>1200</v>
      </c>
      <c r="B19" s="57">
        <v>1196000000</v>
      </c>
      <c r="K19">
        <f>INDEX(OutputValues,15,$J$4)</f>
        <v>1196000000</v>
      </c>
    </row>
    <row r="20" spans="1:11" x14ac:dyDescent="0.25">
      <c r="A20" s="52">
        <v>1250</v>
      </c>
      <c r="B20" s="57">
        <v>1198500000</v>
      </c>
      <c r="K20">
        <f>INDEX(OutputValues,16,$J$4)</f>
        <v>1198500000</v>
      </c>
    </row>
    <row r="21" spans="1:11" x14ac:dyDescent="0.25">
      <c r="A21" s="52">
        <v>1300</v>
      </c>
      <c r="B21" s="57">
        <v>1201000000</v>
      </c>
      <c r="K21">
        <f>INDEX(OutputValues,17,$J$4)</f>
        <v>1201000000</v>
      </c>
    </row>
    <row r="22" spans="1:11" x14ac:dyDescent="0.25">
      <c r="A22" s="52">
        <v>1350</v>
      </c>
      <c r="B22" s="57">
        <v>1203500000</v>
      </c>
      <c r="K22">
        <f>INDEX(OutputValues,18,$J$4)</f>
        <v>1203500000</v>
      </c>
    </row>
    <row r="23" spans="1:11" x14ac:dyDescent="0.25">
      <c r="A23" s="52">
        <v>1400</v>
      </c>
      <c r="B23" s="57">
        <v>1206000000</v>
      </c>
      <c r="K23">
        <f>INDEX(OutputValues,19,$J$4)</f>
        <v>1206000000</v>
      </c>
    </row>
    <row r="24" spans="1:11" x14ac:dyDescent="0.25">
      <c r="A24" s="52">
        <v>1450</v>
      </c>
      <c r="B24" s="57">
        <v>1208500000</v>
      </c>
      <c r="K24">
        <f>INDEX(OutputValues,20,$J$4)</f>
        <v>1208500000</v>
      </c>
    </row>
    <row r="25" spans="1:11" x14ac:dyDescent="0.25">
      <c r="A25" s="52">
        <v>1500</v>
      </c>
      <c r="B25" s="57">
        <v>1211000000</v>
      </c>
      <c r="K25">
        <f>INDEX(OutputValues,21,$J$4)</f>
        <v>1211000000</v>
      </c>
    </row>
    <row r="26" spans="1:11" x14ac:dyDescent="0.25">
      <c r="A26" s="52">
        <v>1550</v>
      </c>
      <c r="B26" s="57">
        <v>1213500000</v>
      </c>
      <c r="K26">
        <f>INDEX(OutputValues,22,$J$4)</f>
        <v>1213500000</v>
      </c>
    </row>
    <row r="27" spans="1:11" x14ac:dyDescent="0.25">
      <c r="A27" s="52">
        <v>1600</v>
      </c>
      <c r="B27" s="57">
        <v>1216000000</v>
      </c>
      <c r="K27">
        <f>INDEX(OutputValues,23,$J$4)</f>
        <v>1216000000</v>
      </c>
    </row>
    <row r="28" spans="1:11" x14ac:dyDescent="0.25">
      <c r="A28" s="52">
        <v>1650</v>
      </c>
      <c r="B28" s="57">
        <v>1218500000</v>
      </c>
      <c r="K28">
        <f>INDEX(OutputValues,24,$J$4)</f>
        <v>1218500000</v>
      </c>
    </row>
    <row r="29" spans="1:11" x14ac:dyDescent="0.25">
      <c r="A29" s="52">
        <v>1700</v>
      </c>
      <c r="B29" s="57">
        <v>1221000000</v>
      </c>
      <c r="K29">
        <f>INDEX(OutputValues,25,$J$4)</f>
        <v>1221000000</v>
      </c>
    </row>
    <row r="30" spans="1:11" x14ac:dyDescent="0.25">
      <c r="A30" s="52">
        <v>1750</v>
      </c>
      <c r="B30" s="57">
        <v>1223500000</v>
      </c>
      <c r="K30">
        <f>INDEX(OutputValues,26,$J$4)</f>
        <v>1223500000</v>
      </c>
    </row>
    <row r="31" spans="1:11" x14ac:dyDescent="0.25">
      <c r="A31" s="52">
        <v>1800</v>
      </c>
      <c r="B31" s="57">
        <v>1226000000</v>
      </c>
      <c r="K31">
        <f>INDEX(OutputValues,27,$J$4)</f>
        <v>1226000000</v>
      </c>
    </row>
    <row r="32" spans="1:11" x14ac:dyDescent="0.25">
      <c r="A32" s="52">
        <v>1850</v>
      </c>
      <c r="B32" s="57">
        <v>1228500000</v>
      </c>
      <c r="K32">
        <f>INDEX(OutputValues,28,$J$4)</f>
        <v>1228500000</v>
      </c>
    </row>
    <row r="33" spans="1:11" x14ac:dyDescent="0.25">
      <c r="A33" s="52">
        <v>1900</v>
      </c>
      <c r="B33" s="57">
        <v>1231000000</v>
      </c>
      <c r="K33">
        <f>INDEX(OutputValues,29,$J$4)</f>
        <v>1231000000</v>
      </c>
    </row>
    <row r="34" spans="1:11" x14ac:dyDescent="0.25">
      <c r="A34" s="52">
        <v>1950</v>
      </c>
      <c r="B34" s="57">
        <v>1233500000</v>
      </c>
      <c r="K34">
        <f>INDEX(OutputValues,30,$J$4)</f>
        <v>1233500000</v>
      </c>
    </row>
    <row r="35" spans="1:11" x14ac:dyDescent="0.25">
      <c r="A35" s="52">
        <v>2000</v>
      </c>
      <c r="B35" s="57">
        <v>1236000000</v>
      </c>
      <c r="K35">
        <f>INDEX(OutputValues,31,$J$4)</f>
        <v>1236000000</v>
      </c>
    </row>
    <row r="36" spans="1:11" x14ac:dyDescent="0.25">
      <c r="A36" s="52">
        <v>2050</v>
      </c>
      <c r="B36" s="57">
        <v>1238500000</v>
      </c>
      <c r="K36">
        <f>INDEX(OutputValues,32,$J$4)</f>
        <v>1238500000</v>
      </c>
    </row>
    <row r="37" spans="1:11" x14ac:dyDescent="0.25">
      <c r="A37" s="52">
        <v>2100</v>
      </c>
      <c r="B37" s="57">
        <v>1241000000</v>
      </c>
      <c r="K37">
        <f>INDEX(OutputValues,33,$J$4)</f>
        <v>1241000000</v>
      </c>
    </row>
    <row r="38" spans="1:11" x14ac:dyDescent="0.25">
      <c r="A38" s="52">
        <v>2150</v>
      </c>
      <c r="B38" s="57">
        <v>1243500000</v>
      </c>
      <c r="K38">
        <f>INDEX(OutputValues,34,$J$4)</f>
        <v>1243500000</v>
      </c>
    </row>
    <row r="39" spans="1:11" x14ac:dyDescent="0.25">
      <c r="A39" s="52">
        <v>2200</v>
      </c>
      <c r="B39" s="57">
        <v>1246000000</v>
      </c>
      <c r="K39">
        <f>INDEX(OutputValues,35,$J$4)</f>
        <v>1246000000</v>
      </c>
    </row>
    <row r="40" spans="1:11" x14ac:dyDescent="0.25">
      <c r="A40" s="52">
        <v>2250</v>
      </c>
      <c r="B40" s="57">
        <v>1248500000</v>
      </c>
      <c r="K40">
        <f>INDEX(OutputValues,36,$J$4)</f>
        <v>1248500000</v>
      </c>
    </row>
    <row r="41" spans="1:11" x14ac:dyDescent="0.25">
      <c r="A41" s="52">
        <v>2300</v>
      </c>
      <c r="B41" s="57">
        <v>1251000000</v>
      </c>
      <c r="K41">
        <f>INDEX(OutputValues,37,$J$4)</f>
        <v>1251000000</v>
      </c>
    </row>
    <row r="42" spans="1:11" x14ac:dyDescent="0.25">
      <c r="A42" s="52">
        <v>2350</v>
      </c>
      <c r="B42" s="57">
        <v>1253500000</v>
      </c>
      <c r="K42">
        <f>INDEX(OutputValues,38,$J$4)</f>
        <v>1253500000</v>
      </c>
    </row>
    <row r="43" spans="1:11" x14ac:dyDescent="0.25">
      <c r="A43" s="52">
        <v>2400</v>
      </c>
      <c r="B43" s="57">
        <v>1256000000</v>
      </c>
      <c r="K43">
        <f>INDEX(OutputValues,39,$J$4)</f>
        <v>1256000000</v>
      </c>
    </row>
    <row r="44" spans="1:11" x14ac:dyDescent="0.25">
      <c r="A44" s="52">
        <v>2450</v>
      </c>
      <c r="B44" s="57">
        <v>1258500000</v>
      </c>
      <c r="K44">
        <f>INDEX(OutputValues,40,$J$4)</f>
        <v>1258500000</v>
      </c>
    </row>
    <row r="45" spans="1:11" x14ac:dyDescent="0.25">
      <c r="A45" s="52">
        <v>2500</v>
      </c>
      <c r="B45" s="57">
        <v>1261000000</v>
      </c>
      <c r="K45">
        <f>INDEX(OutputValues,41,$J$4)</f>
        <v>1261000000</v>
      </c>
    </row>
    <row r="46" spans="1:11" x14ac:dyDescent="0.25">
      <c r="A46" s="52">
        <v>2550</v>
      </c>
      <c r="B46" s="57">
        <v>1263500000</v>
      </c>
      <c r="K46">
        <f>INDEX(OutputValues,42,$J$4)</f>
        <v>1263500000</v>
      </c>
    </row>
    <row r="47" spans="1:11" x14ac:dyDescent="0.25">
      <c r="A47" s="52">
        <v>2600</v>
      </c>
      <c r="B47" s="57">
        <v>1264000000</v>
      </c>
      <c r="K47">
        <f>INDEX(OutputValues,43,$J$4)</f>
        <v>1264000000</v>
      </c>
    </row>
    <row r="48" spans="1:11" x14ac:dyDescent="0.25">
      <c r="A48" s="52">
        <v>2650</v>
      </c>
      <c r="B48" s="57">
        <v>1264000000</v>
      </c>
      <c r="K48">
        <f>INDEX(OutputValues,44,$J$4)</f>
        <v>1264000000</v>
      </c>
    </row>
    <row r="49" spans="1:11" x14ac:dyDescent="0.25">
      <c r="A49" s="52">
        <v>2700</v>
      </c>
      <c r="B49" s="57">
        <v>1264000000</v>
      </c>
      <c r="K49">
        <f>INDEX(OutputValues,45,$J$4)</f>
        <v>1264000000</v>
      </c>
    </row>
    <row r="50" spans="1:11" x14ac:dyDescent="0.25">
      <c r="A50" s="52">
        <v>2750</v>
      </c>
      <c r="B50" s="57">
        <v>1264000000</v>
      </c>
      <c r="K50">
        <f>INDEX(OutputValues,46,$J$4)</f>
        <v>1264000000</v>
      </c>
    </row>
    <row r="51" spans="1:11" x14ac:dyDescent="0.25">
      <c r="A51" s="52">
        <v>2800</v>
      </c>
      <c r="B51" s="57">
        <v>1264000000</v>
      </c>
      <c r="K51">
        <f>INDEX(OutputValues,47,$J$4)</f>
        <v>1264000000</v>
      </c>
    </row>
    <row r="52" spans="1:11" x14ac:dyDescent="0.25">
      <c r="A52" s="52">
        <v>2850</v>
      </c>
      <c r="B52" s="57">
        <v>1264000000</v>
      </c>
      <c r="K52">
        <f>INDEX(OutputValues,48,$J$4)</f>
        <v>1264000000</v>
      </c>
    </row>
    <row r="53" spans="1:11" x14ac:dyDescent="0.25">
      <c r="A53" s="52">
        <v>2900</v>
      </c>
      <c r="B53" s="57">
        <v>1264000000</v>
      </c>
      <c r="K53">
        <f>INDEX(OutputValues,49,$J$4)</f>
        <v>1264000000</v>
      </c>
    </row>
    <row r="54" spans="1:11" x14ac:dyDescent="0.25">
      <c r="A54" s="52">
        <v>2950</v>
      </c>
      <c r="B54" s="57">
        <v>1264000000</v>
      </c>
      <c r="K54">
        <f>INDEX(OutputValues,50,$J$4)</f>
        <v>1264000000</v>
      </c>
    </row>
    <row r="55" spans="1:11" x14ac:dyDescent="0.25">
      <c r="A55" s="52">
        <v>3000</v>
      </c>
      <c r="B55" s="57">
        <v>1264000000</v>
      </c>
      <c r="K55">
        <f>INDEX(OutputValues,51,$J$4)</f>
        <v>1264000000</v>
      </c>
    </row>
    <row r="56" spans="1:11" x14ac:dyDescent="0.25">
      <c r="A56" s="52">
        <v>3050</v>
      </c>
      <c r="B56" s="57">
        <v>1264000000</v>
      </c>
      <c r="K56">
        <f>INDEX(OutputValues,52,$J$4)</f>
        <v>1264000000</v>
      </c>
    </row>
    <row r="57" spans="1:11" x14ac:dyDescent="0.25">
      <c r="A57" s="52">
        <v>3100</v>
      </c>
      <c r="B57" s="57">
        <v>1264000000</v>
      </c>
      <c r="K57">
        <f>INDEX(OutputValues,53,$J$4)</f>
        <v>1264000000</v>
      </c>
    </row>
    <row r="58" spans="1:11" x14ac:dyDescent="0.25">
      <c r="A58" s="52">
        <v>3150</v>
      </c>
      <c r="B58" s="57">
        <v>1264000000</v>
      </c>
      <c r="K58">
        <f>INDEX(OutputValues,54,$J$4)</f>
        <v>1264000000</v>
      </c>
    </row>
    <row r="59" spans="1:11" x14ac:dyDescent="0.25">
      <c r="A59" s="52">
        <v>3200</v>
      </c>
      <c r="B59" s="57">
        <v>1264000000</v>
      </c>
      <c r="K59">
        <f>INDEX(OutputValues,55,$J$4)</f>
        <v>1264000000</v>
      </c>
    </row>
    <row r="60" spans="1:11" x14ac:dyDescent="0.25">
      <c r="A60" s="52">
        <v>3250</v>
      </c>
      <c r="B60" s="57">
        <v>1264000000</v>
      </c>
      <c r="K60">
        <f>INDEX(OutputValues,56,$J$4)</f>
        <v>1264000000</v>
      </c>
    </row>
    <row r="61" spans="1:11" x14ac:dyDescent="0.25">
      <c r="A61" s="52">
        <v>3300</v>
      </c>
      <c r="B61" s="57">
        <v>1264000000</v>
      </c>
      <c r="K61">
        <f>INDEX(OutputValues,57,$J$4)</f>
        <v>1264000000</v>
      </c>
    </row>
    <row r="62" spans="1:11" x14ac:dyDescent="0.25">
      <c r="A62" s="52">
        <v>3350</v>
      </c>
      <c r="B62" s="57">
        <v>1264000000</v>
      </c>
      <c r="K62">
        <f>INDEX(OutputValues,58,$J$4)</f>
        <v>1264000000</v>
      </c>
    </row>
    <row r="63" spans="1:11" x14ac:dyDescent="0.25">
      <c r="A63" s="52">
        <v>3400</v>
      </c>
      <c r="B63" s="57">
        <v>1264000000</v>
      </c>
      <c r="K63">
        <f>INDEX(OutputValues,59,$J$4)</f>
        <v>1264000000</v>
      </c>
    </row>
    <row r="64" spans="1:11" x14ac:dyDescent="0.25">
      <c r="A64" s="52">
        <v>3450</v>
      </c>
      <c r="B64" s="57">
        <v>1264000000</v>
      </c>
      <c r="K64">
        <f>INDEX(OutputValues,60,$J$4)</f>
        <v>1264000000</v>
      </c>
    </row>
    <row r="65" spans="1:11" x14ac:dyDescent="0.25">
      <c r="A65" s="52">
        <v>3500</v>
      </c>
      <c r="B65" s="57">
        <v>1264000000</v>
      </c>
      <c r="K65">
        <f>INDEX(OutputValues,61,$J$4)</f>
        <v>1264000000</v>
      </c>
    </row>
    <row r="66" spans="1:11" x14ac:dyDescent="0.25">
      <c r="A66" s="52">
        <v>3550</v>
      </c>
      <c r="B66" s="57">
        <v>1264000000</v>
      </c>
      <c r="K66">
        <f>INDEX(OutputValues,62,$J$4)</f>
        <v>1264000000</v>
      </c>
    </row>
    <row r="67" spans="1:11" x14ac:dyDescent="0.25">
      <c r="A67" s="52">
        <v>3600</v>
      </c>
      <c r="B67" s="57">
        <v>1264000000</v>
      </c>
      <c r="K67">
        <f>INDEX(OutputValues,63,$J$4)</f>
        <v>1264000000</v>
      </c>
    </row>
    <row r="68" spans="1:11" x14ac:dyDescent="0.25">
      <c r="A68" s="52">
        <v>3650</v>
      </c>
      <c r="B68" s="57">
        <v>1264000000</v>
      </c>
      <c r="K68">
        <f>INDEX(OutputValues,64,$J$4)</f>
        <v>1264000000</v>
      </c>
    </row>
    <row r="69" spans="1:11" x14ac:dyDescent="0.25">
      <c r="A69" s="52">
        <v>3700</v>
      </c>
      <c r="B69" s="57">
        <v>1264000000</v>
      </c>
      <c r="K69">
        <f>INDEX(OutputValues,65,$J$4)</f>
        <v>1264000000</v>
      </c>
    </row>
    <row r="70" spans="1:11" x14ac:dyDescent="0.25">
      <c r="A70" s="52">
        <v>3750</v>
      </c>
      <c r="B70" s="57">
        <v>1264000000</v>
      </c>
      <c r="K70">
        <f>INDEX(OutputValues,66,$J$4)</f>
        <v>1264000000</v>
      </c>
    </row>
    <row r="71" spans="1:11" x14ac:dyDescent="0.25">
      <c r="A71" s="52">
        <v>3800</v>
      </c>
      <c r="B71" s="57">
        <v>1264000000</v>
      </c>
      <c r="K71">
        <f>INDEX(OutputValues,67,$J$4)</f>
        <v>1264000000</v>
      </c>
    </row>
    <row r="72" spans="1:11" x14ac:dyDescent="0.25">
      <c r="A72" s="52">
        <v>3850</v>
      </c>
      <c r="B72" s="57">
        <v>1264000000</v>
      </c>
      <c r="K72">
        <f>INDEX(OutputValues,68,$J$4)</f>
        <v>1264000000</v>
      </c>
    </row>
    <row r="73" spans="1:11" x14ac:dyDescent="0.25">
      <c r="A73" s="52">
        <v>3900</v>
      </c>
      <c r="B73" s="57">
        <v>1264000000</v>
      </c>
      <c r="K73">
        <f>INDEX(OutputValues,69,$J$4)</f>
        <v>1264000000</v>
      </c>
    </row>
    <row r="74" spans="1:11" x14ac:dyDescent="0.25">
      <c r="A74" s="52">
        <v>3950</v>
      </c>
      <c r="B74" s="57">
        <v>1264000000</v>
      </c>
      <c r="K74">
        <f>INDEX(OutputValues,70,$J$4)</f>
        <v>1264000000</v>
      </c>
    </row>
    <row r="75" spans="1:11" x14ac:dyDescent="0.25">
      <c r="A75" s="52">
        <v>4000</v>
      </c>
      <c r="B75" s="57">
        <v>1264000000</v>
      </c>
      <c r="K75">
        <f>INDEX(OutputValues,71,$J$4)</f>
        <v>1264000000</v>
      </c>
    </row>
    <row r="76" spans="1:11" x14ac:dyDescent="0.25">
      <c r="A76" s="52">
        <v>4050</v>
      </c>
      <c r="B76" s="57">
        <v>1264000000</v>
      </c>
      <c r="K76">
        <f>INDEX(OutputValues,72,$J$4)</f>
        <v>1264000000</v>
      </c>
    </row>
    <row r="77" spans="1:11" x14ac:dyDescent="0.25">
      <c r="A77" s="52">
        <v>4100</v>
      </c>
      <c r="B77" s="57">
        <v>1264000000</v>
      </c>
      <c r="K77">
        <f>INDEX(OutputValues,73,$J$4)</f>
        <v>1264000000</v>
      </c>
    </row>
    <row r="78" spans="1:11" x14ac:dyDescent="0.25">
      <c r="A78" s="52">
        <v>4150</v>
      </c>
      <c r="B78" s="57">
        <v>1264000000</v>
      </c>
      <c r="K78">
        <f>INDEX(OutputValues,74,$J$4)</f>
        <v>1264000000</v>
      </c>
    </row>
    <row r="79" spans="1:11" x14ac:dyDescent="0.25">
      <c r="A79" s="52">
        <v>4200</v>
      </c>
      <c r="B79" s="57">
        <v>1264000000</v>
      </c>
      <c r="K79">
        <f>INDEX(OutputValues,75,$J$4)</f>
        <v>1264000000</v>
      </c>
    </row>
    <row r="80" spans="1:11" x14ac:dyDescent="0.25">
      <c r="A80" s="52">
        <v>4250</v>
      </c>
      <c r="B80" s="57">
        <v>1264000000</v>
      </c>
      <c r="K80">
        <f>INDEX(OutputValues,76,$J$4)</f>
        <v>1264000000</v>
      </c>
    </row>
    <row r="81" spans="1:11" x14ac:dyDescent="0.25">
      <c r="A81" s="52">
        <v>4300</v>
      </c>
      <c r="B81" s="57">
        <v>1264000000</v>
      </c>
      <c r="K81">
        <f>INDEX(OutputValues,77,$J$4)</f>
        <v>1264000000</v>
      </c>
    </row>
    <row r="82" spans="1:11" x14ac:dyDescent="0.25">
      <c r="A82" s="52">
        <v>4350</v>
      </c>
      <c r="B82" s="57">
        <v>1264000000</v>
      </c>
      <c r="K82">
        <f>INDEX(OutputValues,78,$J$4)</f>
        <v>1264000000</v>
      </c>
    </row>
    <row r="83" spans="1:11" x14ac:dyDescent="0.25">
      <c r="A83" s="52">
        <v>4400</v>
      </c>
      <c r="B83" s="57">
        <v>1264000000</v>
      </c>
      <c r="K83">
        <f>INDEX(OutputValues,79,$J$4)</f>
        <v>1264000000</v>
      </c>
    </row>
    <row r="84" spans="1:11" x14ac:dyDescent="0.25">
      <c r="A84" s="52">
        <v>4450</v>
      </c>
      <c r="B84" s="57">
        <v>1264000000</v>
      </c>
      <c r="K84">
        <f>INDEX(OutputValues,80,$J$4)</f>
        <v>1264000000</v>
      </c>
    </row>
    <row r="85" spans="1:11" x14ac:dyDescent="0.25">
      <c r="A85" s="52">
        <v>4500</v>
      </c>
      <c r="B85" s="57">
        <v>1264000000</v>
      </c>
      <c r="K85">
        <f>INDEX(OutputValues,81,$J$4)</f>
        <v>1264000000</v>
      </c>
    </row>
    <row r="86" spans="1:11" x14ac:dyDescent="0.25">
      <c r="A86" s="52">
        <v>4550</v>
      </c>
      <c r="B86" s="57">
        <v>1264000000</v>
      </c>
      <c r="K86">
        <f>INDEX(OutputValues,82,$J$4)</f>
        <v>1264000000</v>
      </c>
    </row>
    <row r="87" spans="1:11" x14ac:dyDescent="0.25">
      <c r="A87" s="52">
        <v>4600</v>
      </c>
      <c r="B87" s="57">
        <v>1264000000</v>
      </c>
      <c r="K87">
        <f>INDEX(OutputValues,83,$J$4)</f>
        <v>1264000000</v>
      </c>
    </row>
    <row r="88" spans="1:11" x14ac:dyDescent="0.25">
      <c r="A88" s="52">
        <v>4650</v>
      </c>
      <c r="B88" s="57">
        <v>1264000000</v>
      </c>
      <c r="K88">
        <f>INDEX(OutputValues,84,$J$4)</f>
        <v>1264000000</v>
      </c>
    </row>
    <row r="89" spans="1:11" x14ac:dyDescent="0.25">
      <c r="A89" s="52">
        <v>4700</v>
      </c>
      <c r="B89" s="57">
        <v>1264000000</v>
      </c>
      <c r="K89">
        <f>INDEX(OutputValues,85,$J$4)</f>
        <v>1264000000</v>
      </c>
    </row>
    <row r="90" spans="1:11" x14ac:dyDescent="0.25">
      <c r="A90" s="52">
        <v>4750</v>
      </c>
      <c r="B90" s="57">
        <v>1264000000</v>
      </c>
      <c r="K90">
        <f>INDEX(OutputValues,86,$J$4)</f>
        <v>1264000000</v>
      </c>
    </row>
    <row r="91" spans="1:11" x14ac:dyDescent="0.25">
      <c r="A91" s="52">
        <v>4800</v>
      </c>
      <c r="B91" s="57">
        <v>1264000000</v>
      </c>
      <c r="K91">
        <f>INDEX(OutputValues,87,$J$4)</f>
        <v>1264000000</v>
      </c>
    </row>
    <row r="92" spans="1:11" x14ac:dyDescent="0.25">
      <c r="A92" s="52">
        <v>4850</v>
      </c>
      <c r="B92" s="57">
        <v>1264000000</v>
      </c>
      <c r="K92">
        <f>INDEX(OutputValues,88,$J$4)</f>
        <v>1264000000</v>
      </c>
    </row>
    <row r="93" spans="1:11" x14ac:dyDescent="0.25">
      <c r="A93" s="52">
        <v>4900</v>
      </c>
      <c r="B93" s="57">
        <v>1264000000</v>
      </c>
      <c r="K93">
        <f>INDEX(OutputValues,89,$J$4)</f>
        <v>1264000000</v>
      </c>
    </row>
    <row r="94" spans="1:11" x14ac:dyDescent="0.25">
      <c r="A94" s="52">
        <v>4950</v>
      </c>
      <c r="B94" s="57">
        <v>1264000000</v>
      </c>
      <c r="K94">
        <f>INDEX(OutputValues,90,$J$4)</f>
        <v>1264000000</v>
      </c>
    </row>
    <row r="95" spans="1:11" x14ac:dyDescent="0.25">
      <c r="A95" s="52">
        <v>5000</v>
      </c>
      <c r="B95" s="58">
        <v>1264000000</v>
      </c>
      <c r="K95">
        <f>INDEX(OutputValues,91,$J$4)</f>
        <v>1264000000</v>
      </c>
    </row>
  </sheetData>
  <dataValidations count="1">
    <dataValidation type="list" allowBlank="1" showInputMessage="1" showErrorMessage="1" sqref="K4" xr:uid="{58E5C658-E599-40EB-B809-02A41E484AE2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3347-24D6-4DA4-9B57-7336E1843063}">
  <dimension ref="A1:K95"/>
  <sheetViews>
    <sheetView workbookViewId="0">
      <selection activeCell="T9" sqref="T9"/>
    </sheetView>
  </sheetViews>
  <sheetFormatPr defaultRowHeight="15" x14ac:dyDescent="0.25"/>
  <cols>
    <col min="2" max="2" width="16.85546875" bestFit="1" customWidth="1"/>
  </cols>
  <sheetData>
    <row r="1" spans="1:11" x14ac:dyDescent="0.25">
      <c r="A1" s="51" t="s">
        <v>72</v>
      </c>
      <c r="K1" s="55" t="str">
        <f>CONCATENATE("Sensitivity of ",$K$4," to ","Adjusted Demand for MobXR")</f>
        <v>Sensitivity of $B$27 to Adjusted Demand for MobXR</v>
      </c>
    </row>
    <row r="3" spans="1:11" x14ac:dyDescent="0.25">
      <c r="A3" t="s">
        <v>77</v>
      </c>
      <c r="K3" t="s">
        <v>73</v>
      </c>
    </row>
    <row r="4" spans="1:11" ht="32.25" x14ac:dyDescent="0.25">
      <c r="B4" s="53" t="s">
        <v>57</v>
      </c>
      <c r="J4" s="55">
        <f>MATCH($K$4,OutputAddresses,0)</f>
        <v>1</v>
      </c>
      <c r="K4" s="54" t="s">
        <v>57</v>
      </c>
    </row>
    <row r="5" spans="1:11" x14ac:dyDescent="0.25">
      <c r="A5" s="52">
        <v>500</v>
      </c>
      <c r="B5" s="56">
        <v>1240850000</v>
      </c>
      <c r="K5">
        <f>INDEX(OutputValues,1,$J$4)</f>
        <v>1240850000</v>
      </c>
    </row>
    <row r="6" spans="1:11" x14ac:dyDescent="0.25">
      <c r="A6" s="52">
        <v>550</v>
      </c>
      <c r="B6" s="57">
        <v>1240850000</v>
      </c>
      <c r="K6">
        <f>INDEX(OutputValues,2,$J$4)</f>
        <v>1240850000</v>
      </c>
    </row>
    <row r="7" spans="1:11" x14ac:dyDescent="0.25">
      <c r="A7" s="52">
        <v>600</v>
      </c>
      <c r="B7" s="57">
        <v>1240850000</v>
      </c>
      <c r="K7">
        <f>INDEX(OutputValues,3,$J$4)</f>
        <v>1240850000</v>
      </c>
    </row>
    <row r="8" spans="1:11" x14ac:dyDescent="0.25">
      <c r="A8" s="52">
        <v>650</v>
      </c>
      <c r="B8" s="57">
        <v>1240850000</v>
      </c>
      <c r="K8">
        <f>INDEX(OutputValues,4,$J$4)</f>
        <v>1240850000</v>
      </c>
    </row>
    <row r="9" spans="1:11" x14ac:dyDescent="0.25">
      <c r="A9" s="52">
        <v>700</v>
      </c>
      <c r="B9" s="57">
        <v>1240850000</v>
      </c>
      <c r="K9">
        <f>INDEX(OutputValues,5,$J$4)</f>
        <v>1240850000</v>
      </c>
    </row>
    <row r="10" spans="1:11" x14ac:dyDescent="0.25">
      <c r="A10" s="52">
        <v>750</v>
      </c>
      <c r="B10" s="57">
        <v>1240850000</v>
      </c>
      <c r="K10">
        <f>INDEX(OutputValues,6,$J$4)</f>
        <v>1240850000</v>
      </c>
    </row>
    <row r="11" spans="1:11" x14ac:dyDescent="0.25">
      <c r="A11" s="52">
        <v>800</v>
      </c>
      <c r="B11" s="57">
        <v>1240850000</v>
      </c>
      <c r="K11">
        <f>INDEX(OutputValues,7,$J$4)</f>
        <v>1240850000</v>
      </c>
    </row>
    <row r="12" spans="1:11" x14ac:dyDescent="0.25">
      <c r="A12" s="52">
        <v>850</v>
      </c>
      <c r="B12" s="57">
        <v>1240850000</v>
      </c>
      <c r="K12">
        <f>INDEX(OutputValues,8,$J$4)</f>
        <v>1240850000</v>
      </c>
    </row>
    <row r="13" spans="1:11" x14ac:dyDescent="0.25">
      <c r="A13" s="52">
        <v>900</v>
      </c>
      <c r="B13" s="57">
        <v>1240850000</v>
      </c>
      <c r="K13">
        <f>INDEX(OutputValues,9,$J$4)</f>
        <v>1240850000</v>
      </c>
    </row>
    <row r="14" spans="1:11" x14ac:dyDescent="0.25">
      <c r="A14" s="52">
        <v>950</v>
      </c>
      <c r="B14" s="57">
        <v>1240850000</v>
      </c>
      <c r="K14">
        <f>INDEX(OutputValues,10,$J$4)</f>
        <v>1240850000</v>
      </c>
    </row>
    <row r="15" spans="1:11" x14ac:dyDescent="0.25">
      <c r="A15" s="52">
        <v>1000</v>
      </c>
      <c r="B15" s="57">
        <v>1240850000</v>
      </c>
      <c r="K15">
        <f>INDEX(OutputValues,11,$J$4)</f>
        <v>1240850000</v>
      </c>
    </row>
    <row r="16" spans="1:11" x14ac:dyDescent="0.25">
      <c r="A16" s="52">
        <v>1050</v>
      </c>
      <c r="B16" s="57">
        <v>1240850000</v>
      </c>
      <c r="K16">
        <f>INDEX(OutputValues,12,$J$4)</f>
        <v>1240850000</v>
      </c>
    </row>
    <row r="17" spans="1:11" x14ac:dyDescent="0.25">
      <c r="A17" s="52">
        <v>1100</v>
      </c>
      <c r="B17" s="57">
        <v>1240850000</v>
      </c>
      <c r="K17">
        <f>INDEX(OutputValues,13,$J$4)</f>
        <v>1240850000</v>
      </c>
    </row>
    <row r="18" spans="1:11" x14ac:dyDescent="0.25">
      <c r="A18" s="52">
        <v>1150</v>
      </c>
      <c r="B18" s="57">
        <v>1240850000</v>
      </c>
      <c r="K18">
        <f>INDEX(OutputValues,14,$J$4)</f>
        <v>1240850000</v>
      </c>
    </row>
    <row r="19" spans="1:11" x14ac:dyDescent="0.25">
      <c r="A19" s="52">
        <v>1200</v>
      </c>
      <c r="B19" s="57">
        <v>1240850000</v>
      </c>
      <c r="K19">
        <f>INDEX(OutputValues,15,$J$4)</f>
        <v>1240850000</v>
      </c>
    </row>
    <row r="20" spans="1:11" x14ac:dyDescent="0.25">
      <c r="A20" s="52">
        <v>1250</v>
      </c>
      <c r="B20" s="57">
        <v>1240850000</v>
      </c>
      <c r="K20">
        <f>INDEX(OutputValues,16,$J$4)</f>
        <v>1240850000</v>
      </c>
    </row>
    <row r="21" spans="1:11" x14ac:dyDescent="0.25">
      <c r="A21" s="52">
        <v>1300</v>
      </c>
      <c r="B21" s="57">
        <v>1240850000</v>
      </c>
      <c r="K21">
        <f>INDEX(OutputValues,17,$J$4)</f>
        <v>1240850000</v>
      </c>
    </row>
    <row r="22" spans="1:11" x14ac:dyDescent="0.25">
      <c r="A22" s="52">
        <v>1350</v>
      </c>
      <c r="B22" s="57">
        <v>1240850000</v>
      </c>
      <c r="K22">
        <f>INDEX(OutputValues,18,$J$4)</f>
        <v>1240850000</v>
      </c>
    </row>
    <row r="23" spans="1:11" x14ac:dyDescent="0.25">
      <c r="A23" s="52">
        <v>1400</v>
      </c>
      <c r="B23" s="57">
        <v>1240850000</v>
      </c>
      <c r="K23">
        <f>INDEX(OutputValues,19,$J$4)</f>
        <v>1240850000</v>
      </c>
    </row>
    <row r="24" spans="1:11" x14ac:dyDescent="0.25">
      <c r="A24" s="52">
        <v>1450</v>
      </c>
      <c r="B24" s="57">
        <v>1240850000</v>
      </c>
      <c r="K24">
        <f>INDEX(OutputValues,20,$J$4)</f>
        <v>1240850000</v>
      </c>
    </row>
    <row r="25" spans="1:11" x14ac:dyDescent="0.25">
      <c r="A25" s="52">
        <v>1500</v>
      </c>
      <c r="B25" s="57">
        <v>1240850000</v>
      </c>
      <c r="K25">
        <f>INDEX(OutputValues,21,$J$4)</f>
        <v>1240850000</v>
      </c>
    </row>
    <row r="26" spans="1:11" x14ac:dyDescent="0.25">
      <c r="A26" s="52">
        <v>1550</v>
      </c>
      <c r="B26" s="57">
        <v>1240850000</v>
      </c>
      <c r="K26">
        <f>INDEX(OutputValues,22,$J$4)</f>
        <v>1240850000</v>
      </c>
    </row>
    <row r="27" spans="1:11" x14ac:dyDescent="0.25">
      <c r="A27" s="52">
        <v>1600</v>
      </c>
      <c r="B27" s="57">
        <v>1240850000</v>
      </c>
      <c r="K27">
        <f>INDEX(OutputValues,23,$J$4)</f>
        <v>1240850000</v>
      </c>
    </row>
    <row r="28" spans="1:11" x14ac:dyDescent="0.25">
      <c r="A28" s="52">
        <v>1650</v>
      </c>
      <c r="B28" s="57">
        <v>1240850000</v>
      </c>
      <c r="K28">
        <f>INDEX(OutputValues,24,$J$4)</f>
        <v>1240850000</v>
      </c>
    </row>
    <row r="29" spans="1:11" x14ac:dyDescent="0.25">
      <c r="A29" s="52">
        <v>1700</v>
      </c>
      <c r="B29" s="57">
        <v>1240850000</v>
      </c>
      <c r="K29">
        <f>INDEX(OutputValues,25,$J$4)</f>
        <v>1240850000</v>
      </c>
    </row>
    <row r="30" spans="1:11" x14ac:dyDescent="0.25">
      <c r="A30" s="52">
        <v>1750</v>
      </c>
      <c r="B30" s="57">
        <v>1240850000</v>
      </c>
      <c r="K30">
        <f>INDEX(OutputValues,26,$J$4)</f>
        <v>1240850000</v>
      </c>
    </row>
    <row r="31" spans="1:11" x14ac:dyDescent="0.25">
      <c r="A31" s="52">
        <v>1800</v>
      </c>
      <c r="B31" s="57">
        <v>1240850000</v>
      </c>
      <c r="K31">
        <f>INDEX(OutputValues,27,$J$4)</f>
        <v>1240850000</v>
      </c>
    </row>
    <row r="32" spans="1:11" x14ac:dyDescent="0.25">
      <c r="A32" s="52">
        <v>1850</v>
      </c>
      <c r="B32" s="57">
        <v>1240850000</v>
      </c>
      <c r="K32">
        <f>INDEX(OutputValues,28,$J$4)</f>
        <v>1240850000</v>
      </c>
    </row>
    <row r="33" spans="1:11" x14ac:dyDescent="0.25">
      <c r="A33" s="52">
        <v>1900</v>
      </c>
      <c r="B33" s="57">
        <v>1240850000</v>
      </c>
      <c r="K33">
        <f>INDEX(OutputValues,29,$J$4)</f>
        <v>1240850000</v>
      </c>
    </row>
    <row r="34" spans="1:11" x14ac:dyDescent="0.25">
      <c r="A34" s="52">
        <v>1950</v>
      </c>
      <c r="B34" s="57">
        <v>1240850000</v>
      </c>
      <c r="K34">
        <f>INDEX(OutputValues,30,$J$4)</f>
        <v>1240850000</v>
      </c>
    </row>
    <row r="35" spans="1:11" x14ac:dyDescent="0.25">
      <c r="A35" s="52">
        <v>2000</v>
      </c>
      <c r="B35" s="57">
        <v>1240850000</v>
      </c>
      <c r="K35">
        <f>INDEX(OutputValues,31,$J$4)</f>
        <v>1240850000</v>
      </c>
    </row>
    <row r="36" spans="1:11" x14ac:dyDescent="0.25">
      <c r="A36" s="52">
        <v>2050</v>
      </c>
      <c r="B36" s="57">
        <v>1240850000</v>
      </c>
      <c r="K36">
        <f>INDEX(OutputValues,32,$J$4)</f>
        <v>1240850000</v>
      </c>
    </row>
    <row r="37" spans="1:11" x14ac:dyDescent="0.25">
      <c r="A37" s="52">
        <v>2100</v>
      </c>
      <c r="B37" s="57">
        <v>1240850000</v>
      </c>
      <c r="K37">
        <f>INDEX(OutputValues,33,$J$4)</f>
        <v>1240850000</v>
      </c>
    </row>
    <row r="38" spans="1:11" x14ac:dyDescent="0.25">
      <c r="A38" s="52">
        <v>2150</v>
      </c>
      <c r="B38" s="57">
        <v>1240850000</v>
      </c>
      <c r="K38">
        <f>INDEX(OutputValues,34,$J$4)</f>
        <v>1240850000</v>
      </c>
    </row>
    <row r="39" spans="1:11" x14ac:dyDescent="0.25">
      <c r="A39" s="52">
        <v>2200</v>
      </c>
      <c r="B39" s="57">
        <v>1240850000</v>
      </c>
      <c r="K39">
        <f>INDEX(OutputValues,35,$J$4)</f>
        <v>1240850000</v>
      </c>
    </row>
    <row r="40" spans="1:11" x14ac:dyDescent="0.25">
      <c r="A40" s="52">
        <v>2250</v>
      </c>
      <c r="B40" s="57">
        <v>1240850000</v>
      </c>
      <c r="K40">
        <f>INDEX(OutputValues,36,$J$4)</f>
        <v>1240850000</v>
      </c>
    </row>
    <row r="41" spans="1:11" x14ac:dyDescent="0.25">
      <c r="A41" s="52">
        <v>2300</v>
      </c>
      <c r="B41" s="57">
        <v>1240850000</v>
      </c>
      <c r="K41">
        <f>INDEX(OutputValues,37,$J$4)</f>
        <v>1240850000</v>
      </c>
    </row>
    <row r="42" spans="1:11" x14ac:dyDescent="0.25">
      <c r="A42" s="52">
        <v>2350</v>
      </c>
      <c r="B42" s="57">
        <v>1240850000</v>
      </c>
      <c r="K42">
        <f>INDEX(OutputValues,38,$J$4)</f>
        <v>1240850000</v>
      </c>
    </row>
    <row r="43" spans="1:11" x14ac:dyDescent="0.25">
      <c r="A43" s="52">
        <v>2400</v>
      </c>
      <c r="B43" s="57">
        <v>1240850000</v>
      </c>
      <c r="K43">
        <f>INDEX(OutputValues,39,$J$4)</f>
        <v>1240850000</v>
      </c>
    </row>
    <row r="44" spans="1:11" x14ac:dyDescent="0.25">
      <c r="A44" s="52">
        <v>2450</v>
      </c>
      <c r="B44" s="57">
        <v>1240850000</v>
      </c>
      <c r="K44">
        <f>INDEX(OutputValues,40,$J$4)</f>
        <v>1240850000</v>
      </c>
    </row>
    <row r="45" spans="1:11" x14ac:dyDescent="0.25">
      <c r="A45" s="52">
        <v>2500</v>
      </c>
      <c r="B45" s="57">
        <v>1240850000</v>
      </c>
      <c r="K45">
        <f>INDEX(OutputValues,41,$J$4)</f>
        <v>1240850000</v>
      </c>
    </row>
    <row r="46" spans="1:11" x14ac:dyDescent="0.25">
      <c r="A46" s="52">
        <v>2550</v>
      </c>
      <c r="B46" s="57">
        <v>1240850000</v>
      </c>
      <c r="K46">
        <f>INDEX(OutputValues,42,$J$4)</f>
        <v>1240850000</v>
      </c>
    </row>
    <row r="47" spans="1:11" x14ac:dyDescent="0.25">
      <c r="A47" s="52">
        <v>2600</v>
      </c>
      <c r="B47" s="57">
        <v>1240850000</v>
      </c>
      <c r="K47">
        <f>INDEX(OutputValues,43,$J$4)</f>
        <v>1240850000</v>
      </c>
    </row>
    <row r="48" spans="1:11" x14ac:dyDescent="0.25">
      <c r="A48" s="52">
        <v>2650</v>
      </c>
      <c r="B48" s="57">
        <v>1240850000</v>
      </c>
      <c r="K48">
        <f>INDEX(OutputValues,44,$J$4)</f>
        <v>1240850000</v>
      </c>
    </row>
    <row r="49" spans="1:11" x14ac:dyDescent="0.25">
      <c r="A49" s="52">
        <v>2700</v>
      </c>
      <c r="B49" s="57">
        <v>1240850000</v>
      </c>
      <c r="K49">
        <f>INDEX(OutputValues,45,$J$4)</f>
        <v>1240850000</v>
      </c>
    </row>
    <row r="50" spans="1:11" x14ac:dyDescent="0.25">
      <c r="A50" s="52">
        <v>2750</v>
      </c>
      <c r="B50" s="57">
        <v>1240850000</v>
      </c>
      <c r="K50">
        <f>INDEX(OutputValues,46,$J$4)</f>
        <v>1240850000</v>
      </c>
    </row>
    <row r="51" spans="1:11" x14ac:dyDescent="0.25">
      <c r="A51" s="52">
        <v>2800</v>
      </c>
      <c r="B51" s="57">
        <v>1240850000</v>
      </c>
      <c r="K51">
        <f>INDEX(OutputValues,47,$J$4)</f>
        <v>1240850000</v>
      </c>
    </row>
    <row r="52" spans="1:11" x14ac:dyDescent="0.25">
      <c r="A52" s="52">
        <v>2850</v>
      </c>
      <c r="B52" s="57">
        <v>1240850000</v>
      </c>
      <c r="K52">
        <f>INDEX(OutputValues,48,$J$4)</f>
        <v>1240850000</v>
      </c>
    </row>
    <row r="53" spans="1:11" x14ac:dyDescent="0.25">
      <c r="A53" s="52">
        <v>2900</v>
      </c>
      <c r="B53" s="57">
        <v>1240850000</v>
      </c>
      <c r="K53">
        <f>INDEX(OutputValues,49,$J$4)</f>
        <v>1240850000</v>
      </c>
    </row>
    <row r="54" spans="1:11" x14ac:dyDescent="0.25">
      <c r="A54" s="52">
        <v>2950</v>
      </c>
      <c r="B54" s="57">
        <v>1240850000</v>
      </c>
      <c r="K54">
        <f>INDEX(OutputValues,50,$J$4)</f>
        <v>1240850000</v>
      </c>
    </row>
    <row r="55" spans="1:11" x14ac:dyDescent="0.25">
      <c r="A55" s="52">
        <v>3000</v>
      </c>
      <c r="B55" s="57">
        <v>1240850000</v>
      </c>
      <c r="K55">
        <f>INDEX(OutputValues,51,$J$4)</f>
        <v>1240850000</v>
      </c>
    </row>
    <row r="56" spans="1:11" x14ac:dyDescent="0.25">
      <c r="A56" s="52">
        <v>3050</v>
      </c>
      <c r="B56" s="57">
        <v>1240850000</v>
      </c>
      <c r="K56">
        <f>INDEX(OutputValues,52,$J$4)</f>
        <v>1240850000</v>
      </c>
    </row>
    <row r="57" spans="1:11" x14ac:dyDescent="0.25">
      <c r="A57" s="52">
        <v>3100</v>
      </c>
      <c r="B57" s="57">
        <v>1240850000</v>
      </c>
      <c r="K57">
        <f>INDEX(OutputValues,53,$J$4)</f>
        <v>1240850000</v>
      </c>
    </row>
    <row r="58" spans="1:11" x14ac:dyDescent="0.25">
      <c r="A58" s="52">
        <v>3150</v>
      </c>
      <c r="B58" s="57">
        <v>1240850000</v>
      </c>
      <c r="K58">
        <f>INDEX(OutputValues,54,$J$4)</f>
        <v>1240850000</v>
      </c>
    </row>
    <row r="59" spans="1:11" x14ac:dyDescent="0.25">
      <c r="A59" s="52">
        <v>3200</v>
      </c>
      <c r="B59" s="57">
        <v>1240850000</v>
      </c>
      <c r="K59">
        <f>INDEX(OutputValues,55,$J$4)</f>
        <v>1240850000</v>
      </c>
    </row>
    <row r="60" spans="1:11" x14ac:dyDescent="0.25">
      <c r="A60" s="52">
        <v>3250</v>
      </c>
      <c r="B60" s="57">
        <v>1240850000</v>
      </c>
      <c r="K60">
        <f>INDEX(OutputValues,56,$J$4)</f>
        <v>1240850000</v>
      </c>
    </row>
    <row r="61" spans="1:11" x14ac:dyDescent="0.25">
      <c r="A61" s="52">
        <v>3300</v>
      </c>
      <c r="B61" s="57">
        <v>1240850000</v>
      </c>
      <c r="K61">
        <f>INDEX(OutputValues,57,$J$4)</f>
        <v>1240850000</v>
      </c>
    </row>
    <row r="62" spans="1:11" x14ac:dyDescent="0.25">
      <c r="A62" s="52">
        <v>3350</v>
      </c>
      <c r="B62" s="57">
        <v>1240850000</v>
      </c>
      <c r="K62">
        <f>INDEX(OutputValues,58,$J$4)</f>
        <v>1240850000</v>
      </c>
    </row>
    <row r="63" spans="1:11" x14ac:dyDescent="0.25">
      <c r="A63" s="52">
        <v>3400</v>
      </c>
      <c r="B63" s="57">
        <v>1240850000</v>
      </c>
      <c r="K63">
        <f>INDEX(OutputValues,59,$J$4)</f>
        <v>1240850000</v>
      </c>
    </row>
    <row r="64" spans="1:11" x14ac:dyDescent="0.25">
      <c r="A64" s="52">
        <v>3450</v>
      </c>
      <c r="B64" s="57">
        <v>1240850000</v>
      </c>
      <c r="K64">
        <f>INDEX(OutputValues,60,$J$4)</f>
        <v>1240850000</v>
      </c>
    </row>
    <row r="65" spans="1:11" x14ac:dyDescent="0.25">
      <c r="A65" s="52">
        <v>3500</v>
      </c>
      <c r="B65" s="57">
        <v>1240850000</v>
      </c>
      <c r="K65">
        <f>INDEX(OutputValues,61,$J$4)</f>
        <v>1240850000</v>
      </c>
    </row>
    <row r="66" spans="1:11" x14ac:dyDescent="0.25">
      <c r="A66" s="52">
        <v>3550</v>
      </c>
      <c r="B66" s="57">
        <v>1240850000</v>
      </c>
      <c r="K66">
        <f>INDEX(OutputValues,62,$J$4)</f>
        <v>1240850000</v>
      </c>
    </row>
    <row r="67" spans="1:11" x14ac:dyDescent="0.25">
      <c r="A67" s="52">
        <v>3600</v>
      </c>
      <c r="B67" s="57">
        <v>1240850000</v>
      </c>
      <c r="K67">
        <f>INDEX(OutputValues,63,$J$4)</f>
        <v>1240850000</v>
      </c>
    </row>
    <row r="68" spans="1:11" x14ac:dyDescent="0.25">
      <c r="A68" s="52">
        <v>3650</v>
      </c>
      <c r="B68" s="57">
        <v>1240850000</v>
      </c>
      <c r="K68">
        <f>INDEX(OutputValues,64,$J$4)</f>
        <v>1240850000</v>
      </c>
    </row>
    <row r="69" spans="1:11" x14ac:dyDescent="0.25">
      <c r="A69" s="52">
        <v>3700</v>
      </c>
      <c r="B69" s="57">
        <v>1240850000</v>
      </c>
      <c r="K69">
        <f>INDEX(OutputValues,65,$J$4)</f>
        <v>1240850000</v>
      </c>
    </row>
    <row r="70" spans="1:11" x14ac:dyDescent="0.25">
      <c r="A70" s="52">
        <v>3750</v>
      </c>
      <c r="B70" s="57">
        <v>1240850000</v>
      </c>
      <c r="K70">
        <f>INDEX(OutputValues,66,$J$4)</f>
        <v>1240850000</v>
      </c>
    </row>
    <row r="71" spans="1:11" x14ac:dyDescent="0.25">
      <c r="A71" s="52">
        <v>3800</v>
      </c>
      <c r="B71" s="57">
        <v>1240850000</v>
      </c>
      <c r="K71">
        <f>INDEX(OutputValues,67,$J$4)</f>
        <v>1240850000</v>
      </c>
    </row>
    <row r="72" spans="1:11" x14ac:dyDescent="0.25">
      <c r="A72" s="52">
        <v>3850</v>
      </c>
      <c r="B72" s="57">
        <v>1240850000</v>
      </c>
      <c r="K72">
        <f>INDEX(OutputValues,68,$J$4)</f>
        <v>1240850000</v>
      </c>
    </row>
    <row r="73" spans="1:11" x14ac:dyDescent="0.25">
      <c r="A73" s="52">
        <v>3900</v>
      </c>
      <c r="B73" s="57">
        <v>1240850000</v>
      </c>
      <c r="K73">
        <f>INDEX(OutputValues,69,$J$4)</f>
        <v>1240850000</v>
      </c>
    </row>
    <row r="74" spans="1:11" x14ac:dyDescent="0.25">
      <c r="A74" s="52">
        <v>3950</v>
      </c>
      <c r="B74" s="57">
        <v>1240850000</v>
      </c>
      <c r="K74">
        <f>INDEX(OutputValues,70,$J$4)</f>
        <v>1240850000</v>
      </c>
    </row>
    <row r="75" spans="1:11" x14ac:dyDescent="0.25">
      <c r="A75" s="52">
        <v>4000</v>
      </c>
      <c r="B75" s="57">
        <v>1240850000</v>
      </c>
      <c r="K75">
        <f>INDEX(OutputValues,71,$J$4)</f>
        <v>1240850000</v>
      </c>
    </row>
    <row r="76" spans="1:11" x14ac:dyDescent="0.25">
      <c r="A76" s="52">
        <v>4050</v>
      </c>
      <c r="B76" s="57">
        <v>1240850000</v>
      </c>
      <c r="K76">
        <f>INDEX(OutputValues,72,$J$4)</f>
        <v>1240850000</v>
      </c>
    </row>
    <row r="77" spans="1:11" x14ac:dyDescent="0.25">
      <c r="A77" s="52">
        <v>4100</v>
      </c>
      <c r="B77" s="57">
        <v>1240850000</v>
      </c>
      <c r="K77">
        <f>INDEX(OutputValues,73,$J$4)</f>
        <v>1240850000</v>
      </c>
    </row>
    <row r="78" spans="1:11" x14ac:dyDescent="0.25">
      <c r="A78" s="52">
        <v>4150</v>
      </c>
      <c r="B78" s="57">
        <v>1240850000</v>
      </c>
      <c r="K78">
        <f>INDEX(OutputValues,74,$J$4)</f>
        <v>1240850000</v>
      </c>
    </row>
    <row r="79" spans="1:11" x14ac:dyDescent="0.25">
      <c r="A79" s="52">
        <v>4200</v>
      </c>
      <c r="B79" s="57">
        <v>1240850000</v>
      </c>
      <c r="K79">
        <f>INDEX(OutputValues,75,$J$4)</f>
        <v>1240850000</v>
      </c>
    </row>
    <row r="80" spans="1:11" x14ac:dyDescent="0.25">
      <c r="A80" s="52">
        <v>4250</v>
      </c>
      <c r="B80" s="57">
        <v>1240850000</v>
      </c>
      <c r="K80">
        <f>INDEX(OutputValues,76,$J$4)</f>
        <v>1240850000</v>
      </c>
    </row>
    <row r="81" spans="1:11" x14ac:dyDescent="0.25">
      <c r="A81" s="52">
        <v>4300</v>
      </c>
      <c r="B81" s="57">
        <v>1240850000</v>
      </c>
      <c r="K81">
        <f>INDEX(OutputValues,77,$J$4)</f>
        <v>1240850000</v>
      </c>
    </row>
    <row r="82" spans="1:11" x14ac:dyDescent="0.25">
      <c r="A82" s="52">
        <v>4350</v>
      </c>
      <c r="B82" s="57">
        <v>1240850000</v>
      </c>
      <c r="K82">
        <f>INDEX(OutputValues,78,$J$4)</f>
        <v>1240850000</v>
      </c>
    </row>
    <row r="83" spans="1:11" x14ac:dyDescent="0.25">
      <c r="A83" s="52">
        <v>4400</v>
      </c>
      <c r="B83" s="57">
        <v>1240850000</v>
      </c>
      <c r="K83">
        <f>INDEX(OutputValues,79,$J$4)</f>
        <v>1240850000</v>
      </c>
    </row>
    <row r="84" spans="1:11" x14ac:dyDescent="0.25">
      <c r="A84" s="52">
        <v>4450</v>
      </c>
      <c r="B84" s="57">
        <v>1240850000</v>
      </c>
      <c r="K84">
        <f>INDEX(OutputValues,80,$J$4)</f>
        <v>1240850000</v>
      </c>
    </row>
    <row r="85" spans="1:11" x14ac:dyDescent="0.25">
      <c r="A85" s="52">
        <v>4500</v>
      </c>
      <c r="B85" s="57">
        <v>1240850000</v>
      </c>
      <c r="K85">
        <f>INDEX(OutputValues,81,$J$4)</f>
        <v>1240850000</v>
      </c>
    </row>
    <row r="86" spans="1:11" x14ac:dyDescent="0.25">
      <c r="A86" s="52">
        <v>4550</v>
      </c>
      <c r="B86" s="57">
        <v>1240850000</v>
      </c>
      <c r="K86">
        <f>INDEX(OutputValues,82,$J$4)</f>
        <v>1240850000</v>
      </c>
    </row>
    <row r="87" spans="1:11" x14ac:dyDescent="0.25">
      <c r="A87" s="52">
        <v>4600</v>
      </c>
      <c r="B87" s="57">
        <v>1240850000</v>
      </c>
      <c r="K87">
        <f>INDEX(OutputValues,83,$J$4)</f>
        <v>1240850000</v>
      </c>
    </row>
    <row r="88" spans="1:11" x14ac:dyDescent="0.25">
      <c r="A88" s="52">
        <v>4650</v>
      </c>
      <c r="B88" s="57">
        <v>1240850000</v>
      </c>
      <c r="K88">
        <f>INDEX(OutputValues,84,$J$4)</f>
        <v>1240850000</v>
      </c>
    </row>
    <row r="89" spans="1:11" x14ac:dyDescent="0.25">
      <c r="A89" s="52">
        <v>4700</v>
      </c>
      <c r="B89" s="57">
        <v>1240850000</v>
      </c>
      <c r="K89">
        <f>INDEX(OutputValues,85,$J$4)</f>
        <v>1240850000</v>
      </c>
    </row>
    <row r="90" spans="1:11" x14ac:dyDescent="0.25">
      <c r="A90" s="52">
        <v>4750</v>
      </c>
      <c r="B90" s="57">
        <v>1240850000</v>
      </c>
      <c r="K90">
        <f>INDEX(OutputValues,86,$J$4)</f>
        <v>1240850000</v>
      </c>
    </row>
    <row r="91" spans="1:11" x14ac:dyDescent="0.25">
      <c r="A91" s="52">
        <v>4800</v>
      </c>
      <c r="B91" s="57">
        <v>1240850000</v>
      </c>
      <c r="K91">
        <f>INDEX(OutputValues,87,$J$4)</f>
        <v>1240850000</v>
      </c>
    </row>
    <row r="92" spans="1:11" x14ac:dyDescent="0.25">
      <c r="A92" s="52">
        <v>4850</v>
      </c>
      <c r="B92" s="57">
        <v>1240850000</v>
      </c>
      <c r="K92">
        <f>INDEX(OutputValues,88,$J$4)</f>
        <v>1240850000</v>
      </c>
    </row>
    <row r="93" spans="1:11" x14ac:dyDescent="0.25">
      <c r="A93" s="52">
        <v>4900</v>
      </c>
      <c r="B93" s="57">
        <v>1240850000</v>
      </c>
      <c r="K93">
        <f>INDEX(OutputValues,89,$J$4)</f>
        <v>1240850000</v>
      </c>
    </row>
    <row r="94" spans="1:11" x14ac:dyDescent="0.25">
      <c r="A94" s="52">
        <v>4950</v>
      </c>
      <c r="B94" s="57">
        <v>1240850000</v>
      </c>
      <c r="K94">
        <f>INDEX(OutputValues,90,$J$4)</f>
        <v>1240850000</v>
      </c>
    </row>
    <row r="95" spans="1:11" x14ac:dyDescent="0.25">
      <c r="A95" s="52">
        <v>5000</v>
      </c>
      <c r="B95" s="58">
        <v>1240850000</v>
      </c>
      <c r="K95">
        <f>INDEX(OutputValues,91,$J$4)</f>
        <v>1240850000</v>
      </c>
    </row>
  </sheetData>
  <dataValidations count="1">
    <dataValidation type="list" allowBlank="1" showInputMessage="1" showErrorMessage="1" sqref="K4" xr:uid="{853EE754-7677-409B-AB91-740F377B0DB2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8A50-E2FA-4863-9B30-4BC73383DCF4}">
  <dimension ref="A1:K95"/>
  <sheetViews>
    <sheetView workbookViewId="0">
      <selection activeCell="T10" sqref="T10"/>
    </sheetView>
  </sheetViews>
  <sheetFormatPr defaultRowHeight="15" x14ac:dyDescent="0.25"/>
  <cols>
    <col min="2" max="2" width="16.85546875" bestFit="1" customWidth="1"/>
  </cols>
  <sheetData>
    <row r="1" spans="1:11" x14ac:dyDescent="0.25">
      <c r="A1" s="51" t="s">
        <v>72</v>
      </c>
      <c r="K1" s="55" t="str">
        <f>CONCATENATE("Sensitivity of ",$K$4," to ","Adjusted Demand for MobXS")</f>
        <v>Sensitivity of $B$27 to Adjusted Demand for MobXS</v>
      </c>
    </row>
    <row r="3" spans="1:11" x14ac:dyDescent="0.25">
      <c r="A3" t="s">
        <v>78</v>
      </c>
      <c r="K3" t="s">
        <v>73</v>
      </c>
    </row>
    <row r="4" spans="1:11" ht="32.25" x14ac:dyDescent="0.25">
      <c r="B4" s="53" t="s">
        <v>57</v>
      </c>
      <c r="J4" s="55">
        <f>MATCH($K$4,OutputAddresses,0)</f>
        <v>1</v>
      </c>
      <c r="K4" s="54" t="s">
        <v>57</v>
      </c>
    </row>
    <row r="5" spans="1:11" x14ac:dyDescent="0.25">
      <c r="A5" s="52">
        <v>500</v>
      </c>
      <c r="B5" s="56">
        <v>1230850000</v>
      </c>
      <c r="K5">
        <f>INDEX(OutputValues,1,$J$4)</f>
        <v>1230850000</v>
      </c>
    </row>
    <row r="6" spans="1:11" x14ac:dyDescent="0.25">
      <c r="A6" s="52">
        <v>550</v>
      </c>
      <c r="B6" s="57">
        <v>1231350000</v>
      </c>
      <c r="K6">
        <f>INDEX(OutputValues,2,$J$4)</f>
        <v>1231350000</v>
      </c>
    </row>
    <row r="7" spans="1:11" x14ac:dyDescent="0.25">
      <c r="A7" s="52">
        <v>600</v>
      </c>
      <c r="B7" s="57">
        <v>1231850000</v>
      </c>
      <c r="K7">
        <f>INDEX(OutputValues,3,$J$4)</f>
        <v>1231850000</v>
      </c>
    </row>
    <row r="8" spans="1:11" x14ac:dyDescent="0.25">
      <c r="A8" s="52">
        <v>650</v>
      </c>
      <c r="B8" s="57">
        <v>1232350000</v>
      </c>
      <c r="K8">
        <f>INDEX(OutputValues,4,$J$4)</f>
        <v>1232350000</v>
      </c>
    </row>
    <row r="9" spans="1:11" x14ac:dyDescent="0.25">
      <c r="A9" s="52">
        <v>700</v>
      </c>
      <c r="B9" s="57">
        <v>1232850000</v>
      </c>
      <c r="K9">
        <f>INDEX(OutputValues,5,$J$4)</f>
        <v>1232850000</v>
      </c>
    </row>
    <row r="10" spans="1:11" x14ac:dyDescent="0.25">
      <c r="A10" s="52">
        <v>750</v>
      </c>
      <c r="B10" s="57">
        <v>1233350000</v>
      </c>
      <c r="K10">
        <f>INDEX(OutputValues,6,$J$4)</f>
        <v>1233350000</v>
      </c>
    </row>
    <row r="11" spans="1:11" x14ac:dyDescent="0.25">
      <c r="A11" s="52">
        <v>800</v>
      </c>
      <c r="B11" s="57">
        <v>1233850000</v>
      </c>
      <c r="K11">
        <f>INDEX(OutputValues,7,$J$4)</f>
        <v>1233850000</v>
      </c>
    </row>
    <row r="12" spans="1:11" x14ac:dyDescent="0.25">
      <c r="A12" s="52">
        <v>850</v>
      </c>
      <c r="B12" s="57">
        <v>1234350000</v>
      </c>
      <c r="K12">
        <f>INDEX(OutputValues,8,$J$4)</f>
        <v>1234350000</v>
      </c>
    </row>
    <row r="13" spans="1:11" x14ac:dyDescent="0.25">
      <c r="A13" s="52">
        <v>900</v>
      </c>
      <c r="B13" s="57">
        <v>1234850000</v>
      </c>
      <c r="K13">
        <f>INDEX(OutputValues,9,$J$4)</f>
        <v>1234850000</v>
      </c>
    </row>
    <row r="14" spans="1:11" x14ac:dyDescent="0.25">
      <c r="A14" s="52">
        <v>950</v>
      </c>
      <c r="B14" s="57">
        <v>1235350000</v>
      </c>
      <c r="K14">
        <f>INDEX(OutputValues,10,$J$4)</f>
        <v>1235350000</v>
      </c>
    </row>
    <row r="15" spans="1:11" x14ac:dyDescent="0.25">
      <c r="A15" s="52">
        <v>1000</v>
      </c>
      <c r="B15" s="57">
        <v>1235850000</v>
      </c>
      <c r="K15">
        <f>INDEX(OutputValues,11,$J$4)</f>
        <v>1235850000</v>
      </c>
    </row>
    <row r="16" spans="1:11" x14ac:dyDescent="0.25">
      <c r="A16" s="52">
        <v>1050</v>
      </c>
      <c r="B16" s="57">
        <v>1236350000</v>
      </c>
      <c r="K16">
        <f>INDEX(OutputValues,12,$J$4)</f>
        <v>1236350000</v>
      </c>
    </row>
    <row r="17" spans="1:11" x14ac:dyDescent="0.25">
      <c r="A17" s="52">
        <v>1100</v>
      </c>
      <c r="B17" s="57">
        <v>1236850000</v>
      </c>
      <c r="K17">
        <f>INDEX(OutputValues,13,$J$4)</f>
        <v>1236850000</v>
      </c>
    </row>
    <row r="18" spans="1:11" x14ac:dyDescent="0.25">
      <c r="A18" s="52">
        <v>1150</v>
      </c>
      <c r="B18" s="57">
        <v>1237350000</v>
      </c>
      <c r="K18">
        <f>INDEX(OutputValues,14,$J$4)</f>
        <v>1237350000</v>
      </c>
    </row>
    <row r="19" spans="1:11" x14ac:dyDescent="0.25">
      <c r="A19" s="52">
        <v>1200</v>
      </c>
      <c r="B19" s="57">
        <v>1237850000</v>
      </c>
      <c r="K19">
        <f>INDEX(OutputValues,15,$J$4)</f>
        <v>1237850000</v>
      </c>
    </row>
    <row r="20" spans="1:11" x14ac:dyDescent="0.25">
      <c r="A20" s="52">
        <v>1250</v>
      </c>
      <c r="B20" s="57">
        <v>1238350000</v>
      </c>
      <c r="K20">
        <f>INDEX(OutputValues,16,$J$4)</f>
        <v>1238350000</v>
      </c>
    </row>
    <row r="21" spans="1:11" x14ac:dyDescent="0.25">
      <c r="A21" s="52">
        <v>1300</v>
      </c>
      <c r="B21" s="57">
        <v>1238850000</v>
      </c>
      <c r="K21">
        <f>INDEX(OutputValues,17,$J$4)</f>
        <v>1238850000</v>
      </c>
    </row>
    <row r="22" spans="1:11" x14ac:dyDescent="0.25">
      <c r="A22" s="52">
        <v>1350</v>
      </c>
      <c r="B22" s="57">
        <v>1239350000</v>
      </c>
      <c r="K22">
        <f>INDEX(OutputValues,18,$J$4)</f>
        <v>1239350000</v>
      </c>
    </row>
    <row r="23" spans="1:11" x14ac:dyDescent="0.25">
      <c r="A23" s="52">
        <v>1400</v>
      </c>
      <c r="B23" s="57">
        <v>1239850000</v>
      </c>
      <c r="K23">
        <f>INDEX(OutputValues,19,$J$4)</f>
        <v>1239850000</v>
      </c>
    </row>
    <row r="24" spans="1:11" x14ac:dyDescent="0.25">
      <c r="A24" s="52">
        <v>1450</v>
      </c>
      <c r="B24" s="57">
        <v>1240350000</v>
      </c>
      <c r="K24">
        <f>INDEX(OutputValues,20,$J$4)</f>
        <v>1240350000</v>
      </c>
    </row>
    <row r="25" spans="1:11" x14ac:dyDescent="0.25">
      <c r="A25" s="52">
        <v>1500</v>
      </c>
      <c r="B25" s="57">
        <v>1240850000</v>
      </c>
      <c r="K25">
        <f>INDEX(OutputValues,21,$J$4)</f>
        <v>1240850000</v>
      </c>
    </row>
    <row r="26" spans="1:11" x14ac:dyDescent="0.25">
      <c r="A26" s="52">
        <v>1550</v>
      </c>
      <c r="B26" s="57">
        <v>1240850000</v>
      </c>
      <c r="K26">
        <f>INDEX(OutputValues,22,$J$4)</f>
        <v>1240850000</v>
      </c>
    </row>
    <row r="27" spans="1:11" x14ac:dyDescent="0.25">
      <c r="A27" s="52">
        <v>1600</v>
      </c>
      <c r="B27" s="57">
        <v>1240850000</v>
      </c>
      <c r="K27">
        <f>INDEX(OutputValues,23,$J$4)</f>
        <v>1240850000</v>
      </c>
    </row>
    <row r="28" spans="1:11" x14ac:dyDescent="0.25">
      <c r="A28" s="52">
        <v>1650</v>
      </c>
      <c r="B28" s="57">
        <v>1240850000</v>
      </c>
      <c r="K28">
        <f>INDEX(OutputValues,24,$J$4)</f>
        <v>1240850000</v>
      </c>
    </row>
    <row r="29" spans="1:11" x14ac:dyDescent="0.25">
      <c r="A29" s="52">
        <v>1700</v>
      </c>
      <c r="B29" s="57">
        <v>1240850000</v>
      </c>
      <c r="K29">
        <f>INDEX(OutputValues,25,$J$4)</f>
        <v>1240850000</v>
      </c>
    </row>
    <row r="30" spans="1:11" x14ac:dyDescent="0.25">
      <c r="A30" s="52">
        <v>1750</v>
      </c>
      <c r="B30" s="57">
        <v>1240850000</v>
      </c>
      <c r="K30">
        <f>INDEX(OutputValues,26,$J$4)</f>
        <v>1240850000</v>
      </c>
    </row>
    <row r="31" spans="1:11" x14ac:dyDescent="0.25">
      <c r="A31" s="52">
        <v>1800</v>
      </c>
      <c r="B31" s="57">
        <v>1240850000</v>
      </c>
      <c r="K31">
        <f>INDEX(OutputValues,27,$J$4)</f>
        <v>1240850000</v>
      </c>
    </row>
    <row r="32" spans="1:11" x14ac:dyDescent="0.25">
      <c r="A32" s="52">
        <v>1850</v>
      </c>
      <c r="B32" s="57">
        <v>1240850000</v>
      </c>
      <c r="K32">
        <f>INDEX(OutputValues,28,$J$4)</f>
        <v>1240850000</v>
      </c>
    </row>
    <row r="33" spans="1:11" x14ac:dyDescent="0.25">
      <c r="A33" s="52">
        <v>1900</v>
      </c>
      <c r="B33" s="57">
        <v>1240850000</v>
      </c>
      <c r="K33">
        <f>INDEX(OutputValues,29,$J$4)</f>
        <v>1240850000</v>
      </c>
    </row>
    <row r="34" spans="1:11" x14ac:dyDescent="0.25">
      <c r="A34" s="52">
        <v>1950</v>
      </c>
      <c r="B34" s="57">
        <v>1240850000</v>
      </c>
      <c r="K34">
        <f>INDEX(OutputValues,30,$J$4)</f>
        <v>1240850000</v>
      </c>
    </row>
    <row r="35" spans="1:11" x14ac:dyDescent="0.25">
      <c r="A35" s="52">
        <v>2000</v>
      </c>
      <c r="B35" s="57">
        <v>1240850000</v>
      </c>
      <c r="K35">
        <f>INDEX(OutputValues,31,$J$4)</f>
        <v>1240850000</v>
      </c>
    </row>
    <row r="36" spans="1:11" x14ac:dyDescent="0.25">
      <c r="A36" s="52">
        <v>2050</v>
      </c>
      <c r="B36" s="57">
        <v>1240850000</v>
      </c>
      <c r="K36">
        <f>INDEX(OutputValues,32,$J$4)</f>
        <v>1240850000</v>
      </c>
    </row>
    <row r="37" spans="1:11" x14ac:dyDescent="0.25">
      <c r="A37" s="52">
        <v>2100</v>
      </c>
      <c r="B37" s="57">
        <v>1240850000</v>
      </c>
      <c r="K37">
        <f>INDEX(OutputValues,33,$J$4)</f>
        <v>1240850000</v>
      </c>
    </row>
    <row r="38" spans="1:11" x14ac:dyDescent="0.25">
      <c r="A38" s="52">
        <v>2150</v>
      </c>
      <c r="B38" s="57">
        <v>1240850000</v>
      </c>
      <c r="K38">
        <f>INDEX(OutputValues,34,$J$4)</f>
        <v>1240850000</v>
      </c>
    </row>
    <row r="39" spans="1:11" x14ac:dyDescent="0.25">
      <c r="A39" s="52">
        <v>2200</v>
      </c>
      <c r="B39" s="57">
        <v>1240850000</v>
      </c>
      <c r="K39">
        <f>INDEX(OutputValues,35,$J$4)</f>
        <v>1240850000</v>
      </c>
    </row>
    <row r="40" spans="1:11" x14ac:dyDescent="0.25">
      <c r="A40" s="52">
        <v>2250</v>
      </c>
      <c r="B40" s="57">
        <v>1240850000</v>
      </c>
      <c r="K40">
        <f>INDEX(OutputValues,36,$J$4)</f>
        <v>1240850000</v>
      </c>
    </row>
    <row r="41" spans="1:11" x14ac:dyDescent="0.25">
      <c r="A41" s="52">
        <v>2300</v>
      </c>
      <c r="B41" s="57">
        <v>1240850000</v>
      </c>
      <c r="K41">
        <f>INDEX(OutputValues,37,$J$4)</f>
        <v>1240850000</v>
      </c>
    </row>
    <row r="42" spans="1:11" x14ac:dyDescent="0.25">
      <c r="A42" s="52">
        <v>2350</v>
      </c>
      <c r="B42" s="57">
        <v>1240850000</v>
      </c>
      <c r="K42">
        <f>INDEX(OutputValues,38,$J$4)</f>
        <v>1240850000</v>
      </c>
    </row>
    <row r="43" spans="1:11" x14ac:dyDescent="0.25">
      <c r="A43" s="52">
        <v>2400</v>
      </c>
      <c r="B43" s="57">
        <v>1240850000</v>
      </c>
      <c r="K43">
        <f>INDEX(OutputValues,39,$J$4)</f>
        <v>1240850000</v>
      </c>
    </row>
    <row r="44" spans="1:11" x14ac:dyDescent="0.25">
      <c r="A44" s="52">
        <v>2450</v>
      </c>
      <c r="B44" s="57">
        <v>1240850000</v>
      </c>
      <c r="K44">
        <f>INDEX(OutputValues,40,$J$4)</f>
        <v>1240850000</v>
      </c>
    </row>
    <row r="45" spans="1:11" x14ac:dyDescent="0.25">
      <c r="A45" s="52">
        <v>2500</v>
      </c>
      <c r="B45" s="57">
        <v>1240850000</v>
      </c>
      <c r="K45">
        <f>INDEX(OutputValues,41,$J$4)</f>
        <v>1240850000</v>
      </c>
    </row>
    <row r="46" spans="1:11" x14ac:dyDescent="0.25">
      <c r="A46" s="52">
        <v>2550</v>
      </c>
      <c r="B46" s="57">
        <v>1240850000</v>
      </c>
      <c r="K46">
        <f>INDEX(OutputValues,42,$J$4)</f>
        <v>1240850000</v>
      </c>
    </row>
    <row r="47" spans="1:11" x14ac:dyDescent="0.25">
      <c r="A47" s="52">
        <v>2600</v>
      </c>
      <c r="B47" s="57">
        <v>1240850000</v>
      </c>
      <c r="K47">
        <f>INDEX(OutputValues,43,$J$4)</f>
        <v>1240850000</v>
      </c>
    </row>
    <row r="48" spans="1:11" x14ac:dyDescent="0.25">
      <c r="A48" s="52">
        <v>2650</v>
      </c>
      <c r="B48" s="57">
        <v>1240850000</v>
      </c>
      <c r="K48">
        <f>INDEX(OutputValues,44,$J$4)</f>
        <v>1240850000</v>
      </c>
    </row>
    <row r="49" spans="1:11" x14ac:dyDescent="0.25">
      <c r="A49" s="52">
        <v>2700</v>
      </c>
      <c r="B49" s="57">
        <v>1240850000</v>
      </c>
      <c r="K49">
        <f>INDEX(OutputValues,45,$J$4)</f>
        <v>1240850000</v>
      </c>
    </row>
    <row r="50" spans="1:11" x14ac:dyDescent="0.25">
      <c r="A50" s="52">
        <v>2750</v>
      </c>
      <c r="B50" s="57">
        <v>1240850000</v>
      </c>
      <c r="K50">
        <f>INDEX(OutputValues,46,$J$4)</f>
        <v>1240850000</v>
      </c>
    </row>
    <row r="51" spans="1:11" x14ac:dyDescent="0.25">
      <c r="A51" s="52">
        <v>2800</v>
      </c>
      <c r="B51" s="57">
        <v>1240850000</v>
      </c>
      <c r="K51">
        <f>INDEX(OutputValues,47,$J$4)</f>
        <v>1240850000</v>
      </c>
    </row>
    <row r="52" spans="1:11" x14ac:dyDescent="0.25">
      <c r="A52" s="52">
        <v>2850</v>
      </c>
      <c r="B52" s="57">
        <v>1240850000</v>
      </c>
      <c r="K52">
        <f>INDEX(OutputValues,48,$J$4)</f>
        <v>1240850000</v>
      </c>
    </row>
    <row r="53" spans="1:11" x14ac:dyDescent="0.25">
      <c r="A53" s="52">
        <v>2900</v>
      </c>
      <c r="B53" s="57">
        <v>1240850000</v>
      </c>
      <c r="K53">
        <f>INDEX(OutputValues,49,$J$4)</f>
        <v>1240850000</v>
      </c>
    </row>
    <row r="54" spans="1:11" x14ac:dyDescent="0.25">
      <c r="A54" s="52">
        <v>2950</v>
      </c>
      <c r="B54" s="57">
        <v>1240850000</v>
      </c>
      <c r="K54">
        <f>INDEX(OutputValues,50,$J$4)</f>
        <v>1240850000</v>
      </c>
    </row>
    <row r="55" spans="1:11" x14ac:dyDescent="0.25">
      <c r="A55" s="52">
        <v>3000</v>
      </c>
      <c r="B55" s="57">
        <v>1240850000</v>
      </c>
      <c r="K55">
        <f>INDEX(OutputValues,51,$J$4)</f>
        <v>1240850000</v>
      </c>
    </row>
    <row r="56" spans="1:11" x14ac:dyDescent="0.25">
      <c r="A56" s="52">
        <v>3050</v>
      </c>
      <c r="B56" s="57">
        <v>1240850000</v>
      </c>
      <c r="K56">
        <f>INDEX(OutputValues,52,$J$4)</f>
        <v>1240850000</v>
      </c>
    </row>
    <row r="57" spans="1:11" x14ac:dyDescent="0.25">
      <c r="A57" s="52">
        <v>3100</v>
      </c>
      <c r="B57" s="57">
        <v>1240850000</v>
      </c>
      <c r="K57">
        <f>INDEX(OutputValues,53,$J$4)</f>
        <v>1240850000</v>
      </c>
    </row>
    <row r="58" spans="1:11" x14ac:dyDescent="0.25">
      <c r="A58" s="52">
        <v>3150</v>
      </c>
      <c r="B58" s="57">
        <v>1240850000</v>
      </c>
      <c r="K58">
        <f>INDEX(OutputValues,54,$J$4)</f>
        <v>1240850000</v>
      </c>
    </row>
    <row r="59" spans="1:11" x14ac:dyDescent="0.25">
      <c r="A59" s="52">
        <v>3200</v>
      </c>
      <c r="B59" s="57">
        <v>1240850000</v>
      </c>
      <c r="K59">
        <f>INDEX(OutputValues,55,$J$4)</f>
        <v>1240850000</v>
      </c>
    </row>
    <row r="60" spans="1:11" x14ac:dyDescent="0.25">
      <c r="A60" s="52">
        <v>3250</v>
      </c>
      <c r="B60" s="57">
        <v>1240850000</v>
      </c>
      <c r="K60">
        <f>INDEX(OutputValues,56,$J$4)</f>
        <v>1240850000</v>
      </c>
    </row>
    <row r="61" spans="1:11" x14ac:dyDescent="0.25">
      <c r="A61" s="52">
        <v>3300</v>
      </c>
      <c r="B61" s="57">
        <v>1240850000</v>
      </c>
      <c r="K61">
        <f>INDEX(OutputValues,57,$J$4)</f>
        <v>1240850000</v>
      </c>
    </row>
    <row r="62" spans="1:11" x14ac:dyDescent="0.25">
      <c r="A62" s="52">
        <v>3350</v>
      </c>
      <c r="B62" s="57">
        <v>1240850000</v>
      </c>
      <c r="K62">
        <f>INDEX(OutputValues,58,$J$4)</f>
        <v>1240850000</v>
      </c>
    </row>
    <row r="63" spans="1:11" x14ac:dyDescent="0.25">
      <c r="A63" s="52">
        <v>3400</v>
      </c>
      <c r="B63" s="57">
        <v>1240850000</v>
      </c>
      <c r="K63">
        <f>INDEX(OutputValues,59,$J$4)</f>
        <v>1240850000</v>
      </c>
    </row>
    <row r="64" spans="1:11" x14ac:dyDescent="0.25">
      <c r="A64" s="52">
        <v>3450</v>
      </c>
      <c r="B64" s="57">
        <v>1240850000</v>
      </c>
      <c r="K64">
        <f>INDEX(OutputValues,60,$J$4)</f>
        <v>1240850000</v>
      </c>
    </row>
    <row r="65" spans="1:11" x14ac:dyDescent="0.25">
      <c r="A65" s="52">
        <v>3500</v>
      </c>
      <c r="B65" s="57">
        <v>1240850000</v>
      </c>
      <c r="K65">
        <f>INDEX(OutputValues,61,$J$4)</f>
        <v>1240850000</v>
      </c>
    </row>
    <row r="66" spans="1:11" x14ac:dyDescent="0.25">
      <c r="A66" s="52">
        <v>3550</v>
      </c>
      <c r="B66" s="57">
        <v>1240850000</v>
      </c>
      <c r="K66">
        <f>INDEX(OutputValues,62,$J$4)</f>
        <v>1240850000</v>
      </c>
    </row>
    <row r="67" spans="1:11" x14ac:dyDescent="0.25">
      <c r="A67" s="52">
        <v>3600</v>
      </c>
      <c r="B67" s="57">
        <v>1240850000</v>
      </c>
      <c r="K67">
        <f>INDEX(OutputValues,63,$J$4)</f>
        <v>1240850000</v>
      </c>
    </row>
    <row r="68" spans="1:11" x14ac:dyDescent="0.25">
      <c r="A68" s="52">
        <v>3650</v>
      </c>
      <c r="B68" s="57">
        <v>1240850000</v>
      </c>
      <c r="K68">
        <f>INDEX(OutputValues,64,$J$4)</f>
        <v>1240850000</v>
      </c>
    </row>
    <row r="69" spans="1:11" x14ac:dyDescent="0.25">
      <c r="A69" s="52">
        <v>3700</v>
      </c>
      <c r="B69" s="57">
        <v>1240850000</v>
      </c>
      <c r="K69">
        <f>INDEX(OutputValues,65,$J$4)</f>
        <v>1240850000</v>
      </c>
    </row>
    <row r="70" spans="1:11" x14ac:dyDescent="0.25">
      <c r="A70" s="52">
        <v>3750</v>
      </c>
      <c r="B70" s="57">
        <v>1240850000</v>
      </c>
      <c r="K70">
        <f>INDEX(OutputValues,66,$J$4)</f>
        <v>1240850000</v>
      </c>
    </row>
    <row r="71" spans="1:11" x14ac:dyDescent="0.25">
      <c r="A71" s="52">
        <v>3800</v>
      </c>
      <c r="B71" s="57">
        <v>1240850000</v>
      </c>
      <c r="K71">
        <f>INDEX(OutputValues,67,$J$4)</f>
        <v>1240850000</v>
      </c>
    </row>
    <row r="72" spans="1:11" x14ac:dyDescent="0.25">
      <c r="A72" s="52">
        <v>3850</v>
      </c>
      <c r="B72" s="57">
        <v>1240850000</v>
      </c>
      <c r="K72">
        <f>INDEX(OutputValues,68,$J$4)</f>
        <v>1240850000</v>
      </c>
    </row>
    <row r="73" spans="1:11" x14ac:dyDescent="0.25">
      <c r="A73" s="52">
        <v>3900</v>
      </c>
      <c r="B73" s="57">
        <v>1240850000</v>
      </c>
      <c r="K73">
        <f>INDEX(OutputValues,69,$J$4)</f>
        <v>1240850000</v>
      </c>
    </row>
    <row r="74" spans="1:11" x14ac:dyDescent="0.25">
      <c r="A74" s="52">
        <v>3950</v>
      </c>
      <c r="B74" s="57">
        <v>1240850000</v>
      </c>
      <c r="K74">
        <f>INDEX(OutputValues,70,$J$4)</f>
        <v>1240850000</v>
      </c>
    </row>
    <row r="75" spans="1:11" x14ac:dyDescent="0.25">
      <c r="A75" s="52">
        <v>4000</v>
      </c>
      <c r="B75" s="57">
        <v>1240850000</v>
      </c>
      <c r="K75">
        <f>INDEX(OutputValues,71,$J$4)</f>
        <v>1240850000</v>
      </c>
    </row>
    <row r="76" spans="1:11" x14ac:dyDescent="0.25">
      <c r="A76" s="52">
        <v>4050</v>
      </c>
      <c r="B76" s="57">
        <v>1240850000</v>
      </c>
      <c r="K76">
        <f>INDEX(OutputValues,72,$J$4)</f>
        <v>1240850000</v>
      </c>
    </row>
    <row r="77" spans="1:11" x14ac:dyDescent="0.25">
      <c r="A77" s="52">
        <v>4100</v>
      </c>
      <c r="B77" s="57">
        <v>1240850000</v>
      </c>
      <c r="K77">
        <f>INDEX(OutputValues,73,$J$4)</f>
        <v>1240850000</v>
      </c>
    </row>
    <row r="78" spans="1:11" x14ac:dyDescent="0.25">
      <c r="A78" s="52">
        <v>4150</v>
      </c>
      <c r="B78" s="57">
        <v>1240850000</v>
      </c>
      <c r="K78">
        <f>INDEX(OutputValues,74,$J$4)</f>
        <v>1240850000</v>
      </c>
    </row>
    <row r="79" spans="1:11" x14ac:dyDescent="0.25">
      <c r="A79" s="52">
        <v>4200</v>
      </c>
      <c r="B79" s="57">
        <v>1240850000</v>
      </c>
      <c r="K79">
        <f>INDEX(OutputValues,75,$J$4)</f>
        <v>1240850000</v>
      </c>
    </row>
    <row r="80" spans="1:11" x14ac:dyDescent="0.25">
      <c r="A80" s="52">
        <v>4250</v>
      </c>
      <c r="B80" s="57">
        <v>1240850000</v>
      </c>
      <c r="K80">
        <f>INDEX(OutputValues,76,$J$4)</f>
        <v>1240850000</v>
      </c>
    </row>
    <row r="81" spans="1:11" x14ac:dyDescent="0.25">
      <c r="A81" s="52">
        <v>4300</v>
      </c>
      <c r="B81" s="57">
        <v>1240850000</v>
      </c>
      <c r="K81">
        <f>INDEX(OutputValues,77,$J$4)</f>
        <v>1240850000</v>
      </c>
    </row>
    <row r="82" spans="1:11" x14ac:dyDescent="0.25">
      <c r="A82" s="52">
        <v>4350</v>
      </c>
      <c r="B82" s="57">
        <v>1240850000</v>
      </c>
      <c r="K82">
        <f>INDEX(OutputValues,78,$J$4)</f>
        <v>1240850000</v>
      </c>
    </row>
    <row r="83" spans="1:11" x14ac:dyDescent="0.25">
      <c r="A83" s="52">
        <v>4400</v>
      </c>
      <c r="B83" s="57">
        <v>1240850000</v>
      </c>
      <c r="K83">
        <f>INDEX(OutputValues,79,$J$4)</f>
        <v>1240850000</v>
      </c>
    </row>
    <row r="84" spans="1:11" x14ac:dyDescent="0.25">
      <c r="A84" s="52">
        <v>4450</v>
      </c>
      <c r="B84" s="57">
        <v>1240850000</v>
      </c>
      <c r="K84">
        <f>INDEX(OutputValues,80,$J$4)</f>
        <v>1240850000</v>
      </c>
    </row>
    <row r="85" spans="1:11" x14ac:dyDescent="0.25">
      <c r="A85" s="52">
        <v>4500</v>
      </c>
      <c r="B85" s="57">
        <v>1240850000</v>
      </c>
      <c r="K85">
        <f>INDEX(OutputValues,81,$J$4)</f>
        <v>1240850000</v>
      </c>
    </row>
    <row r="86" spans="1:11" x14ac:dyDescent="0.25">
      <c r="A86" s="52">
        <v>4550</v>
      </c>
      <c r="B86" s="57">
        <v>1240850000</v>
      </c>
      <c r="K86">
        <f>INDEX(OutputValues,82,$J$4)</f>
        <v>1240850000</v>
      </c>
    </row>
    <row r="87" spans="1:11" x14ac:dyDescent="0.25">
      <c r="A87" s="52">
        <v>4600</v>
      </c>
      <c r="B87" s="57">
        <v>1240850000</v>
      </c>
      <c r="K87">
        <f>INDEX(OutputValues,83,$J$4)</f>
        <v>1240850000</v>
      </c>
    </row>
    <row r="88" spans="1:11" x14ac:dyDescent="0.25">
      <c r="A88" s="52">
        <v>4650</v>
      </c>
      <c r="B88" s="57">
        <v>1240850000</v>
      </c>
      <c r="K88">
        <f>INDEX(OutputValues,84,$J$4)</f>
        <v>1240850000</v>
      </c>
    </row>
    <row r="89" spans="1:11" x14ac:dyDescent="0.25">
      <c r="A89" s="52">
        <v>4700</v>
      </c>
      <c r="B89" s="57">
        <v>1240850000</v>
      </c>
      <c r="K89">
        <f>INDEX(OutputValues,85,$J$4)</f>
        <v>1240850000</v>
      </c>
    </row>
    <row r="90" spans="1:11" x14ac:dyDescent="0.25">
      <c r="A90" s="52">
        <v>4750</v>
      </c>
      <c r="B90" s="57">
        <v>1240850000</v>
      </c>
      <c r="K90">
        <f>INDEX(OutputValues,86,$J$4)</f>
        <v>1240850000</v>
      </c>
    </row>
    <row r="91" spans="1:11" x14ac:dyDescent="0.25">
      <c r="A91" s="52">
        <v>4800</v>
      </c>
      <c r="B91" s="57">
        <v>1240850000</v>
      </c>
      <c r="K91">
        <f>INDEX(OutputValues,87,$J$4)</f>
        <v>1240850000</v>
      </c>
    </row>
    <row r="92" spans="1:11" x14ac:dyDescent="0.25">
      <c r="A92" s="52">
        <v>4850</v>
      </c>
      <c r="B92" s="57">
        <v>1240850000</v>
      </c>
      <c r="K92">
        <f>INDEX(OutputValues,88,$J$4)</f>
        <v>1240850000</v>
      </c>
    </row>
    <row r="93" spans="1:11" x14ac:dyDescent="0.25">
      <c r="A93" s="52">
        <v>4900</v>
      </c>
      <c r="B93" s="57">
        <v>1240850000</v>
      </c>
      <c r="K93">
        <f>INDEX(OutputValues,89,$J$4)</f>
        <v>1240850000</v>
      </c>
    </row>
    <row r="94" spans="1:11" x14ac:dyDescent="0.25">
      <c r="A94" s="52">
        <v>4950</v>
      </c>
      <c r="B94" s="57">
        <v>1240850000</v>
      </c>
      <c r="K94">
        <f>INDEX(OutputValues,90,$J$4)</f>
        <v>1240850000</v>
      </c>
    </row>
    <row r="95" spans="1:11" x14ac:dyDescent="0.25">
      <c r="A95" s="52">
        <v>5000</v>
      </c>
      <c r="B95" s="58">
        <v>1240850000</v>
      </c>
      <c r="K95">
        <f>INDEX(OutputValues,91,$J$4)</f>
        <v>1240850000</v>
      </c>
    </row>
  </sheetData>
  <dataValidations count="1">
    <dataValidation type="list" allowBlank="1" showInputMessage="1" showErrorMessage="1" sqref="K4" xr:uid="{28372481-CAFB-4731-814D-D4D263DED9BE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31A6-9442-4471-AC24-32A72EA8B711}">
  <dimension ref="A1:K14"/>
  <sheetViews>
    <sheetView workbookViewId="0"/>
  </sheetViews>
  <sheetFormatPr defaultRowHeight="15" x14ac:dyDescent="0.25"/>
  <cols>
    <col min="2" max="2" width="16.85546875" bestFit="1" customWidth="1"/>
  </cols>
  <sheetData>
    <row r="1" spans="1:11" x14ac:dyDescent="0.25">
      <c r="A1" s="51" t="s">
        <v>72</v>
      </c>
      <c r="K1" s="55" t="str">
        <f>CONCATENATE("Sensitivity of ",$K$4," to ","Profit Margin for MobXS($100s)")</f>
        <v>Sensitivity of $B$27 to Profit Margin for MobXS($100s)</v>
      </c>
    </row>
    <row r="3" spans="1:11" x14ac:dyDescent="0.25">
      <c r="A3" t="s">
        <v>79</v>
      </c>
      <c r="K3" t="s">
        <v>73</v>
      </c>
    </row>
    <row r="4" spans="1:11" ht="32.25" x14ac:dyDescent="0.25">
      <c r="B4" s="53" t="s">
        <v>57</v>
      </c>
      <c r="J4" s="55">
        <f>MATCH($K$4,OutputAddresses,0)</f>
        <v>1</v>
      </c>
      <c r="K4" s="54" t="s">
        <v>57</v>
      </c>
    </row>
    <row r="5" spans="1:11" x14ac:dyDescent="0.25">
      <c r="A5" s="60">
        <v>0.10000000149011612</v>
      </c>
      <c r="B5" s="56">
        <v>1240850000</v>
      </c>
      <c r="K5">
        <f>INDEX(OutputValues,1,$J$4)</f>
        <v>1240850000</v>
      </c>
    </row>
    <row r="6" spans="1:11" x14ac:dyDescent="0.25">
      <c r="A6" s="60">
        <v>0.60000002384185791</v>
      </c>
      <c r="B6" s="57">
        <v>1240850000</v>
      </c>
      <c r="K6">
        <f>INDEX(OutputValues,2,$J$4)</f>
        <v>1240850000</v>
      </c>
    </row>
    <row r="7" spans="1:11" x14ac:dyDescent="0.25">
      <c r="A7" s="60">
        <v>1.1000000238418579</v>
      </c>
      <c r="B7" s="57">
        <v>1240850000</v>
      </c>
      <c r="K7">
        <f>INDEX(OutputValues,3,$J$4)</f>
        <v>1240850000</v>
      </c>
    </row>
    <row r="8" spans="1:11" x14ac:dyDescent="0.25">
      <c r="A8" s="60">
        <v>1.6000000238418579</v>
      </c>
      <c r="B8" s="57">
        <v>1240850000</v>
      </c>
      <c r="K8">
        <f>INDEX(OutputValues,4,$J$4)</f>
        <v>1240850000</v>
      </c>
    </row>
    <row r="9" spans="1:11" x14ac:dyDescent="0.25">
      <c r="A9" s="60">
        <v>2.0999999046325684</v>
      </c>
      <c r="B9" s="57">
        <v>1240850000</v>
      </c>
      <c r="K9">
        <f>INDEX(OutputValues,5,$J$4)</f>
        <v>1240850000</v>
      </c>
    </row>
    <row r="10" spans="1:11" x14ac:dyDescent="0.25">
      <c r="A10" s="60">
        <v>2.5999999046325684</v>
      </c>
      <c r="B10" s="57">
        <v>1240850000</v>
      </c>
      <c r="K10">
        <f>INDEX(OutputValues,6,$J$4)</f>
        <v>1240850000</v>
      </c>
    </row>
    <row r="11" spans="1:11" x14ac:dyDescent="0.25">
      <c r="A11" s="60">
        <v>3.0999999046325684</v>
      </c>
      <c r="B11" s="57">
        <v>1240850000</v>
      </c>
      <c r="K11">
        <f>INDEX(OutputValues,7,$J$4)</f>
        <v>1240850000</v>
      </c>
    </row>
    <row r="12" spans="1:11" x14ac:dyDescent="0.25">
      <c r="A12" s="60">
        <v>3.5999999046325684</v>
      </c>
      <c r="B12" s="57">
        <v>1289849988.5559082</v>
      </c>
      <c r="K12">
        <f>INDEX(OutputValues,8,$J$4)</f>
        <v>1289849988.5559082</v>
      </c>
    </row>
    <row r="13" spans="1:11" x14ac:dyDescent="0.25">
      <c r="A13" s="60">
        <v>4.0999999046325684</v>
      </c>
      <c r="B13" s="57">
        <v>1349849988.5559082</v>
      </c>
      <c r="K13">
        <f>INDEX(OutputValues,9,$J$4)</f>
        <v>1349849988.5559082</v>
      </c>
    </row>
    <row r="14" spans="1:11" x14ac:dyDescent="0.25">
      <c r="A14" s="60">
        <v>4.5999999046325684</v>
      </c>
      <c r="B14" s="58">
        <v>1409849988.5559082</v>
      </c>
      <c r="K14">
        <f>INDEX(OutputValues,10,$J$4)</f>
        <v>1409849988.5559082</v>
      </c>
    </row>
  </sheetData>
  <dataValidations count="1">
    <dataValidation type="list" allowBlank="1" showInputMessage="1" showErrorMessage="1" sqref="K4" xr:uid="{774F1AE4-9F29-4B77-B69A-C6DAD64F478A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232B-9B07-4277-A0C8-A3ECD3A84C92}">
  <dimension ref="A1:K14"/>
  <sheetViews>
    <sheetView workbookViewId="0"/>
  </sheetViews>
  <sheetFormatPr defaultRowHeight="15" x14ac:dyDescent="0.25"/>
  <cols>
    <col min="2" max="2" width="16.85546875" bestFit="1" customWidth="1"/>
  </cols>
  <sheetData>
    <row r="1" spans="1:11" x14ac:dyDescent="0.25">
      <c r="A1" s="51" t="s">
        <v>72</v>
      </c>
      <c r="K1" s="55" t="str">
        <f>CONCATENATE("Sensitivity of ",$K$4," to ","Profit Margin for MobXL($100s) in MobXL Plant")</f>
        <v>Sensitivity of $B$27 to Profit Margin for MobXL($100s) in MobXL Plant</v>
      </c>
    </row>
    <row r="3" spans="1:11" x14ac:dyDescent="0.25">
      <c r="A3" t="s">
        <v>81</v>
      </c>
      <c r="K3" t="s">
        <v>73</v>
      </c>
    </row>
    <row r="4" spans="1:11" ht="32.25" x14ac:dyDescent="0.25">
      <c r="B4" s="53" t="s">
        <v>57</v>
      </c>
      <c r="J4" s="55">
        <f>MATCH($K$4,OutputAddresses,0)</f>
        <v>1</v>
      </c>
      <c r="K4" s="54" t="s">
        <v>57</v>
      </c>
    </row>
    <row r="5" spans="1:11" x14ac:dyDescent="0.25">
      <c r="A5" s="60">
        <v>0.10000000149011612</v>
      </c>
      <c r="B5" s="56">
        <v>923970000.05915761</v>
      </c>
      <c r="K5">
        <f>INDEX(OutputValues,1,$J$4)</f>
        <v>923970000.05915761</v>
      </c>
    </row>
    <row r="6" spans="1:11" x14ac:dyDescent="0.25">
      <c r="A6" s="60">
        <v>0.60000002384185791</v>
      </c>
      <c r="B6" s="57">
        <v>948450002.05039978</v>
      </c>
      <c r="K6">
        <f>INDEX(OutputValues,2,$J$4)</f>
        <v>948450002.05039978</v>
      </c>
    </row>
    <row r="7" spans="1:11" x14ac:dyDescent="0.25">
      <c r="A7" s="60">
        <v>1.1000000238418579</v>
      </c>
      <c r="B7" s="57">
        <v>991450002.05039978</v>
      </c>
      <c r="K7">
        <f>INDEX(OutputValues,3,$J$4)</f>
        <v>991450002.05039978</v>
      </c>
    </row>
    <row r="8" spans="1:11" x14ac:dyDescent="0.25">
      <c r="A8" s="60">
        <v>1.6000000238418579</v>
      </c>
      <c r="B8" s="57">
        <v>1034450002.0503998</v>
      </c>
      <c r="K8">
        <f>INDEX(OutputValues,4,$J$4)</f>
        <v>1034450002.0503998</v>
      </c>
    </row>
    <row r="9" spans="1:11" x14ac:dyDescent="0.25">
      <c r="A9" s="60">
        <v>2.0999999046325684</v>
      </c>
      <c r="B9" s="57">
        <v>1077449991.7984009</v>
      </c>
      <c r="K9">
        <f>INDEX(OutputValues,5,$J$4)</f>
        <v>1077449991.7984009</v>
      </c>
    </row>
    <row r="10" spans="1:11" x14ac:dyDescent="0.25">
      <c r="A10" s="60">
        <v>2.5999999046325684</v>
      </c>
      <c r="B10" s="57">
        <v>1120449991.7984009</v>
      </c>
      <c r="K10">
        <f>INDEX(OutputValues,6,$J$4)</f>
        <v>1120449991.7984009</v>
      </c>
    </row>
    <row r="11" spans="1:11" x14ac:dyDescent="0.25">
      <c r="A11" s="60">
        <v>3.0999999046325684</v>
      </c>
      <c r="B11" s="57">
        <v>1163449991.7984009</v>
      </c>
      <c r="K11">
        <f>INDEX(OutputValues,7,$J$4)</f>
        <v>1163449991.7984009</v>
      </c>
    </row>
    <row r="12" spans="1:11" x14ac:dyDescent="0.25">
      <c r="A12" s="60">
        <v>3.5999999046325684</v>
      </c>
      <c r="B12" s="57">
        <v>1206449991.7984009</v>
      </c>
      <c r="K12">
        <f>INDEX(OutputValues,8,$J$4)</f>
        <v>1206449991.7984009</v>
      </c>
    </row>
    <row r="13" spans="1:11" x14ac:dyDescent="0.25">
      <c r="A13" s="60">
        <v>4.0999999046325684</v>
      </c>
      <c r="B13" s="57">
        <v>1249449991.7984009</v>
      </c>
      <c r="K13">
        <f>INDEX(OutputValues,9,$J$4)</f>
        <v>1249449991.7984009</v>
      </c>
    </row>
    <row r="14" spans="1:11" x14ac:dyDescent="0.25">
      <c r="A14" s="60">
        <v>4.5999999046325684</v>
      </c>
      <c r="B14" s="58">
        <v>1292449991.7984009</v>
      </c>
      <c r="K14">
        <f>INDEX(OutputValues,10,$J$4)</f>
        <v>1292449991.7984009</v>
      </c>
    </row>
  </sheetData>
  <dataValidations count="1">
    <dataValidation type="list" allowBlank="1" showInputMessage="1" showErrorMessage="1" sqref="K4" xr:uid="{80BC573C-5BD4-4E71-9121-90C63D52ED0D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E6CE-D359-4E89-85AD-83AD8448E067}">
  <dimension ref="A1:K14"/>
  <sheetViews>
    <sheetView workbookViewId="0">
      <selection activeCell="M17" sqref="M17"/>
    </sheetView>
  </sheetViews>
  <sheetFormatPr defaultRowHeight="15" x14ac:dyDescent="0.25"/>
  <cols>
    <col min="2" max="2" width="16.85546875" bestFit="1" customWidth="1"/>
  </cols>
  <sheetData>
    <row r="1" spans="1:11" x14ac:dyDescent="0.25">
      <c r="A1" s="51" t="s">
        <v>72</v>
      </c>
      <c r="K1" s="55" t="str">
        <f>CONCATENATE("Sensitivity of ",$K$4," to ","Profit Margin for MobXL($100s) in NewPlant 2")</f>
        <v>Sensitivity of $B$27 to Profit Margin for MobXL($100s) in NewPlant 2</v>
      </c>
    </row>
    <row r="3" spans="1:11" x14ac:dyDescent="0.25">
      <c r="A3" t="s">
        <v>84</v>
      </c>
      <c r="K3" t="s">
        <v>73</v>
      </c>
    </row>
    <row r="4" spans="1:11" ht="32.25" x14ac:dyDescent="0.25">
      <c r="B4" s="53" t="s">
        <v>57</v>
      </c>
      <c r="J4" s="55">
        <f>MATCH($K$4,OutputAddresses,0)</f>
        <v>1</v>
      </c>
      <c r="K4" s="54" t="s">
        <v>57</v>
      </c>
    </row>
    <row r="5" spans="1:11" x14ac:dyDescent="0.25">
      <c r="A5" s="61">
        <v>0.10000000149011612</v>
      </c>
      <c r="B5" s="56">
        <v>1179000000</v>
      </c>
      <c r="K5">
        <f>INDEX(OutputValues,1,$J$4)</f>
        <v>1179000000</v>
      </c>
    </row>
    <row r="6" spans="1:11" x14ac:dyDescent="0.25">
      <c r="A6" s="61">
        <v>0.60000002384185791</v>
      </c>
      <c r="B6" s="57">
        <v>1179000000</v>
      </c>
      <c r="K6">
        <f>INDEX(OutputValues,2,$J$4)</f>
        <v>1179000000</v>
      </c>
    </row>
    <row r="7" spans="1:11" x14ac:dyDescent="0.25">
      <c r="A7" s="61">
        <v>1.1000000238418579</v>
      </c>
      <c r="B7" s="57">
        <v>1179000000</v>
      </c>
      <c r="K7">
        <f>INDEX(OutputValues,3,$J$4)</f>
        <v>1179000000</v>
      </c>
    </row>
    <row r="8" spans="1:11" x14ac:dyDescent="0.25">
      <c r="A8" s="61">
        <v>1.6000000238418579</v>
      </c>
      <c r="B8" s="57">
        <v>1179000000</v>
      </c>
      <c r="K8">
        <f>INDEX(OutputValues,4,$J$4)</f>
        <v>1179000000</v>
      </c>
    </row>
    <row r="9" spans="1:11" x14ac:dyDescent="0.25">
      <c r="A9" s="61">
        <v>2.0999999046325684</v>
      </c>
      <c r="B9" s="57">
        <v>1179000000</v>
      </c>
      <c r="K9">
        <f>INDEX(OutputValues,5,$J$4)</f>
        <v>1179000000</v>
      </c>
    </row>
    <row r="10" spans="1:11" x14ac:dyDescent="0.25">
      <c r="A10" s="61">
        <v>2.5999999046325684</v>
      </c>
      <c r="B10" s="57">
        <v>1179000000</v>
      </c>
      <c r="K10">
        <f>INDEX(OutputValues,6,$J$4)</f>
        <v>1179000000</v>
      </c>
    </row>
    <row r="11" spans="1:11" x14ac:dyDescent="0.25">
      <c r="A11" s="61">
        <v>3.0999999046325684</v>
      </c>
      <c r="B11" s="57">
        <v>1191369988.2030487</v>
      </c>
      <c r="K11">
        <f>INDEX(OutputValues,7,$J$4)</f>
        <v>1191369988.2030487</v>
      </c>
    </row>
    <row r="12" spans="1:11" x14ac:dyDescent="0.25">
      <c r="A12" s="61">
        <v>3.5999999046325684</v>
      </c>
      <c r="B12" s="57">
        <v>1253219988.2030487</v>
      </c>
      <c r="K12">
        <f>INDEX(OutputValues,8,$J$4)</f>
        <v>1253219988.2030487</v>
      </c>
    </row>
    <row r="13" spans="1:11" x14ac:dyDescent="0.25">
      <c r="A13" s="61">
        <v>4.0999999046325684</v>
      </c>
      <c r="B13" s="57">
        <v>1315069988.2030487</v>
      </c>
      <c r="K13">
        <f>INDEX(OutputValues,9,$J$4)</f>
        <v>1315069988.2030487</v>
      </c>
    </row>
    <row r="14" spans="1:11" x14ac:dyDescent="0.25">
      <c r="A14" s="61">
        <v>4.5999999046325684</v>
      </c>
      <c r="B14" s="58">
        <v>1376919988.2030487</v>
      </c>
      <c r="K14">
        <f>INDEX(OutputValues,10,$J$4)</f>
        <v>1376919988.2030487</v>
      </c>
    </row>
  </sheetData>
  <dataValidations count="1">
    <dataValidation type="list" allowBlank="1" showInputMessage="1" showErrorMessage="1" sqref="K4" xr:uid="{8785D36E-220A-4D61-9614-41A04C60B501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24</vt:i4>
      </vt:variant>
    </vt:vector>
  </HeadingPairs>
  <TitlesOfParts>
    <vt:vector size="32" baseType="lpstr">
      <vt:lpstr>Model Formulation</vt:lpstr>
      <vt:lpstr>Model Optimization</vt:lpstr>
      <vt:lpstr>Sensitivity_Demand_XL</vt:lpstr>
      <vt:lpstr>Sensitivity_Demand_XR</vt:lpstr>
      <vt:lpstr>Sensitivity_Demand_XS</vt:lpstr>
      <vt:lpstr>Sensitivity_Profit_XS</vt:lpstr>
      <vt:lpstr>Sensitivity_Profit_XL</vt:lpstr>
      <vt:lpstr>Sensitivity_XLinplant2</vt:lpstr>
      <vt:lpstr>Sensitivity_Demand_XL!ChartData</vt:lpstr>
      <vt:lpstr>Sensitivity_Demand_XR!ChartData</vt:lpstr>
      <vt:lpstr>Sensitivity_Demand_XS!ChartData</vt:lpstr>
      <vt:lpstr>Sensitivity_Profit_XL!ChartData</vt:lpstr>
      <vt:lpstr>Sensitivity_Profit_XS!ChartData</vt:lpstr>
      <vt:lpstr>Sensitivity_XLinplant2!ChartData</vt:lpstr>
      <vt:lpstr>Sensitivity_Demand_XL!InputValues</vt:lpstr>
      <vt:lpstr>Sensitivity_Demand_XR!InputValues</vt:lpstr>
      <vt:lpstr>Sensitivity_Demand_XS!InputValues</vt:lpstr>
      <vt:lpstr>Sensitivity_Profit_XL!InputValues</vt:lpstr>
      <vt:lpstr>Sensitivity_Profit_XS!InputValues</vt:lpstr>
      <vt:lpstr>Sensitivity_XLinplant2!InputValues</vt:lpstr>
      <vt:lpstr>Sensitivity_Demand_XL!OutputAddresses</vt:lpstr>
      <vt:lpstr>Sensitivity_Demand_XR!OutputAddresses</vt:lpstr>
      <vt:lpstr>Sensitivity_Demand_XS!OutputAddresses</vt:lpstr>
      <vt:lpstr>Sensitivity_Profit_XL!OutputAddresses</vt:lpstr>
      <vt:lpstr>Sensitivity_Profit_XS!OutputAddresses</vt:lpstr>
      <vt:lpstr>Sensitivity_XLinplant2!OutputAddresses</vt:lpstr>
      <vt:lpstr>Sensitivity_Demand_XL!OutputValues</vt:lpstr>
      <vt:lpstr>Sensitivity_Demand_XR!OutputValues</vt:lpstr>
      <vt:lpstr>Sensitivity_Demand_XS!OutputValues</vt:lpstr>
      <vt:lpstr>Sensitivity_Profit_XL!OutputValues</vt:lpstr>
      <vt:lpstr>Sensitivity_Profit_XS!OutputValues</vt:lpstr>
      <vt:lpstr>Sensitivity_XLinplant2!OutputValues</vt:lpstr>
    </vt:vector>
  </TitlesOfParts>
  <Company>Cal State East 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STSC</dc:creator>
  <cp:lastModifiedBy>stsc</cp:lastModifiedBy>
  <dcterms:created xsi:type="dcterms:W3CDTF">2019-10-12T03:21:37Z</dcterms:created>
  <dcterms:modified xsi:type="dcterms:W3CDTF">2019-10-14T02:22:49Z</dcterms:modified>
</cp:coreProperties>
</file>