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aultid/Google Drive/учоба/4 семестр/Матан/"/>
    </mc:Choice>
  </mc:AlternateContent>
  <xr:revisionPtr revIDLastSave="0" documentId="13_ncr:1_{84752EED-A562-3248-A9E0-D3C28640DB3B}" xr6:coauthVersionLast="47" xr6:coauthVersionMax="47" xr10:uidLastSave="{00000000-0000-0000-0000-000000000000}"/>
  <bookViews>
    <workbookView xWindow="0" yWindow="500" windowWidth="28800" windowHeight="17500" firstSheet="6" activeTab="19" xr2:uid="{CAED7579-B245-054E-ADBD-0ADAEB988C51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ДЗ_5" sheetId="7" r:id="rId7"/>
    <sheet name="ДЗ" sheetId="8" r:id="rId8"/>
    <sheet name="Лист9" sheetId="9" r:id="rId9"/>
    <sheet name="Лист7" sheetId="10" r:id="rId10"/>
    <sheet name="Лист8" sheetId="11" r:id="rId11"/>
    <sheet name="Лист10" sheetId="12" r:id="rId12"/>
    <sheet name="Лист11" sheetId="13" r:id="rId13"/>
    <sheet name="Лист12" sheetId="14" r:id="rId14"/>
    <sheet name="Лист13" sheetId="15" r:id="rId15"/>
    <sheet name="Лист14" sheetId="16" r:id="rId16"/>
    <sheet name="Лист15" sheetId="17" r:id="rId17"/>
    <sheet name="Лист16" sheetId="18" r:id="rId18"/>
    <sheet name="Лист17" sheetId="19" r:id="rId19"/>
    <sheet name="Лист18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20" l="1"/>
  <c r="B30" i="20"/>
  <c r="D10" i="20"/>
  <c r="E10" i="20"/>
  <c r="F10" i="20"/>
  <c r="G10" i="20"/>
  <c r="H10" i="20"/>
  <c r="I10" i="20"/>
  <c r="J10" i="20"/>
  <c r="C10" i="20"/>
  <c r="M4" i="20"/>
  <c r="M5" i="20"/>
  <c r="M6" i="20"/>
  <c r="M7" i="20"/>
  <c r="M3" i="20"/>
  <c r="B27" i="20"/>
  <c r="B26" i="20"/>
  <c r="D9" i="20"/>
  <c r="E9" i="20"/>
  <c r="F9" i="20"/>
  <c r="G9" i="20"/>
  <c r="H9" i="20"/>
  <c r="I9" i="20"/>
  <c r="J9" i="20"/>
  <c r="C9" i="20"/>
  <c r="L4" i="20"/>
  <c r="L5" i="20"/>
  <c r="L6" i="20"/>
  <c r="L7" i="20"/>
  <c r="L3" i="20"/>
  <c r="B25" i="19"/>
  <c r="B24" i="19"/>
  <c r="B23" i="19"/>
  <c r="F3" i="19"/>
  <c r="F4" i="19"/>
  <c r="F5" i="19"/>
  <c r="F6" i="19"/>
  <c r="F7" i="19"/>
  <c r="F8" i="19"/>
  <c r="F9" i="19"/>
  <c r="F10" i="19"/>
  <c r="F11" i="19"/>
  <c r="F2" i="19"/>
  <c r="B22" i="19"/>
  <c r="B21" i="19"/>
  <c r="B20" i="19"/>
  <c r="B19" i="19"/>
  <c r="B18" i="19"/>
  <c r="B17" i="19"/>
  <c r="E3" i="19"/>
  <c r="E4" i="19"/>
  <c r="E5" i="19"/>
  <c r="E6" i="19"/>
  <c r="E7" i="19"/>
  <c r="E8" i="19"/>
  <c r="E9" i="19"/>
  <c r="E10" i="19"/>
  <c r="E11" i="19"/>
  <c r="E2" i="19"/>
  <c r="D3" i="19"/>
  <c r="D4" i="19"/>
  <c r="D5" i="19"/>
  <c r="D6" i="19"/>
  <c r="D7" i="19"/>
  <c r="D8" i="19"/>
  <c r="D9" i="19"/>
  <c r="D10" i="19"/>
  <c r="D11" i="19"/>
  <c r="D2" i="19"/>
  <c r="B16" i="19"/>
  <c r="B15" i="19"/>
  <c r="B14" i="19"/>
  <c r="B13" i="19"/>
  <c r="F23" i="18"/>
  <c r="F24" i="18"/>
  <c r="F25" i="18"/>
  <c r="F26" i="18"/>
  <c r="F22" i="18"/>
  <c r="E23" i="18"/>
  <c r="E24" i="18"/>
  <c r="E25" i="18"/>
  <c r="E26" i="18"/>
  <c r="E22" i="18"/>
  <c r="L8" i="18"/>
  <c r="L9" i="18"/>
  <c r="L10" i="18"/>
  <c r="L11" i="18"/>
  <c r="L12" i="18"/>
  <c r="L13" i="18"/>
  <c r="L7" i="18"/>
  <c r="K15" i="18"/>
  <c r="K13" i="18"/>
  <c r="K8" i="18"/>
  <c r="K9" i="18"/>
  <c r="K10" i="18"/>
  <c r="K11" i="18"/>
  <c r="K12" i="18"/>
  <c r="K7" i="18"/>
  <c r="J8" i="18"/>
  <c r="J9" i="18"/>
  <c r="J10" i="18"/>
  <c r="J11" i="18"/>
  <c r="J12" i="18"/>
  <c r="J13" i="18"/>
  <c r="J7" i="18"/>
  <c r="I8" i="18"/>
  <c r="I9" i="18"/>
  <c r="I10" i="18"/>
  <c r="I11" i="18"/>
  <c r="I12" i="18"/>
  <c r="I13" i="18"/>
  <c r="I7" i="18"/>
  <c r="H18" i="18"/>
  <c r="H17" i="18"/>
  <c r="H15" i="18"/>
  <c r="H16" i="18"/>
  <c r="H8" i="18"/>
  <c r="H9" i="18"/>
  <c r="H10" i="18"/>
  <c r="H11" i="18"/>
  <c r="H12" i="18"/>
  <c r="H13" i="18"/>
  <c r="H7" i="18"/>
  <c r="G8" i="18"/>
  <c r="G9" i="18"/>
  <c r="G10" i="18"/>
  <c r="G11" i="18"/>
  <c r="G12" i="18"/>
  <c r="G13" i="18"/>
  <c r="G7" i="18"/>
  <c r="F8" i="18"/>
  <c r="F9" i="18"/>
  <c r="F10" i="18"/>
  <c r="F11" i="18"/>
  <c r="F12" i="18"/>
  <c r="F13" i="18"/>
  <c r="F7" i="18"/>
  <c r="T15" i="18"/>
  <c r="T14" i="18"/>
  <c r="T13" i="18"/>
  <c r="T12" i="18"/>
  <c r="T11" i="18"/>
  <c r="S18" i="18"/>
  <c r="S12" i="18"/>
  <c r="S13" i="18"/>
  <c r="S14" i="18"/>
  <c r="S15" i="18"/>
  <c r="S16" i="18"/>
  <c r="S17" i="18"/>
  <c r="S11" i="18"/>
  <c r="E8" i="18"/>
  <c r="E9" i="18"/>
  <c r="E10" i="18"/>
  <c r="E11" i="18"/>
  <c r="E12" i="18"/>
  <c r="E13" i="18"/>
  <c r="E7" i="18"/>
  <c r="B11" i="18"/>
  <c r="C9" i="18"/>
  <c r="C11" i="18"/>
  <c r="B12" i="18" s="1"/>
  <c r="C12" i="18" s="1"/>
  <c r="B13" i="18" s="1"/>
  <c r="C13" i="18" s="1"/>
  <c r="C8" i="18"/>
  <c r="B10" i="18"/>
  <c r="C10" i="18" s="1"/>
  <c r="B9" i="18"/>
  <c r="B8" i="18"/>
  <c r="C7" i="18"/>
  <c r="B3" i="18"/>
  <c r="C7" i="17"/>
  <c r="D6" i="17"/>
  <c r="E6" i="17" s="1"/>
  <c r="D5" i="17"/>
  <c r="E5" i="17" s="1"/>
  <c r="D4" i="17"/>
  <c r="E4" i="17" s="1"/>
  <c r="E3" i="17"/>
  <c r="D3" i="17"/>
  <c r="D2" i="17"/>
  <c r="E2" i="17" s="1"/>
  <c r="E7" i="17" s="1"/>
  <c r="A10" i="17" s="1"/>
  <c r="C8" i="16"/>
  <c r="B8" i="16"/>
  <c r="D7" i="16"/>
  <c r="D6" i="16"/>
  <c r="D5" i="16"/>
  <c r="D4" i="16"/>
  <c r="D3" i="16"/>
  <c r="D8" i="16" s="1"/>
  <c r="B11" i="16" s="1"/>
  <c r="D2" i="16"/>
  <c r="C8" i="15"/>
  <c r="D8" i="15" s="1"/>
  <c r="C7" i="15"/>
  <c r="D7" i="15" s="1"/>
  <c r="C6" i="15"/>
  <c r="D6" i="15" s="1"/>
  <c r="C5" i="15"/>
  <c r="D5" i="15" s="1"/>
  <c r="C4" i="15"/>
  <c r="D4" i="15" s="1"/>
  <c r="C3" i="15"/>
  <c r="D3" i="15" s="1"/>
  <c r="C2" i="15"/>
  <c r="D2" i="15" s="1"/>
  <c r="D11" i="15" s="1"/>
  <c r="C6" i="13"/>
  <c r="D6" i="13" s="1"/>
  <c r="C2" i="13"/>
  <c r="D2" i="13" s="1"/>
  <c r="C3" i="13"/>
  <c r="D3" i="13" s="1"/>
  <c r="C4" i="13"/>
  <c r="D4" i="13" s="1"/>
  <c r="C5" i="13"/>
  <c r="D5" i="13" s="1"/>
  <c r="C1" i="13"/>
  <c r="E6" i="12"/>
  <c r="E7" i="12"/>
  <c r="E8" i="12"/>
  <c r="E9" i="12"/>
  <c r="D6" i="12"/>
  <c r="D7" i="12"/>
  <c r="D8" i="12"/>
  <c r="D9" i="12"/>
  <c r="D5" i="12"/>
  <c r="D10" i="12" s="1"/>
  <c r="B12" i="12" s="1"/>
  <c r="E5" i="12" s="1"/>
  <c r="D3" i="11"/>
  <c r="E3" i="11" s="1"/>
  <c r="D4" i="11"/>
  <c r="E4" i="11" s="1"/>
  <c r="D5" i="11"/>
  <c r="E5" i="11" s="1"/>
  <c r="C3" i="11"/>
  <c r="C4" i="11"/>
  <c r="C5" i="11"/>
  <c r="C6" i="11"/>
  <c r="D6" i="11" s="1"/>
  <c r="E6" i="11" s="1"/>
  <c r="C7" i="11"/>
  <c r="D7" i="11" s="1"/>
  <c r="E7" i="11" s="1"/>
  <c r="C2" i="11"/>
  <c r="D2" i="11" s="1"/>
  <c r="E2" i="11" s="1"/>
  <c r="C6" i="9"/>
  <c r="A6" i="9"/>
  <c r="D3" i="8"/>
  <c r="D4" i="8"/>
  <c r="D5" i="8"/>
  <c r="D6" i="8"/>
  <c r="D7" i="8"/>
  <c r="D8" i="8"/>
  <c r="D2" i="8"/>
  <c r="T16" i="18" l="1"/>
  <c r="F4" i="17"/>
  <c r="F6" i="17"/>
  <c r="G6" i="17" s="1"/>
  <c r="H6" i="17" s="1"/>
  <c r="I6" i="17" s="1"/>
  <c r="F5" i="17"/>
  <c r="F2" i="17"/>
  <c r="F3" i="17"/>
  <c r="G3" i="17" s="1"/>
  <c r="H3" i="17" s="1"/>
  <c r="I3" i="17" s="1"/>
  <c r="G2" i="17"/>
  <c r="G4" i="17"/>
  <c r="H4" i="17" s="1"/>
  <c r="I4" i="17" s="1"/>
  <c r="D7" i="17"/>
  <c r="G5" i="17"/>
  <c r="H5" i="17" s="1"/>
  <c r="I5" i="17" s="1"/>
  <c r="E7" i="16"/>
  <c r="E6" i="16"/>
  <c r="E5" i="16"/>
  <c r="E4" i="16"/>
  <c r="E3" i="16"/>
  <c r="E2" i="16"/>
  <c r="B10" i="11"/>
  <c r="C3" i="8"/>
  <c r="C4" i="8"/>
  <c r="C5" i="8"/>
  <c r="C6" i="8"/>
  <c r="C7" i="8"/>
  <c r="C8" i="8"/>
  <c r="C2" i="8"/>
  <c r="B11" i="8" s="1"/>
  <c r="G5" i="7"/>
  <c r="E5" i="7"/>
  <c r="C5" i="7"/>
  <c r="A5" i="7"/>
  <c r="D3" i="6"/>
  <c r="D4" i="6"/>
  <c r="D5" i="6"/>
  <c r="D6" i="6"/>
  <c r="D7" i="6"/>
  <c r="D8" i="6"/>
  <c r="D9" i="6"/>
  <c r="D10" i="6"/>
  <c r="D11" i="6"/>
  <c r="D2" i="6"/>
  <c r="C3" i="6"/>
  <c r="C4" i="6"/>
  <c r="C5" i="6"/>
  <c r="C6" i="6"/>
  <c r="C7" i="6"/>
  <c r="C8" i="6"/>
  <c r="C9" i="6"/>
  <c r="C10" i="6"/>
  <c r="C11" i="6"/>
  <c r="C2" i="6"/>
  <c r="B4" i="5"/>
  <c r="C2" i="5"/>
  <c r="B7" i="4"/>
  <c r="A7" i="4"/>
  <c r="D3" i="3"/>
  <c r="D4" i="3"/>
  <c r="D5" i="3"/>
  <c r="D2" i="3"/>
  <c r="C3" i="3"/>
  <c r="C4" i="3"/>
  <c r="C5" i="3"/>
  <c r="C2" i="3"/>
  <c r="B7" i="3"/>
  <c r="C8" i="3" s="1"/>
  <c r="C10" i="3" s="1"/>
  <c r="D2" i="2"/>
  <c r="C28" i="2" s="1"/>
  <c r="C27" i="2" s="1"/>
  <c r="F28" i="2" s="1"/>
  <c r="D4" i="1"/>
  <c r="F4" i="1" s="1"/>
  <c r="D5" i="1"/>
  <c r="G5" i="1" s="1"/>
  <c r="D6" i="1"/>
  <c r="G6" i="1" s="1"/>
  <c r="D7" i="1"/>
  <c r="G7" i="1" s="1"/>
  <c r="D8" i="1"/>
  <c r="F8" i="1" s="1"/>
  <c r="D3" i="1"/>
  <c r="F3" i="1" s="1"/>
  <c r="H2" i="17" l="1"/>
  <c r="G7" i="17"/>
  <c r="F7" i="17"/>
  <c r="E8" i="16"/>
  <c r="B13" i="8"/>
  <c r="B14" i="8" s="1"/>
  <c r="C15" i="8" s="1"/>
  <c r="B12" i="6"/>
  <c r="B14" i="6"/>
  <c r="B16" i="6" s="1"/>
  <c r="A17" i="6" s="1"/>
  <c r="I29" i="2"/>
  <c r="I28" i="2"/>
  <c r="F29" i="2"/>
  <c r="C9" i="3"/>
  <c r="C11" i="3" s="1"/>
  <c r="C26" i="2"/>
  <c r="E5" i="1"/>
  <c r="E3" i="1"/>
  <c r="L3" i="1" s="1"/>
  <c r="F7" i="1"/>
  <c r="G3" i="1"/>
  <c r="E7" i="1"/>
  <c r="E8" i="1"/>
  <c r="F6" i="1"/>
  <c r="G8" i="1"/>
  <c r="G4" i="1"/>
  <c r="E4" i="1"/>
  <c r="E6" i="1"/>
  <c r="F5" i="1"/>
  <c r="I2" i="17" l="1"/>
  <c r="I7" i="17" s="1"/>
  <c r="B10" i="17" s="1"/>
  <c r="H7" i="17"/>
  <c r="A15" i="8"/>
  <c r="C16" i="8"/>
  <c r="A16" i="8"/>
  <c r="F27" i="2"/>
  <c r="I27" i="2"/>
  <c r="J6" i="1"/>
  <c r="J7" i="1" s="1"/>
  <c r="J8" i="1" s="1"/>
  <c r="M3" i="1"/>
  <c r="B17" i="6"/>
  <c r="C25" i="2"/>
  <c r="I26" i="2" s="1"/>
  <c r="N3" i="1"/>
  <c r="O3" i="1" s="1"/>
  <c r="P3" i="1" s="1"/>
  <c r="Q3" i="1" s="1"/>
  <c r="F26" i="2" l="1"/>
  <c r="C24" i="2"/>
  <c r="F25" i="2" l="1"/>
  <c r="I25" i="2"/>
  <c r="C23" i="2"/>
  <c r="F24" i="2" l="1"/>
  <c r="F23" i="2"/>
  <c r="G22" i="2" a="1"/>
  <c r="J25" i="2" s="1"/>
  <c r="I23" i="2"/>
  <c r="I24" i="2"/>
  <c r="K25" i="2" l="1"/>
  <c r="J24" i="2"/>
  <c r="K24" i="2"/>
  <c r="J23" i="2"/>
  <c r="K23" i="2"/>
  <c r="G22" i="2"/>
  <c r="H25" i="2"/>
  <c r="H26" i="2"/>
  <c r="H27" i="2"/>
  <c r="H28" i="2"/>
  <c r="H29" i="2"/>
  <c r="H23" i="2"/>
  <c r="H24" i="2"/>
  <c r="J28" i="2"/>
  <c r="J29" i="2"/>
  <c r="K29" i="2"/>
  <c r="K28" i="2"/>
  <c r="J26" i="2"/>
  <c r="K26" i="2"/>
  <c r="J27" i="2"/>
  <c r="K27" i="2"/>
  <c r="N23" i="2" l="1"/>
  <c r="N24" i="2" s="1"/>
  <c r="N25" i="2" s="1"/>
  <c r="G30" i="2"/>
  <c r="G29" i="2"/>
  <c r="G28" i="2"/>
  <c r="G27" i="2"/>
  <c r="G26" i="2"/>
  <c r="G25" i="2"/>
  <c r="G24" i="2"/>
  <c r="G2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<sst xmlns="http://schemas.openxmlformats.org/spreadsheetml/2006/main" count="200" uniqueCount="115">
  <si>
    <t>Xi</t>
  </si>
  <si>
    <t>Ni</t>
  </si>
  <si>
    <t>Wi</t>
  </si>
  <si>
    <t>XiNi</t>
  </si>
  <si>
    <t>Xi^2Ni</t>
  </si>
  <si>
    <t>F*(x)</t>
  </si>
  <si>
    <t>x</t>
  </si>
  <si>
    <t>M(x)</t>
  </si>
  <si>
    <t>D(x)</t>
  </si>
  <si>
    <t>qx</t>
  </si>
  <si>
    <t>h</t>
  </si>
  <si>
    <t>№</t>
  </si>
  <si>
    <t>ni/(nh)</t>
  </si>
  <si>
    <t>M(X)</t>
  </si>
  <si>
    <t>q</t>
  </si>
  <si>
    <t>xi</t>
  </si>
  <si>
    <t>ni</t>
  </si>
  <si>
    <t>Xг =</t>
  </si>
  <si>
    <t>S^2=</t>
  </si>
  <si>
    <t>qГ=</t>
  </si>
  <si>
    <t>Dв=</t>
  </si>
  <si>
    <t>n</t>
  </si>
  <si>
    <t>Xв</t>
  </si>
  <si>
    <t>y</t>
  </si>
  <si>
    <t>d</t>
  </si>
  <si>
    <t>t^2*q^2/d^2</t>
  </si>
  <si>
    <t>t</t>
  </si>
  <si>
    <t>S^2</t>
  </si>
  <si>
    <t>S</t>
  </si>
  <si>
    <t>s</t>
  </si>
  <si>
    <t>q(n,y)</t>
  </si>
  <si>
    <t>q(n, y)</t>
  </si>
  <si>
    <t>g</t>
  </si>
  <si>
    <t>q(n ,y)</t>
  </si>
  <si>
    <t>a</t>
  </si>
  <si>
    <t xml:space="preserve"> S^2</t>
  </si>
  <si>
    <t xml:space="preserve">проверка отклонений </t>
  </si>
  <si>
    <t>X^2 - хи квадрат (критерий пирсона)</t>
  </si>
  <si>
    <t>SUM(ni-n'i)/ni'</t>
  </si>
  <si>
    <t xml:space="preserve">Наблюдаемый </t>
  </si>
  <si>
    <t xml:space="preserve">Х^2 теоретический </t>
  </si>
  <si>
    <t xml:space="preserve">a - уровень значимости </t>
  </si>
  <si>
    <t>k-r-1</t>
  </si>
  <si>
    <t xml:space="preserve">Степени свободы </t>
  </si>
  <si>
    <t>Нормальное распределение</t>
  </si>
  <si>
    <t>r=2</t>
  </si>
  <si>
    <t>n'</t>
  </si>
  <si>
    <t>n-n'</t>
  </si>
  <si>
    <t>(n-n')^2</t>
  </si>
  <si>
    <t>(n-n')^2/n</t>
  </si>
  <si>
    <t>Х^2набл=</t>
  </si>
  <si>
    <t>r</t>
  </si>
  <si>
    <t>Ф((ai+Xв)/S)-Ф((ai-Xв)/S)</t>
  </si>
  <si>
    <t>ni*Pi</t>
  </si>
  <si>
    <t>n'i</t>
  </si>
  <si>
    <t>P</t>
  </si>
  <si>
    <t>i</t>
  </si>
  <si>
    <t>xini</t>
  </si>
  <si>
    <t>Х</t>
  </si>
  <si>
    <t>Pi</t>
  </si>
  <si>
    <t>w</t>
  </si>
  <si>
    <t>A</t>
  </si>
  <si>
    <t>B</t>
  </si>
  <si>
    <t>(ni-n'i)^2</t>
  </si>
  <si>
    <t>(ni-n'i)^2/n'i</t>
  </si>
  <si>
    <t>alpha</t>
  </si>
  <si>
    <t>k</t>
  </si>
  <si>
    <t>hi^2 набл.</t>
  </si>
  <si>
    <t>hi^2 теор.</t>
  </si>
  <si>
    <t>xi*ni</t>
  </si>
  <si>
    <t>СУММА</t>
  </si>
  <si>
    <t>xв</t>
  </si>
  <si>
    <t>ai-1</t>
  </si>
  <si>
    <t>ai</t>
  </si>
  <si>
    <t>(ni-n'i)^2/ni</t>
  </si>
  <si>
    <t>XB</t>
  </si>
  <si>
    <t>v</t>
  </si>
  <si>
    <t>h=</t>
  </si>
  <si>
    <t>k=</t>
  </si>
  <si>
    <t>ni/n</t>
  </si>
  <si>
    <t>xi^2ni</t>
  </si>
  <si>
    <t>Dв</t>
  </si>
  <si>
    <t>s^2</t>
  </si>
  <si>
    <t>(ai-xв)/s</t>
  </si>
  <si>
    <t>X</t>
  </si>
  <si>
    <t>Y</t>
  </si>
  <si>
    <t>Yi</t>
  </si>
  <si>
    <t>sumXi</t>
  </si>
  <si>
    <t>sumYi</t>
  </si>
  <si>
    <t>Yв</t>
  </si>
  <si>
    <t>Xi^2</t>
  </si>
  <si>
    <t>Yi^2</t>
  </si>
  <si>
    <t>sumX^2</t>
  </si>
  <si>
    <t>sumY^2</t>
  </si>
  <si>
    <t>Dв(X)</t>
  </si>
  <si>
    <t>Dв(Y)</t>
  </si>
  <si>
    <t>sigmaX</t>
  </si>
  <si>
    <t>sigmaY</t>
  </si>
  <si>
    <t>X*Y</t>
  </si>
  <si>
    <t>sumX*Y</t>
  </si>
  <si>
    <t>avgX*Y</t>
  </si>
  <si>
    <t>rв</t>
  </si>
  <si>
    <t>yx-Yв=rв*sigmaX/sigmaY*(X-Xв)</t>
  </si>
  <si>
    <t>y=8,55+0,62x</t>
  </si>
  <si>
    <t>X=1,36y+0,59</t>
  </si>
  <si>
    <t>mx</t>
  </si>
  <si>
    <t>my</t>
  </si>
  <si>
    <t>Xi*mx</t>
  </si>
  <si>
    <t>Yi*my</t>
  </si>
  <si>
    <t>Xi^2*mx</t>
  </si>
  <si>
    <t>Yi^2*my</t>
  </si>
  <si>
    <t>D^2в(Х)</t>
  </si>
  <si>
    <t>D^2в(Y)</t>
  </si>
  <si>
    <t xml:space="preserve">tнабл </t>
  </si>
  <si>
    <t>rв*sqrt(n-2)/(sqrt(1-rв^2))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</si>
</sst>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Лист1!$C$3:$C$8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Лист1!$E$3:$E$8</c:f>
              <c:numCache>
                <c:formatCode>General</c:formatCode>
                <c:ptCount val="6"/>
                <c:pt idx="0">
                  <c:v>0.10714285714285714</c:v>
                </c:pt>
                <c:pt idx="1">
                  <c:v>0.17857142857142858</c:v>
                </c:pt>
                <c:pt idx="2">
                  <c:v>0.2857142857142857</c:v>
                </c:pt>
                <c:pt idx="3">
                  <c:v>0.25</c:v>
                </c:pt>
                <c:pt idx="4">
                  <c:v>0.14285714285714285</c:v>
                </c:pt>
                <c:pt idx="5">
                  <c:v>3.5714285714285712E-2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0-824F-8FEF-F3DA372DA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749903"/>
        <c:axId val="389621711"/>
      </c:scatterChart>
      <c:valAx>
        <c:axId val="38974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621711"/>
        <c:crosses val="autoZero"/>
        <c:crossBetween val="midCat"/>
      </c:valAx>
      <c:valAx>
        <c:axId val="38962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74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Лист1!$L$2:$Q$2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Лист1!$L$3:$Q$3</c:f>
              <c:numCache>
                <c:formatCode>General</c:formatCode>
                <c:ptCount val="6"/>
                <c:pt idx="0">
                  <c:v>0.10714285714285714</c:v>
                </c:pt>
                <c:pt idx="1">
                  <c:v>0.2857142857142857</c:v>
                </c:pt>
                <c:pt idx="2">
                  <c:v>0.5714285714285714</c:v>
                </c:pt>
                <c:pt idx="3">
                  <c:v>0.8214285714285714</c:v>
                </c:pt>
                <c:pt idx="4">
                  <c:v>0.96428571428571419</c:v>
                </c:pt>
                <c:pt idx="5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7-7B49-99C5-781C9A333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60817711"/>
        <c:axId val="460819359"/>
      </c:barChart>
      <c:catAx>
        <c:axId val="46081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819359"/>
        <c:crosses val="autoZero"/>
        <c:auto val="1"/>
        <c:lblAlgn val="ctr"/>
        <c:lblOffset val="100"/>
        <c:noMultiLvlLbl val="0"/>
      </c:catAx>
      <c:valAx>
        <c:axId val="46081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81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Лист2!$F$23:$F$29</c:f>
              <c:strCache>
                <c:ptCount val="7"/>
                <c:pt idx="0">
                  <c:v>(0;0,448300404255898)</c:v>
                </c:pt>
                <c:pt idx="1">
                  <c:v>(0,448300404255898;6,37358367021325)</c:v>
                </c:pt>
                <c:pt idx="2">
                  <c:v>(6,37358367021325;12,2988669361706)</c:v>
                </c:pt>
                <c:pt idx="3">
                  <c:v>(12,2988669361706;18,2241502021279)</c:v>
                </c:pt>
                <c:pt idx="4">
                  <c:v>(18,2241502021279;24,1494334680853)</c:v>
                </c:pt>
                <c:pt idx="5">
                  <c:v>(24,1494334680853;30,0747167340426)</c:v>
                </c:pt>
                <c:pt idx="6">
                  <c:v>(30,0747167340426;36)</c:v>
                </c:pt>
              </c:strCache>
            </c:strRef>
          </c:cat>
          <c:val>
            <c:numRef>
              <c:f>Лист2!$H$23:$H$29</c:f>
              <c:numCache>
                <c:formatCode>General</c:formatCode>
                <c:ptCount val="7"/>
                <c:pt idx="0">
                  <c:v>0</c:v>
                </c:pt>
                <c:pt idx="1">
                  <c:v>6.7507321092668784E-2</c:v>
                </c:pt>
                <c:pt idx="2">
                  <c:v>6.7507321092668784E-2</c:v>
                </c:pt>
                <c:pt idx="3">
                  <c:v>1.1251220182111464E-2</c:v>
                </c:pt>
                <c:pt idx="4">
                  <c:v>1.6876830273167196E-2</c:v>
                </c:pt>
                <c:pt idx="5">
                  <c:v>0</c:v>
                </c:pt>
                <c:pt idx="6">
                  <c:v>5.625610091055732E-3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1-4708-A9BF-6D8FDF899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48688"/>
        <c:axId val="110633712"/>
      </c:barChart>
      <c:catAx>
        <c:axId val="11064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633712"/>
        <c:crosses val="autoZero"/>
        <c:auto val="1"/>
        <c:lblAlgn val="ctr"/>
        <c:lblOffset val="100"/>
        <c:noMultiLvlLbl val="0"/>
      </c:catAx>
      <c:valAx>
        <c:axId val="11063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64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9</xdr:row>
      <xdr:rowOff>50800</xdr:rowOff>
    </xdr:from>
    <xdr:to>
      <xdr:col>7</xdr:col>
      <xdr:colOff>292100</xdr:colOff>
      <xdr:row>22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98202E7-C73D-0CE3-C1C3-32288B0F0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682625</xdr:colOff>
      <xdr:row>9</xdr:row>
      <xdr:rowOff>73025</xdr:rowOff>
    </xdr:from>
    <xdr:to>
      <xdr:col>14</xdr:col>
      <xdr:colOff>9525</xdr:colOff>
      <xdr:row>22</xdr:row>
      <xdr:rowOff>174625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D7FFA6-C79B-7BF7-C708-B369CD49C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</xdr:colOff>
      <xdr:row>5</xdr:row>
      <xdr:rowOff>33337</xdr:rowOff>
    </xdr:from>
    <xdr:to>
      <xdr:col>7</xdr:col>
      <xdr:colOff>33337</xdr:colOff>
      <xdr:row>18</xdr:row>
      <xdr:rowOff>176212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1EE4C49-13E7-47AA-BCC8-48B2678D2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AE24-051C-314F-B1CF-E0A0DE503E9C}">
  <dimension ref="A2:Q29"/>
  <sheetViews>
    <sheetView workbookViewId="0">
      <selection activeCell="N28" sqref="N28"/>
    </sheetView>
  </sheetViews>
  <sheetFormatPr baseColWidth="10" defaultColWidth="11" defaultRowHeight="16" x14ac:dyDescent="0.2"/>
  <cols>
    <col min="11" max="11" width="5.33203125" bestFit="1" customWidth="1"/>
    <col min="12" max="12" width="7.83203125" customWidth="1"/>
    <col min="13" max="13" width="12.1640625" bestFit="1" customWidth="1"/>
  </cols>
  <sheetData>
    <row r="2" spans="1:17" x14ac:dyDescent="0.2">
      <c r="A2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K2" t="s">
        <v>6</v>
      </c>
      <c r="L2">
        <v>0</v>
      </c>
      <c r="M2">
        <v>1</v>
      </c>
      <c r="N2">
        <v>2</v>
      </c>
      <c r="O2">
        <v>3</v>
      </c>
      <c r="P2">
        <v>4</v>
      </c>
      <c r="Q2">
        <v>5</v>
      </c>
    </row>
    <row r="3" spans="1:17" x14ac:dyDescent="0.2">
      <c r="A3">
        <v>0</v>
      </c>
      <c r="C3">
        <v>0</v>
      </c>
      <c r="D3">
        <f>COUNTIF($A$2:$A$29, C3)</f>
        <v>3</v>
      </c>
      <c r="E3">
        <f>D3/SUM($D$3:$D$8)</f>
        <v>0.10714285714285714</v>
      </c>
      <c r="F3">
        <f>C3 *D3</f>
        <v>0</v>
      </c>
      <c r="G3">
        <f>C3*C3*D3</f>
        <v>0</v>
      </c>
      <c r="K3" t="s">
        <v>5</v>
      </c>
      <c r="L3">
        <f>E3</f>
        <v>0.10714285714285714</v>
      </c>
      <c r="M3">
        <f>E4 + L3</f>
        <v>0.2857142857142857</v>
      </c>
      <c r="N3">
        <f>$E5 + M3</f>
        <v>0.5714285714285714</v>
      </c>
      <c r="O3">
        <f>$E6 + N3</f>
        <v>0.8214285714285714</v>
      </c>
      <c r="P3">
        <f>$E7 + O3</f>
        <v>0.96428571428571419</v>
      </c>
      <c r="Q3">
        <f>$E8 + P3</f>
        <v>0.99999999999999989</v>
      </c>
    </row>
    <row r="4" spans="1:17" x14ac:dyDescent="0.2">
      <c r="A4">
        <v>0</v>
      </c>
      <c r="C4">
        <v>1</v>
      </c>
      <c r="D4">
        <f t="shared" ref="D4:D8" si="0">COUNTIF($A$2:$A$29, C4)</f>
        <v>5</v>
      </c>
      <c r="E4">
        <f t="shared" ref="E4:E7" si="1">D4/SUM($D$3:$D$8)</f>
        <v>0.17857142857142858</v>
      </c>
      <c r="F4">
        <f t="shared" ref="F4:F8" si="2">C4 *D4</f>
        <v>5</v>
      </c>
      <c r="G4">
        <f t="shared" ref="G4:G8" si="3">C4*C4*D4</f>
        <v>5</v>
      </c>
    </row>
    <row r="5" spans="1:17" x14ac:dyDescent="0.2">
      <c r="A5">
        <v>1</v>
      </c>
      <c r="C5">
        <v>2</v>
      </c>
      <c r="D5">
        <f t="shared" si="0"/>
        <v>8</v>
      </c>
      <c r="E5">
        <f t="shared" si="1"/>
        <v>0.2857142857142857</v>
      </c>
      <c r="F5">
        <f t="shared" si="2"/>
        <v>16</v>
      </c>
      <c r="G5">
        <f t="shared" si="3"/>
        <v>32</v>
      </c>
    </row>
    <row r="6" spans="1:17" x14ac:dyDescent="0.2">
      <c r="A6">
        <v>1</v>
      </c>
      <c r="C6">
        <v>3</v>
      </c>
      <c r="D6">
        <f t="shared" si="0"/>
        <v>7</v>
      </c>
      <c r="E6">
        <f t="shared" si="1"/>
        <v>0.25</v>
      </c>
      <c r="F6">
        <f t="shared" si="2"/>
        <v>21</v>
      </c>
      <c r="G6">
        <f t="shared" si="3"/>
        <v>63</v>
      </c>
      <c r="I6" t="s">
        <v>7</v>
      </c>
      <c r="J6">
        <f>SUM(F3:F8)/SUM(D3:D8)</f>
        <v>2.25</v>
      </c>
    </row>
    <row r="7" spans="1:17" x14ac:dyDescent="0.2">
      <c r="A7">
        <v>1</v>
      </c>
      <c r="C7">
        <v>4</v>
      </c>
      <c r="D7">
        <f t="shared" si="0"/>
        <v>4</v>
      </c>
      <c r="E7">
        <f t="shared" si="1"/>
        <v>0.14285714285714285</v>
      </c>
      <c r="F7">
        <f t="shared" si="2"/>
        <v>16</v>
      </c>
      <c r="G7">
        <f t="shared" si="3"/>
        <v>64</v>
      </c>
      <c r="I7" t="s">
        <v>8</v>
      </c>
      <c r="J7">
        <f>SUM(G3:G8)/SUM(D3:D8)-J6</f>
        <v>4.5</v>
      </c>
    </row>
    <row r="8" spans="1:17" x14ac:dyDescent="0.2">
      <c r="A8">
        <v>1</v>
      </c>
      <c r="C8">
        <v>5</v>
      </c>
      <c r="D8">
        <f t="shared" si="0"/>
        <v>1</v>
      </c>
      <c r="E8">
        <f>D8/SUM($D$3:$D$8)</f>
        <v>3.5714285714285712E-2</v>
      </c>
      <c r="F8">
        <f t="shared" si="2"/>
        <v>5</v>
      </c>
      <c r="G8">
        <f t="shared" si="3"/>
        <v>25</v>
      </c>
      <c r="I8" t="s">
        <v>9</v>
      </c>
      <c r="J8">
        <f>SQRT(J7)</f>
        <v>2.1213203435596424</v>
      </c>
    </row>
    <row r="9" spans="1:17" x14ac:dyDescent="0.2">
      <c r="A9">
        <v>1</v>
      </c>
    </row>
    <row r="10" spans="1:17" x14ac:dyDescent="0.2">
      <c r="A10">
        <v>2</v>
      </c>
    </row>
    <row r="11" spans="1:17" x14ac:dyDescent="0.2">
      <c r="A11">
        <v>2</v>
      </c>
    </row>
    <row r="12" spans="1:17" x14ac:dyDescent="0.2">
      <c r="A12">
        <v>2</v>
      </c>
    </row>
    <row r="13" spans="1:17" x14ac:dyDescent="0.2">
      <c r="A13">
        <v>2</v>
      </c>
    </row>
    <row r="14" spans="1:17" x14ac:dyDescent="0.2">
      <c r="A14">
        <v>2</v>
      </c>
    </row>
    <row r="15" spans="1:17" x14ac:dyDescent="0.2">
      <c r="A15">
        <v>2</v>
      </c>
    </row>
    <row r="16" spans="1:17" x14ac:dyDescent="0.2">
      <c r="A16">
        <v>2</v>
      </c>
    </row>
    <row r="17" spans="1:1" x14ac:dyDescent="0.2">
      <c r="A17">
        <v>2</v>
      </c>
    </row>
    <row r="18" spans="1:1" x14ac:dyDescent="0.2">
      <c r="A18">
        <v>3</v>
      </c>
    </row>
    <row r="19" spans="1:1" x14ac:dyDescent="0.2">
      <c r="A19">
        <v>3</v>
      </c>
    </row>
    <row r="20" spans="1:1" x14ac:dyDescent="0.2">
      <c r="A20">
        <v>3</v>
      </c>
    </row>
    <row r="21" spans="1:1" x14ac:dyDescent="0.2">
      <c r="A21">
        <v>3</v>
      </c>
    </row>
    <row r="22" spans="1:1" x14ac:dyDescent="0.2">
      <c r="A22">
        <v>3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4</v>
      </c>
    </row>
    <row r="26" spans="1:1" x14ac:dyDescent="0.2">
      <c r="A26">
        <v>4</v>
      </c>
    </row>
    <row r="27" spans="1:1" x14ac:dyDescent="0.2">
      <c r="A27">
        <v>4</v>
      </c>
    </row>
    <row r="28" spans="1:1" x14ac:dyDescent="0.2">
      <c r="A28">
        <v>4</v>
      </c>
    </row>
    <row r="29" spans="1:1" x14ac:dyDescent="0.2">
      <c r="A29">
        <v>5</v>
      </c>
    </row>
  </sheetData>
  <sortState xmlns:xlrd2="http://schemas.microsoft.com/office/spreadsheetml/2017/richdata2" ref="A2:A29">
    <sortCondition ref="A2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4B19-D1A2-9D4D-ADE0-EBB91C9F7133}">
  <dimension ref="A1:N30"/>
  <sheetViews>
    <sheetView workbookViewId="0">
      <selection activeCell="N24" sqref="N24"/>
    </sheetView>
  </sheetViews>
  <sheetFormatPr baseColWidth="10" defaultColWidth="11" defaultRowHeight="16" x14ac:dyDescent="0.2"/>
  <cols>
    <col min="6" max="6" width="17" customWidth="1"/>
  </cols>
  <sheetData>
    <row r="1" spans="1:4" x14ac:dyDescent="0.2">
      <c r="A1">
        <v>1</v>
      </c>
    </row>
    <row r="2" spans="1:4" x14ac:dyDescent="0.2">
      <c r="A2">
        <v>2</v>
      </c>
      <c r="C2" t="s">
        <v>10</v>
      </c>
      <c r="D2">
        <f>(A30-A1)/(1+LOG(COUNT(A1:A30),2))</f>
        <v>5.9252832659573498</v>
      </c>
    </row>
    <row r="3" spans="1:4" x14ac:dyDescent="0.2">
      <c r="A3">
        <v>2</v>
      </c>
    </row>
    <row r="4" spans="1:4" x14ac:dyDescent="0.2">
      <c r="A4">
        <v>2</v>
      </c>
    </row>
    <row r="5" spans="1:4" x14ac:dyDescent="0.2">
      <c r="A5">
        <v>3</v>
      </c>
    </row>
    <row r="6" spans="1:4" x14ac:dyDescent="0.2">
      <c r="A6">
        <v>4</v>
      </c>
    </row>
    <row r="7" spans="1:4" x14ac:dyDescent="0.2">
      <c r="A7">
        <v>4</v>
      </c>
    </row>
    <row r="8" spans="1:4" x14ac:dyDescent="0.2">
      <c r="A8">
        <v>4</v>
      </c>
    </row>
    <row r="9" spans="1:4" x14ac:dyDescent="0.2">
      <c r="A9">
        <v>5</v>
      </c>
    </row>
    <row r="10" spans="1:4" x14ac:dyDescent="0.2">
      <c r="A10">
        <v>5</v>
      </c>
    </row>
    <row r="11" spans="1:4" x14ac:dyDescent="0.2">
      <c r="A11">
        <v>5</v>
      </c>
    </row>
    <row r="12" spans="1:4" x14ac:dyDescent="0.2">
      <c r="A12">
        <v>6</v>
      </c>
    </row>
    <row r="13" spans="1:4" x14ac:dyDescent="0.2">
      <c r="A13">
        <v>7</v>
      </c>
    </row>
    <row r="14" spans="1:4" x14ac:dyDescent="0.2">
      <c r="A14">
        <v>7</v>
      </c>
    </row>
    <row r="15" spans="1:4" x14ac:dyDescent="0.2">
      <c r="A15">
        <v>8</v>
      </c>
    </row>
    <row r="16" spans="1:4" x14ac:dyDescent="0.2">
      <c r="A16">
        <v>8</v>
      </c>
    </row>
    <row r="17" spans="1:14" x14ac:dyDescent="0.2">
      <c r="A17">
        <v>9</v>
      </c>
    </row>
    <row r="18" spans="1:14" x14ac:dyDescent="0.2">
      <c r="A18">
        <v>10</v>
      </c>
    </row>
    <row r="19" spans="1:14" x14ac:dyDescent="0.2">
      <c r="A19">
        <v>10</v>
      </c>
    </row>
    <row r="20" spans="1:14" x14ac:dyDescent="0.2">
      <c r="A20">
        <v>11</v>
      </c>
    </row>
    <row r="21" spans="1:14" x14ac:dyDescent="0.2">
      <c r="A21">
        <v>11</v>
      </c>
    </row>
    <row r="22" spans="1:14" x14ac:dyDescent="0.2">
      <c r="A22">
        <v>12</v>
      </c>
      <c r="C22">
        <v>0</v>
      </c>
      <c r="E22" t="s">
        <v>11</v>
      </c>
      <c r="G22" cm="1">
        <f t="array" ref="G22:G30">FREQUENCY(A1:A30, C22:C29)</f>
        <v>0</v>
      </c>
      <c r="H22" t="s">
        <v>12</v>
      </c>
      <c r="I22" t="s">
        <v>0</v>
      </c>
      <c r="J22" t="s">
        <v>3</v>
      </c>
      <c r="K22" t="s">
        <v>4</v>
      </c>
    </row>
    <row r="23" spans="1:14" x14ac:dyDescent="0.2">
      <c r="A23">
        <v>12</v>
      </c>
      <c r="C23">
        <f t="shared" ref="C23:C27" si="0">C24-$D$2</f>
        <v>0.44830040425589779</v>
      </c>
      <c r="E23">
        <v>1</v>
      </c>
      <c r="F23" t="str">
        <f>"("&amp;C22&amp;";"&amp;C23&amp;")"</f>
        <v>(0;0,448300404255898)</v>
      </c>
      <c r="G23">
        <v>0</v>
      </c>
      <c r="H23">
        <f>$G23/(SUM($G$23:$G$29) * $D$2)</f>
        <v>0</v>
      </c>
      <c r="I23">
        <f>(C23-C22)/2</f>
        <v>0.22415020212794889</v>
      </c>
      <c r="J23">
        <f>I23*G23</f>
        <v>0</v>
      </c>
      <c r="K23">
        <f>I23*I23*G23</f>
        <v>0</v>
      </c>
      <c r="M23" t="s">
        <v>13</v>
      </c>
      <c r="N23">
        <f>SUM(J23:J29)/SUM(I23:I29)</f>
        <v>4.9377360549644571</v>
      </c>
    </row>
    <row r="24" spans="1:14" x14ac:dyDescent="0.2">
      <c r="A24">
        <v>12</v>
      </c>
      <c r="C24">
        <f t="shared" si="0"/>
        <v>6.3735836702132476</v>
      </c>
      <c r="E24">
        <v>2</v>
      </c>
      <c r="F24" t="str">
        <f t="shared" ref="F24:F29" si="1">"("&amp;C23&amp;";"&amp;C24&amp;")"</f>
        <v>(0,448300404255898;6,37358367021325)</v>
      </c>
      <c r="G24">
        <v>12</v>
      </c>
      <c r="H24">
        <f t="shared" ref="H24:H29" si="2">$G24/(SUM($G$23:$G$29) * $D$2)</f>
        <v>6.7507321092668784E-2</v>
      </c>
      <c r="I24">
        <f t="shared" ref="I24:I29" si="3">(C24-C23)/2</f>
        <v>2.9626416329786749</v>
      </c>
      <c r="J24">
        <f t="shared" ref="J24:J29" si="4">I24*G24</f>
        <v>35.551699595744097</v>
      </c>
      <c r="K24">
        <f t="shared" ref="K24:K29" si="5">I24*I24*G24</f>
        <v>105.32694534550259</v>
      </c>
      <c r="M24" t="s">
        <v>8</v>
      </c>
      <c r="N24">
        <f>SUM(K23:K29)/SUM(G23:G29)-N23</f>
        <v>3.8395093904940936</v>
      </c>
    </row>
    <row r="25" spans="1:14" x14ac:dyDescent="0.2">
      <c r="A25">
        <v>13</v>
      </c>
      <c r="C25">
        <f t="shared" si="0"/>
        <v>12.298866936170597</v>
      </c>
      <c r="E25">
        <v>3</v>
      </c>
      <c r="F25" t="str">
        <f t="shared" si="1"/>
        <v>(6,37358367021325;12,2988669361706)</v>
      </c>
      <c r="G25">
        <v>12</v>
      </c>
      <c r="H25">
        <f t="shared" si="2"/>
        <v>6.7507321092668784E-2</v>
      </c>
      <c r="I25">
        <f t="shared" si="3"/>
        <v>2.9626416329786749</v>
      </c>
      <c r="J25">
        <f t="shared" si="4"/>
        <v>35.551699595744097</v>
      </c>
      <c r="K25">
        <f t="shared" si="5"/>
        <v>105.32694534550259</v>
      </c>
      <c r="M25" t="s">
        <v>14</v>
      </c>
      <c r="N25">
        <f>SQRT(N24)</f>
        <v>1.9594666086703527</v>
      </c>
    </row>
    <row r="26" spans="1:14" x14ac:dyDescent="0.2">
      <c r="A26">
        <v>16</v>
      </c>
      <c r="C26">
        <f t="shared" si="0"/>
        <v>18.224150202127948</v>
      </c>
      <c r="E26">
        <v>4</v>
      </c>
      <c r="F26" t="str">
        <f t="shared" si="1"/>
        <v>(12,2988669361706;18,2241502021279)</v>
      </c>
      <c r="G26">
        <v>2</v>
      </c>
      <c r="H26">
        <f t="shared" si="2"/>
        <v>1.1251220182111464E-2</v>
      </c>
      <c r="I26">
        <f t="shared" si="3"/>
        <v>2.9626416329786753</v>
      </c>
      <c r="J26">
        <f t="shared" si="4"/>
        <v>5.9252832659573507</v>
      </c>
      <c r="K26">
        <f t="shared" si="5"/>
        <v>17.554490890917105</v>
      </c>
    </row>
    <row r="27" spans="1:14" x14ac:dyDescent="0.2">
      <c r="A27">
        <v>19</v>
      </c>
      <c r="C27">
        <f t="shared" si="0"/>
        <v>24.149433468085299</v>
      </c>
      <c r="E27">
        <v>5</v>
      </c>
      <c r="F27" t="str">
        <f t="shared" si="1"/>
        <v>(18,2241502021279;24,1494334680853)</v>
      </c>
      <c r="G27">
        <v>3</v>
      </c>
      <c r="H27">
        <f t="shared" si="2"/>
        <v>1.6876830273167196E-2</v>
      </c>
      <c r="I27">
        <f t="shared" si="3"/>
        <v>2.9626416329786753</v>
      </c>
      <c r="J27">
        <f t="shared" si="4"/>
        <v>8.887924898936026</v>
      </c>
      <c r="K27">
        <f t="shared" si="5"/>
        <v>26.331736336375656</v>
      </c>
    </row>
    <row r="28" spans="1:14" x14ac:dyDescent="0.2">
      <c r="A28">
        <v>23</v>
      </c>
      <c r="C28">
        <f>C29-$D$2</f>
        <v>30.074716734042649</v>
      </c>
      <c r="E28">
        <v>6</v>
      </c>
      <c r="F28" t="str">
        <f t="shared" si="1"/>
        <v>(24,1494334680853;30,0747167340426)</v>
      </c>
      <c r="G28">
        <v>0</v>
      </c>
      <c r="H28">
        <f t="shared" si="2"/>
        <v>0</v>
      </c>
      <c r="I28">
        <f t="shared" si="3"/>
        <v>2.9626416329786753</v>
      </c>
      <c r="J28">
        <f t="shared" si="4"/>
        <v>0</v>
      </c>
      <c r="K28">
        <f t="shared" si="5"/>
        <v>0</v>
      </c>
    </row>
    <row r="29" spans="1:14" x14ac:dyDescent="0.2">
      <c r="A29">
        <v>23</v>
      </c>
      <c r="C29">
        <v>36</v>
      </c>
      <c r="E29">
        <v>7</v>
      </c>
      <c r="F29" t="str">
        <f t="shared" si="1"/>
        <v>(30,0747167340426;36)</v>
      </c>
      <c r="G29">
        <v>1</v>
      </c>
      <c r="H29">
        <f t="shared" si="2"/>
        <v>5.625610091055732E-3</v>
      </c>
      <c r="I29">
        <f t="shared" si="3"/>
        <v>2.9626416329786753</v>
      </c>
      <c r="J29">
        <f t="shared" si="4"/>
        <v>2.9626416329786753</v>
      </c>
      <c r="K29">
        <f t="shared" si="5"/>
        <v>8.7772454454585525</v>
      </c>
    </row>
    <row r="30" spans="1:14" x14ac:dyDescent="0.2">
      <c r="A30">
        <v>36</v>
      </c>
      <c r="G30">
        <v>0</v>
      </c>
    </row>
  </sheetData>
  <sortState xmlns:xlrd2="http://schemas.microsoft.com/office/spreadsheetml/2017/richdata2" ref="A1:A30">
    <sortCondition ref="A3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DD95-1A10-0B47-B797-5C368750255C}">
  <dimension ref="A1:D11"/>
  <sheetViews>
    <sheetView workbookViewId="0">
      <selection activeCell="G11" sqref="G11"/>
    </sheetView>
  </sheetViews>
  <sheetFormatPr baseColWidth="10" defaultColWidth="11" defaultRowHeight="16" x14ac:dyDescent="0.2"/>
  <cols>
    <col min="3" max="3" width="12" customWidth="1"/>
  </cols>
  <sheetData>
    <row r="1" spans="1:4" x14ac:dyDescent="0.2">
      <c r="A1" t="s">
        <v>15</v>
      </c>
      <c r="B1" t="s">
        <v>16</v>
      </c>
      <c r="C1" t="s">
        <v>3</v>
      </c>
      <c r="D1" t="s">
        <v>4</v>
      </c>
    </row>
    <row r="2" spans="1:4" x14ac:dyDescent="0.2">
      <c r="A2">
        <v>1250</v>
      </c>
      <c r="B2">
        <v>20</v>
      </c>
      <c r="C2">
        <f>A2*B2</f>
        <v>25000</v>
      </c>
      <c r="D2">
        <f>A2*A2*B2</f>
        <v>31250000</v>
      </c>
    </row>
    <row r="3" spans="1:4" x14ac:dyDescent="0.2">
      <c r="A3">
        <v>1275</v>
      </c>
      <c r="B3">
        <v>25</v>
      </c>
      <c r="C3">
        <f t="shared" ref="C3:C5" si="0">A3*B3</f>
        <v>31875</v>
      </c>
      <c r="D3">
        <f t="shared" ref="D3:D5" si="1">A3*A3*B3</f>
        <v>40640625</v>
      </c>
    </row>
    <row r="4" spans="1:4" x14ac:dyDescent="0.2">
      <c r="A4">
        <v>1128</v>
      </c>
      <c r="B4">
        <v>50</v>
      </c>
      <c r="C4">
        <f t="shared" si="0"/>
        <v>56400</v>
      </c>
      <c r="D4">
        <f t="shared" si="1"/>
        <v>63619200</v>
      </c>
    </row>
    <row r="5" spans="1:4" x14ac:dyDescent="0.2">
      <c r="A5">
        <v>1130</v>
      </c>
      <c r="B5">
        <v>5</v>
      </c>
      <c r="C5">
        <f t="shared" si="0"/>
        <v>5650</v>
      </c>
      <c r="D5">
        <f t="shared" si="1"/>
        <v>6384500</v>
      </c>
    </row>
    <row r="7" spans="1:4" x14ac:dyDescent="0.2">
      <c r="B7">
        <f>SUM(B2:B5)</f>
        <v>100</v>
      </c>
    </row>
    <row r="8" spans="1:4" x14ac:dyDescent="0.2">
      <c r="B8" t="s">
        <v>17</v>
      </c>
      <c r="C8">
        <f>SUM(C2:C5)/B7</f>
        <v>1189.25</v>
      </c>
    </row>
    <row r="9" spans="1:4" x14ac:dyDescent="0.2">
      <c r="B9" t="s">
        <v>18</v>
      </c>
      <c r="C9">
        <f>B7/(B7-1) * (C10)</f>
        <v>4674.4318181818189</v>
      </c>
    </row>
    <row r="10" spans="1:4" x14ac:dyDescent="0.2">
      <c r="B10" t="s">
        <v>20</v>
      </c>
      <c r="C10">
        <f>SUM(D2:D5)/100-C8*C8</f>
        <v>4627.6875</v>
      </c>
    </row>
    <row r="11" spans="1:4" x14ac:dyDescent="0.2">
      <c r="B11" t="s">
        <v>19</v>
      </c>
      <c r="C11">
        <f>SQRT(C9)</f>
        <v>68.369816572679341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FDAD-B14E-7448-A3D8-7620BC25CF94}">
  <dimension ref="A1:B7"/>
  <sheetViews>
    <sheetView workbookViewId="0">
      <selection activeCell="B3" sqref="B3"/>
    </sheetView>
  </sheetViews>
  <sheetFormatPr baseColWidth="10" defaultColWidth="11" defaultRowHeight="16" x14ac:dyDescent="0.2"/>
  <sheetData>
    <row r="1" spans="1:2" x14ac:dyDescent="0.2">
      <c r="A1" t="s">
        <v>21</v>
      </c>
      <c r="B1">
        <v>16</v>
      </c>
    </row>
    <row r="2" spans="1:2" x14ac:dyDescent="0.2">
      <c r="A2" t="s">
        <v>14</v>
      </c>
      <c r="B2">
        <v>4</v>
      </c>
    </row>
    <row r="3" spans="1:2" x14ac:dyDescent="0.2">
      <c r="A3" t="s">
        <v>22</v>
      </c>
      <c r="B3" s="1">
        <v>10.199999999999999</v>
      </c>
    </row>
    <row r="4" spans="1:2" x14ac:dyDescent="0.2">
      <c r="A4" t="s">
        <v>23</v>
      </c>
      <c r="B4">
        <v>0.99</v>
      </c>
    </row>
    <row r="7" spans="1:2" x14ac:dyDescent="0.2">
      <c r="A7">
        <f>B3-(2.58*4)/4</f>
        <v>7.6199999999999992</v>
      </c>
      <c r="B7">
        <f>B3+(2.58*4)/4</f>
        <v>12.78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26B7-C1C4-4F4A-821D-8EE034D1014E}">
  <dimension ref="A1:C5"/>
  <sheetViews>
    <sheetView zoomScaleNormal="100" workbookViewId="0">
      <selection activeCell="C4" sqref="C4"/>
    </sheetView>
  </sheetViews>
  <sheetFormatPr baseColWidth="10" defaultColWidth="11" defaultRowHeight="16" x14ac:dyDescent="0.2"/>
  <cols>
    <col min="2" max="2" width="21.83203125" customWidth="1"/>
    <col min="3" max="3" width="33.1640625" customWidth="1"/>
  </cols>
  <sheetData>
    <row r="1" spans="1:3" x14ac:dyDescent="0.2">
      <c r="A1" t="s">
        <v>23</v>
      </c>
      <c r="B1">
        <v>0.92500000000000004</v>
      </c>
    </row>
    <row r="2" spans="1:3" x14ac:dyDescent="0.2">
      <c r="A2" t="s">
        <v>24</v>
      </c>
      <c r="B2">
        <v>0.2</v>
      </c>
      <c r="C2" t="str">
        <f>"-"&amp;"отклонение от мат ожидания"</f>
        <v>-отклонение от мат ожидания</v>
      </c>
    </row>
    <row r="3" spans="1:3" x14ac:dyDescent="0.2">
      <c r="A3" t="s">
        <v>14</v>
      </c>
      <c r="B3">
        <v>1.5</v>
      </c>
    </row>
    <row r="4" spans="1:3" x14ac:dyDescent="0.2">
      <c r="A4" t="s">
        <v>21</v>
      </c>
      <c r="B4">
        <f>(B5*B5*B3*B3)/(B2*B2)</f>
        <v>178.22249999999997</v>
      </c>
      <c r="C4" t="s">
        <v>25</v>
      </c>
    </row>
    <row r="5" spans="1:3" x14ac:dyDescent="0.2">
      <c r="A5" t="s">
        <v>26</v>
      </c>
      <c r="B5">
        <v>1.78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CE5E-CD3A-6C46-9884-090E6F837E5F}">
  <dimension ref="A1:D18"/>
  <sheetViews>
    <sheetView workbookViewId="0">
      <selection activeCell="B14" sqref="B14"/>
    </sheetView>
  </sheetViews>
  <sheetFormatPr baseColWidth="10" defaultColWidth="11" defaultRowHeight="16" x14ac:dyDescent="0.2"/>
  <cols>
    <col min="2" max="2" width="17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-0.5</v>
      </c>
      <c r="B2">
        <v>1</v>
      </c>
      <c r="C2">
        <f>A2*B2</f>
        <v>-0.5</v>
      </c>
      <c r="D2">
        <f>A2*A2*B2</f>
        <v>0.25</v>
      </c>
    </row>
    <row r="3" spans="1:4" x14ac:dyDescent="0.2">
      <c r="A3">
        <v>-0.4</v>
      </c>
      <c r="B3">
        <v>2</v>
      </c>
      <c r="C3">
        <f t="shared" ref="C3:C11" si="0">A3*B3</f>
        <v>-0.8</v>
      </c>
      <c r="D3">
        <f t="shared" ref="D3:D11" si="1">A3*A3*B3</f>
        <v>0.32000000000000006</v>
      </c>
    </row>
    <row r="4" spans="1:4" x14ac:dyDescent="0.2">
      <c r="A4">
        <v>-0.2</v>
      </c>
      <c r="B4">
        <v>1</v>
      </c>
      <c r="C4">
        <f t="shared" si="0"/>
        <v>-0.2</v>
      </c>
      <c r="D4">
        <f t="shared" si="1"/>
        <v>4.0000000000000008E-2</v>
      </c>
    </row>
    <row r="5" spans="1:4" x14ac:dyDescent="0.2">
      <c r="A5">
        <v>0</v>
      </c>
      <c r="B5">
        <v>1</v>
      </c>
      <c r="C5">
        <f t="shared" si="0"/>
        <v>0</v>
      </c>
      <c r="D5">
        <f t="shared" si="1"/>
        <v>0</v>
      </c>
    </row>
    <row r="6" spans="1:4" x14ac:dyDescent="0.2">
      <c r="A6">
        <v>0.2</v>
      </c>
      <c r="B6">
        <v>1</v>
      </c>
      <c r="C6">
        <f t="shared" si="0"/>
        <v>0.2</v>
      </c>
      <c r="D6">
        <f t="shared" si="1"/>
        <v>4.0000000000000008E-2</v>
      </c>
    </row>
    <row r="7" spans="1:4" x14ac:dyDescent="0.2">
      <c r="A7">
        <v>0.6</v>
      </c>
      <c r="B7">
        <v>1</v>
      </c>
      <c r="C7">
        <f t="shared" si="0"/>
        <v>0.6</v>
      </c>
      <c r="D7">
        <f t="shared" si="1"/>
        <v>0.36</v>
      </c>
    </row>
    <row r="8" spans="1:4" x14ac:dyDescent="0.2">
      <c r="A8">
        <v>0.8</v>
      </c>
      <c r="B8">
        <v>1</v>
      </c>
      <c r="C8">
        <f t="shared" si="0"/>
        <v>0.8</v>
      </c>
      <c r="D8">
        <f t="shared" si="1"/>
        <v>0.64000000000000012</v>
      </c>
    </row>
    <row r="9" spans="1:4" x14ac:dyDescent="0.2">
      <c r="A9">
        <v>1</v>
      </c>
      <c r="B9">
        <v>1</v>
      </c>
      <c r="C9">
        <f t="shared" si="0"/>
        <v>1</v>
      </c>
      <c r="D9">
        <f t="shared" si="1"/>
        <v>1</v>
      </c>
    </row>
    <row r="10" spans="1:4" x14ac:dyDescent="0.2">
      <c r="A10">
        <v>1.2</v>
      </c>
      <c r="B10">
        <v>2</v>
      </c>
      <c r="C10">
        <f t="shared" si="0"/>
        <v>2.4</v>
      </c>
      <c r="D10">
        <f t="shared" si="1"/>
        <v>2.88</v>
      </c>
    </row>
    <row r="11" spans="1:4" x14ac:dyDescent="0.2">
      <c r="A11" s="1">
        <v>1.5</v>
      </c>
      <c r="B11">
        <v>1</v>
      </c>
      <c r="C11">
        <f t="shared" si="0"/>
        <v>1.5</v>
      </c>
      <c r="D11">
        <f t="shared" si="1"/>
        <v>2.25</v>
      </c>
    </row>
    <row r="12" spans="1:4" x14ac:dyDescent="0.2">
      <c r="A12" t="s">
        <v>22</v>
      </c>
      <c r="B12">
        <f>SUM(C2:C11)/SUM(B2:B11)</f>
        <v>0.41666666666666669</v>
      </c>
    </row>
    <row r="13" spans="1:4" x14ac:dyDescent="0.2">
      <c r="A13" t="s">
        <v>23</v>
      </c>
      <c r="B13">
        <v>0.95</v>
      </c>
    </row>
    <row r="14" spans="1:4" x14ac:dyDescent="0.2">
      <c r="A14" t="s">
        <v>27</v>
      </c>
      <c r="B14">
        <f>(SUM(B2:B11)/(SUM(B2:B11)-1))*(SUM(D2:D11)/SUM(B2:B11)-B12*B12)</f>
        <v>0.51787878787878772</v>
      </c>
    </row>
    <row r="15" spans="1:4" x14ac:dyDescent="0.2">
      <c r="A15" t="s">
        <v>26</v>
      </c>
      <c r="B15">
        <v>1.96</v>
      </c>
    </row>
    <row r="16" spans="1:4" x14ac:dyDescent="0.2">
      <c r="A16" t="s">
        <v>28</v>
      </c>
      <c r="B16">
        <f>SQRT(B14)</f>
        <v>0.71963795611320258</v>
      </c>
    </row>
    <row r="17" spans="1:2" x14ac:dyDescent="0.2">
      <c r="A17">
        <f>B12-(B15*B16)/SQRT(SUM(B2:B11))</f>
        <v>9.4931623392576214E-3</v>
      </c>
      <c r="B17">
        <f>B12+(B15*B16)/SQRT(SUM(B2:B11))</f>
        <v>0.82384017099407569</v>
      </c>
    </row>
    <row r="18" spans="1:2" x14ac:dyDescent="0.2">
      <c r="A18" t="s">
        <v>14</v>
      </c>
      <c r="B18">
        <v>0.55000000000000004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8115-22F8-4B86-8461-D47A4BB582DC}">
  <dimension ref="A1:G5"/>
  <sheetViews>
    <sheetView workbookViewId="0">
      <selection activeCell="I29" sqref="I29"/>
    </sheetView>
  </sheetViews>
  <sheetFormatPr baseColWidth="10" defaultColWidth="8.83203125" defaultRowHeight="16" x14ac:dyDescent="0.2"/>
  <sheetData>
    <row r="1" spans="1:7" x14ac:dyDescent="0.2">
      <c r="A1" t="s">
        <v>21</v>
      </c>
      <c r="B1">
        <v>10</v>
      </c>
      <c r="E1" t="s">
        <v>21</v>
      </c>
      <c r="F1">
        <v>50</v>
      </c>
    </row>
    <row r="2" spans="1:7" x14ac:dyDescent="0.2">
      <c r="A2" t="s">
        <v>29</v>
      </c>
      <c r="B2" s="1">
        <v>5.0999999999999996</v>
      </c>
      <c r="E2" t="s">
        <v>29</v>
      </c>
      <c r="F2">
        <v>14</v>
      </c>
    </row>
    <row r="3" spans="1:7" x14ac:dyDescent="0.2">
      <c r="A3" t="s">
        <v>23</v>
      </c>
      <c r="B3">
        <v>0.999</v>
      </c>
      <c r="E3" t="s">
        <v>23</v>
      </c>
      <c r="F3">
        <v>0.999</v>
      </c>
    </row>
    <row r="4" spans="1:7" x14ac:dyDescent="0.2">
      <c r="A4" t="s">
        <v>31</v>
      </c>
      <c r="B4">
        <v>0.46</v>
      </c>
      <c r="E4" t="s">
        <v>33</v>
      </c>
      <c r="F4">
        <v>0.43</v>
      </c>
    </row>
    <row r="5" spans="1:7" x14ac:dyDescent="0.2">
      <c r="A5">
        <f>B2*(1-B4)</f>
        <v>2.754</v>
      </c>
      <c r="B5" t="s">
        <v>32</v>
      </c>
      <c r="C5">
        <f>B2*(1+B4)</f>
        <v>7.4459999999999997</v>
      </c>
      <c r="E5">
        <f>F2*(1-F4)</f>
        <v>7.98</v>
      </c>
      <c r="F5" t="s">
        <v>32</v>
      </c>
      <c r="G5">
        <f>F2*(1+F4)</f>
        <v>20.02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B911-03DE-4503-9B23-9A25B5B9D4B4}">
  <dimension ref="A1:D16"/>
  <sheetViews>
    <sheetView workbookViewId="0">
      <selection activeCell="G28" sqref="G28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-6.7</v>
      </c>
      <c r="B2">
        <v>1</v>
      </c>
      <c r="C2">
        <f>A2*B2</f>
        <v>-6.7</v>
      </c>
      <c r="D2">
        <f>A2*B2*A2</f>
        <v>44.89</v>
      </c>
    </row>
    <row r="3" spans="1:4" x14ac:dyDescent="0.2">
      <c r="A3">
        <v>-3.2</v>
      </c>
      <c r="B3">
        <v>6</v>
      </c>
      <c r="C3">
        <f t="shared" ref="C3:C8" si="0">A3*B3</f>
        <v>-19.200000000000003</v>
      </c>
      <c r="D3">
        <f t="shared" ref="D3:D8" si="1">A3*B3*A3</f>
        <v>61.440000000000012</v>
      </c>
    </row>
    <row r="4" spans="1:4" x14ac:dyDescent="0.2">
      <c r="A4">
        <v>0.3</v>
      </c>
      <c r="B4">
        <v>5</v>
      </c>
      <c r="C4">
        <f t="shared" si="0"/>
        <v>1.5</v>
      </c>
      <c r="D4">
        <f t="shared" si="1"/>
        <v>0.44999999999999996</v>
      </c>
    </row>
    <row r="5" spans="1:4" x14ac:dyDescent="0.2">
      <c r="A5">
        <v>3.7</v>
      </c>
      <c r="B5">
        <v>6</v>
      </c>
      <c r="C5">
        <f t="shared" si="0"/>
        <v>22.200000000000003</v>
      </c>
      <c r="D5">
        <f t="shared" si="1"/>
        <v>82.140000000000015</v>
      </c>
    </row>
    <row r="6" spans="1:4" x14ac:dyDescent="0.2">
      <c r="A6">
        <v>7.2</v>
      </c>
      <c r="B6">
        <v>3</v>
      </c>
      <c r="C6">
        <f t="shared" si="0"/>
        <v>21.6</v>
      </c>
      <c r="D6">
        <f t="shared" si="1"/>
        <v>155.52000000000001</v>
      </c>
    </row>
    <row r="7" spans="1:4" x14ac:dyDescent="0.2">
      <c r="A7">
        <v>10.7</v>
      </c>
      <c r="B7">
        <v>3</v>
      </c>
      <c r="C7">
        <f t="shared" si="0"/>
        <v>32.099999999999994</v>
      </c>
      <c r="D7">
        <f t="shared" si="1"/>
        <v>343.46999999999991</v>
      </c>
    </row>
    <row r="8" spans="1:4" x14ac:dyDescent="0.2">
      <c r="A8">
        <v>14.2</v>
      </c>
      <c r="B8">
        <v>2</v>
      </c>
      <c r="C8">
        <f t="shared" si="0"/>
        <v>28.4</v>
      </c>
      <c r="D8">
        <f t="shared" si="1"/>
        <v>403.28</v>
      </c>
    </row>
    <row r="10" spans="1:4" x14ac:dyDescent="0.2">
      <c r="A10" t="s">
        <v>23</v>
      </c>
      <c r="B10">
        <v>0.95</v>
      </c>
      <c r="C10" t="s">
        <v>30</v>
      </c>
      <c r="D10">
        <v>0.32</v>
      </c>
    </row>
    <row r="11" spans="1:4" x14ac:dyDescent="0.2">
      <c r="A11" t="s">
        <v>6</v>
      </c>
      <c r="B11">
        <f>SUM(C2:C8)/SUM(B2:B8)</f>
        <v>3.0730769230769233</v>
      </c>
    </row>
    <row r="12" spans="1:4" x14ac:dyDescent="0.2">
      <c r="A12" t="s">
        <v>26</v>
      </c>
      <c r="B12">
        <v>1.8</v>
      </c>
    </row>
    <row r="13" spans="1:4" x14ac:dyDescent="0.2">
      <c r="A13" t="s">
        <v>35</v>
      </c>
      <c r="B13">
        <f>SUM(B2:B8)/(SUM(B2:B8) - 1) * (SUM(D2:D8)/SUM(B2:B8)-B11*B11)</f>
        <v>33.826046153846157</v>
      </c>
    </row>
    <row r="14" spans="1:4" x14ac:dyDescent="0.2">
      <c r="A14" t="s">
        <v>28</v>
      </c>
      <c r="B14">
        <f>SQRT(B13)</f>
        <v>5.8160163474534832</v>
      </c>
    </row>
    <row r="15" spans="1:4" x14ac:dyDescent="0.2">
      <c r="A15">
        <f>B11-(B12*B14)/SQRT(SUM(B2:B8))</f>
        <v>1.0199705567433881</v>
      </c>
      <c r="B15" t="s">
        <v>34</v>
      </c>
      <c r="C15">
        <f>B11+(B12*B14)/SQRT(SUM(B2:B8))</f>
        <v>5.1261832894104584</v>
      </c>
    </row>
    <row r="16" spans="1:4" x14ac:dyDescent="0.2">
      <c r="A16">
        <f>B14*(1-D10)</f>
        <v>3.9548911162683682</v>
      </c>
      <c r="B16" t="s">
        <v>32</v>
      </c>
      <c r="C16">
        <f>B14*(1+D10)</f>
        <v>7.6771415786385981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2A97-1790-4F85-AB45-5BAA1D0869AA}">
  <dimension ref="A1:C6"/>
  <sheetViews>
    <sheetView zoomScale="150" workbookViewId="0">
      <selection activeCell="F12" sqref="F12"/>
    </sheetView>
  </sheetViews>
  <sheetFormatPr baseColWidth="10" defaultColWidth="8.83203125" defaultRowHeight="16" x14ac:dyDescent="0.2"/>
  <sheetData>
    <row r="1" spans="1:3" x14ac:dyDescent="0.2">
      <c r="A1" t="s">
        <v>23</v>
      </c>
      <c r="B1">
        <v>0.98</v>
      </c>
    </row>
    <row r="2" spans="1:3" x14ac:dyDescent="0.2">
      <c r="A2" t="s">
        <v>32</v>
      </c>
      <c r="B2">
        <v>4</v>
      </c>
    </row>
    <row r="3" spans="1:3" x14ac:dyDescent="0.2">
      <c r="A3" t="s">
        <v>6</v>
      </c>
      <c r="B3">
        <v>12.8</v>
      </c>
    </row>
    <row r="4" spans="1:3" x14ac:dyDescent="0.2">
      <c r="A4" t="s">
        <v>21</v>
      </c>
      <c r="B4">
        <v>20</v>
      </c>
    </row>
    <row r="5" spans="1:3" x14ac:dyDescent="0.2">
      <c r="A5" t="s">
        <v>26</v>
      </c>
      <c r="B5">
        <v>2.34</v>
      </c>
    </row>
    <row r="6" spans="1:3" x14ac:dyDescent="0.2">
      <c r="A6">
        <f>B3-B5*B2/SQRT(B4)</f>
        <v>10.707040373060199</v>
      </c>
      <c r="B6" t="s">
        <v>34</v>
      </c>
      <c r="C6">
        <f>B3+B5*B2/SQRT(B4)</f>
        <v>14.892959626939803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401D-7203-B24A-8E7D-8FEAF89A9D94}">
  <dimension ref="A1:C6"/>
  <sheetViews>
    <sheetView workbookViewId="0">
      <selection activeCell="B3" sqref="B3"/>
    </sheetView>
  </sheetViews>
  <sheetFormatPr baseColWidth="10" defaultColWidth="11" defaultRowHeight="16" x14ac:dyDescent="0.2"/>
  <cols>
    <col min="1" max="1" width="38.6640625" customWidth="1"/>
    <col min="2" max="2" width="29.5" customWidth="1"/>
  </cols>
  <sheetData>
    <row r="1" spans="1:3" x14ac:dyDescent="0.2">
      <c r="A1" t="s">
        <v>36</v>
      </c>
    </row>
    <row r="2" spans="1:3" x14ac:dyDescent="0.2">
      <c r="A2" t="s">
        <v>37</v>
      </c>
      <c r="B2" t="s">
        <v>38</v>
      </c>
      <c r="C2" t="s">
        <v>39</v>
      </c>
    </row>
    <row r="3" spans="1:3" x14ac:dyDescent="0.2">
      <c r="A3" t="s">
        <v>40</v>
      </c>
    </row>
    <row r="4" spans="1:3" x14ac:dyDescent="0.2">
      <c r="A4" t="s">
        <v>41</v>
      </c>
      <c r="B4">
        <v>0.05</v>
      </c>
    </row>
    <row r="5" spans="1:3" x14ac:dyDescent="0.2">
      <c r="A5" t="s">
        <v>42</v>
      </c>
      <c r="B5" t="s">
        <v>43</v>
      </c>
    </row>
    <row r="6" spans="1:3" x14ac:dyDescent="0.2">
      <c r="A6" t="s">
        <v>44</v>
      </c>
      <c r="B6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61BB-2215-F148-8423-D52C9DC2C146}">
  <dimension ref="A1:E11"/>
  <sheetViews>
    <sheetView workbookViewId="0">
      <selection activeCell="D16" sqref="D16"/>
    </sheetView>
  </sheetViews>
  <sheetFormatPr baseColWidth="10" defaultColWidth="11" defaultRowHeight="16" x14ac:dyDescent="0.2"/>
  <sheetData>
    <row r="1" spans="1:5" x14ac:dyDescent="0.2">
      <c r="A1" t="s">
        <v>21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>
        <v>18</v>
      </c>
      <c r="B2">
        <v>15</v>
      </c>
      <c r="C2">
        <f>A2-B2</f>
        <v>3</v>
      </c>
      <c r="D2">
        <f>C2*C2</f>
        <v>9</v>
      </c>
      <c r="E2">
        <f>D2/B2</f>
        <v>0.6</v>
      </c>
    </row>
    <row r="3" spans="1:5" x14ac:dyDescent="0.2">
      <c r="A3">
        <v>16</v>
      </c>
      <c r="B3">
        <v>15</v>
      </c>
      <c r="C3">
        <f t="shared" ref="C3:C7" si="0">A3-B3</f>
        <v>1</v>
      </c>
      <c r="D3">
        <f t="shared" ref="D3:D7" si="1">C3*C3</f>
        <v>1</v>
      </c>
      <c r="E3">
        <f t="shared" ref="E3:E7" si="2">D3/B3</f>
        <v>6.6666666666666666E-2</v>
      </c>
    </row>
    <row r="4" spans="1:5" x14ac:dyDescent="0.2">
      <c r="A4">
        <v>40</v>
      </c>
      <c r="B4">
        <v>43</v>
      </c>
      <c r="C4">
        <f t="shared" si="0"/>
        <v>-3</v>
      </c>
      <c r="D4">
        <f t="shared" si="1"/>
        <v>9</v>
      </c>
      <c r="E4">
        <f t="shared" si="2"/>
        <v>0.20930232558139536</v>
      </c>
    </row>
    <row r="5" spans="1:5" x14ac:dyDescent="0.2">
      <c r="A5">
        <v>13</v>
      </c>
      <c r="B5">
        <v>15</v>
      </c>
      <c r="C5">
        <f t="shared" si="0"/>
        <v>-2</v>
      </c>
      <c r="D5">
        <f t="shared" si="1"/>
        <v>4</v>
      </c>
      <c r="E5">
        <f t="shared" si="2"/>
        <v>0.26666666666666666</v>
      </c>
    </row>
    <row r="6" spans="1:5" x14ac:dyDescent="0.2">
      <c r="A6">
        <v>8</v>
      </c>
      <c r="B6">
        <v>6</v>
      </c>
      <c r="C6">
        <f t="shared" si="0"/>
        <v>2</v>
      </c>
      <c r="D6">
        <f t="shared" si="1"/>
        <v>4</v>
      </c>
      <c r="E6">
        <f t="shared" si="2"/>
        <v>0.66666666666666663</v>
      </c>
    </row>
    <row r="7" spans="1:5" x14ac:dyDescent="0.2">
      <c r="A7">
        <v>5</v>
      </c>
      <c r="B7">
        <v>6</v>
      </c>
      <c r="C7">
        <f t="shared" si="0"/>
        <v>-1</v>
      </c>
      <c r="D7">
        <f t="shared" si="1"/>
        <v>1</v>
      </c>
      <c r="E7">
        <f t="shared" si="2"/>
        <v>0.16666666666666666</v>
      </c>
    </row>
    <row r="10" spans="1:5" x14ac:dyDescent="0.2">
      <c r="A10" t="s">
        <v>50</v>
      </c>
      <c r="B10">
        <f>SUM(E2:E7)</f>
        <v>1.9759689922480621</v>
      </c>
    </row>
    <row r="11" spans="1:5" x14ac:dyDescent="0.2">
      <c r="A11" t="s">
        <v>51</v>
      </c>
      <c r="B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6DDE-44BE-E542-B71B-AB78E6329AA1}">
  <dimension ref="A1:E12"/>
  <sheetViews>
    <sheetView workbookViewId="0">
      <selection activeCell="E5" sqref="E5"/>
    </sheetView>
  </sheetViews>
  <sheetFormatPr baseColWidth="10" defaultColWidth="11" defaultRowHeight="16" x14ac:dyDescent="0.2"/>
  <cols>
    <col min="5" max="5" width="19.6640625" customWidth="1"/>
  </cols>
  <sheetData>
    <row r="1" spans="1:5" x14ac:dyDescent="0.2">
      <c r="A1" t="s">
        <v>55</v>
      </c>
      <c r="B1" t="s">
        <v>52</v>
      </c>
    </row>
    <row r="2" spans="1:5" x14ac:dyDescent="0.2">
      <c r="A2" t="s">
        <v>54</v>
      </c>
      <c r="B2" t="s">
        <v>53</v>
      </c>
    </row>
    <row r="4" spans="1:5" x14ac:dyDescent="0.2">
      <c r="A4" t="s">
        <v>0</v>
      </c>
      <c r="B4" t="s">
        <v>16</v>
      </c>
      <c r="C4" t="s">
        <v>56</v>
      </c>
      <c r="D4" t="s">
        <v>57</v>
      </c>
      <c r="E4" t="s">
        <v>59</v>
      </c>
    </row>
    <row r="5" spans="1:5" x14ac:dyDescent="0.2">
      <c r="A5">
        <v>15</v>
      </c>
      <c r="B5">
        <v>7</v>
      </c>
      <c r="C5">
        <v>0</v>
      </c>
      <c r="D5">
        <f>A5*B5</f>
        <v>105</v>
      </c>
      <c r="E5">
        <f>(POWER(B12,C5)*EXP(-B12)/(FACT(C5)))</f>
        <v>8.8151837552909317E-12</v>
      </c>
    </row>
    <row r="6" spans="1:5" x14ac:dyDescent="0.2">
      <c r="A6">
        <v>20</v>
      </c>
      <c r="B6">
        <v>10</v>
      </c>
      <c r="C6">
        <v>1</v>
      </c>
      <c r="D6">
        <f t="shared" ref="D6:D9" si="0">A6*B6</f>
        <v>200</v>
      </c>
      <c r="E6">
        <f t="shared" ref="E6:E9" si="1">(POWER(B13,C6)*EXP(-B13)/(FACT(C6)))</f>
        <v>0</v>
      </c>
    </row>
    <row r="7" spans="1:5" x14ac:dyDescent="0.2">
      <c r="A7">
        <v>25</v>
      </c>
      <c r="B7">
        <v>17</v>
      </c>
      <c r="C7">
        <v>2</v>
      </c>
      <c r="D7">
        <f t="shared" si="0"/>
        <v>425</v>
      </c>
      <c r="E7">
        <f t="shared" si="1"/>
        <v>0</v>
      </c>
    </row>
    <row r="8" spans="1:5" x14ac:dyDescent="0.2">
      <c r="A8">
        <v>30</v>
      </c>
      <c r="B8">
        <v>13</v>
      </c>
      <c r="C8">
        <v>3</v>
      </c>
      <c r="D8">
        <f t="shared" si="0"/>
        <v>390</v>
      </c>
      <c r="E8">
        <f t="shared" si="1"/>
        <v>0</v>
      </c>
    </row>
    <row r="9" spans="1:5" x14ac:dyDescent="0.2">
      <c r="A9">
        <v>35</v>
      </c>
      <c r="B9">
        <v>8</v>
      </c>
      <c r="C9">
        <v>4</v>
      </c>
      <c r="D9">
        <f t="shared" si="0"/>
        <v>280</v>
      </c>
      <c r="E9">
        <f t="shared" si="1"/>
        <v>0</v>
      </c>
    </row>
    <row r="10" spans="1:5" x14ac:dyDescent="0.2">
      <c r="D10">
        <f>SUM(D5:D9)</f>
        <v>1400</v>
      </c>
    </row>
    <row r="12" spans="1:5" x14ac:dyDescent="0.2">
      <c r="A12" t="s">
        <v>58</v>
      </c>
      <c r="B12">
        <f>SUM(D10)/SUM(B5:B9)</f>
        <v>25.454545454545453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9128-04B4-4248-92E8-CC14875591B8}">
  <dimension ref="A1:D6"/>
  <sheetViews>
    <sheetView workbookViewId="0">
      <selection activeCell="I27" sqref="I27"/>
    </sheetView>
  </sheetViews>
  <sheetFormatPr baseColWidth="10" defaultColWidth="11" defaultRowHeight="16" x14ac:dyDescent="0.2"/>
  <sheetData>
    <row r="1" spans="1:4" x14ac:dyDescent="0.2">
      <c r="A1">
        <v>0</v>
      </c>
      <c r="B1">
        <v>50</v>
      </c>
      <c r="C1">
        <f>(A2+A1)/2</f>
        <v>45</v>
      </c>
      <c r="D1" t="s">
        <v>3</v>
      </c>
    </row>
    <row r="2" spans="1:4" x14ac:dyDescent="0.2">
      <c r="A2">
        <v>90</v>
      </c>
      <c r="B2">
        <v>33</v>
      </c>
      <c r="C2">
        <f t="shared" ref="C2:C6" si="0">(A3+A2)/2</f>
        <v>135</v>
      </c>
      <c r="D2">
        <f>B2*C2</f>
        <v>4455</v>
      </c>
    </row>
    <row r="3" spans="1:4" x14ac:dyDescent="0.2">
      <c r="A3">
        <v>180</v>
      </c>
      <c r="B3">
        <v>21</v>
      </c>
      <c r="C3">
        <f t="shared" si="0"/>
        <v>225</v>
      </c>
      <c r="D3">
        <f t="shared" ref="D3:D6" si="1">B3*C3</f>
        <v>4725</v>
      </c>
    </row>
    <row r="4" spans="1:4" x14ac:dyDescent="0.2">
      <c r="A4">
        <v>270</v>
      </c>
      <c r="B4">
        <v>8</v>
      </c>
      <c r="C4">
        <f t="shared" si="0"/>
        <v>315</v>
      </c>
      <c r="D4">
        <f t="shared" si="1"/>
        <v>2520</v>
      </c>
    </row>
    <row r="5" spans="1:4" x14ac:dyDescent="0.2">
      <c r="A5">
        <v>360</v>
      </c>
      <c r="B5">
        <v>8</v>
      </c>
      <c r="C5">
        <f t="shared" si="0"/>
        <v>495</v>
      </c>
      <c r="D5">
        <f t="shared" si="1"/>
        <v>3960</v>
      </c>
    </row>
    <row r="6" spans="1:4" x14ac:dyDescent="0.2">
      <c r="A6">
        <v>630</v>
      </c>
      <c r="C6">
        <f t="shared" si="0"/>
        <v>315</v>
      </c>
      <c r="D6">
        <f t="shared" si="1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28D4-A735-7D45-9337-8925A7B63B09}">
  <dimension ref="A1:C11"/>
  <sheetViews>
    <sheetView workbookViewId="0">
      <selection activeCell="B1" sqref="B1"/>
    </sheetView>
  </sheetViews>
  <sheetFormatPr baseColWidth="10" defaultColWidth="11" defaultRowHeight="16" x14ac:dyDescent="0.2"/>
  <sheetData>
    <row r="1" spans="1:3" x14ac:dyDescent="0.2">
      <c r="A1" t="s">
        <v>61</v>
      </c>
      <c r="B1" t="s">
        <v>62</v>
      </c>
      <c r="C1" t="s">
        <v>60</v>
      </c>
    </row>
    <row r="2" spans="1:3" x14ac:dyDescent="0.2">
      <c r="A2">
        <v>-20</v>
      </c>
      <c r="B2">
        <v>-10</v>
      </c>
      <c r="C2">
        <v>20</v>
      </c>
    </row>
    <row r="3" spans="1:3" x14ac:dyDescent="0.2">
      <c r="A3">
        <v>-10</v>
      </c>
      <c r="B3">
        <v>0</v>
      </c>
      <c r="C3">
        <v>47</v>
      </c>
    </row>
    <row r="4" spans="1:3" x14ac:dyDescent="0.2">
      <c r="A4">
        <v>0</v>
      </c>
      <c r="B4">
        <v>10</v>
      </c>
      <c r="C4">
        <v>80</v>
      </c>
    </row>
    <row r="5" spans="1:3" x14ac:dyDescent="0.2">
      <c r="A5">
        <v>10</v>
      </c>
      <c r="B5">
        <v>20</v>
      </c>
      <c r="C5">
        <v>89</v>
      </c>
    </row>
    <row r="6" spans="1:3" x14ac:dyDescent="0.2">
      <c r="A6">
        <v>20</v>
      </c>
      <c r="B6">
        <v>30</v>
      </c>
      <c r="C6">
        <v>40</v>
      </c>
    </row>
    <row r="7" spans="1:3" x14ac:dyDescent="0.2">
      <c r="A7">
        <v>30</v>
      </c>
      <c r="B7">
        <v>40</v>
      </c>
      <c r="C7">
        <v>16</v>
      </c>
    </row>
    <row r="8" spans="1:3" x14ac:dyDescent="0.2">
      <c r="A8">
        <v>40</v>
      </c>
      <c r="B8">
        <v>50</v>
      </c>
      <c r="C8">
        <v>8</v>
      </c>
    </row>
    <row r="11" spans="1:3" x14ac:dyDescent="0.2">
      <c r="A11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B1A0-B5CE-49B8-869C-195B7753E138}">
  <dimension ref="A1:E11"/>
  <sheetViews>
    <sheetView workbookViewId="0">
      <selection activeCell="G17" sqref="G17"/>
    </sheetView>
  </sheetViews>
  <sheetFormatPr baseColWidth="10" defaultColWidth="8.83203125" defaultRowHeight="16" x14ac:dyDescent="0.2"/>
  <sheetData>
    <row r="1" spans="1:5" x14ac:dyDescent="0.2">
      <c r="A1" t="s">
        <v>16</v>
      </c>
      <c r="B1" t="s">
        <v>54</v>
      </c>
      <c r="C1" t="s">
        <v>63</v>
      </c>
      <c r="D1" t="s">
        <v>64</v>
      </c>
    </row>
    <row r="2" spans="1:5" x14ac:dyDescent="0.2">
      <c r="A2">
        <v>5</v>
      </c>
      <c r="B2">
        <v>4.5999999999999996</v>
      </c>
      <c r="C2">
        <f t="shared" ref="C2:C8" si="0">(A2-B2)*(A2-B2)</f>
        <v>0.16000000000000028</v>
      </c>
      <c r="D2">
        <f>C2/B2</f>
        <v>3.4782608695652237E-2</v>
      </c>
    </row>
    <row r="3" spans="1:5" x14ac:dyDescent="0.2">
      <c r="A3">
        <v>16</v>
      </c>
      <c r="B3">
        <v>11.3</v>
      </c>
      <c r="C3">
        <f t="shared" si="0"/>
        <v>22.089999999999993</v>
      </c>
      <c r="D3">
        <f t="shared" ref="D3:D8" si="1">C3/B3</f>
        <v>1.9548672566371674</v>
      </c>
    </row>
    <row r="4" spans="1:5" x14ac:dyDescent="0.2">
      <c r="A4">
        <v>18</v>
      </c>
      <c r="B4">
        <v>19.5</v>
      </c>
      <c r="C4">
        <f t="shared" si="0"/>
        <v>2.25</v>
      </c>
      <c r="D4">
        <f t="shared" si="1"/>
        <v>0.11538461538461539</v>
      </c>
    </row>
    <row r="5" spans="1:5" x14ac:dyDescent="0.2">
      <c r="A5">
        <v>23</v>
      </c>
      <c r="B5">
        <v>23.7</v>
      </c>
      <c r="C5">
        <f t="shared" si="0"/>
        <v>0.48999999999999899</v>
      </c>
      <c r="D5">
        <f t="shared" si="1"/>
        <v>2.0675105485232024E-2</v>
      </c>
    </row>
    <row r="6" spans="1:5" x14ac:dyDescent="0.2">
      <c r="A6">
        <v>19</v>
      </c>
      <c r="B6">
        <v>20.2</v>
      </c>
      <c r="C6">
        <f t="shared" si="0"/>
        <v>1.4399999999999984</v>
      </c>
      <c r="D6">
        <f t="shared" si="1"/>
        <v>7.1287128712871212E-2</v>
      </c>
    </row>
    <row r="7" spans="1:5" x14ac:dyDescent="0.2">
      <c r="A7">
        <v>12</v>
      </c>
      <c r="B7">
        <v>12.2</v>
      </c>
      <c r="C7">
        <f t="shared" si="0"/>
        <v>3.9999999999999716E-2</v>
      </c>
      <c r="D7">
        <f t="shared" si="1"/>
        <v>3.2786885245901409E-3</v>
      </c>
    </row>
    <row r="8" spans="1:5" x14ac:dyDescent="0.2">
      <c r="A8">
        <v>5</v>
      </c>
      <c r="B8">
        <v>5.0999999999999996</v>
      </c>
      <c r="C8">
        <f t="shared" si="0"/>
        <v>9.9999999999999291E-3</v>
      </c>
      <c r="D8">
        <f t="shared" si="1"/>
        <v>1.9607843137254763E-3</v>
      </c>
    </row>
    <row r="10" spans="1:5" x14ac:dyDescent="0.2">
      <c r="A10" t="s">
        <v>65</v>
      </c>
      <c r="B10" t="s">
        <v>66</v>
      </c>
      <c r="C10" t="s">
        <v>51</v>
      </c>
      <c r="D10" t="s">
        <v>67</v>
      </c>
      <c r="E10" t="s">
        <v>68</v>
      </c>
    </row>
    <row r="11" spans="1:5" x14ac:dyDescent="0.2">
      <c r="A11">
        <v>0.01</v>
      </c>
      <c r="B11">
        <v>7</v>
      </c>
      <c r="C11">
        <v>2</v>
      </c>
      <c r="D11">
        <f>SUM(D2:D8)</f>
        <v>2.2022361877538539</v>
      </c>
      <c r="E11">
        <v>13.237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B7D7-B163-47F5-8158-AFD2160A840A}">
  <dimension ref="A1:E11"/>
  <sheetViews>
    <sheetView workbookViewId="0">
      <selection sqref="A1:E11"/>
    </sheetView>
  </sheetViews>
  <sheetFormatPr baseColWidth="10" defaultColWidth="8.83203125" defaultRowHeight="16" x14ac:dyDescent="0.2"/>
  <sheetData>
    <row r="1" spans="1:5" x14ac:dyDescent="0.2">
      <c r="A1" t="s">
        <v>56</v>
      </c>
      <c r="B1" t="s">
        <v>15</v>
      </c>
      <c r="C1" t="s">
        <v>16</v>
      </c>
      <c r="D1" t="s">
        <v>69</v>
      </c>
      <c r="E1" t="s">
        <v>59</v>
      </c>
    </row>
    <row r="2" spans="1:5" x14ac:dyDescent="0.2">
      <c r="A2">
        <v>0</v>
      </c>
      <c r="B2">
        <v>0</v>
      </c>
      <c r="C2">
        <v>40</v>
      </c>
      <c r="D2">
        <f>B2*C2</f>
        <v>0</v>
      </c>
      <c r="E2">
        <f t="shared" ref="E2:E7" si="0">(POWER($B$11,A2)*POWER(2.72,(-1*$B$11)))/FACT(A2)</f>
        <v>0.2513592734826528</v>
      </c>
    </row>
    <row r="3" spans="1:5" x14ac:dyDescent="0.2">
      <c r="A3">
        <v>1</v>
      </c>
      <c r="B3">
        <v>1</v>
      </c>
      <c r="C3">
        <v>51</v>
      </c>
      <c r="D3">
        <f t="shared" ref="D3:D7" si="1">B3*C3</f>
        <v>51</v>
      </c>
      <c r="E3">
        <f t="shared" si="0"/>
        <v>0.34687579740606084</v>
      </c>
    </row>
    <row r="4" spans="1:5" x14ac:dyDescent="0.2">
      <c r="A4">
        <v>2</v>
      </c>
      <c r="B4">
        <v>2</v>
      </c>
      <c r="C4">
        <v>34</v>
      </c>
      <c r="D4">
        <f t="shared" si="1"/>
        <v>68</v>
      </c>
      <c r="E4">
        <f t="shared" si="0"/>
        <v>0.23934430021018196</v>
      </c>
    </row>
    <row r="5" spans="1:5" x14ac:dyDescent="0.2">
      <c r="A5">
        <v>3</v>
      </c>
      <c r="B5">
        <v>3</v>
      </c>
      <c r="C5">
        <v>14</v>
      </c>
      <c r="D5">
        <f t="shared" si="1"/>
        <v>42</v>
      </c>
      <c r="E5">
        <f t="shared" si="0"/>
        <v>0.1100983780966837</v>
      </c>
    </row>
    <row r="6" spans="1:5" x14ac:dyDescent="0.2">
      <c r="A6">
        <v>4</v>
      </c>
      <c r="B6">
        <v>4</v>
      </c>
      <c r="C6">
        <v>9</v>
      </c>
      <c r="D6">
        <f t="shared" si="1"/>
        <v>36</v>
      </c>
      <c r="E6">
        <f t="shared" si="0"/>
        <v>3.7983940443355867E-2</v>
      </c>
    </row>
    <row r="7" spans="1:5" x14ac:dyDescent="0.2">
      <c r="A7">
        <v>5</v>
      </c>
      <c r="B7">
        <v>5</v>
      </c>
      <c r="C7">
        <v>2</v>
      </c>
      <c r="D7">
        <f t="shared" si="1"/>
        <v>10</v>
      </c>
      <c r="E7">
        <f t="shared" si="0"/>
        <v>1.0483567562366219E-2</v>
      </c>
    </row>
    <row r="8" spans="1:5" x14ac:dyDescent="0.2">
      <c r="A8" t="s">
        <v>70</v>
      </c>
      <c r="B8">
        <f>SUM(B2:B7)</f>
        <v>15</v>
      </c>
      <c r="C8">
        <f>SUM(C2:C7)</f>
        <v>150</v>
      </c>
      <c r="D8">
        <f>SUM(D2:D7)</f>
        <v>207</v>
      </c>
      <c r="E8">
        <f>SUM(E2:E7)</f>
        <v>0.99614525720130132</v>
      </c>
    </row>
    <row r="10" spans="1:5" x14ac:dyDescent="0.2">
      <c r="A10" t="s">
        <v>65</v>
      </c>
      <c r="B10" t="s">
        <v>71</v>
      </c>
    </row>
    <row r="11" spans="1:5" x14ac:dyDescent="0.2">
      <c r="A11">
        <v>0.05</v>
      </c>
      <c r="B11">
        <f>D8/C8</f>
        <v>1.38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4581-8CE4-4163-96E5-0FA4BD385B38}">
  <dimension ref="A1:I10"/>
  <sheetViews>
    <sheetView workbookViewId="0">
      <selection activeCell="K14" sqref="K14"/>
    </sheetView>
  </sheetViews>
  <sheetFormatPr baseColWidth="10" defaultColWidth="8.83203125" defaultRowHeight="16" x14ac:dyDescent="0.2"/>
  <sheetData>
    <row r="1" spans="1:9" x14ac:dyDescent="0.2">
      <c r="A1" t="s">
        <v>72</v>
      </c>
      <c r="B1" t="s">
        <v>73</v>
      </c>
      <c r="C1" t="s">
        <v>16</v>
      </c>
      <c r="D1" t="s">
        <v>15</v>
      </c>
      <c r="E1" t="s">
        <v>69</v>
      </c>
      <c r="F1" t="s">
        <v>59</v>
      </c>
      <c r="G1" t="s">
        <v>54</v>
      </c>
      <c r="H1" t="s">
        <v>63</v>
      </c>
      <c r="I1" t="s">
        <v>74</v>
      </c>
    </row>
    <row r="2" spans="1:9" x14ac:dyDescent="0.2">
      <c r="A2">
        <v>0.2</v>
      </c>
      <c r="B2">
        <v>6.4</v>
      </c>
      <c r="C2">
        <v>120</v>
      </c>
      <c r="D2">
        <f>(A2+B2)/2</f>
        <v>3.3000000000000003</v>
      </c>
      <c r="E2">
        <f>D2*C2</f>
        <v>396.00000000000006</v>
      </c>
      <c r="F2">
        <f>POWER(2.72,((-1)*(A2/$A$10)))-POWER(2.72,((-1)*(B2/$A$10)))</f>
        <v>0.55509954475027001</v>
      </c>
      <c r="G2">
        <f>$C$7*F2</f>
        <v>111.019908950054</v>
      </c>
      <c r="H2">
        <f>POWER(C2-G2,2)</f>
        <v>80.642035265320203</v>
      </c>
      <c r="I2">
        <f>H2/C2</f>
        <v>0.67201696054433502</v>
      </c>
    </row>
    <row r="3" spans="1:9" x14ac:dyDescent="0.2">
      <c r="A3">
        <v>6.4</v>
      </c>
      <c r="B3">
        <v>12.6</v>
      </c>
      <c r="C3">
        <v>48</v>
      </c>
      <c r="D3">
        <f t="shared" ref="D3:D6" si="0">(A3+B3)/2</f>
        <v>9.5</v>
      </c>
      <c r="E3">
        <f t="shared" ref="E3:E6" si="1">D3*C3</f>
        <v>456</v>
      </c>
      <c r="F3">
        <f t="shared" ref="F3:F6" si="2">POWER(2.72,((-1)*(A3/$A$10)))-POWER(2.72,((-1)*(B3/$A$10)))</f>
        <v>0.23844944346203253</v>
      </c>
      <c r="G3">
        <f t="shared" ref="G3:G6" si="3">$C$7*F3</f>
        <v>47.689888692406505</v>
      </c>
      <c r="H3">
        <f t="shared" ref="H3:H6" si="4">POWER(C3-G3,2)</f>
        <v>9.6169023097347081E-2</v>
      </c>
      <c r="I3">
        <f t="shared" ref="I3:I6" si="5">H3/C3</f>
        <v>2.003521314528064E-3</v>
      </c>
    </row>
    <row r="4" spans="1:9" x14ac:dyDescent="0.2">
      <c r="A4">
        <v>12.6</v>
      </c>
      <c r="B4">
        <v>18.899999999999999</v>
      </c>
      <c r="C4">
        <v>20</v>
      </c>
      <c r="D4">
        <f t="shared" si="0"/>
        <v>15.75</v>
      </c>
      <c r="E4">
        <f t="shared" si="1"/>
        <v>315</v>
      </c>
      <c r="F4">
        <f t="shared" si="2"/>
        <v>0.10347282269045913</v>
      </c>
      <c r="G4">
        <f t="shared" si="3"/>
        <v>20.694564538091825</v>
      </c>
      <c r="H4">
        <f t="shared" si="4"/>
        <v>0.48241989757471032</v>
      </c>
      <c r="I4">
        <f t="shared" si="5"/>
        <v>2.4120994878735515E-2</v>
      </c>
    </row>
    <row r="5" spans="1:9" x14ac:dyDescent="0.2">
      <c r="A5">
        <v>18.899999999999999</v>
      </c>
      <c r="B5">
        <v>25.1</v>
      </c>
      <c r="C5">
        <v>8</v>
      </c>
      <c r="D5">
        <f t="shared" si="0"/>
        <v>22</v>
      </c>
      <c r="E5">
        <f t="shared" si="1"/>
        <v>176</v>
      </c>
      <c r="F5">
        <f t="shared" si="2"/>
        <v>4.3403849867465892E-2</v>
      </c>
      <c r="G5">
        <f t="shared" si="3"/>
        <v>8.6807699734931791</v>
      </c>
      <c r="H5">
        <f t="shared" si="4"/>
        <v>0.4634477568099038</v>
      </c>
      <c r="I5">
        <f t="shared" si="5"/>
        <v>5.7930969601237975E-2</v>
      </c>
    </row>
    <row r="6" spans="1:9" x14ac:dyDescent="0.2">
      <c r="A6">
        <v>25.1</v>
      </c>
      <c r="B6">
        <v>37.6</v>
      </c>
      <c r="C6">
        <v>4</v>
      </c>
      <c r="D6">
        <f t="shared" si="0"/>
        <v>31.35</v>
      </c>
      <c r="E6">
        <f t="shared" si="1"/>
        <v>125.4</v>
      </c>
      <c r="F6">
        <f t="shared" si="2"/>
        <v>2.6735281710784077E-2</v>
      </c>
      <c r="G6">
        <f t="shared" si="3"/>
        <v>5.3470563421568151</v>
      </c>
      <c r="H6">
        <f t="shared" si="4"/>
        <v>1.8145607889448987</v>
      </c>
      <c r="I6">
        <f t="shared" si="5"/>
        <v>0.45364019723622467</v>
      </c>
    </row>
    <row r="7" spans="1:9" x14ac:dyDescent="0.2">
      <c r="A7" t="s">
        <v>70</v>
      </c>
      <c r="C7">
        <f>SUM(C2:C6)</f>
        <v>200</v>
      </c>
      <c r="D7">
        <f t="shared" ref="D7:I7" si="6">SUM(D2:D6)</f>
        <v>81.900000000000006</v>
      </c>
      <c r="E7">
        <f t="shared" si="6"/>
        <v>1468.4</v>
      </c>
      <c r="F7">
        <f t="shared" si="6"/>
        <v>0.9671609424810117</v>
      </c>
      <c r="G7">
        <f t="shared" si="6"/>
        <v>193.43218849620229</v>
      </c>
      <c r="H7">
        <f t="shared" si="6"/>
        <v>83.498632731747065</v>
      </c>
      <c r="I7">
        <f t="shared" si="6"/>
        <v>1.2097126435750614</v>
      </c>
    </row>
    <row r="9" spans="1:9" x14ac:dyDescent="0.2">
      <c r="A9" t="s">
        <v>75</v>
      </c>
      <c r="B9" t="s">
        <v>67</v>
      </c>
      <c r="C9" t="s">
        <v>68</v>
      </c>
      <c r="D9" t="s">
        <v>66</v>
      </c>
      <c r="E9" t="s">
        <v>51</v>
      </c>
      <c r="F9" t="s">
        <v>76</v>
      </c>
    </row>
    <row r="10" spans="1:9" x14ac:dyDescent="0.2">
      <c r="A10">
        <f>E7/C7</f>
        <v>7.3420000000000005</v>
      </c>
      <c r="B10">
        <f>I7</f>
        <v>1.2097126435750614</v>
      </c>
      <c r="C10">
        <v>9.8369999999999997</v>
      </c>
      <c r="D10">
        <v>5</v>
      </c>
      <c r="E10">
        <v>1</v>
      </c>
      <c r="F1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A615-9121-BA4C-8DB4-A98F5DA70F56}">
  <dimension ref="A1:AX26"/>
  <sheetViews>
    <sheetView topLeftCell="B1" zoomScale="118" zoomScaleNormal="100" workbookViewId="0">
      <selection activeCell="E22" sqref="E22"/>
    </sheetView>
  </sheetViews>
  <sheetFormatPr baseColWidth="10" defaultRowHeight="16" x14ac:dyDescent="0.2"/>
  <sheetData>
    <row r="1" spans="1:50" x14ac:dyDescent="0.2">
      <c r="A1">
        <v>11.5</v>
      </c>
      <c r="B1">
        <v>14.2</v>
      </c>
      <c r="C1">
        <v>12.3</v>
      </c>
      <c r="D1">
        <v>5.6</v>
      </c>
      <c r="E1">
        <v>8.8000000000000007</v>
      </c>
      <c r="F1">
        <v>5.9</v>
      </c>
      <c r="G1">
        <v>6.9</v>
      </c>
      <c r="H1">
        <v>16.3</v>
      </c>
      <c r="I1">
        <v>4.5</v>
      </c>
      <c r="J1">
        <v>7.8</v>
      </c>
      <c r="K1">
        <v>13.4</v>
      </c>
      <c r="L1">
        <v>6.1</v>
      </c>
      <c r="M1">
        <v>11.3</v>
      </c>
      <c r="N1">
        <v>13.6</v>
      </c>
      <c r="O1">
        <v>7.5</v>
      </c>
      <c r="P1">
        <v>2.6</v>
      </c>
      <c r="Q1">
        <v>14.4</v>
      </c>
      <c r="R1">
        <v>7</v>
      </c>
      <c r="S1">
        <v>6.6</v>
      </c>
      <c r="T1">
        <v>9</v>
      </c>
      <c r="U1">
        <v>9.1</v>
      </c>
      <c r="V1">
        <v>9.6</v>
      </c>
      <c r="W1">
        <v>10.8</v>
      </c>
      <c r="X1">
        <v>10.199999999999999</v>
      </c>
      <c r="Y1">
        <v>10.1</v>
      </c>
      <c r="Z1">
        <v>10.199999999999999</v>
      </c>
      <c r="AA1">
        <v>8.9</v>
      </c>
      <c r="AB1">
        <v>10.199999999999999</v>
      </c>
      <c r="AC1">
        <v>8.1</v>
      </c>
      <c r="AD1">
        <v>11.7</v>
      </c>
      <c r="AE1">
        <v>11.6</v>
      </c>
      <c r="AF1">
        <v>11.5</v>
      </c>
      <c r="AG1">
        <v>7.9</v>
      </c>
      <c r="AH1">
        <v>11.2</v>
      </c>
      <c r="AI1">
        <v>10.199999999999999</v>
      </c>
      <c r="AJ1">
        <v>6.1</v>
      </c>
      <c r="AK1">
        <v>8.6</v>
      </c>
      <c r="AL1">
        <v>13</v>
      </c>
      <c r="AM1">
        <v>6</v>
      </c>
      <c r="AN1">
        <v>10.7</v>
      </c>
      <c r="AO1">
        <v>7.1</v>
      </c>
      <c r="AP1">
        <v>7.1</v>
      </c>
      <c r="AQ1">
        <v>10.8</v>
      </c>
      <c r="AR1">
        <v>9.8000000000000007</v>
      </c>
      <c r="AS1">
        <v>8.1</v>
      </c>
      <c r="AT1">
        <v>11.3</v>
      </c>
      <c r="AU1">
        <v>12.4</v>
      </c>
      <c r="AV1">
        <v>9.8000000000000007</v>
      </c>
      <c r="AW1">
        <v>6.9</v>
      </c>
      <c r="AX1">
        <v>5.0999999999999996</v>
      </c>
    </row>
    <row r="3" spans="1:50" x14ac:dyDescent="0.2">
      <c r="A3" t="s">
        <v>77</v>
      </c>
      <c r="B3">
        <f>2.1</f>
        <v>2.1</v>
      </c>
    </row>
    <row r="4" spans="1:50" x14ac:dyDescent="0.2">
      <c r="A4" t="s">
        <v>78</v>
      </c>
      <c r="B4">
        <v>7</v>
      </c>
    </row>
    <row r="6" spans="1:50" x14ac:dyDescent="0.2">
      <c r="A6" t="s">
        <v>11</v>
      </c>
      <c r="B6" t="s">
        <v>72</v>
      </c>
      <c r="C6" t="s">
        <v>73</v>
      </c>
      <c r="D6" t="s">
        <v>16</v>
      </c>
      <c r="E6" t="s">
        <v>79</v>
      </c>
      <c r="F6" t="s">
        <v>15</v>
      </c>
      <c r="G6" t="s">
        <v>57</v>
      </c>
      <c r="H6" t="s">
        <v>80</v>
      </c>
      <c r="I6" t="s">
        <v>83</v>
      </c>
      <c r="J6" t="s">
        <v>83</v>
      </c>
      <c r="K6" t="s">
        <v>59</v>
      </c>
      <c r="L6" t="s">
        <v>53</v>
      </c>
    </row>
    <row r="7" spans="1:50" x14ac:dyDescent="0.2">
      <c r="A7">
        <v>1</v>
      </c>
      <c r="B7">
        <v>2.6</v>
      </c>
      <c r="C7">
        <f>B7+B3</f>
        <v>4.7</v>
      </c>
      <c r="D7">
        <v>2</v>
      </c>
      <c r="E7">
        <f>D7/50</f>
        <v>0.04</v>
      </c>
      <c r="F7">
        <f>(B7+C7)/2</f>
        <v>3.6500000000000004</v>
      </c>
      <c r="G7">
        <f>F7*D7</f>
        <v>7.3000000000000007</v>
      </c>
      <c r="H7">
        <f>G7*F7</f>
        <v>26.645000000000007</v>
      </c>
      <c r="I7">
        <f>(C7-$H$15)/$H$18</f>
        <v>-1.7013745974515628</v>
      </c>
      <c r="J7">
        <f>(B7-$H$15)/$H$18</f>
        <v>-2.4475915261583889</v>
      </c>
      <c r="K7">
        <f>_xlfn.NORM.S.DIST(I7,TRUE) - _xlfn.NORM.S.DIST(J7,TRUE)</f>
        <v>3.7245604432608811E-2</v>
      </c>
      <c r="L7">
        <f>D7*K7</f>
        <v>7.4491208865217623E-2</v>
      </c>
    </row>
    <row r="8" spans="1:50" x14ac:dyDescent="0.2">
      <c r="A8">
        <v>2</v>
      </c>
      <c r="B8">
        <f>C7</f>
        <v>4.7</v>
      </c>
      <c r="C8">
        <f>B8+$B$3</f>
        <v>6.8000000000000007</v>
      </c>
      <c r="D8">
        <v>7</v>
      </c>
      <c r="E8">
        <f t="shared" ref="E8:E13" si="0">D8/50</f>
        <v>0.14000000000000001</v>
      </c>
      <c r="F8">
        <f t="shared" ref="F8:F13" si="1">(B8+C8)/2</f>
        <v>5.75</v>
      </c>
      <c r="G8">
        <f t="shared" ref="G8:G13" si="2">F8*D8</f>
        <v>40.25</v>
      </c>
      <c r="H8">
        <f t="shared" ref="H8:H13" si="3">G8*F8</f>
        <v>231.4375</v>
      </c>
      <c r="I8">
        <f t="shared" ref="I8:I13" si="4">(C8-$H$15)/$H$18</f>
        <v>-0.95515766874473673</v>
      </c>
      <c r="J8">
        <f t="shared" ref="J8:J13" si="5">(B8-$H$15)/$H$18</f>
        <v>-1.7013745974515628</v>
      </c>
      <c r="K8">
        <f t="shared" ref="K8:K12" si="6">_xlfn.NORM.S.DIST(I8,TRUE) - _xlfn.NORM.S.DIST(J8,TRUE)</f>
        <v>0.12531265051715235</v>
      </c>
      <c r="L8">
        <f t="shared" ref="L8:L13" si="7">D8*K8</f>
        <v>0.87718855362006642</v>
      </c>
    </row>
    <row r="9" spans="1:50" x14ac:dyDescent="0.2">
      <c r="A9">
        <v>3</v>
      </c>
      <c r="B9">
        <f>C8</f>
        <v>6.8000000000000007</v>
      </c>
      <c r="C9">
        <f t="shared" ref="C9:C13" si="8">B9+$B$3</f>
        <v>8.9</v>
      </c>
      <c r="D9">
        <v>12</v>
      </c>
      <c r="E9">
        <f t="shared" si="0"/>
        <v>0.24</v>
      </c>
      <c r="F9">
        <f t="shared" si="1"/>
        <v>7.8500000000000005</v>
      </c>
      <c r="G9">
        <f t="shared" si="2"/>
        <v>94.2</v>
      </c>
      <c r="H9">
        <f t="shared" si="3"/>
        <v>739.47</v>
      </c>
      <c r="I9">
        <f t="shared" si="4"/>
        <v>-0.20894074003791097</v>
      </c>
      <c r="J9">
        <f t="shared" si="5"/>
        <v>-0.95515766874473673</v>
      </c>
      <c r="K9">
        <f t="shared" si="6"/>
        <v>0.24749826538780079</v>
      </c>
      <c r="L9">
        <f t="shared" si="7"/>
        <v>2.9699791846536092</v>
      </c>
    </row>
    <row r="10" spans="1:50" x14ac:dyDescent="0.2">
      <c r="A10">
        <v>4</v>
      </c>
      <c r="B10">
        <f>C9</f>
        <v>8.9</v>
      </c>
      <c r="C10">
        <f t="shared" si="8"/>
        <v>11</v>
      </c>
      <c r="D10">
        <v>14</v>
      </c>
      <c r="E10">
        <f t="shared" si="0"/>
        <v>0.28000000000000003</v>
      </c>
      <c r="F10">
        <f t="shared" si="1"/>
        <v>9.9499999999999993</v>
      </c>
      <c r="G10">
        <f t="shared" si="2"/>
        <v>139.29999999999998</v>
      </c>
      <c r="H10">
        <f t="shared" si="3"/>
        <v>1386.0349999999996</v>
      </c>
      <c r="I10">
        <f t="shared" si="4"/>
        <v>0.5372761886689148</v>
      </c>
      <c r="J10">
        <f t="shared" si="5"/>
        <v>-0.20894074003791097</v>
      </c>
      <c r="K10">
        <f t="shared" si="6"/>
        <v>0.28721432468382491</v>
      </c>
      <c r="L10">
        <f t="shared" si="7"/>
        <v>4.0210005455735489</v>
      </c>
      <c r="S10">
        <v>0</v>
      </c>
      <c r="T10">
        <v>0</v>
      </c>
    </row>
    <row r="11" spans="1:50" x14ac:dyDescent="0.2">
      <c r="A11">
        <v>5</v>
      </c>
      <c r="B11">
        <f t="shared" ref="B11:B13" si="9">C10</f>
        <v>11</v>
      </c>
      <c r="C11">
        <f t="shared" si="8"/>
        <v>13.1</v>
      </c>
      <c r="D11">
        <v>10</v>
      </c>
      <c r="E11">
        <f t="shared" si="0"/>
        <v>0.2</v>
      </c>
      <c r="F11">
        <f t="shared" si="1"/>
        <v>12.05</v>
      </c>
      <c r="G11">
        <f t="shared" si="2"/>
        <v>120.5</v>
      </c>
      <c r="H11">
        <f t="shared" si="3"/>
        <v>1452.0250000000001</v>
      </c>
      <c r="I11">
        <f t="shared" si="4"/>
        <v>1.2834931173757407</v>
      </c>
      <c r="J11">
        <f t="shared" si="5"/>
        <v>0.5372761886689148</v>
      </c>
      <c r="K11">
        <f t="shared" si="6"/>
        <v>0.19587874063249522</v>
      </c>
      <c r="L11">
        <f t="shared" si="7"/>
        <v>1.9587874063249522</v>
      </c>
      <c r="S11" t="str">
        <f t="shared" ref="S11:S18" si="10">"("&amp;B7&amp;";"&amp;C7&amp;")"</f>
        <v>(2,6;4,7)</v>
      </c>
      <c r="T11">
        <f>1/25</f>
        <v>0.04</v>
      </c>
    </row>
    <row r="12" spans="1:50" x14ac:dyDescent="0.2">
      <c r="A12">
        <v>6</v>
      </c>
      <c r="B12">
        <f t="shared" si="9"/>
        <v>13.1</v>
      </c>
      <c r="C12">
        <f>B12+$B$3</f>
        <v>15.2</v>
      </c>
      <c r="D12">
        <v>4</v>
      </c>
      <c r="E12">
        <f t="shared" si="0"/>
        <v>0.08</v>
      </c>
      <c r="F12">
        <f t="shared" si="1"/>
        <v>14.149999999999999</v>
      </c>
      <c r="G12">
        <f t="shared" si="2"/>
        <v>56.599999999999994</v>
      </c>
      <c r="H12">
        <f t="shared" si="3"/>
        <v>800.88999999999987</v>
      </c>
      <c r="I12">
        <f t="shared" si="4"/>
        <v>2.0297100460825663</v>
      </c>
      <c r="J12">
        <f t="shared" si="5"/>
        <v>1.2834931173757407</v>
      </c>
      <c r="K12">
        <f t="shared" si="6"/>
        <v>7.8466674098214284E-2</v>
      </c>
      <c r="L12">
        <f t="shared" si="7"/>
        <v>0.31386669639285714</v>
      </c>
      <c r="S12" t="str">
        <f t="shared" si="10"/>
        <v>(4,7;6,8)</v>
      </c>
      <c r="T12">
        <f>9/50</f>
        <v>0.18</v>
      </c>
    </row>
    <row r="13" spans="1:50" x14ac:dyDescent="0.2">
      <c r="A13">
        <v>7</v>
      </c>
      <c r="B13">
        <f t="shared" si="9"/>
        <v>15.2</v>
      </c>
      <c r="C13">
        <f t="shared" si="8"/>
        <v>17.3</v>
      </c>
      <c r="D13">
        <v>1</v>
      </c>
      <c r="E13">
        <f t="shared" si="0"/>
        <v>0.02</v>
      </c>
      <c r="F13">
        <f t="shared" si="1"/>
        <v>16.25</v>
      </c>
      <c r="G13">
        <f t="shared" si="2"/>
        <v>16.25</v>
      </c>
      <c r="H13">
        <f t="shared" si="3"/>
        <v>264.0625</v>
      </c>
      <c r="I13">
        <f t="shared" si="4"/>
        <v>2.7759269747893929</v>
      </c>
      <c r="J13">
        <f t="shared" si="5"/>
        <v>2.0297100460825663</v>
      </c>
      <c r="K13">
        <f>_xlfn.NORM.S.DIST(I13,TRUE) - _xlfn.NORM.S.DIST(J13,TRUE)</f>
        <v>1.8440782056139526E-2</v>
      </c>
      <c r="L13">
        <f t="shared" si="7"/>
        <v>1.8440782056139526E-2</v>
      </c>
      <c r="S13" t="str">
        <f t="shared" si="10"/>
        <v>(6,8;8,9)</v>
      </c>
      <c r="T13">
        <f>21/50</f>
        <v>0.42</v>
      </c>
    </row>
    <row r="14" spans="1:50" x14ac:dyDescent="0.2">
      <c r="S14" t="str">
        <f t="shared" si="10"/>
        <v>(8,9;11)</v>
      </c>
      <c r="T14">
        <f>7/10</f>
        <v>0.7</v>
      </c>
    </row>
    <row r="15" spans="1:50" x14ac:dyDescent="0.2">
      <c r="G15" t="s">
        <v>22</v>
      </c>
      <c r="H15">
        <f>SUM(G7:G13)/50</f>
        <v>9.4879999999999995</v>
      </c>
      <c r="K15">
        <f>SUM(K7:K13)</f>
        <v>0.99005704180823595</v>
      </c>
      <c r="S15" t="str">
        <f t="shared" si="10"/>
        <v>(11;13,1)</v>
      </c>
      <c r="T15">
        <f>(D11+T14)/50</f>
        <v>0.214</v>
      </c>
    </row>
    <row r="16" spans="1:50" x14ac:dyDescent="0.2">
      <c r="G16" t="s">
        <v>81</v>
      </c>
      <c r="H16">
        <f>SUM(H7:H13)/50-9.5*9.5</f>
        <v>7.7612999999999914</v>
      </c>
      <c r="S16" t="str">
        <f t="shared" si="10"/>
        <v>(13,1;15,2)</v>
      </c>
      <c r="T16">
        <f>(D12+T15)/50</f>
        <v>8.4280000000000008E-2</v>
      </c>
    </row>
    <row r="17" spans="3:20" x14ac:dyDescent="0.2">
      <c r="G17" t="s">
        <v>82</v>
      </c>
      <c r="H17">
        <f>50/49 * H16</f>
        <v>7.919693877551012</v>
      </c>
      <c r="S17" t="str">
        <f t="shared" si="10"/>
        <v>(15,2;17,3)</v>
      </c>
      <c r="T17">
        <v>1</v>
      </c>
    </row>
    <row r="18" spans="3:20" x14ac:dyDescent="0.2">
      <c r="G18" t="s">
        <v>29</v>
      </c>
      <c r="H18">
        <f>SQRT(H17)</f>
        <v>2.814195067430652</v>
      </c>
      <c r="S18" t="str">
        <f t="shared" si="10"/>
        <v>(;)</v>
      </c>
      <c r="T18">
        <v>1</v>
      </c>
    </row>
    <row r="21" spans="3:20" x14ac:dyDescent="0.2">
      <c r="C21" t="s">
        <v>16</v>
      </c>
      <c r="D21" t="s">
        <v>54</v>
      </c>
      <c r="E21" t="s">
        <v>63</v>
      </c>
      <c r="F21" t="s">
        <v>64</v>
      </c>
    </row>
    <row r="22" spans="3:20" x14ac:dyDescent="0.2">
      <c r="C22">
        <v>9</v>
      </c>
      <c r="D22">
        <v>8.1750000000000007</v>
      </c>
      <c r="E22">
        <f>(C22-D22)^2</f>
        <v>0.68062499999999881</v>
      </c>
      <c r="F22">
        <f>E22/D22</f>
        <v>8.3256880733944799E-2</v>
      </c>
    </row>
    <row r="23" spans="3:20" x14ac:dyDescent="0.2">
      <c r="C23">
        <v>12</v>
      </c>
      <c r="D23">
        <v>12.29</v>
      </c>
      <c r="E23">
        <f t="shared" ref="E23:E26" si="11">(C23-D23)^2</f>
        <v>8.4099999999999508E-2</v>
      </c>
      <c r="F23">
        <f t="shared" ref="F23:F26" si="12">E23/D23</f>
        <v>6.8429617575264052E-3</v>
      </c>
    </row>
    <row r="24" spans="3:20" x14ac:dyDescent="0.2">
      <c r="C24">
        <v>14</v>
      </c>
      <c r="D24">
        <v>14.26</v>
      </c>
      <c r="E24">
        <f t="shared" si="11"/>
        <v>6.7599999999999882E-2</v>
      </c>
      <c r="F24">
        <f t="shared" si="12"/>
        <v>4.7405329593267799E-3</v>
      </c>
    </row>
    <row r="25" spans="3:20" x14ac:dyDescent="0.2">
      <c r="C25">
        <v>10</v>
      </c>
      <c r="D25">
        <v>9.8000000000000007</v>
      </c>
      <c r="E25">
        <f t="shared" si="11"/>
        <v>3.9999999999999716E-2</v>
      </c>
      <c r="F25">
        <f t="shared" si="12"/>
        <v>4.0816326530611954E-3</v>
      </c>
    </row>
    <row r="26" spans="3:20" x14ac:dyDescent="0.2">
      <c r="C26">
        <v>5</v>
      </c>
      <c r="D26">
        <v>4.95</v>
      </c>
      <c r="E26">
        <f t="shared" si="11"/>
        <v>2.4999999999999823E-3</v>
      </c>
      <c r="F26">
        <f t="shared" si="12"/>
        <v>5.0505050505050147E-4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9A23-9B7B-D044-B485-9F9012DD7AB7}">
  <dimension ref="A1:F28"/>
  <sheetViews>
    <sheetView workbookViewId="0">
      <selection activeCell="B26" sqref="B26"/>
    </sheetView>
  </sheetViews>
  <sheetFormatPr baseColWidth="10" defaultRowHeight="16" x14ac:dyDescent="0.2"/>
  <cols>
    <col min="1" max="1" width="29.1640625" customWidth="1"/>
  </cols>
  <sheetData>
    <row r="1" spans="1:6" x14ac:dyDescent="0.2">
      <c r="A1" t="s">
        <v>56</v>
      </c>
      <c r="B1" t="s">
        <v>0</v>
      </c>
      <c r="C1" t="s">
        <v>86</v>
      </c>
      <c r="D1" t="s">
        <v>90</v>
      </c>
      <c r="E1" t="s">
        <v>91</v>
      </c>
      <c r="F1" t="s">
        <v>98</v>
      </c>
    </row>
    <row r="2" spans="1:6" x14ac:dyDescent="0.2">
      <c r="A2">
        <v>1</v>
      </c>
      <c r="B2">
        <v>4</v>
      </c>
      <c r="C2">
        <v>2</v>
      </c>
      <c r="D2">
        <f>B2*B2</f>
        <v>16</v>
      </c>
      <c r="E2">
        <f>C2*C2</f>
        <v>4</v>
      </c>
      <c r="F2">
        <f>B2*C2</f>
        <v>8</v>
      </c>
    </row>
    <row r="3" spans="1:6" x14ac:dyDescent="0.2">
      <c r="A3">
        <v>2</v>
      </c>
      <c r="B3">
        <v>4.5</v>
      </c>
      <c r="C3">
        <v>3</v>
      </c>
      <c r="D3">
        <f t="shared" ref="D3:D11" si="0">B3*B3</f>
        <v>20.25</v>
      </c>
      <c r="E3">
        <f t="shared" ref="E3:E11" si="1">C3*C3</f>
        <v>9</v>
      </c>
      <c r="F3">
        <f t="shared" ref="F3:F11" si="2">B3*C3</f>
        <v>13.5</v>
      </c>
    </row>
    <row r="4" spans="1:6" x14ac:dyDescent="0.2">
      <c r="A4">
        <v>3</v>
      </c>
      <c r="B4">
        <v>5.5</v>
      </c>
      <c r="C4">
        <v>3</v>
      </c>
      <c r="D4">
        <f t="shared" si="0"/>
        <v>30.25</v>
      </c>
      <c r="E4">
        <f t="shared" si="1"/>
        <v>9</v>
      </c>
      <c r="F4">
        <f t="shared" si="2"/>
        <v>16.5</v>
      </c>
    </row>
    <row r="5" spans="1:6" x14ac:dyDescent="0.2">
      <c r="A5">
        <v>4</v>
      </c>
      <c r="B5">
        <v>6</v>
      </c>
      <c r="C5">
        <v>4</v>
      </c>
      <c r="D5">
        <f t="shared" si="0"/>
        <v>36</v>
      </c>
      <c r="E5">
        <f t="shared" si="1"/>
        <v>16</v>
      </c>
      <c r="F5">
        <f t="shared" si="2"/>
        <v>24</v>
      </c>
    </row>
    <row r="6" spans="1:6" x14ac:dyDescent="0.2">
      <c r="A6">
        <v>5</v>
      </c>
      <c r="B6">
        <v>6.5</v>
      </c>
      <c r="C6">
        <v>4</v>
      </c>
      <c r="D6">
        <f t="shared" si="0"/>
        <v>42.25</v>
      </c>
      <c r="E6">
        <f t="shared" si="1"/>
        <v>16</v>
      </c>
      <c r="F6">
        <f t="shared" si="2"/>
        <v>26</v>
      </c>
    </row>
    <row r="7" spans="1:6" x14ac:dyDescent="0.2">
      <c r="A7">
        <v>6</v>
      </c>
      <c r="B7">
        <v>7</v>
      </c>
      <c r="C7">
        <v>5</v>
      </c>
      <c r="D7">
        <f t="shared" si="0"/>
        <v>49</v>
      </c>
      <c r="E7">
        <f t="shared" si="1"/>
        <v>25</v>
      </c>
      <c r="F7">
        <f t="shared" si="2"/>
        <v>35</v>
      </c>
    </row>
    <row r="8" spans="1:6" x14ac:dyDescent="0.2">
      <c r="A8">
        <v>7</v>
      </c>
      <c r="B8">
        <v>7.2</v>
      </c>
      <c r="C8">
        <v>5</v>
      </c>
      <c r="D8">
        <f t="shared" si="0"/>
        <v>51.84</v>
      </c>
      <c r="E8">
        <f t="shared" si="1"/>
        <v>25</v>
      </c>
      <c r="F8">
        <f t="shared" si="2"/>
        <v>36</v>
      </c>
    </row>
    <row r="9" spans="1:6" x14ac:dyDescent="0.2">
      <c r="A9">
        <v>8</v>
      </c>
      <c r="B9">
        <v>7.8</v>
      </c>
      <c r="C9">
        <v>4</v>
      </c>
      <c r="D9">
        <f t="shared" si="0"/>
        <v>60.839999999999996</v>
      </c>
      <c r="E9">
        <f t="shared" si="1"/>
        <v>16</v>
      </c>
      <c r="F9">
        <f t="shared" si="2"/>
        <v>31.2</v>
      </c>
    </row>
    <row r="10" spans="1:6" x14ac:dyDescent="0.2">
      <c r="A10">
        <v>9</v>
      </c>
      <c r="B10">
        <v>8</v>
      </c>
      <c r="C10">
        <v>5</v>
      </c>
      <c r="D10">
        <f t="shared" si="0"/>
        <v>64</v>
      </c>
      <c r="E10">
        <f t="shared" si="1"/>
        <v>25</v>
      </c>
      <c r="F10">
        <f t="shared" si="2"/>
        <v>40</v>
      </c>
    </row>
    <row r="11" spans="1:6" x14ac:dyDescent="0.2">
      <c r="A11">
        <v>10</v>
      </c>
      <c r="B11">
        <v>10</v>
      </c>
      <c r="C11">
        <v>6</v>
      </c>
      <c r="D11">
        <f t="shared" si="0"/>
        <v>100</v>
      </c>
      <c r="E11">
        <f t="shared" si="1"/>
        <v>36</v>
      </c>
      <c r="F11">
        <f t="shared" si="2"/>
        <v>60</v>
      </c>
    </row>
    <row r="13" spans="1:6" x14ac:dyDescent="0.2">
      <c r="A13" t="s">
        <v>87</v>
      </c>
      <c r="B13" s="1">
        <f>SUM(B2:B11)</f>
        <v>66.5</v>
      </c>
    </row>
    <row r="14" spans="1:6" x14ac:dyDescent="0.2">
      <c r="A14" t="s">
        <v>88</v>
      </c>
      <c r="B14" s="1">
        <f>SUM(C2:C11)</f>
        <v>41</v>
      </c>
    </row>
    <row r="15" spans="1:6" x14ac:dyDescent="0.2">
      <c r="A15" t="s">
        <v>22</v>
      </c>
      <c r="B15" s="1">
        <f>B13/A11</f>
        <v>6.65</v>
      </c>
    </row>
    <row r="16" spans="1:6" x14ac:dyDescent="0.2">
      <c r="A16" t="s">
        <v>89</v>
      </c>
      <c r="B16" s="1">
        <f>B14/A11</f>
        <v>4.0999999999999996</v>
      </c>
    </row>
    <row r="17" spans="1:2" x14ac:dyDescent="0.2">
      <c r="A17" t="s">
        <v>92</v>
      </c>
      <c r="B17" s="1">
        <f>SUM(D2:D11)</f>
        <v>470.43</v>
      </c>
    </row>
    <row r="18" spans="1:2" x14ac:dyDescent="0.2">
      <c r="A18" t="s">
        <v>93</v>
      </c>
      <c r="B18" s="1">
        <f>SUM(E2:E11)</f>
        <v>181</v>
      </c>
    </row>
    <row r="19" spans="1:2" x14ac:dyDescent="0.2">
      <c r="A19" t="s">
        <v>94</v>
      </c>
      <c r="B19" s="1">
        <f>B17/A11-B15 *B15</f>
        <v>2.8204999999999956</v>
      </c>
    </row>
    <row r="20" spans="1:2" x14ac:dyDescent="0.2">
      <c r="A20" t="s">
        <v>95</v>
      </c>
      <c r="B20" s="1">
        <f>B18/A11-B16*B16</f>
        <v>1.2900000000000027</v>
      </c>
    </row>
    <row r="21" spans="1:2" x14ac:dyDescent="0.2">
      <c r="A21" t="s">
        <v>96</v>
      </c>
      <c r="B21" s="1">
        <f>SQRT(B19)</f>
        <v>1.6794344286098208</v>
      </c>
    </row>
    <row r="22" spans="1:2" x14ac:dyDescent="0.2">
      <c r="A22" t="s">
        <v>97</v>
      </c>
      <c r="B22" s="1">
        <f>SQRT(B20)</f>
        <v>1.135781669160056</v>
      </c>
    </row>
    <row r="23" spans="1:2" x14ac:dyDescent="0.2">
      <c r="A23" t="s">
        <v>99</v>
      </c>
      <c r="B23" s="1">
        <f>SUM(F2:F11)</f>
        <v>290.2</v>
      </c>
    </row>
    <row r="24" spans="1:2" x14ac:dyDescent="0.2">
      <c r="A24" t="s">
        <v>100</v>
      </c>
      <c r="B24">
        <f>B23/A11</f>
        <v>29.02</v>
      </c>
    </row>
    <row r="25" spans="1:2" x14ac:dyDescent="0.2">
      <c r="A25" t="s">
        <v>101</v>
      </c>
      <c r="B25">
        <f>0.92</f>
        <v>0.92</v>
      </c>
    </row>
    <row r="26" spans="1:2" x14ac:dyDescent="0.2">
      <c r="A26" t="s">
        <v>102</v>
      </c>
    </row>
    <row r="27" spans="1:2" x14ac:dyDescent="0.2">
      <c r="A27" t="s">
        <v>103</v>
      </c>
    </row>
    <row r="28" spans="1:2" x14ac:dyDescent="0.2">
      <c r="A28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6BE3-84C6-7146-804B-F666650BEE2E}">
  <dimension ref="A1:M32"/>
  <sheetViews>
    <sheetView tabSelected="1" workbookViewId="0">
      <selection activeCell="G23" sqref="G23"/>
    </sheetView>
  </sheetViews>
  <sheetFormatPr baseColWidth="10" defaultRowHeight="16" x14ac:dyDescent="0.2"/>
  <cols>
    <col min="2" max="2" width="12.83203125" customWidth="1"/>
  </cols>
  <sheetData>
    <row r="1" spans="1:13" x14ac:dyDescent="0.2">
      <c r="B1" t="s">
        <v>85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 t="s">
        <v>105</v>
      </c>
      <c r="L1" t="s">
        <v>107</v>
      </c>
      <c r="M1" t="s">
        <v>109</v>
      </c>
    </row>
    <row r="2" spans="1:13" x14ac:dyDescent="0.2">
      <c r="A2" t="s">
        <v>84</v>
      </c>
    </row>
    <row r="3" spans="1:13" x14ac:dyDescent="0.2">
      <c r="A3">
        <v>25</v>
      </c>
      <c r="C3">
        <v>2</v>
      </c>
      <c r="D3">
        <v>1</v>
      </c>
      <c r="K3">
        <v>3</v>
      </c>
      <c r="L3">
        <f>A3*K3</f>
        <v>75</v>
      </c>
      <c r="M3">
        <f>L3*A3</f>
        <v>1875</v>
      </c>
    </row>
    <row r="4" spans="1:13" x14ac:dyDescent="0.2">
      <c r="A4">
        <v>35</v>
      </c>
      <c r="D4">
        <v>5</v>
      </c>
      <c r="E4">
        <v>3</v>
      </c>
      <c r="K4">
        <v>8</v>
      </c>
      <c r="L4">
        <f t="shared" ref="L4:L7" si="0">A4*K4</f>
        <v>280</v>
      </c>
      <c r="M4">
        <f t="shared" ref="M4:M7" si="1">L4*A4</f>
        <v>9800</v>
      </c>
    </row>
    <row r="5" spans="1:13" x14ac:dyDescent="0.2">
      <c r="A5">
        <v>45</v>
      </c>
      <c r="E5">
        <v>4</v>
      </c>
      <c r="F5">
        <v>2</v>
      </c>
      <c r="G5">
        <v>4</v>
      </c>
      <c r="K5">
        <v>10</v>
      </c>
      <c r="L5">
        <f t="shared" si="0"/>
        <v>450</v>
      </c>
      <c r="M5">
        <f t="shared" si="1"/>
        <v>20250</v>
      </c>
    </row>
    <row r="6" spans="1:13" x14ac:dyDescent="0.2">
      <c r="A6">
        <v>55</v>
      </c>
      <c r="G6">
        <v>2</v>
      </c>
      <c r="H6">
        <v>3</v>
      </c>
      <c r="I6">
        <v>1</v>
      </c>
      <c r="J6">
        <v>5</v>
      </c>
      <c r="K6">
        <v>11</v>
      </c>
      <c r="L6">
        <f t="shared" si="0"/>
        <v>605</v>
      </c>
      <c r="M6">
        <f t="shared" si="1"/>
        <v>33275</v>
      </c>
    </row>
    <row r="7" spans="1:13" x14ac:dyDescent="0.2">
      <c r="A7">
        <v>65</v>
      </c>
      <c r="I7">
        <v>6</v>
      </c>
      <c r="J7">
        <v>2</v>
      </c>
      <c r="K7">
        <v>8</v>
      </c>
      <c r="L7">
        <f t="shared" si="0"/>
        <v>520</v>
      </c>
      <c r="M7">
        <f t="shared" si="1"/>
        <v>33800</v>
      </c>
    </row>
    <row r="8" spans="1:13" x14ac:dyDescent="0.2">
      <c r="A8" t="s">
        <v>106</v>
      </c>
      <c r="C8">
        <v>2</v>
      </c>
      <c r="D8">
        <v>6</v>
      </c>
      <c r="E8">
        <v>7</v>
      </c>
      <c r="F8">
        <v>2</v>
      </c>
      <c r="G8">
        <v>6</v>
      </c>
      <c r="H8">
        <v>3</v>
      </c>
      <c r="I8">
        <v>7</v>
      </c>
      <c r="J8">
        <v>7</v>
      </c>
      <c r="K8">
        <v>40</v>
      </c>
    </row>
    <row r="9" spans="1:13" x14ac:dyDescent="0.2">
      <c r="A9" t="s">
        <v>108</v>
      </c>
      <c r="C9">
        <f>C1*C8</f>
        <v>0</v>
      </c>
      <c r="D9">
        <f t="shared" ref="D9:K9" si="2">D1*D8</f>
        <v>6</v>
      </c>
      <c r="E9">
        <f t="shared" si="2"/>
        <v>14</v>
      </c>
      <c r="F9">
        <f t="shared" si="2"/>
        <v>6</v>
      </c>
      <c r="G9">
        <f t="shared" si="2"/>
        <v>24</v>
      </c>
      <c r="H9">
        <f t="shared" si="2"/>
        <v>15</v>
      </c>
      <c r="I9">
        <f t="shared" si="2"/>
        <v>42</v>
      </c>
      <c r="J9">
        <f t="shared" si="2"/>
        <v>49</v>
      </c>
    </row>
    <row r="10" spans="1:13" x14ac:dyDescent="0.2">
      <c r="A10" t="s">
        <v>110</v>
      </c>
      <c r="C10">
        <f>C9*C1</f>
        <v>0</v>
      </c>
      <c r="D10">
        <f t="shared" ref="D10:J10" si="3">D9*D1</f>
        <v>6</v>
      </c>
      <c r="E10">
        <f t="shared" si="3"/>
        <v>28</v>
      </c>
      <c r="F10">
        <f t="shared" si="3"/>
        <v>18</v>
      </c>
      <c r="G10">
        <f t="shared" si="3"/>
        <v>96</v>
      </c>
      <c r="H10">
        <f t="shared" si="3"/>
        <v>75</v>
      </c>
      <c r="I10">
        <f t="shared" si="3"/>
        <v>252</v>
      </c>
      <c r="J10">
        <f t="shared" si="3"/>
        <v>343</v>
      </c>
    </row>
    <row r="26" spans="1:3" x14ac:dyDescent="0.2">
      <c r="A26" t="s">
        <v>22</v>
      </c>
      <c r="B26">
        <f>SUM(L3:L7)/K8</f>
        <v>48.25</v>
      </c>
    </row>
    <row r="27" spans="1:3" x14ac:dyDescent="0.2">
      <c r="A27" t="s">
        <v>89</v>
      </c>
      <c r="B27">
        <f>SUM(C9:J9)/K8</f>
        <v>3.9</v>
      </c>
    </row>
    <row r="28" spans="1:3" x14ac:dyDescent="0.2">
      <c r="A28" t="s">
        <v>111</v>
      </c>
      <c r="B28">
        <v>146.94</v>
      </c>
    </row>
    <row r="29" spans="1:3" x14ac:dyDescent="0.2">
      <c r="A29" t="s">
        <v>112</v>
      </c>
      <c r="B29">
        <v>5.24</v>
      </c>
    </row>
    <row r="30" spans="1:3" x14ac:dyDescent="0.2">
      <c r="A30" t="s">
        <v>96</v>
      </c>
      <c r="B30">
        <f>SQRT(B28)</f>
        <v>12.121881042148532</v>
      </c>
    </row>
    <row r="31" spans="1:3" x14ac:dyDescent="0.2">
      <c r="A31" t="s">
        <v>97</v>
      </c>
      <c r="B31">
        <f>SQRT(B29)</f>
        <v>2.2891046284519194</v>
      </c>
    </row>
    <row r="32" spans="1:3" x14ac:dyDescent="0.2">
      <c r="A32" t="s">
        <v>113</v>
      </c>
      <c r="B32" t="s">
        <v>114</v>
      </c>
      <c r="C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Лист1</vt:lpstr>
      <vt:lpstr>Лист2</vt:lpstr>
      <vt:lpstr>Лист3</vt:lpstr>
      <vt:lpstr>Лист4</vt:lpstr>
      <vt:lpstr>Лист5</vt:lpstr>
      <vt:lpstr>Лист6</vt:lpstr>
      <vt:lpstr>ДЗ_5</vt:lpstr>
      <vt:lpstr>ДЗ</vt:lpstr>
      <vt:lpstr>Лист9</vt:lpstr>
      <vt:lpstr>Лист7</vt:lpstr>
      <vt:lpstr>Лист8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2022-04-21T17:39:28Z</dcterms:created>
  <dcterms:modified xsi:type="dcterms:W3CDTF">2022-05-16T04:30:43Z</dcterms:modified>
</cp:coreProperties>
</file>