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1"/>
  <workbookPr updateLinks="always"/>
  <mc:AlternateContent xmlns:mc="http://schemas.openxmlformats.org/markup-compatibility/2006">
    <mc:Choice Requires="x15">
      <x15ac:absPath xmlns:x15ac="http://schemas.microsoft.com/office/spreadsheetml/2010/11/ac" url="https://unimi2013-my.sharepoint.com/personal/carlo_moroni_studenti_unimi_it/Documents/"/>
    </mc:Choice>
  </mc:AlternateContent>
  <xr:revisionPtr revIDLastSave="0" documentId="8_{1FD2F00F-D7C7-45C6-9170-008A75CAF355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Costanti" sheetId="1" r:id="rId1"/>
    <sheet name="Misure Gocce" sheetId="5" r:id="rId2"/>
    <sheet name="Carica e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5" i="5" l="1"/>
  <c r="AA38" i="5"/>
  <c r="Z3" i="5"/>
  <c r="Y3" i="5"/>
  <c r="I3" i="5"/>
  <c r="P3" i="5"/>
  <c r="O3" i="5"/>
  <c r="Q3" i="5"/>
  <c r="F5" i="5"/>
  <c r="C6" i="5"/>
  <c r="AA3" i="5"/>
  <c r="B3" i="6"/>
  <c r="C3" i="6"/>
  <c r="D3" i="6"/>
  <c r="E3" i="6"/>
  <c r="C12" i="1"/>
  <c r="R38" i="6"/>
  <c r="S38" i="6"/>
  <c r="F69" i="5"/>
  <c r="F68" i="5"/>
  <c r="F6" i="5"/>
  <c r="F13" i="5"/>
  <c r="F12" i="5"/>
  <c r="F20" i="5"/>
  <c r="F19" i="5"/>
  <c r="F26" i="5"/>
  <c r="F54" i="5"/>
  <c r="F55" i="5"/>
  <c r="F47" i="5"/>
  <c r="F48" i="5"/>
  <c r="F40" i="5"/>
  <c r="F41" i="5"/>
  <c r="F33" i="5"/>
  <c r="F34" i="5"/>
  <c r="F27" i="5"/>
  <c r="N3" i="5"/>
  <c r="G3" i="5"/>
  <c r="F12" i="1"/>
  <c r="C10" i="1"/>
  <c r="C9" i="1"/>
  <c r="S67" i="5"/>
  <c r="AD66" i="5"/>
  <c r="AD67" i="5"/>
  <c r="AD68" i="5"/>
  <c r="AD69" i="5"/>
  <c r="AD70" i="5"/>
  <c r="S68" i="5"/>
  <c r="S69" i="5"/>
  <c r="S70" i="5"/>
  <c r="H3" i="5"/>
  <c r="AD3" i="5"/>
  <c r="AJ3" i="5"/>
  <c r="AK3" i="5"/>
  <c r="T4" i="5"/>
  <c r="Y4" i="5"/>
  <c r="Z4" i="5"/>
  <c r="AD4" i="5"/>
  <c r="AE4" i="5"/>
  <c r="AJ4" i="5"/>
  <c r="AJ5" i="5"/>
  <c r="AK4" i="5"/>
  <c r="T5" i="5"/>
  <c r="Y5" i="5"/>
  <c r="Z5" i="5"/>
  <c r="AD5" i="5"/>
  <c r="AE5" i="5"/>
  <c r="AK5" i="5"/>
  <c r="T6" i="5"/>
  <c r="Y6" i="5"/>
  <c r="Z6" i="5"/>
  <c r="AD6" i="5"/>
  <c r="AE6" i="5"/>
  <c r="AJ6" i="5"/>
  <c r="AK6" i="5"/>
  <c r="T7" i="5"/>
  <c r="Y7" i="5"/>
  <c r="Z7" i="5"/>
  <c r="AD7" i="5"/>
  <c r="AE7" i="5"/>
  <c r="AJ7" i="5"/>
  <c r="AK7" i="5"/>
  <c r="G10" i="5"/>
  <c r="H10" i="5"/>
  <c r="Y10" i="5"/>
  <c r="Z10" i="5"/>
  <c r="AD10" i="5"/>
  <c r="AJ10" i="5"/>
  <c r="AK10" i="5"/>
  <c r="T11" i="5"/>
  <c r="Y11" i="5"/>
  <c r="Z11" i="5"/>
  <c r="AD11" i="5"/>
  <c r="AE11" i="5"/>
  <c r="AJ11" i="5"/>
  <c r="AK11" i="5"/>
  <c r="T12" i="5"/>
  <c r="Y12" i="5"/>
  <c r="Z12" i="5"/>
  <c r="AD12" i="5"/>
  <c r="AE12" i="5"/>
  <c r="AJ12" i="5"/>
  <c r="AK12" i="5"/>
  <c r="T13" i="5"/>
  <c r="Y13" i="5"/>
  <c r="Z13" i="5"/>
  <c r="AD13" i="5"/>
  <c r="AE13" i="5"/>
  <c r="AJ13" i="5"/>
  <c r="AK13" i="5"/>
  <c r="T14" i="5"/>
  <c r="Y14" i="5"/>
  <c r="Z14" i="5"/>
  <c r="AD14" i="5"/>
  <c r="AE14" i="5"/>
  <c r="AJ14" i="5"/>
  <c r="AK14" i="5"/>
  <c r="G17" i="5"/>
  <c r="H17" i="5"/>
  <c r="Y17" i="5"/>
  <c r="Z17" i="5"/>
  <c r="AD17" i="5"/>
  <c r="AJ17" i="5"/>
  <c r="AK17" i="5"/>
  <c r="T18" i="5"/>
  <c r="Y18" i="5"/>
  <c r="Z18" i="5"/>
  <c r="AD18" i="5"/>
  <c r="AE18" i="5"/>
  <c r="AJ18" i="5"/>
  <c r="AK18" i="5"/>
  <c r="T19" i="5"/>
  <c r="Y19" i="5"/>
  <c r="Z19" i="5"/>
  <c r="AD19" i="5"/>
  <c r="AE19" i="5"/>
  <c r="AJ19" i="5"/>
  <c r="AK19" i="5"/>
  <c r="T20" i="5"/>
  <c r="Y20" i="5"/>
  <c r="Z20" i="5"/>
  <c r="AD20" i="5"/>
  <c r="AE20" i="5"/>
  <c r="AJ20" i="5"/>
  <c r="AK20" i="5"/>
  <c r="T21" i="5"/>
  <c r="Y21" i="5"/>
  <c r="Z21" i="5"/>
  <c r="AD21" i="5"/>
  <c r="AE21" i="5"/>
  <c r="AJ21" i="5"/>
  <c r="AK21" i="5"/>
  <c r="G24" i="5"/>
  <c r="H24" i="5"/>
  <c r="Y24" i="5"/>
  <c r="Z24" i="5"/>
  <c r="AD24" i="5"/>
  <c r="AJ24" i="5"/>
  <c r="AK24" i="5"/>
  <c r="T25" i="5"/>
  <c r="Y25" i="5"/>
  <c r="Z25" i="5"/>
  <c r="AD25" i="5"/>
  <c r="AE25" i="5"/>
  <c r="AJ25" i="5"/>
  <c r="AK25" i="5"/>
  <c r="T26" i="5"/>
  <c r="Y26" i="5"/>
  <c r="Z26" i="5"/>
  <c r="AD26" i="5"/>
  <c r="AE26" i="5"/>
  <c r="AJ26" i="5"/>
  <c r="AK26" i="5"/>
  <c r="T27" i="5"/>
  <c r="Y27" i="5"/>
  <c r="Z27" i="5"/>
  <c r="AD27" i="5"/>
  <c r="AE27" i="5"/>
  <c r="AJ27" i="5"/>
  <c r="AK27" i="5"/>
  <c r="T28" i="5"/>
  <c r="Y28" i="5"/>
  <c r="Z28" i="5"/>
  <c r="AD28" i="5"/>
  <c r="AE28" i="5"/>
  <c r="AJ28" i="5"/>
  <c r="AK28" i="5"/>
  <c r="G31" i="5"/>
  <c r="H31" i="5"/>
  <c r="Y31" i="5"/>
  <c r="Z31" i="5"/>
  <c r="AJ31" i="5"/>
  <c r="AK31" i="5"/>
  <c r="T32" i="5"/>
  <c r="Y32" i="5"/>
  <c r="Z32" i="5"/>
  <c r="AE32" i="5"/>
  <c r="AJ32" i="5"/>
  <c r="AK32" i="5"/>
  <c r="T33" i="5"/>
  <c r="Y33" i="5"/>
  <c r="Z33" i="5"/>
  <c r="AE33" i="5"/>
  <c r="AJ33" i="5"/>
  <c r="AK33" i="5"/>
  <c r="T34" i="5"/>
  <c r="Y34" i="5"/>
  <c r="Z34" i="5"/>
  <c r="AE34" i="5"/>
  <c r="AJ34" i="5"/>
  <c r="AK34" i="5"/>
  <c r="T35" i="5"/>
  <c r="Y35" i="5"/>
  <c r="Z35" i="5"/>
  <c r="AE35" i="5"/>
  <c r="AJ35" i="5"/>
  <c r="AK35" i="5"/>
  <c r="G38" i="5"/>
  <c r="H38" i="5"/>
  <c r="Y38" i="5"/>
  <c r="Z38" i="5"/>
  <c r="AJ38" i="5"/>
  <c r="AK38" i="5"/>
  <c r="T39" i="5"/>
  <c r="Y39" i="5"/>
  <c r="Z39" i="5"/>
  <c r="AE39" i="5"/>
  <c r="AJ39" i="5"/>
  <c r="AK39" i="5"/>
  <c r="T40" i="5"/>
  <c r="Y40" i="5"/>
  <c r="Z40" i="5"/>
  <c r="AE40" i="5"/>
  <c r="AJ40" i="5"/>
  <c r="AK40" i="5"/>
  <c r="T41" i="5"/>
  <c r="Y41" i="5"/>
  <c r="Z41" i="5"/>
  <c r="AE41" i="5"/>
  <c r="AJ41" i="5"/>
  <c r="AK41" i="5"/>
  <c r="T42" i="5"/>
  <c r="Y42" i="5"/>
  <c r="Z42" i="5"/>
  <c r="AE42" i="5"/>
  <c r="AJ42" i="5"/>
  <c r="AK42" i="5"/>
  <c r="G45" i="5"/>
  <c r="H45" i="5"/>
  <c r="Y45" i="5"/>
  <c r="Z45" i="5"/>
  <c r="AD45" i="5"/>
  <c r="AJ45" i="5"/>
  <c r="AK45" i="5"/>
  <c r="T46" i="5"/>
  <c r="Y46" i="5"/>
  <c r="Z46" i="5"/>
  <c r="AD46" i="5"/>
  <c r="AE46" i="5"/>
  <c r="AJ46" i="5"/>
  <c r="AK46" i="5"/>
  <c r="T47" i="5"/>
  <c r="Y47" i="5"/>
  <c r="Z47" i="5"/>
  <c r="AD47" i="5"/>
  <c r="AE47" i="5"/>
  <c r="AJ47" i="5"/>
  <c r="AK47" i="5"/>
  <c r="T48" i="5"/>
  <c r="Y48" i="5"/>
  <c r="Z48" i="5"/>
  <c r="AD48" i="5"/>
  <c r="AE48" i="5"/>
  <c r="AJ48" i="5"/>
  <c r="AK48" i="5"/>
  <c r="T49" i="5"/>
  <c r="Y49" i="5"/>
  <c r="Z49" i="5"/>
  <c r="AD49" i="5"/>
  <c r="AE49" i="5"/>
  <c r="AJ49" i="5"/>
  <c r="AK49" i="5"/>
  <c r="G52" i="5"/>
  <c r="H52" i="5"/>
  <c r="Y52" i="5"/>
  <c r="Z52" i="5"/>
  <c r="AD52" i="5"/>
  <c r="AJ52" i="5"/>
  <c r="AK52" i="5"/>
  <c r="S53" i="5"/>
  <c r="T53" i="5"/>
  <c r="Y53" i="5"/>
  <c r="Z53" i="5"/>
  <c r="AD53" i="5"/>
  <c r="AE53" i="5"/>
  <c r="AJ53" i="5"/>
  <c r="AK53" i="5"/>
  <c r="S54" i="5"/>
  <c r="T54" i="5"/>
  <c r="Y54" i="5"/>
  <c r="Z54" i="5"/>
  <c r="AD54" i="5"/>
  <c r="AE54" i="5"/>
  <c r="AJ54" i="5"/>
  <c r="AK54" i="5"/>
  <c r="S55" i="5"/>
  <c r="T55" i="5"/>
  <c r="Y55" i="5"/>
  <c r="Z55" i="5"/>
  <c r="AD55" i="5"/>
  <c r="AE55" i="5"/>
  <c r="AJ55" i="5"/>
  <c r="AK55" i="5"/>
  <c r="S56" i="5"/>
  <c r="T56" i="5"/>
  <c r="Y56" i="5"/>
  <c r="Z56" i="5"/>
  <c r="AD56" i="5"/>
  <c r="AE56" i="5"/>
  <c r="AJ56" i="5"/>
  <c r="AK56" i="5"/>
  <c r="G59" i="5"/>
  <c r="H59" i="5"/>
  <c r="Y59" i="5"/>
  <c r="Z59" i="5"/>
  <c r="AD59" i="5"/>
  <c r="AJ59" i="5"/>
  <c r="AK59" i="5"/>
  <c r="S60" i="5"/>
  <c r="T60" i="5"/>
  <c r="Y60" i="5"/>
  <c r="Z60" i="5"/>
  <c r="AD60" i="5"/>
  <c r="AE60" i="5"/>
  <c r="AJ60" i="5"/>
  <c r="AK60" i="5"/>
  <c r="S61" i="5"/>
  <c r="T61" i="5"/>
  <c r="Y61" i="5"/>
  <c r="Z61" i="5"/>
  <c r="AD61" i="5"/>
  <c r="AE61" i="5"/>
  <c r="AJ61" i="5"/>
  <c r="AK61" i="5"/>
  <c r="S62" i="5"/>
  <c r="T62" i="5"/>
  <c r="Y62" i="5"/>
  <c r="Z62" i="5"/>
  <c r="AD62" i="5"/>
  <c r="AE62" i="5"/>
  <c r="AJ62" i="5"/>
  <c r="AK62" i="5"/>
  <c r="S63" i="5"/>
  <c r="T63" i="5"/>
  <c r="Y63" i="5"/>
  <c r="Z63" i="5"/>
  <c r="AD63" i="5"/>
  <c r="AE63" i="5"/>
  <c r="AJ63" i="5"/>
  <c r="AK63" i="5"/>
  <c r="G66" i="5"/>
  <c r="H66" i="5"/>
  <c r="Y66" i="5"/>
  <c r="Z66" i="5"/>
  <c r="Z67" i="5"/>
  <c r="AJ66" i="5"/>
  <c r="T67" i="5"/>
  <c r="Y67" i="5"/>
  <c r="AE67" i="5"/>
  <c r="AJ67" i="5"/>
  <c r="T68" i="5"/>
  <c r="Y68" i="5"/>
  <c r="Z68" i="5"/>
  <c r="AE68" i="5"/>
  <c r="AJ68" i="5"/>
  <c r="T69" i="5"/>
  <c r="Y69" i="5"/>
  <c r="Z69" i="5"/>
  <c r="AE69" i="5"/>
  <c r="AJ69" i="5"/>
  <c r="T70" i="5"/>
  <c r="Y70" i="5"/>
  <c r="Z70" i="5"/>
  <c r="AE70" i="5"/>
  <c r="AJ70" i="5"/>
  <c r="F2" i="1"/>
  <c r="C7" i="1"/>
  <c r="W5" i="5"/>
  <c r="X5" i="5"/>
  <c r="N5" i="5"/>
  <c r="W68" i="5"/>
  <c r="X68" i="5"/>
  <c r="AB68" i="5" s="1"/>
  <c r="W3" i="5"/>
  <c r="X3" i="5"/>
  <c r="AH3" i="5"/>
  <c r="AI3" i="5"/>
  <c r="N4" i="5"/>
  <c r="W4" i="5"/>
  <c r="X4" i="5"/>
  <c r="AH4" i="5"/>
  <c r="AI4" i="5"/>
  <c r="AH5" i="5"/>
  <c r="AI5" i="5"/>
  <c r="N6" i="5"/>
  <c r="W6" i="5"/>
  <c r="X6" i="5"/>
  <c r="AH6" i="5"/>
  <c r="AI6" i="5"/>
  <c r="N7" i="5"/>
  <c r="W7" i="5"/>
  <c r="X7" i="5"/>
  <c r="AH7" i="5"/>
  <c r="AI7" i="5"/>
  <c r="N10" i="5"/>
  <c r="W10" i="5"/>
  <c r="X10" i="5"/>
  <c r="AB10" i="5" s="1"/>
  <c r="AH10" i="5"/>
  <c r="AI10" i="5"/>
  <c r="AM10" i="5" s="1"/>
  <c r="N11" i="5"/>
  <c r="W11" i="5"/>
  <c r="X11" i="5"/>
  <c r="AB11" i="5" s="1"/>
  <c r="AH11" i="5"/>
  <c r="AI11" i="5"/>
  <c r="AM11" i="5" s="1"/>
  <c r="N12" i="5"/>
  <c r="W12" i="5"/>
  <c r="X12" i="5"/>
  <c r="AB12" i="5" s="1"/>
  <c r="AH12" i="5"/>
  <c r="AI12" i="5"/>
  <c r="AM12" i="5" s="1"/>
  <c r="N13" i="5"/>
  <c r="W13" i="5"/>
  <c r="X13" i="5"/>
  <c r="AB13" i="5" s="1"/>
  <c r="AH13" i="5"/>
  <c r="AI13" i="5"/>
  <c r="AM13" i="5" s="1"/>
  <c r="N14" i="5"/>
  <c r="W14" i="5"/>
  <c r="X14" i="5"/>
  <c r="AB14" i="5" s="1"/>
  <c r="AH14" i="5"/>
  <c r="AI14" i="5"/>
  <c r="AM14" i="5" s="1"/>
  <c r="N17" i="5"/>
  <c r="W17" i="5"/>
  <c r="X17" i="5"/>
  <c r="AH17" i="5"/>
  <c r="AI17" i="5"/>
  <c r="AM17" i="5" s="1"/>
  <c r="N18" i="5"/>
  <c r="W18" i="5"/>
  <c r="X18" i="5"/>
  <c r="AH18" i="5"/>
  <c r="AI18" i="5"/>
  <c r="AM18" i="5" s="1"/>
  <c r="N19" i="5"/>
  <c r="W19" i="5"/>
  <c r="X19" i="5"/>
  <c r="AH19" i="5"/>
  <c r="AI19" i="5"/>
  <c r="AM19" i="5" s="1"/>
  <c r="N20" i="5"/>
  <c r="W20" i="5"/>
  <c r="X20" i="5"/>
  <c r="AH20" i="5"/>
  <c r="AI20" i="5"/>
  <c r="AM20" i="5" s="1"/>
  <c r="N21" i="5"/>
  <c r="W21" i="5"/>
  <c r="X21" i="5"/>
  <c r="AH21" i="5"/>
  <c r="AI21" i="5"/>
  <c r="AM21" i="5" s="1"/>
  <c r="N24" i="5"/>
  <c r="W24" i="5"/>
  <c r="X24" i="5"/>
  <c r="AB24" i="5" s="1"/>
  <c r="AH24" i="5"/>
  <c r="AI24" i="5"/>
  <c r="AM24" i="5" s="1"/>
  <c r="N25" i="5"/>
  <c r="W25" i="5"/>
  <c r="X25" i="5"/>
  <c r="AB25" i="5" s="1"/>
  <c r="AH25" i="5"/>
  <c r="AI25" i="5"/>
  <c r="AM25" i="5" s="1"/>
  <c r="N26" i="5"/>
  <c r="W26" i="5"/>
  <c r="X26" i="5"/>
  <c r="AB26" i="5" s="1"/>
  <c r="AH26" i="5"/>
  <c r="AI26" i="5"/>
  <c r="AM26" i="5" s="1"/>
  <c r="N27" i="5"/>
  <c r="W27" i="5"/>
  <c r="X27" i="5"/>
  <c r="AB27" i="5" s="1"/>
  <c r="AH27" i="5"/>
  <c r="AI27" i="5"/>
  <c r="AM27" i="5" s="1"/>
  <c r="N28" i="5"/>
  <c r="W28" i="5"/>
  <c r="X28" i="5"/>
  <c r="AB28" i="5" s="1"/>
  <c r="AH28" i="5"/>
  <c r="AI28" i="5"/>
  <c r="AM28" i="5" s="1"/>
  <c r="N31" i="5"/>
  <c r="W31" i="5"/>
  <c r="X31" i="5"/>
  <c r="AB31" i="5" s="1"/>
  <c r="AH31" i="5"/>
  <c r="AI31" i="5"/>
  <c r="AM31" i="5" s="1"/>
  <c r="N32" i="5"/>
  <c r="W32" i="5"/>
  <c r="X32" i="5"/>
  <c r="AB32" i="5" s="1"/>
  <c r="AH32" i="5"/>
  <c r="AI32" i="5"/>
  <c r="AM32" i="5" s="1"/>
  <c r="N33" i="5"/>
  <c r="W33" i="5"/>
  <c r="X33" i="5"/>
  <c r="AB33" i="5" s="1"/>
  <c r="AH33" i="5"/>
  <c r="AI33" i="5"/>
  <c r="AM33" i="5" s="1"/>
  <c r="N34" i="5"/>
  <c r="W34" i="5"/>
  <c r="X34" i="5"/>
  <c r="AB34" i="5" s="1"/>
  <c r="AH34" i="5"/>
  <c r="AI34" i="5"/>
  <c r="AM34" i="5" s="1"/>
  <c r="N35" i="5"/>
  <c r="W35" i="5"/>
  <c r="X35" i="5"/>
  <c r="AB35" i="5" s="1"/>
  <c r="AH35" i="5"/>
  <c r="AI35" i="5"/>
  <c r="AM35" i="5" s="1"/>
  <c r="N38" i="5"/>
  <c r="W38" i="5"/>
  <c r="X38" i="5"/>
  <c r="AB38" i="5" s="1"/>
  <c r="AH38" i="5"/>
  <c r="AI38" i="5"/>
  <c r="AM38" i="5" s="1"/>
  <c r="N39" i="5"/>
  <c r="W39" i="5"/>
  <c r="X39" i="5"/>
  <c r="AB39" i="5" s="1"/>
  <c r="AH39" i="5"/>
  <c r="AI39" i="5"/>
  <c r="AM39" i="5" s="1"/>
  <c r="N40" i="5"/>
  <c r="W40" i="5"/>
  <c r="X40" i="5"/>
  <c r="AB40" i="5" s="1"/>
  <c r="AH40" i="5"/>
  <c r="AI40" i="5"/>
  <c r="AM40" i="5" s="1"/>
  <c r="N41" i="5"/>
  <c r="W41" i="5"/>
  <c r="X41" i="5"/>
  <c r="AB41" i="5" s="1"/>
  <c r="AH41" i="5"/>
  <c r="AI41" i="5"/>
  <c r="AM41" i="5" s="1"/>
  <c r="N42" i="5"/>
  <c r="W42" i="5"/>
  <c r="X42" i="5"/>
  <c r="AB42" i="5" s="1"/>
  <c r="AH42" i="5"/>
  <c r="AI42" i="5"/>
  <c r="AM42" i="5" s="1"/>
  <c r="N45" i="5"/>
  <c r="W45" i="5"/>
  <c r="X45" i="5"/>
  <c r="AB45" i="5" s="1"/>
  <c r="AH45" i="5"/>
  <c r="AI45" i="5"/>
  <c r="AM45" i="5" s="1"/>
  <c r="N46" i="5"/>
  <c r="W46" i="5"/>
  <c r="X46" i="5"/>
  <c r="AB46" i="5" s="1"/>
  <c r="AH46" i="5"/>
  <c r="AI46" i="5"/>
  <c r="AM46" i="5" s="1"/>
  <c r="N47" i="5"/>
  <c r="W47" i="5"/>
  <c r="X47" i="5"/>
  <c r="AB47" i="5" s="1"/>
  <c r="AH47" i="5"/>
  <c r="AI47" i="5"/>
  <c r="AM47" i="5" s="1"/>
  <c r="N48" i="5"/>
  <c r="W48" i="5"/>
  <c r="X48" i="5"/>
  <c r="AB48" i="5" s="1"/>
  <c r="AH48" i="5"/>
  <c r="AI48" i="5"/>
  <c r="AM48" i="5" s="1"/>
  <c r="N49" i="5"/>
  <c r="W49" i="5"/>
  <c r="X49" i="5"/>
  <c r="AB49" i="5" s="1"/>
  <c r="AH49" i="5"/>
  <c r="AI49" i="5"/>
  <c r="AM49" i="5" s="1"/>
  <c r="N52" i="5"/>
  <c r="W52" i="5"/>
  <c r="X52" i="5"/>
  <c r="AB52" i="5" s="1"/>
  <c r="AH52" i="5"/>
  <c r="AI52" i="5"/>
  <c r="AM52" i="5" s="1"/>
  <c r="N53" i="5"/>
  <c r="W53" i="5"/>
  <c r="X53" i="5"/>
  <c r="AB53" i="5" s="1"/>
  <c r="AH53" i="5"/>
  <c r="AI53" i="5"/>
  <c r="AM53" i="5" s="1"/>
  <c r="N54" i="5"/>
  <c r="W54" i="5"/>
  <c r="X54" i="5"/>
  <c r="AB54" i="5" s="1"/>
  <c r="AH54" i="5"/>
  <c r="AI54" i="5"/>
  <c r="AM54" i="5" s="1"/>
  <c r="N55" i="5"/>
  <c r="W55" i="5"/>
  <c r="X55" i="5"/>
  <c r="AB55" i="5" s="1"/>
  <c r="AH55" i="5"/>
  <c r="AI55" i="5"/>
  <c r="AM55" i="5" s="1"/>
  <c r="N56" i="5"/>
  <c r="W56" i="5"/>
  <c r="X56" i="5"/>
  <c r="AB56" i="5" s="1"/>
  <c r="AH56" i="5"/>
  <c r="AI56" i="5"/>
  <c r="AM56" i="5" s="1"/>
  <c r="N59" i="5"/>
  <c r="W59" i="5"/>
  <c r="X59" i="5"/>
  <c r="AB59" i="5" s="1"/>
  <c r="AH59" i="5"/>
  <c r="AI59" i="5"/>
  <c r="AM59" i="5" s="1"/>
  <c r="N60" i="5"/>
  <c r="F61" i="5"/>
  <c r="W60" i="5"/>
  <c r="X60" i="5"/>
  <c r="AB60" i="5" s="1"/>
  <c r="AH60" i="5"/>
  <c r="AI60" i="5"/>
  <c r="AM60" i="5" s="1"/>
  <c r="N61" i="5"/>
  <c r="W61" i="5"/>
  <c r="X61" i="5"/>
  <c r="AB61" i="5" s="1"/>
  <c r="AH61" i="5"/>
  <c r="AI61" i="5"/>
  <c r="AM61" i="5" s="1"/>
  <c r="N62" i="5"/>
  <c r="W62" i="5"/>
  <c r="X62" i="5"/>
  <c r="AB62" i="5" s="1"/>
  <c r="AH62" i="5"/>
  <c r="AI62" i="5"/>
  <c r="AM62" i="5" s="1"/>
  <c r="N63" i="5"/>
  <c r="W63" i="5"/>
  <c r="X63" i="5"/>
  <c r="AB63" i="5" s="1"/>
  <c r="AH63" i="5"/>
  <c r="AI63" i="5"/>
  <c r="AM63" i="5" s="1"/>
  <c r="N66" i="5"/>
  <c r="W66" i="5"/>
  <c r="X66" i="5"/>
  <c r="AB66" i="5" s="1"/>
  <c r="AH66" i="5"/>
  <c r="AI66" i="5"/>
  <c r="AM66" i="5" s="1"/>
  <c r="N67" i="5"/>
  <c r="W67" i="5"/>
  <c r="X67" i="5"/>
  <c r="AB67" i="5" s="1"/>
  <c r="AH67" i="5"/>
  <c r="AI67" i="5"/>
  <c r="AM67" i="5" s="1"/>
  <c r="N68" i="5"/>
  <c r="AH68" i="5"/>
  <c r="AI68" i="5"/>
  <c r="AM68" i="5" s="1"/>
  <c r="N69" i="5"/>
  <c r="W69" i="5"/>
  <c r="X69" i="5"/>
  <c r="AB69" i="5" s="1"/>
  <c r="AH69" i="5"/>
  <c r="AI69" i="5"/>
  <c r="AM69" i="5" s="1"/>
  <c r="N70" i="5"/>
  <c r="W70" i="5"/>
  <c r="X70" i="5"/>
  <c r="AB70" i="5" s="1"/>
  <c r="AH70" i="5"/>
  <c r="AI70" i="5"/>
  <c r="AM70" i="5" s="1"/>
  <c r="C68" i="5"/>
  <c r="C61" i="5"/>
  <c r="C54" i="5"/>
  <c r="C47" i="5"/>
  <c r="C40" i="5"/>
  <c r="C33" i="5"/>
  <c r="C26" i="5"/>
  <c r="C19" i="5"/>
  <c r="C12" i="5"/>
  <c r="AK66" i="5"/>
  <c r="C5" i="5"/>
  <c r="O70" i="5"/>
  <c r="P70" i="5"/>
  <c r="Q70" i="5"/>
  <c r="O69" i="5"/>
  <c r="P69" i="5"/>
  <c r="Q69" i="5"/>
  <c r="O68" i="5"/>
  <c r="P68" i="5"/>
  <c r="Q68" i="5"/>
  <c r="O67" i="5"/>
  <c r="P67" i="5"/>
  <c r="Q67" i="5"/>
  <c r="O66" i="5"/>
  <c r="P66" i="5"/>
  <c r="O63" i="5"/>
  <c r="P63" i="5"/>
  <c r="Q63" i="5"/>
  <c r="O62" i="5"/>
  <c r="P62" i="5"/>
  <c r="Q62" i="5"/>
  <c r="O61" i="5"/>
  <c r="P61" i="5"/>
  <c r="Q61" i="5"/>
  <c r="O60" i="5"/>
  <c r="P60" i="5"/>
  <c r="O59" i="5"/>
  <c r="P59" i="5"/>
  <c r="O56" i="5"/>
  <c r="P56" i="5"/>
  <c r="Q56" i="5"/>
  <c r="O55" i="5"/>
  <c r="P55" i="5"/>
  <c r="Q55" i="5"/>
  <c r="O54" i="5"/>
  <c r="P54" i="5"/>
  <c r="Q54" i="5"/>
  <c r="O53" i="5"/>
  <c r="P53" i="5"/>
  <c r="Q53" i="5"/>
  <c r="O52" i="5"/>
  <c r="P52" i="5"/>
  <c r="O49" i="5"/>
  <c r="P49" i="5"/>
  <c r="Q49" i="5"/>
  <c r="O48" i="5"/>
  <c r="P48" i="5"/>
  <c r="Q48" i="5"/>
  <c r="O47" i="5"/>
  <c r="P47" i="5"/>
  <c r="Q47" i="5"/>
  <c r="O46" i="5"/>
  <c r="P46" i="5"/>
  <c r="Q46" i="5"/>
  <c r="O45" i="5"/>
  <c r="P45" i="5"/>
  <c r="O42" i="5"/>
  <c r="P42" i="5"/>
  <c r="Q42" i="5"/>
  <c r="O41" i="5"/>
  <c r="P41" i="5"/>
  <c r="Q41" i="5"/>
  <c r="O40" i="5"/>
  <c r="P40" i="5"/>
  <c r="Q40" i="5"/>
  <c r="O39" i="5"/>
  <c r="P39" i="5"/>
  <c r="Q39" i="5"/>
  <c r="O38" i="5"/>
  <c r="P38" i="5"/>
  <c r="O35" i="5"/>
  <c r="P35" i="5"/>
  <c r="Q35" i="5"/>
  <c r="O34" i="5"/>
  <c r="P34" i="5"/>
  <c r="Q34" i="5"/>
  <c r="O33" i="5"/>
  <c r="P33" i="5"/>
  <c r="Q33" i="5"/>
  <c r="O32" i="5"/>
  <c r="P32" i="5"/>
  <c r="Q32" i="5"/>
  <c r="O31" i="5"/>
  <c r="P31" i="5"/>
  <c r="O28" i="5"/>
  <c r="P28" i="5"/>
  <c r="Q28" i="5"/>
  <c r="O27" i="5"/>
  <c r="P27" i="5"/>
  <c r="Q27" i="5"/>
  <c r="O26" i="5"/>
  <c r="P26" i="5"/>
  <c r="Q26" i="5"/>
  <c r="O25" i="5"/>
  <c r="P25" i="5"/>
  <c r="Q25" i="5"/>
  <c r="O24" i="5"/>
  <c r="P24" i="5"/>
  <c r="O21" i="5"/>
  <c r="P21" i="5"/>
  <c r="Q21" i="5"/>
  <c r="O20" i="5"/>
  <c r="P20" i="5"/>
  <c r="Q20" i="5"/>
  <c r="O19" i="5"/>
  <c r="P19" i="5"/>
  <c r="Q19" i="5"/>
  <c r="O18" i="5"/>
  <c r="P18" i="5"/>
  <c r="Q18" i="5"/>
  <c r="O17" i="5"/>
  <c r="P17" i="5"/>
  <c r="O14" i="5"/>
  <c r="P14" i="5"/>
  <c r="Q14" i="5"/>
  <c r="O13" i="5"/>
  <c r="P13" i="5"/>
  <c r="Q13" i="5"/>
  <c r="O12" i="5"/>
  <c r="P12" i="5"/>
  <c r="Q12" i="5"/>
  <c r="O11" i="5"/>
  <c r="P11" i="5"/>
  <c r="Q11" i="5"/>
  <c r="O10" i="5"/>
  <c r="Q10" i="5" s="1"/>
  <c r="P10" i="5"/>
  <c r="O7" i="5"/>
  <c r="P7" i="5"/>
  <c r="Q7" i="5"/>
  <c r="O6" i="5"/>
  <c r="P6" i="5"/>
  <c r="O4" i="5"/>
  <c r="P4" i="5"/>
  <c r="Q4" i="5"/>
  <c r="O5" i="5"/>
  <c r="P5" i="5"/>
  <c r="AB18" i="5"/>
  <c r="AB19" i="5"/>
  <c r="AB20" i="5"/>
  <c r="AB21" i="5"/>
  <c r="AK67" i="5"/>
  <c r="Q60" i="5"/>
  <c r="F62" i="5"/>
  <c r="Q6" i="5"/>
  <c r="Q5" i="5"/>
  <c r="C13" i="5"/>
  <c r="C20" i="5"/>
  <c r="Q17" i="5"/>
  <c r="C27" i="5"/>
  <c r="Q24" i="5"/>
  <c r="C34" i="5"/>
  <c r="Q31" i="5"/>
  <c r="C41" i="5"/>
  <c r="Q38" i="5"/>
  <c r="C48" i="5"/>
  <c r="Q45" i="5"/>
  <c r="C55" i="5"/>
  <c r="Q52" i="5"/>
  <c r="C62" i="5"/>
  <c r="Q59" i="5"/>
  <c r="C69" i="5"/>
  <c r="Q66" i="5"/>
  <c r="AK68" i="5"/>
  <c r="AM4" i="5"/>
  <c r="AM5" i="5"/>
  <c r="AM6" i="5"/>
  <c r="AM7" i="5"/>
  <c r="AM3" i="5"/>
  <c r="AB3" i="5"/>
  <c r="AB7" i="5"/>
  <c r="AB6" i="5"/>
  <c r="AB5" i="5"/>
  <c r="AB4" i="5"/>
  <c r="AL68" i="5"/>
  <c r="B100" i="6"/>
  <c r="AL66" i="5"/>
  <c r="B98" i="6"/>
  <c r="AL69" i="5"/>
  <c r="B101" i="6"/>
  <c r="AL70" i="5"/>
  <c r="B102" i="6"/>
  <c r="AL67" i="5"/>
  <c r="B99" i="6"/>
  <c r="AA68" i="5"/>
  <c r="B50" i="6"/>
  <c r="AA69" i="5"/>
  <c r="B51" i="6"/>
  <c r="AA70" i="5"/>
  <c r="B52" i="6"/>
  <c r="AA67" i="5"/>
  <c r="B49" i="6"/>
  <c r="AA66" i="5"/>
  <c r="B48" i="6"/>
  <c r="I66" i="5"/>
  <c r="J66" i="5"/>
  <c r="AL61" i="5"/>
  <c r="B95" i="6"/>
  <c r="AL62" i="5"/>
  <c r="B96" i="6"/>
  <c r="AL63" i="5"/>
  <c r="B97" i="6"/>
  <c r="AL60" i="5"/>
  <c r="B94" i="6"/>
  <c r="M63" i="6"/>
  <c r="AL59" i="5"/>
  <c r="B93" i="6"/>
  <c r="AA61" i="5"/>
  <c r="B45" i="6"/>
  <c r="AA62" i="5"/>
  <c r="B46" i="6"/>
  <c r="AA63" i="5"/>
  <c r="B47" i="6"/>
  <c r="AA60" i="5"/>
  <c r="B44" i="6"/>
  <c r="AA59" i="5"/>
  <c r="B43" i="6"/>
  <c r="I59" i="5"/>
  <c r="J59" i="5"/>
  <c r="AL54" i="5"/>
  <c r="B90" i="6"/>
  <c r="C90" i="6"/>
  <c r="D90" i="6"/>
  <c r="E90" i="6"/>
  <c r="F90" i="6"/>
  <c r="G90" i="6"/>
  <c r="AL55" i="5"/>
  <c r="B91" i="6"/>
  <c r="C91" i="6"/>
  <c r="D91" i="6"/>
  <c r="E91" i="6"/>
  <c r="F91" i="6"/>
  <c r="G91" i="6"/>
  <c r="AL56" i="5"/>
  <c r="B92" i="6"/>
  <c r="C92" i="6"/>
  <c r="D92" i="6"/>
  <c r="E92" i="6"/>
  <c r="F92" i="6"/>
  <c r="G92" i="6"/>
  <c r="AL53" i="5"/>
  <c r="B89" i="6"/>
  <c r="C89" i="6"/>
  <c r="D89" i="6"/>
  <c r="E89" i="6"/>
  <c r="F89" i="6"/>
  <c r="G89" i="6"/>
  <c r="AL52" i="5"/>
  <c r="B88" i="6"/>
  <c r="C88" i="6"/>
  <c r="D88" i="6"/>
  <c r="E88" i="6"/>
  <c r="F88" i="6"/>
  <c r="G88" i="6"/>
  <c r="AA54" i="5"/>
  <c r="B40" i="6"/>
  <c r="C40" i="6"/>
  <c r="D40" i="6"/>
  <c r="E40" i="6"/>
  <c r="F40" i="6"/>
  <c r="G40" i="6"/>
  <c r="AA55" i="5"/>
  <c r="B41" i="6"/>
  <c r="C41" i="6"/>
  <c r="D41" i="6"/>
  <c r="E41" i="6"/>
  <c r="F41" i="6"/>
  <c r="G41" i="6"/>
  <c r="AA56" i="5"/>
  <c r="B42" i="6"/>
  <c r="C42" i="6"/>
  <c r="D42" i="6"/>
  <c r="E42" i="6"/>
  <c r="F42" i="6"/>
  <c r="G42" i="6"/>
  <c r="AA53" i="5"/>
  <c r="B39" i="6"/>
  <c r="C39" i="6"/>
  <c r="D39" i="6"/>
  <c r="E39" i="6"/>
  <c r="F39" i="6"/>
  <c r="G39" i="6"/>
  <c r="AA52" i="5"/>
  <c r="B38" i="6"/>
  <c r="C38" i="6"/>
  <c r="D38" i="6"/>
  <c r="E38" i="6"/>
  <c r="F38" i="6"/>
  <c r="G38" i="6"/>
  <c r="I52" i="5"/>
  <c r="J52" i="5"/>
  <c r="AL47" i="5"/>
  <c r="B85" i="6"/>
  <c r="AL48" i="5"/>
  <c r="B86" i="6"/>
  <c r="AL49" i="5"/>
  <c r="B87" i="6"/>
  <c r="AL46" i="5"/>
  <c r="B84" i="6"/>
  <c r="AL45" i="5"/>
  <c r="B83" i="6"/>
  <c r="AA49" i="5"/>
  <c r="B37" i="6"/>
  <c r="AA47" i="5"/>
  <c r="B35" i="6"/>
  <c r="AA48" i="5"/>
  <c r="B36" i="6"/>
  <c r="AA46" i="5"/>
  <c r="B34" i="6"/>
  <c r="B33" i="6"/>
  <c r="I45" i="5"/>
  <c r="J45" i="5"/>
  <c r="AL40" i="5"/>
  <c r="B80" i="6"/>
  <c r="AL41" i="5"/>
  <c r="B81" i="6"/>
  <c r="AL42" i="5"/>
  <c r="B82" i="6"/>
  <c r="AL39" i="5"/>
  <c r="B79" i="6"/>
  <c r="AL38" i="5"/>
  <c r="B78" i="6"/>
  <c r="AA40" i="5"/>
  <c r="B30" i="6"/>
  <c r="AA41" i="5"/>
  <c r="B31" i="6"/>
  <c r="AA42" i="5"/>
  <c r="B32" i="6"/>
  <c r="AA39" i="5"/>
  <c r="B29" i="6"/>
  <c r="B28" i="6"/>
  <c r="I38" i="5"/>
  <c r="J38" i="5"/>
  <c r="AL33" i="5"/>
  <c r="B75" i="6"/>
  <c r="AL34" i="5"/>
  <c r="B76" i="6"/>
  <c r="AL35" i="5"/>
  <c r="B77" i="6"/>
  <c r="AL32" i="5"/>
  <c r="B74" i="6"/>
  <c r="AL31" i="5"/>
  <c r="B73" i="6"/>
  <c r="AA33" i="5"/>
  <c r="B25" i="6"/>
  <c r="AA34" i="5"/>
  <c r="B26" i="6"/>
  <c r="AA35" i="5"/>
  <c r="B27" i="6"/>
  <c r="AA32" i="5"/>
  <c r="B24" i="6"/>
  <c r="AA31" i="5"/>
  <c r="B23" i="6"/>
  <c r="I31" i="5"/>
  <c r="J31" i="5"/>
  <c r="AL26" i="5"/>
  <c r="B70" i="6"/>
  <c r="AL27" i="5"/>
  <c r="B71" i="6"/>
  <c r="AL28" i="5"/>
  <c r="B72" i="6"/>
  <c r="AL25" i="5"/>
  <c r="B69" i="6"/>
  <c r="AL24" i="5"/>
  <c r="B68" i="6"/>
  <c r="AA26" i="5"/>
  <c r="B20" i="6"/>
  <c r="AA27" i="5"/>
  <c r="B21" i="6"/>
  <c r="AA28" i="5"/>
  <c r="B22" i="6"/>
  <c r="AA25" i="5"/>
  <c r="B19" i="6"/>
  <c r="AA24" i="5"/>
  <c r="B18" i="6"/>
  <c r="I24" i="5"/>
  <c r="J24" i="5"/>
  <c r="AB17" i="5"/>
  <c r="I17" i="5"/>
  <c r="J17" i="5"/>
  <c r="AL19" i="5"/>
  <c r="B65" i="6"/>
  <c r="AL20" i="5"/>
  <c r="B66" i="6"/>
  <c r="AL21" i="5"/>
  <c r="B67" i="6"/>
  <c r="AL18" i="5"/>
  <c r="B64" i="6"/>
  <c r="AL17" i="5"/>
  <c r="B63" i="6"/>
  <c r="AA17" i="5"/>
  <c r="B13" i="6"/>
  <c r="C13" i="6"/>
  <c r="D13" i="6"/>
  <c r="E13" i="6"/>
  <c r="F13" i="6"/>
  <c r="G13" i="6"/>
  <c r="AA18" i="5"/>
  <c r="B14" i="6"/>
  <c r="C14" i="6"/>
  <c r="D14" i="6"/>
  <c r="E14" i="6"/>
  <c r="F14" i="6"/>
  <c r="G14" i="6"/>
  <c r="AA19" i="5"/>
  <c r="B15" i="6"/>
  <c r="C15" i="6"/>
  <c r="D15" i="6"/>
  <c r="E15" i="6"/>
  <c r="F15" i="6"/>
  <c r="G15" i="6"/>
  <c r="AA20" i="5"/>
  <c r="B16" i="6"/>
  <c r="C16" i="6"/>
  <c r="D16" i="6"/>
  <c r="E16" i="6"/>
  <c r="F16" i="6"/>
  <c r="G16" i="6"/>
  <c r="AA21" i="5"/>
  <c r="B17" i="6"/>
  <c r="C17" i="6"/>
  <c r="D17" i="6"/>
  <c r="E17" i="6"/>
  <c r="F17" i="6"/>
  <c r="G17" i="6"/>
  <c r="I10" i="5"/>
  <c r="J10" i="5"/>
  <c r="AL14" i="5"/>
  <c r="B62" i="6"/>
  <c r="C62" i="6"/>
  <c r="D62" i="6"/>
  <c r="E62" i="6"/>
  <c r="F62" i="6"/>
  <c r="G62" i="6"/>
  <c r="AL12" i="5"/>
  <c r="B60" i="6"/>
  <c r="C60" i="6"/>
  <c r="D60" i="6"/>
  <c r="E60" i="6"/>
  <c r="F60" i="6"/>
  <c r="G60" i="6"/>
  <c r="AL13" i="5"/>
  <c r="B61" i="6"/>
  <c r="C61" i="6"/>
  <c r="D61" i="6"/>
  <c r="E61" i="6"/>
  <c r="F61" i="6"/>
  <c r="G61" i="6"/>
  <c r="AL11" i="5"/>
  <c r="B59" i="6"/>
  <c r="C59" i="6"/>
  <c r="D59" i="6"/>
  <c r="E59" i="6"/>
  <c r="F59" i="6"/>
  <c r="G59" i="6"/>
  <c r="AL10" i="5"/>
  <c r="B58" i="6"/>
  <c r="C58" i="6"/>
  <c r="D58" i="6"/>
  <c r="E58" i="6"/>
  <c r="F58" i="6"/>
  <c r="G58" i="6"/>
  <c r="AA12" i="5"/>
  <c r="B10" i="6"/>
  <c r="C10" i="6"/>
  <c r="D10" i="6"/>
  <c r="E10" i="6"/>
  <c r="F10" i="6"/>
  <c r="G10" i="6"/>
  <c r="AA13" i="5"/>
  <c r="B11" i="6"/>
  <c r="C11" i="6"/>
  <c r="D11" i="6"/>
  <c r="E11" i="6"/>
  <c r="F11" i="6"/>
  <c r="G11" i="6"/>
  <c r="AA14" i="5"/>
  <c r="B12" i="6"/>
  <c r="C12" i="6"/>
  <c r="D12" i="6"/>
  <c r="E12" i="6"/>
  <c r="F12" i="6"/>
  <c r="G12" i="6"/>
  <c r="AA11" i="5"/>
  <c r="B9" i="6"/>
  <c r="C9" i="6"/>
  <c r="D9" i="6"/>
  <c r="E9" i="6"/>
  <c r="F9" i="6"/>
  <c r="G9" i="6"/>
  <c r="AA10" i="5"/>
  <c r="B8" i="6"/>
  <c r="C8" i="6"/>
  <c r="D8" i="6"/>
  <c r="E8" i="6"/>
  <c r="F8" i="6"/>
  <c r="G8" i="6"/>
  <c r="J3" i="5"/>
  <c r="AA5" i="5"/>
  <c r="B5" i="6"/>
  <c r="AL3" i="5"/>
  <c r="B53" i="6"/>
  <c r="AL5" i="5"/>
  <c r="B55" i="6"/>
  <c r="AL6" i="5"/>
  <c r="B56" i="6"/>
  <c r="AL7" i="5"/>
  <c r="B57" i="6"/>
  <c r="AL4" i="5"/>
  <c r="B54" i="6"/>
  <c r="AA6" i="5"/>
  <c r="B6" i="6"/>
  <c r="AA7" i="5"/>
  <c r="B7" i="6"/>
  <c r="AA4" i="5"/>
  <c r="B4" i="6"/>
  <c r="AK69" i="5"/>
  <c r="M3" i="6"/>
  <c r="L3" i="6"/>
  <c r="F3" i="6"/>
  <c r="G3" i="6"/>
  <c r="C4" i="6"/>
  <c r="D4" i="6"/>
  <c r="E4" i="6"/>
  <c r="F4" i="6"/>
  <c r="G4" i="6"/>
  <c r="M4" i="6"/>
  <c r="L4" i="6"/>
  <c r="C7" i="6"/>
  <c r="D7" i="6"/>
  <c r="E7" i="6"/>
  <c r="F7" i="6"/>
  <c r="G7" i="6"/>
  <c r="M7" i="6"/>
  <c r="L7" i="6"/>
  <c r="C6" i="6"/>
  <c r="D6" i="6"/>
  <c r="E6" i="6"/>
  <c r="F6" i="6"/>
  <c r="G6" i="6"/>
  <c r="M6" i="6"/>
  <c r="L6" i="6"/>
  <c r="C54" i="6"/>
  <c r="D54" i="6"/>
  <c r="E54" i="6"/>
  <c r="F54" i="6"/>
  <c r="G54" i="6"/>
  <c r="M39" i="6"/>
  <c r="L39" i="6"/>
  <c r="C57" i="6"/>
  <c r="D57" i="6"/>
  <c r="E57" i="6"/>
  <c r="F57" i="6"/>
  <c r="G57" i="6"/>
  <c r="M42" i="6"/>
  <c r="L42" i="6"/>
  <c r="C56" i="6"/>
  <c r="D56" i="6"/>
  <c r="E56" i="6"/>
  <c r="F56" i="6"/>
  <c r="G56" i="6"/>
  <c r="M41" i="6"/>
  <c r="L41" i="6"/>
  <c r="C55" i="6"/>
  <c r="D55" i="6"/>
  <c r="E55" i="6"/>
  <c r="F55" i="6"/>
  <c r="G55" i="6"/>
  <c r="M40" i="6"/>
  <c r="L40" i="6"/>
  <c r="C53" i="6"/>
  <c r="D53" i="6"/>
  <c r="E53" i="6"/>
  <c r="F53" i="6"/>
  <c r="G53" i="6"/>
  <c r="M38" i="6"/>
  <c r="L38" i="6"/>
  <c r="C5" i="6"/>
  <c r="D5" i="6"/>
  <c r="E5" i="6"/>
  <c r="F5" i="6"/>
  <c r="G5" i="6"/>
  <c r="M5" i="6"/>
  <c r="L5" i="6"/>
  <c r="C63" i="6"/>
  <c r="D63" i="6"/>
  <c r="E63" i="6"/>
  <c r="F63" i="6"/>
  <c r="G63" i="6"/>
  <c r="M43" i="6"/>
  <c r="L43" i="6"/>
  <c r="C64" i="6"/>
  <c r="D64" i="6"/>
  <c r="E64" i="6"/>
  <c r="F64" i="6"/>
  <c r="G64" i="6"/>
  <c r="M44" i="6"/>
  <c r="L44" i="6"/>
  <c r="C67" i="6"/>
  <c r="D67" i="6"/>
  <c r="E67" i="6"/>
  <c r="F67" i="6"/>
  <c r="G67" i="6"/>
  <c r="M47" i="6"/>
  <c r="L47" i="6"/>
  <c r="C66" i="6"/>
  <c r="D66" i="6"/>
  <c r="E66" i="6"/>
  <c r="F66" i="6"/>
  <c r="G66" i="6"/>
  <c r="M46" i="6"/>
  <c r="L46" i="6"/>
  <c r="C65" i="6"/>
  <c r="D65" i="6"/>
  <c r="E65" i="6"/>
  <c r="F65" i="6"/>
  <c r="G65" i="6"/>
  <c r="M45" i="6"/>
  <c r="L45" i="6"/>
  <c r="C18" i="6"/>
  <c r="D18" i="6"/>
  <c r="E18" i="6"/>
  <c r="F18" i="6"/>
  <c r="M8" i="6"/>
  <c r="L8" i="6"/>
  <c r="C19" i="6"/>
  <c r="D19" i="6"/>
  <c r="E19" i="6"/>
  <c r="F19" i="6"/>
  <c r="G19" i="6"/>
  <c r="M9" i="6"/>
  <c r="L9" i="6"/>
  <c r="C22" i="6"/>
  <c r="D22" i="6"/>
  <c r="E22" i="6"/>
  <c r="F22" i="6"/>
  <c r="G22" i="6"/>
  <c r="M12" i="6"/>
  <c r="L12" i="6"/>
  <c r="C21" i="6"/>
  <c r="D21" i="6"/>
  <c r="E21" i="6"/>
  <c r="F21" i="6"/>
  <c r="G21" i="6"/>
  <c r="M11" i="6"/>
  <c r="L11" i="6"/>
  <c r="C20" i="6"/>
  <c r="D20" i="6"/>
  <c r="E20" i="6"/>
  <c r="F20" i="6"/>
  <c r="G20" i="6"/>
  <c r="M10" i="6"/>
  <c r="L10" i="6"/>
  <c r="L48" i="6"/>
  <c r="C68" i="6"/>
  <c r="D68" i="6"/>
  <c r="E68" i="6"/>
  <c r="F68" i="6"/>
  <c r="G68" i="6"/>
  <c r="L49" i="6"/>
  <c r="C69" i="6"/>
  <c r="D69" i="6"/>
  <c r="E69" i="6"/>
  <c r="F69" i="6"/>
  <c r="G69" i="6"/>
  <c r="L52" i="6"/>
  <c r="C72" i="6"/>
  <c r="D72" i="6"/>
  <c r="E72" i="6"/>
  <c r="F72" i="6"/>
  <c r="G72" i="6"/>
  <c r="L51" i="6"/>
  <c r="C71" i="6"/>
  <c r="D71" i="6"/>
  <c r="E71" i="6"/>
  <c r="F71" i="6"/>
  <c r="G71" i="6"/>
  <c r="L50" i="6"/>
  <c r="C70" i="6"/>
  <c r="D70" i="6"/>
  <c r="E70" i="6"/>
  <c r="F70" i="6"/>
  <c r="G70" i="6"/>
  <c r="C23" i="6"/>
  <c r="D23" i="6"/>
  <c r="E23" i="6"/>
  <c r="F23" i="6"/>
  <c r="G23" i="6"/>
  <c r="M13" i="6"/>
  <c r="L13" i="6"/>
  <c r="C24" i="6"/>
  <c r="D24" i="6"/>
  <c r="E24" i="6"/>
  <c r="F24" i="6"/>
  <c r="G24" i="6"/>
  <c r="M14" i="6"/>
  <c r="L14" i="6"/>
  <c r="C27" i="6"/>
  <c r="D27" i="6"/>
  <c r="E27" i="6"/>
  <c r="F27" i="6"/>
  <c r="G27" i="6"/>
  <c r="M17" i="6"/>
  <c r="L17" i="6"/>
  <c r="C26" i="6"/>
  <c r="D26" i="6"/>
  <c r="E26" i="6"/>
  <c r="F26" i="6"/>
  <c r="G26" i="6"/>
  <c r="M16" i="6"/>
  <c r="L16" i="6"/>
  <c r="C25" i="6"/>
  <c r="D25" i="6"/>
  <c r="E25" i="6"/>
  <c r="F25" i="6"/>
  <c r="G25" i="6"/>
  <c r="M15" i="6"/>
  <c r="L15" i="6"/>
  <c r="C73" i="6"/>
  <c r="D73" i="6"/>
  <c r="E73" i="6"/>
  <c r="F73" i="6"/>
  <c r="G73" i="6"/>
  <c r="M48" i="6"/>
  <c r="L53" i="6"/>
  <c r="C74" i="6"/>
  <c r="D74" i="6"/>
  <c r="E74" i="6"/>
  <c r="F74" i="6"/>
  <c r="G74" i="6"/>
  <c r="M49" i="6"/>
  <c r="L54" i="6"/>
  <c r="C77" i="6"/>
  <c r="D77" i="6"/>
  <c r="E77" i="6"/>
  <c r="F77" i="6"/>
  <c r="G77" i="6"/>
  <c r="M52" i="6"/>
  <c r="L57" i="6"/>
  <c r="C76" i="6"/>
  <c r="D76" i="6"/>
  <c r="E76" i="6"/>
  <c r="F76" i="6"/>
  <c r="G76" i="6"/>
  <c r="M51" i="6"/>
  <c r="L56" i="6"/>
  <c r="C75" i="6"/>
  <c r="D75" i="6"/>
  <c r="E75" i="6"/>
  <c r="F75" i="6"/>
  <c r="G75" i="6"/>
  <c r="M50" i="6"/>
  <c r="L55" i="6"/>
  <c r="C28" i="6"/>
  <c r="D28" i="6"/>
  <c r="E28" i="6"/>
  <c r="F28" i="6"/>
  <c r="G28" i="6"/>
  <c r="M18" i="6"/>
  <c r="L18" i="6"/>
  <c r="C29" i="6"/>
  <c r="D29" i="6"/>
  <c r="E29" i="6"/>
  <c r="F29" i="6"/>
  <c r="G29" i="6"/>
  <c r="M19" i="6"/>
  <c r="L19" i="6"/>
  <c r="C32" i="6"/>
  <c r="D32" i="6"/>
  <c r="E32" i="6"/>
  <c r="F32" i="6"/>
  <c r="G32" i="6"/>
  <c r="M22" i="6"/>
  <c r="L22" i="6"/>
  <c r="C31" i="6"/>
  <c r="D31" i="6"/>
  <c r="E31" i="6"/>
  <c r="F31" i="6"/>
  <c r="G31" i="6"/>
  <c r="M21" i="6"/>
  <c r="L21" i="6"/>
  <c r="C30" i="6"/>
  <c r="D30" i="6"/>
  <c r="E30" i="6"/>
  <c r="F30" i="6"/>
  <c r="G30" i="6"/>
  <c r="M20" i="6"/>
  <c r="L20" i="6"/>
  <c r="C78" i="6"/>
  <c r="D78" i="6"/>
  <c r="E78" i="6"/>
  <c r="F78" i="6"/>
  <c r="G78" i="6"/>
  <c r="M53" i="6"/>
  <c r="L58" i="6"/>
  <c r="C79" i="6"/>
  <c r="D79" i="6"/>
  <c r="E79" i="6"/>
  <c r="F79" i="6"/>
  <c r="G79" i="6"/>
  <c r="M54" i="6"/>
  <c r="L59" i="6"/>
  <c r="C82" i="6"/>
  <c r="D82" i="6"/>
  <c r="E82" i="6"/>
  <c r="F82" i="6"/>
  <c r="G82" i="6"/>
  <c r="M57" i="6"/>
  <c r="L62" i="6"/>
  <c r="C81" i="6"/>
  <c r="D81" i="6"/>
  <c r="E81" i="6"/>
  <c r="F81" i="6"/>
  <c r="G81" i="6"/>
  <c r="M56" i="6"/>
  <c r="L61" i="6"/>
  <c r="C80" i="6"/>
  <c r="D80" i="6"/>
  <c r="E80" i="6"/>
  <c r="F80" i="6"/>
  <c r="G80" i="6"/>
  <c r="M55" i="6"/>
  <c r="L60" i="6"/>
  <c r="C33" i="6"/>
  <c r="D33" i="6"/>
  <c r="E33" i="6"/>
  <c r="F33" i="6"/>
  <c r="G33" i="6"/>
  <c r="M23" i="6"/>
  <c r="L23" i="6"/>
  <c r="C34" i="6"/>
  <c r="D34" i="6"/>
  <c r="E34" i="6"/>
  <c r="F34" i="6"/>
  <c r="G34" i="6"/>
  <c r="M24" i="6"/>
  <c r="L24" i="6"/>
  <c r="C36" i="6"/>
  <c r="D36" i="6"/>
  <c r="E36" i="6"/>
  <c r="F36" i="6"/>
  <c r="G36" i="6"/>
  <c r="M26" i="6"/>
  <c r="L26" i="6"/>
  <c r="C35" i="6"/>
  <c r="D35" i="6"/>
  <c r="E35" i="6"/>
  <c r="F35" i="6"/>
  <c r="G35" i="6"/>
  <c r="M25" i="6"/>
  <c r="L25" i="6"/>
  <c r="C37" i="6"/>
  <c r="D37" i="6"/>
  <c r="E37" i="6"/>
  <c r="F37" i="6"/>
  <c r="G37" i="6"/>
  <c r="M27" i="6"/>
  <c r="L27" i="6"/>
  <c r="C83" i="6"/>
  <c r="D83" i="6"/>
  <c r="E83" i="6"/>
  <c r="F83" i="6"/>
  <c r="G83" i="6"/>
  <c r="M58" i="6"/>
  <c r="L63" i="6"/>
  <c r="C84" i="6"/>
  <c r="D84" i="6"/>
  <c r="E84" i="6"/>
  <c r="F84" i="6"/>
  <c r="G84" i="6"/>
  <c r="M59" i="6"/>
  <c r="L64" i="6"/>
  <c r="C87" i="6"/>
  <c r="D87" i="6"/>
  <c r="E87" i="6"/>
  <c r="F87" i="6"/>
  <c r="G87" i="6"/>
  <c r="L67" i="6"/>
  <c r="M62" i="6"/>
  <c r="C86" i="6"/>
  <c r="D86" i="6"/>
  <c r="E86" i="6"/>
  <c r="F86" i="6"/>
  <c r="G86" i="6"/>
  <c r="L66" i="6"/>
  <c r="M61" i="6"/>
  <c r="C85" i="6"/>
  <c r="D85" i="6"/>
  <c r="E85" i="6"/>
  <c r="F85" i="6"/>
  <c r="G85" i="6"/>
  <c r="M60" i="6"/>
  <c r="L65" i="6"/>
  <c r="C43" i="6"/>
  <c r="D43" i="6"/>
  <c r="E43" i="6"/>
  <c r="F43" i="6"/>
  <c r="G43" i="6"/>
  <c r="M28" i="6"/>
  <c r="L28" i="6"/>
  <c r="C44" i="6"/>
  <c r="D44" i="6"/>
  <c r="E44" i="6"/>
  <c r="F44" i="6"/>
  <c r="G44" i="6"/>
  <c r="M29" i="6"/>
  <c r="L29" i="6"/>
  <c r="C47" i="6"/>
  <c r="D47" i="6"/>
  <c r="E47" i="6"/>
  <c r="F47" i="6"/>
  <c r="G47" i="6"/>
  <c r="M32" i="6"/>
  <c r="L32" i="6"/>
  <c r="C46" i="6"/>
  <c r="D46" i="6"/>
  <c r="E46" i="6"/>
  <c r="F46" i="6"/>
  <c r="G46" i="6"/>
  <c r="M31" i="6"/>
  <c r="L31" i="6"/>
  <c r="C45" i="6"/>
  <c r="D45" i="6"/>
  <c r="E45" i="6"/>
  <c r="F45" i="6"/>
  <c r="G45" i="6"/>
  <c r="M30" i="6"/>
  <c r="L30" i="6"/>
  <c r="C93" i="6"/>
  <c r="D93" i="6"/>
  <c r="E93" i="6"/>
  <c r="F93" i="6"/>
  <c r="G93" i="6"/>
  <c r="L68" i="6"/>
  <c r="C94" i="6"/>
  <c r="D94" i="6"/>
  <c r="E94" i="6"/>
  <c r="F94" i="6"/>
  <c r="G94" i="6"/>
  <c r="L69" i="6"/>
  <c r="M66" i="6"/>
  <c r="C97" i="6"/>
  <c r="D97" i="6"/>
  <c r="E97" i="6"/>
  <c r="F97" i="6"/>
  <c r="G97" i="6"/>
  <c r="L72" i="6"/>
  <c r="M65" i="6"/>
  <c r="C96" i="6"/>
  <c r="D96" i="6"/>
  <c r="E96" i="6"/>
  <c r="F96" i="6"/>
  <c r="G96" i="6"/>
  <c r="L71" i="6"/>
  <c r="M64" i="6"/>
  <c r="C95" i="6"/>
  <c r="D95" i="6"/>
  <c r="E95" i="6"/>
  <c r="F95" i="6"/>
  <c r="G95" i="6"/>
  <c r="L70" i="6"/>
  <c r="C48" i="6"/>
  <c r="D48" i="6"/>
  <c r="E48" i="6"/>
  <c r="F48" i="6"/>
  <c r="G48" i="6"/>
  <c r="M33" i="6"/>
  <c r="L33" i="6"/>
  <c r="C49" i="6"/>
  <c r="D49" i="6"/>
  <c r="E49" i="6"/>
  <c r="F49" i="6"/>
  <c r="G49" i="6"/>
  <c r="M34" i="6"/>
  <c r="L34" i="6"/>
  <c r="C52" i="6"/>
  <c r="D52" i="6"/>
  <c r="E52" i="6"/>
  <c r="F52" i="6"/>
  <c r="G52" i="6"/>
  <c r="M37" i="6"/>
  <c r="L37" i="6"/>
  <c r="C51" i="6"/>
  <c r="D51" i="6"/>
  <c r="E51" i="6"/>
  <c r="F51" i="6"/>
  <c r="G51" i="6"/>
  <c r="M36" i="6"/>
  <c r="L36" i="6"/>
  <c r="C50" i="6"/>
  <c r="D50" i="6"/>
  <c r="E50" i="6"/>
  <c r="F50" i="6"/>
  <c r="G50" i="6"/>
  <c r="M35" i="6"/>
  <c r="L35" i="6"/>
  <c r="C99" i="6"/>
  <c r="D99" i="6"/>
  <c r="E99" i="6"/>
  <c r="F99" i="6"/>
  <c r="G99" i="6"/>
  <c r="L74" i="6"/>
  <c r="M68" i="6"/>
  <c r="C102" i="6"/>
  <c r="D102" i="6"/>
  <c r="E102" i="6"/>
  <c r="F102" i="6"/>
  <c r="G102" i="6"/>
  <c r="L77" i="6"/>
  <c r="M71" i="6"/>
  <c r="C101" i="6"/>
  <c r="D101" i="6"/>
  <c r="E101" i="6"/>
  <c r="F101" i="6"/>
  <c r="G101" i="6"/>
  <c r="L76" i="6"/>
  <c r="M70" i="6"/>
  <c r="C98" i="6"/>
  <c r="D98" i="6"/>
  <c r="E98" i="6"/>
  <c r="F98" i="6"/>
  <c r="G98" i="6"/>
  <c r="L73" i="6"/>
  <c r="M67" i="6"/>
  <c r="C100" i="6"/>
  <c r="D100" i="6"/>
  <c r="E100" i="6"/>
  <c r="F100" i="6"/>
  <c r="G100" i="6"/>
  <c r="L75" i="6"/>
  <c r="M69" i="6"/>
  <c r="AK70" i="5"/>
  <c r="G18" i="6"/>
  <c r="J3" i="6"/>
  <c r="J4" i="6"/>
</calcChain>
</file>

<file path=xl/sharedStrings.xml><?xml version="1.0" encoding="utf-8"?>
<sst xmlns="http://schemas.openxmlformats.org/spreadsheetml/2006/main" count="418" uniqueCount="52">
  <si>
    <t>g Milano [m/s²]</t>
  </si>
  <si>
    <t>ρ_o- ρ_a [kg/m³]</t>
  </si>
  <si>
    <t>densità olio [kg/m³]</t>
  </si>
  <si>
    <t>densità aria (1 atm) [kg/m³]</t>
  </si>
  <si>
    <t>pressione atmosferica [Pa]</t>
  </si>
  <si>
    <t>misura d</t>
  </si>
  <si>
    <t>incertezza</t>
  </si>
  <si>
    <t>b correzione viscosità [Pa*m]</t>
  </si>
  <si>
    <t>Δz [m]</t>
  </si>
  <si>
    <t>d [m]</t>
  </si>
  <si>
    <t>σ_d [m]</t>
  </si>
  <si>
    <t>q_e</t>
  </si>
  <si>
    <t>media =</t>
  </si>
  <si>
    <t>NO CAMPO ELETTRICO</t>
  </si>
  <si>
    <t>CAMPO ELETTRICO +</t>
  </si>
  <si>
    <t>CAMPO ELETTRICO -</t>
  </si>
  <si>
    <t>N° goccia</t>
  </si>
  <si>
    <t>Resistenza [MΩ]</t>
  </si>
  <si>
    <t>σ_Res</t>
  </si>
  <si>
    <t>T [°C]</t>
  </si>
  <si>
    <t>σ_Temp</t>
  </si>
  <si>
    <t>η(T) [Ns/m²]</t>
  </si>
  <si>
    <t>σ_η</t>
  </si>
  <si>
    <t>η_eff [Ns/m²]</t>
  </si>
  <si>
    <t>Δη/η</t>
  </si>
  <si>
    <t>Δt [s]</t>
  </si>
  <si>
    <t>σ_Δt</t>
  </si>
  <si>
    <t>v [m/s]</t>
  </si>
  <si>
    <t>σ_v</t>
  </si>
  <si>
    <t>r [m]</t>
  </si>
  <si>
    <t>σ_r</t>
  </si>
  <si>
    <t>ΔV [V]</t>
  </si>
  <si>
    <t>σ_ΔV [V]</t>
  </si>
  <si>
    <t>E [N/C]</t>
  </si>
  <si>
    <t xml:space="preserve">σ_E </t>
  </si>
  <si>
    <t>Q [C]</t>
  </si>
  <si>
    <t>σ_Q[C]</t>
  </si>
  <si>
    <t>v_medio</t>
  </si>
  <si>
    <t>σ_v_medio</t>
  </si>
  <si>
    <t>r_medio</t>
  </si>
  <si>
    <t>σ_r_medio</t>
  </si>
  <si>
    <t>Q/q</t>
  </si>
  <si>
    <t>Q/q+0,5</t>
  </si>
  <si>
    <t>k</t>
  </si>
  <si>
    <t>Q/k</t>
  </si>
  <si>
    <t>S(q)</t>
  </si>
  <si>
    <t>no rossi</t>
  </si>
  <si>
    <t>no arancioni e rossi</t>
  </si>
  <si>
    <t>qe</t>
  </si>
  <si>
    <t>σ_qe</t>
  </si>
  <si>
    <t>Grafico provvisorio creato attraverso un porgramma, senza considerare le cariche rosse e arancioni</t>
  </si>
  <si>
    <r>
      <rPr>
        <sz val="11"/>
        <color rgb="FF000000"/>
        <rFont val="Aptos Narrow"/>
      </rPr>
      <t xml:space="preserve">Risultati preliminari della carica dell'elettrone, della differenza percentuale rispetto a </t>
    </r>
    <r>
      <rPr>
        <b/>
        <sz val="11"/>
        <color rgb="FF000000"/>
        <rFont val="Aptos Narrow"/>
      </rPr>
      <t xml:space="preserve">e </t>
    </r>
    <r>
      <rPr>
        <sz val="11"/>
        <color rgb="FF000000"/>
        <rFont val="Aptos Narrow"/>
      </rPr>
      <t>intervallo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</si>
</sst>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0"/>
    <numFmt numFmtId="167" formatCode="0.000E+00"/>
    <numFmt numFmtId="168" formatCode="0.00000E+00"/>
  </numFmts>
  <fonts count="4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sz val="11"/>
      <color rgb="FF000000"/>
      <name val="Aptos Narrow"/>
    </font>
    <font>
      <b/>
      <sz val="11"/>
      <color rgb="FF000000"/>
      <name val="Aptos Narrow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2" borderId="1" xfId="0" applyFill="1" applyBorder="1"/>
    <xf numFmtId="0" fontId="0" fillId="2" borderId="3" xfId="0" applyFill="1" applyBorder="1"/>
    <xf numFmtId="0" fontId="0" fillId="2" borderId="5" xfId="0" applyFill="1" applyBorder="1"/>
    <xf numFmtId="0" fontId="0" fillId="0" borderId="8" xfId="0" applyBorder="1"/>
    <xf numFmtId="0" fontId="0" fillId="0" borderId="5" xfId="0" applyBorder="1"/>
    <xf numFmtId="0" fontId="0" fillId="0" borderId="1" xfId="0" applyBorder="1"/>
    <xf numFmtId="0" fontId="0" fillId="0" borderId="11" xfId="0" applyBorder="1"/>
    <xf numFmtId="0" fontId="0" fillId="0" borderId="3" xfId="0" applyBorder="1"/>
    <xf numFmtId="0" fontId="0" fillId="0" borderId="10" xfId="0" applyBorder="1"/>
    <xf numFmtId="0" fontId="0" fillId="2" borderId="7" xfId="0" applyFill="1" applyBorder="1"/>
    <xf numFmtId="0" fontId="0" fillId="3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0" xfId="0" applyFill="1" applyAlignment="1">
      <alignment horizontal="center"/>
    </xf>
    <xf numFmtId="11" fontId="0" fillId="0" borderId="3" xfId="0" applyNumberFormat="1" applyBorder="1"/>
    <xf numFmtId="11" fontId="0" fillId="0" borderId="5" xfId="0" applyNumberFormat="1" applyBorder="1"/>
    <xf numFmtId="11" fontId="0" fillId="0" borderId="12" xfId="0" applyNumberFormat="1" applyBorder="1"/>
    <xf numFmtId="11" fontId="0" fillId="0" borderId="14" xfId="0" applyNumberFormat="1" applyBorder="1"/>
    <xf numFmtId="0" fontId="0" fillId="0" borderId="15" xfId="0" applyBorder="1"/>
    <xf numFmtId="11" fontId="0" fillId="0" borderId="16" xfId="0" applyNumberFormat="1" applyBorder="1"/>
    <xf numFmtId="0" fontId="0" fillId="0" borderId="17" xfId="0" applyBorder="1"/>
    <xf numFmtId="11" fontId="0" fillId="0" borderId="0" xfId="0" applyNumberFormat="1"/>
    <xf numFmtId="1" fontId="0" fillId="0" borderId="1" xfId="0" applyNumberFormat="1" applyBorder="1"/>
    <xf numFmtId="1" fontId="0" fillId="0" borderId="3" xfId="0" applyNumberFormat="1" applyBorder="1"/>
    <xf numFmtId="1" fontId="0" fillId="0" borderId="5" xfId="0" applyNumberFormat="1" applyBorder="1"/>
    <xf numFmtId="164" fontId="0" fillId="0" borderId="0" xfId="0" applyNumberFormat="1"/>
    <xf numFmtId="164" fontId="0" fillId="0" borderId="10" xfId="0" applyNumberFormat="1" applyBorder="1"/>
    <xf numFmtId="11" fontId="0" fillId="0" borderId="13" xfId="0" applyNumberFormat="1" applyBorder="1"/>
    <xf numFmtId="11" fontId="0" fillId="0" borderId="15" xfId="0" applyNumberFormat="1" applyBorder="1"/>
    <xf numFmtId="11" fontId="0" fillId="0" borderId="17" xfId="0" applyNumberFormat="1" applyBorder="1"/>
    <xf numFmtId="11" fontId="0" fillId="0" borderId="2" xfId="0" applyNumberFormat="1" applyBorder="1"/>
    <xf numFmtId="11" fontId="0" fillId="0" borderId="4" xfId="0" applyNumberFormat="1" applyBorder="1"/>
    <xf numFmtId="11" fontId="0" fillId="0" borderId="6" xfId="0" applyNumberFormat="1" applyBorder="1"/>
    <xf numFmtId="1" fontId="0" fillId="0" borderId="0" xfId="0" applyNumberFormat="1"/>
    <xf numFmtId="0" fontId="0" fillId="0" borderId="12" xfId="0" applyBorder="1"/>
    <xf numFmtId="0" fontId="0" fillId="0" borderId="21" xfId="0" applyBorder="1"/>
    <xf numFmtId="0" fontId="0" fillId="0" borderId="14" xfId="0" applyBorder="1"/>
    <xf numFmtId="0" fontId="0" fillId="0" borderId="16" xfId="0" applyBorder="1"/>
    <xf numFmtId="0" fontId="0" fillId="0" borderId="23" xfId="0" applyBorder="1"/>
    <xf numFmtId="11" fontId="0" fillId="0" borderId="25" xfId="0" applyNumberFormat="1" applyBorder="1"/>
    <xf numFmtId="164" fontId="0" fillId="0" borderId="21" xfId="0" applyNumberFormat="1" applyBorder="1"/>
    <xf numFmtId="0" fontId="0" fillId="0" borderId="25" xfId="0" applyBorder="1"/>
    <xf numFmtId="1" fontId="0" fillId="0" borderId="24" xfId="0" applyNumberFormat="1" applyBorder="1"/>
    <xf numFmtId="164" fontId="0" fillId="0" borderId="23" xfId="0" applyNumberFormat="1" applyBorder="1"/>
    <xf numFmtId="11" fontId="0" fillId="0" borderId="11" xfId="0" applyNumberFormat="1" applyBorder="1"/>
    <xf numFmtId="11" fontId="0" fillId="0" borderId="21" xfId="0" applyNumberFormat="1" applyBorder="1"/>
    <xf numFmtId="165" fontId="0" fillId="0" borderId="0" xfId="0" applyNumberFormat="1"/>
    <xf numFmtId="0" fontId="0" fillId="7" borderId="0" xfId="0" applyFill="1"/>
    <xf numFmtId="11" fontId="0" fillId="0" borderId="10" xfId="0" applyNumberFormat="1" applyBorder="1"/>
    <xf numFmtId="11" fontId="0" fillId="0" borderId="18" xfId="0" applyNumberFormat="1" applyBorder="1"/>
    <xf numFmtId="11" fontId="0" fillId="0" borderId="19" xfId="0" applyNumberFormat="1" applyBorder="1"/>
    <xf numFmtId="11" fontId="0" fillId="0" borderId="20" xfId="0" applyNumberFormat="1" applyBorder="1"/>
    <xf numFmtId="11" fontId="0" fillId="0" borderId="23" xfId="0" applyNumberFormat="1" applyBorder="1"/>
    <xf numFmtId="1" fontId="0" fillId="0" borderId="12" xfId="0" applyNumberFormat="1" applyBorder="1"/>
    <xf numFmtId="1" fontId="0" fillId="0" borderId="14" xfId="0" applyNumberFormat="1" applyBorder="1"/>
    <xf numFmtId="1" fontId="0" fillId="0" borderId="16" xfId="0" applyNumberFormat="1" applyBorder="1"/>
    <xf numFmtId="1" fontId="0" fillId="0" borderId="10" xfId="0" applyNumberFormat="1" applyBorder="1"/>
    <xf numFmtId="0" fontId="0" fillId="0" borderId="13" xfId="0" applyBorder="1"/>
    <xf numFmtId="11" fontId="0" fillId="0" borderId="28" xfId="0" applyNumberFormat="1" applyBorder="1"/>
    <xf numFmtId="11" fontId="0" fillId="0" borderId="29" xfId="0" applyNumberFormat="1" applyBorder="1"/>
    <xf numFmtId="0" fontId="0" fillId="8" borderId="9" xfId="0" applyFill="1" applyBorder="1" applyAlignment="1">
      <alignment horizontal="center"/>
    </xf>
    <xf numFmtId="166" fontId="0" fillId="0" borderId="2" xfId="0" applyNumberFormat="1" applyBorder="1"/>
    <xf numFmtId="0" fontId="0" fillId="2" borderId="2" xfId="0" applyFill="1" applyBorder="1"/>
    <xf numFmtId="164" fontId="0" fillId="0" borderId="3" xfId="0" applyNumberFormat="1" applyBorder="1"/>
    <xf numFmtId="164" fontId="0" fillId="0" borderId="5" xfId="0" applyNumberFormat="1" applyBorder="1"/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11" fontId="0" fillId="9" borderId="3" xfId="0" applyNumberFormat="1" applyFill="1" applyBorder="1"/>
    <xf numFmtId="167" fontId="0" fillId="0" borderId="0" xfId="0" applyNumberFormat="1"/>
    <xf numFmtId="167" fontId="0" fillId="0" borderId="3" xfId="0" applyNumberFormat="1" applyBorder="1"/>
    <xf numFmtId="11" fontId="0" fillId="9" borderId="12" xfId="0" applyNumberFormat="1" applyFill="1" applyBorder="1"/>
    <xf numFmtId="11" fontId="0" fillId="9" borderId="14" xfId="0" applyNumberFormat="1" applyFill="1" applyBorder="1"/>
    <xf numFmtId="11" fontId="0" fillId="9" borderId="16" xfId="0" applyNumberFormat="1" applyFill="1" applyBorder="1"/>
    <xf numFmtId="11" fontId="0" fillId="9" borderId="5" xfId="0" applyNumberFormat="1" applyFill="1" applyBorder="1"/>
    <xf numFmtId="0" fontId="0" fillId="0" borderId="30" xfId="0" applyBorder="1"/>
    <xf numFmtId="2" fontId="0" fillId="0" borderId="31" xfId="0" applyNumberFormat="1" applyBorder="1"/>
    <xf numFmtId="164" fontId="0" fillId="0" borderId="12" xfId="0" applyNumberFormat="1" applyBorder="1"/>
    <xf numFmtId="164" fontId="0" fillId="0" borderId="14" xfId="0" applyNumberFormat="1" applyBorder="1"/>
    <xf numFmtId="164" fontId="0" fillId="0" borderId="16" xfId="0" applyNumberForma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7" fontId="0" fillId="0" borderId="26" xfId="0" applyNumberFormat="1" applyBorder="1"/>
    <xf numFmtId="167" fontId="0" fillId="0" borderId="28" xfId="0" applyNumberFormat="1" applyBorder="1"/>
    <xf numFmtId="167" fontId="0" fillId="9" borderId="28" xfId="0" applyNumberFormat="1" applyFill="1" applyBorder="1"/>
    <xf numFmtId="167" fontId="0" fillId="10" borderId="28" xfId="0" applyNumberFormat="1" applyFill="1" applyBorder="1"/>
    <xf numFmtId="167" fontId="0" fillId="0" borderId="29" xfId="0" applyNumberFormat="1" applyBorder="1"/>
    <xf numFmtId="0" fontId="0" fillId="8" borderId="1" xfId="0" applyFill="1" applyBorder="1" applyAlignment="1">
      <alignment horizontal="center"/>
    </xf>
    <xf numFmtId="0" fontId="0" fillId="9" borderId="1" xfId="0" applyFill="1" applyBorder="1"/>
    <xf numFmtId="167" fontId="0" fillId="0" borderId="1" xfId="0" applyNumberFormat="1" applyBorder="1"/>
    <xf numFmtId="0" fontId="0" fillId="10" borderId="2" xfId="0" applyFill="1" applyBorder="1"/>
    <xf numFmtId="0" fontId="0" fillId="0" borderId="9" xfId="0" applyBorder="1"/>
    <xf numFmtId="0" fontId="0" fillId="0" borderId="33" xfId="0" applyBorder="1"/>
    <xf numFmtId="165" fontId="0" fillId="0" borderId="10" xfId="0" applyNumberFormat="1" applyBorder="1"/>
    <xf numFmtId="0" fontId="0" fillId="0" borderId="34" xfId="0" applyBorder="1"/>
    <xf numFmtId="0" fontId="0" fillId="0" borderId="35" xfId="0" applyBorder="1"/>
    <xf numFmtId="10" fontId="0" fillId="0" borderId="36" xfId="0" applyNumberFormat="1" applyBorder="1"/>
    <xf numFmtId="0" fontId="0" fillId="5" borderId="37" xfId="0" applyFill="1" applyBorder="1" applyAlignment="1">
      <alignment horizontal="center"/>
    </xf>
    <xf numFmtId="0" fontId="0" fillId="5" borderId="35" xfId="0" applyFill="1" applyBorder="1" applyAlignment="1">
      <alignment horizontal="center"/>
    </xf>
    <xf numFmtId="0" fontId="0" fillId="5" borderId="36" xfId="0" applyFill="1" applyBorder="1" applyAlignment="1">
      <alignment horizontal="center"/>
    </xf>
    <xf numFmtId="10" fontId="0" fillId="0" borderId="27" xfId="0" applyNumberFormat="1" applyBorder="1"/>
    <xf numFmtId="0" fontId="0" fillId="5" borderId="12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0" borderId="38" xfId="0" applyBorder="1"/>
    <xf numFmtId="10" fontId="0" fillId="0" borderId="39" xfId="0" applyNumberFormat="1" applyBorder="1"/>
    <xf numFmtId="0" fontId="0" fillId="0" borderId="40" xfId="0" applyBorder="1"/>
    <xf numFmtId="0" fontId="0" fillId="0" borderId="41" xfId="0" applyBorder="1"/>
    <xf numFmtId="10" fontId="0" fillId="0" borderId="31" xfId="0" applyNumberFormat="1" applyBorder="1"/>
    <xf numFmtId="0" fontId="0" fillId="6" borderId="30" xfId="0" applyFill="1" applyBorder="1" applyAlignment="1">
      <alignment horizontal="center"/>
    </xf>
    <xf numFmtId="0" fontId="0" fillId="6" borderId="42" xfId="0" applyFill="1" applyBorder="1" applyAlignment="1">
      <alignment horizontal="center"/>
    </xf>
    <xf numFmtId="0" fontId="0" fillId="6" borderId="41" xfId="0" applyFill="1" applyBorder="1" applyAlignment="1">
      <alignment horizontal="center"/>
    </xf>
    <xf numFmtId="0" fontId="0" fillId="6" borderId="43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0" borderId="44" xfId="0" applyBorder="1"/>
    <xf numFmtId="10" fontId="0" fillId="0" borderId="15" xfId="0" applyNumberFormat="1" applyBorder="1"/>
    <xf numFmtId="0" fontId="1" fillId="0" borderId="0" xfId="0" applyFont="1"/>
    <xf numFmtId="168" fontId="0" fillId="0" borderId="0" xfId="0" applyNumberFormat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8" borderId="32" xfId="0" applyFill="1" applyBorder="1"/>
    <xf numFmtId="11" fontId="0" fillId="0" borderId="27" xfId="0" applyNumberFormat="1" applyBorder="1"/>
    <xf numFmtId="11" fontId="0" fillId="0" borderId="45" xfId="0" applyNumberFormat="1" applyBorder="1"/>
    <xf numFmtId="167" fontId="0" fillId="0" borderId="12" xfId="0" applyNumberFormat="1" applyBorder="1"/>
    <xf numFmtId="167" fontId="0" fillId="0" borderId="14" xfId="0" applyNumberFormat="1" applyBorder="1"/>
    <xf numFmtId="167" fontId="0" fillId="0" borderId="16" xfId="0" applyNumberFormat="1" applyBorder="1"/>
    <xf numFmtId="167" fontId="0" fillId="0" borderId="5" xfId="0" applyNumberFormat="1" applyBorder="1"/>
    <xf numFmtId="167" fontId="0" fillId="0" borderId="10" xfId="0" applyNumberFormat="1" applyBorder="1"/>
    <xf numFmtId="167" fontId="0" fillId="0" borderId="23" xfId="0" applyNumberFormat="1" applyBorder="1"/>
    <xf numFmtId="167" fontId="0" fillId="5" borderId="35" xfId="0" applyNumberFormat="1" applyFill="1" applyBorder="1" applyAlignment="1">
      <alignment horizontal="center"/>
    </xf>
    <xf numFmtId="167" fontId="0" fillId="0" borderId="35" xfId="0" applyNumberFormat="1" applyBorder="1"/>
    <xf numFmtId="167" fontId="0" fillId="5" borderId="21" xfId="0" applyNumberFormat="1" applyFill="1" applyBorder="1" applyAlignment="1">
      <alignment horizontal="center"/>
    </xf>
    <xf numFmtId="167" fontId="0" fillId="0" borderId="9" xfId="0" applyNumberFormat="1" applyBorder="1"/>
    <xf numFmtId="167" fontId="0" fillId="0" borderId="41" xfId="0" applyNumberFormat="1" applyBorder="1"/>
    <xf numFmtId="167" fontId="0" fillId="3" borderId="7" xfId="0" applyNumberFormat="1" applyFill="1" applyBorder="1" applyAlignment="1">
      <alignment horizontal="center"/>
    </xf>
    <xf numFmtId="167" fontId="0" fillId="0" borderId="24" xfId="0" applyNumberFormat="1" applyBorder="1"/>
    <xf numFmtId="164" fontId="0" fillId="3" borderId="7" xfId="0" applyNumberFormat="1" applyFill="1" applyBorder="1" applyAlignment="1">
      <alignment horizontal="center"/>
    </xf>
    <xf numFmtId="164" fontId="0" fillId="0" borderId="1" xfId="0" applyNumberFormat="1" applyBorder="1"/>
    <xf numFmtId="164" fontId="0" fillId="6" borderId="41" xfId="0" applyNumberFormat="1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164" fontId="0" fillId="0" borderId="24" xfId="0" applyNumberFormat="1" applyBorder="1"/>
    <xf numFmtId="164" fontId="0" fillId="4" borderId="7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390525</xdr:colOff>
      <xdr:row>15</xdr:row>
      <xdr:rowOff>161925</xdr:rowOff>
    </xdr:from>
    <xdr:to>
      <xdr:col>46</xdr:col>
      <xdr:colOff>133350</xdr:colOff>
      <xdr:row>18</xdr:row>
      <xdr:rowOff>171450</xdr:rowOff>
    </xdr:to>
    <xdr:sp macro="" textlink="">
      <xdr:nvSpPr>
        <xdr:cNvPr id="10" name="CasellaDiTesto 1">
          <a:extLst>
            <a:ext uri="{FF2B5EF4-FFF2-40B4-BE49-F238E27FC236}">
              <a16:creationId xmlns:a16="http://schemas.microsoft.com/office/drawing/2014/main" id="{FF738443-3CF2-CD26-ADA3-3CBA292C9BC7}"/>
            </a:ext>
          </a:extLst>
        </xdr:cNvPr>
        <xdr:cNvSpPr txBox="1"/>
      </xdr:nvSpPr>
      <xdr:spPr>
        <a:xfrm>
          <a:off x="28022550" y="2876550"/>
          <a:ext cx="453390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Durante la misurazione con il campo elettrico +  la goccia presa in cosiderazione ha interegino con un'altra gocciolina ed è stata persa.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295275</xdr:colOff>
      <xdr:row>22</xdr:row>
      <xdr:rowOff>114300</xdr:rowOff>
    </xdr:from>
    <xdr:to>
      <xdr:col>22</xdr:col>
      <xdr:colOff>371475</xdr:colOff>
      <xdr:row>29</xdr:row>
      <xdr:rowOff>161925</xdr:rowOff>
    </xdr:to>
    <xdr:pic>
      <xdr:nvPicPr>
        <xdr:cNvPr id="4" name="Immagine 1">
          <a:extLst>
            <a:ext uri="{FF2B5EF4-FFF2-40B4-BE49-F238E27FC236}">
              <a16:creationId xmlns:a16="http://schemas.microsoft.com/office/drawing/2014/main" id="{D693DB19-BEEE-AE02-7E5F-BCB5EDE0A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63350" y="4305300"/>
          <a:ext cx="4572000" cy="1381125"/>
        </a:xfrm>
        <a:prstGeom prst="rect">
          <a:avLst/>
        </a:prstGeom>
      </xdr:spPr>
    </xdr:pic>
    <xdr:clientData/>
  </xdr:twoCellAnchor>
  <xdr:twoCellAnchor editAs="oneCell">
    <xdr:from>
      <xdr:col>15</xdr:col>
      <xdr:colOff>600075</xdr:colOff>
      <xdr:row>2</xdr:row>
      <xdr:rowOff>9525</xdr:rowOff>
    </xdr:from>
    <xdr:to>
      <xdr:col>23</xdr:col>
      <xdr:colOff>57150</xdr:colOff>
      <xdr:row>18</xdr:row>
      <xdr:rowOff>76200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3D565464-A8E7-037E-DF91-7E2431201D93}"/>
            </a:ext>
            <a:ext uri="{147F2762-F138-4A5C-976F-8EAC2B608ADB}">
              <a16:predDERef xmlns:a16="http://schemas.microsoft.com/office/drawing/2014/main" pred="{D693DB19-BEEE-AE02-7E5F-BCB5EDE0A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68150" y="390525"/>
          <a:ext cx="4562475" cy="3114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2"/>
  <sheetViews>
    <sheetView workbookViewId="0">
      <selection activeCell="E6" sqref="E6:F11"/>
    </sheetView>
  </sheetViews>
  <sheetFormatPr defaultRowHeight="15"/>
  <cols>
    <col min="2" max="2" width="26.42578125" bestFit="1" customWidth="1"/>
    <col min="5" max="5" width="14.42578125" bestFit="1" customWidth="1"/>
    <col min="7" max="7" width="9.85546875" bestFit="1" customWidth="1"/>
  </cols>
  <sheetData>
    <row r="2" spans="2:6">
      <c r="B2" s="4" t="s">
        <v>0</v>
      </c>
      <c r="C2" s="1">
        <v>9.8050499999999996</v>
      </c>
      <c r="E2" s="13" t="s">
        <v>1</v>
      </c>
      <c r="F2" s="7">
        <f>C3-C4</f>
        <v>858.70699999999999</v>
      </c>
    </row>
    <row r="3" spans="2:6">
      <c r="B3" s="5" t="s">
        <v>2</v>
      </c>
      <c r="C3" s="2">
        <v>860</v>
      </c>
    </row>
    <row r="4" spans="2:6">
      <c r="B4" s="5" t="s">
        <v>3</v>
      </c>
      <c r="C4" s="2">
        <v>1.2929999999999999</v>
      </c>
    </row>
    <row r="5" spans="2:6">
      <c r="B5" s="5" t="s">
        <v>4</v>
      </c>
      <c r="C5" s="2">
        <v>101325</v>
      </c>
      <c r="E5" s="4" t="s">
        <v>5</v>
      </c>
      <c r="F5" s="71" t="s">
        <v>6</v>
      </c>
    </row>
    <row r="6" spans="2:6">
      <c r="B6" s="5" t="s">
        <v>7</v>
      </c>
      <c r="C6" s="2">
        <v>8.2000000000000007E-3</v>
      </c>
      <c r="E6" s="11">
        <v>7.56</v>
      </c>
      <c r="F6" s="2">
        <v>0.01</v>
      </c>
    </row>
    <row r="7" spans="2:6">
      <c r="B7" s="6" t="s">
        <v>8</v>
      </c>
      <c r="C7" s="3">
        <f>0.5*10^(-3)</f>
        <v>5.0000000000000001E-4</v>
      </c>
      <c r="E7" s="11">
        <v>7.57</v>
      </c>
      <c r="F7" s="2">
        <v>0.01</v>
      </c>
    </row>
    <row r="8" spans="2:6">
      <c r="E8" s="11">
        <v>7.56</v>
      </c>
      <c r="F8" s="2">
        <v>0.01</v>
      </c>
    </row>
    <row r="9" spans="2:6">
      <c r="B9" s="4" t="s">
        <v>9</v>
      </c>
      <c r="C9" s="70">
        <f>F12*10^-3</f>
        <v>7.553333333333332E-3</v>
      </c>
      <c r="E9" s="11">
        <v>7.54</v>
      </c>
      <c r="F9" s="2">
        <v>0.01</v>
      </c>
    </row>
    <row r="10" spans="2:6">
      <c r="B10" s="6" t="s">
        <v>10</v>
      </c>
      <c r="C10" s="3">
        <f>0.00001</f>
        <v>1.0000000000000001E-5</v>
      </c>
      <c r="E10" s="11">
        <v>7.55</v>
      </c>
      <c r="F10" s="2">
        <v>0.01</v>
      </c>
    </row>
    <row r="11" spans="2:6">
      <c r="E11" s="11">
        <v>7.54</v>
      </c>
      <c r="F11" s="2">
        <v>0.01</v>
      </c>
    </row>
    <row r="12" spans="2:6">
      <c r="B12" s="13" t="s">
        <v>11</v>
      </c>
      <c r="C12" s="7">
        <f>1.602*10^(-19)</f>
        <v>1.602E-19</v>
      </c>
      <c r="E12" s="90" t="s">
        <v>12</v>
      </c>
      <c r="F12" s="91">
        <f>AVERAGE(E6:E11)</f>
        <v>7.5533333333333319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6C72F-544B-4A26-B807-7891850FB987}">
  <dimension ref="B1:AT70"/>
  <sheetViews>
    <sheetView topLeftCell="K1" zoomScale="60" zoomScaleNormal="60" workbookViewId="0">
      <selection activeCell="AG2" sqref="AG2:AG70"/>
    </sheetView>
  </sheetViews>
  <sheetFormatPr defaultRowHeight="15"/>
  <cols>
    <col min="2" max="2" width="11" customWidth="1"/>
    <col min="3" max="3" width="18.85546875" customWidth="1"/>
    <col min="4" max="5" width="11.28515625" customWidth="1"/>
    <col min="6" max="6" width="12.5703125" customWidth="1"/>
    <col min="7" max="7" width="17" customWidth="1"/>
    <col min="8" max="8" width="9.28515625" customWidth="1"/>
    <col min="9" max="9" width="15.140625" customWidth="1"/>
    <col min="10" max="13" width="9.140625" bestFit="1" customWidth="1"/>
    <col min="14" max="15" width="10.28515625" customWidth="1"/>
    <col min="16" max="16" width="11" bestFit="1" customWidth="1"/>
    <col min="17" max="17" width="11" customWidth="1"/>
    <col min="18" max="22" width="9.140625" bestFit="1" customWidth="1"/>
    <col min="23" max="23" width="11.5703125" bestFit="1" customWidth="1"/>
    <col min="24" max="26" width="9.140625" bestFit="1" customWidth="1"/>
    <col min="27" max="27" width="13" customWidth="1"/>
    <col min="28" max="28" width="12" bestFit="1" customWidth="1"/>
    <col min="29" max="33" width="9.140625" bestFit="1" customWidth="1"/>
    <col min="34" max="34" width="11.5703125" customWidth="1"/>
    <col min="35" max="35" width="9.85546875" customWidth="1"/>
    <col min="36" max="36" width="10" bestFit="1" customWidth="1"/>
    <col min="37" max="37" width="9.28515625" bestFit="1" customWidth="1"/>
    <col min="38" max="38" width="14.28515625" customWidth="1"/>
    <col min="39" max="39" width="12" bestFit="1" customWidth="1"/>
    <col min="43" max="43" width="13.42578125" bestFit="1" customWidth="1"/>
    <col min="44" max="44" width="9.28515625" bestFit="1" customWidth="1"/>
    <col min="46" max="46" width="9.28515625" bestFit="1" customWidth="1"/>
  </cols>
  <sheetData>
    <row r="1" spans="2:46">
      <c r="L1" s="164" t="s">
        <v>13</v>
      </c>
      <c r="M1" s="164"/>
      <c r="N1" s="164"/>
      <c r="O1" s="164"/>
      <c r="P1" s="164"/>
      <c r="Q1" s="164"/>
      <c r="S1" s="165" t="s">
        <v>14</v>
      </c>
      <c r="T1" s="165"/>
      <c r="U1" s="165"/>
      <c r="V1" s="165"/>
      <c r="W1" s="165"/>
      <c r="X1" s="165"/>
      <c r="Y1" s="165"/>
      <c r="Z1" s="165"/>
      <c r="AA1" s="165"/>
      <c r="AB1" s="165"/>
      <c r="AD1" s="166" t="s">
        <v>15</v>
      </c>
      <c r="AE1" s="166"/>
      <c r="AF1" s="166"/>
      <c r="AG1" s="166"/>
      <c r="AH1" s="166"/>
      <c r="AI1" s="166"/>
      <c r="AJ1" s="166"/>
      <c r="AK1" s="166"/>
      <c r="AL1" s="166"/>
      <c r="AM1" s="166"/>
    </row>
    <row r="2" spans="2:46">
      <c r="B2" s="113" t="s">
        <v>16</v>
      </c>
      <c r="C2" s="114" t="s">
        <v>17</v>
      </c>
      <c r="D2" s="114" t="s">
        <v>18</v>
      </c>
      <c r="E2" s="114" t="s">
        <v>19</v>
      </c>
      <c r="F2" s="114" t="s">
        <v>20</v>
      </c>
      <c r="G2" s="114" t="s">
        <v>21</v>
      </c>
      <c r="H2" s="114" t="s">
        <v>22</v>
      </c>
      <c r="I2" s="114" t="s">
        <v>23</v>
      </c>
      <c r="J2" s="115" t="s">
        <v>24</v>
      </c>
      <c r="L2" s="14" t="s">
        <v>25</v>
      </c>
      <c r="M2" s="15" t="s">
        <v>26</v>
      </c>
      <c r="N2" s="14" t="s">
        <v>27</v>
      </c>
      <c r="O2" s="15" t="s">
        <v>28</v>
      </c>
      <c r="P2" s="14" t="s">
        <v>29</v>
      </c>
      <c r="Q2" s="16" t="s">
        <v>30</v>
      </c>
      <c r="S2" s="17" t="s">
        <v>31</v>
      </c>
      <c r="T2" s="18" t="s">
        <v>32</v>
      </c>
      <c r="U2" s="17" t="s">
        <v>25</v>
      </c>
      <c r="V2" s="162" t="s">
        <v>26</v>
      </c>
      <c r="W2" s="17" t="s">
        <v>27</v>
      </c>
      <c r="X2" s="19" t="s">
        <v>28</v>
      </c>
      <c r="Y2" s="17" t="s">
        <v>33</v>
      </c>
      <c r="Z2" s="19" t="s">
        <v>34</v>
      </c>
      <c r="AA2" s="17" t="s">
        <v>35</v>
      </c>
      <c r="AB2" s="18" t="s">
        <v>36</v>
      </c>
      <c r="AD2" s="20" t="s">
        <v>31</v>
      </c>
      <c r="AE2" s="21" t="s">
        <v>32</v>
      </c>
      <c r="AF2" s="22" t="s">
        <v>25</v>
      </c>
      <c r="AG2" s="163" t="s">
        <v>26</v>
      </c>
      <c r="AH2" s="20" t="s">
        <v>27</v>
      </c>
      <c r="AI2" s="22" t="s">
        <v>28</v>
      </c>
      <c r="AJ2" s="20" t="s">
        <v>33</v>
      </c>
      <c r="AK2" s="22" t="s">
        <v>34</v>
      </c>
      <c r="AL2" s="20" t="s">
        <v>35</v>
      </c>
      <c r="AM2" s="21" t="s">
        <v>36</v>
      </c>
    </row>
    <row r="3" spans="2:46">
      <c r="B3" s="130">
        <v>1</v>
      </c>
      <c r="C3" s="55">
        <v>2.0579999999999998</v>
      </c>
      <c r="D3">
        <v>1E-3</v>
      </c>
      <c r="E3">
        <v>24</v>
      </c>
      <c r="F3">
        <v>1</v>
      </c>
      <c r="G3">
        <f>(1.8+($E$3-15)*4.765*10^(-3))*10^(-5)</f>
        <v>1.8428850000000002E-5</v>
      </c>
      <c r="H3">
        <f>SQRT((4.765*10^(-8)*F3)^2)</f>
        <v>4.765E-8</v>
      </c>
      <c r="I3" s="84">
        <f>G3/(1+Costanti!$C$6/(Costanti!$C$5*C6))</f>
        <v>1.4733608792983261E-5</v>
      </c>
      <c r="J3" s="131">
        <f>(G3-I3)/G3</f>
        <v>0.20051393369725951</v>
      </c>
      <c r="L3" s="92">
        <v>46.4</v>
      </c>
      <c r="M3" s="44">
        <v>0.3</v>
      </c>
      <c r="N3" s="143">
        <f>Costanti!$C$7/'Misure Gocce'!L3</f>
        <v>1.0775862068965518E-5</v>
      </c>
      <c r="O3" s="54">
        <f>N3*SQRT((-M3/L3)^2)</f>
        <v>6.9671521997621879E-8</v>
      </c>
      <c r="P3" s="105">
        <f>SQRT((Costanti!$C$6/(2*Costanti!$C$5))^2+(9*$G$3*N3)/(2*Costanti!$C$2*Costanti!$F$2))-Costanti!$C$6/(2*Costanti!$C$5)</f>
        <v>2.8782657274554989E-7</v>
      </c>
      <c r="Q3" s="39">
        <f>SQRT((1/2*(9*$G$3)/(2*Costanti!$C$2*Costanti!$F$2)/(P3+Costanti!$C$6/(2*Costanti!$C$5))*O3)^2+(1/2*(9*N3)/(2*Costanti!$C$2*Costanti!$F$2)/(P3+Costanti!$C$6/(2*Costanti!$C$5))*$H$3)^2)</f>
        <v>1.1256371420228922E-9</v>
      </c>
      <c r="S3" s="43">
        <v>348</v>
      </c>
      <c r="T3" s="66">
        <v>2</v>
      </c>
      <c r="U3" s="49">
        <v>1.98</v>
      </c>
      <c r="V3">
        <v>0.3</v>
      </c>
      <c r="W3" s="53">
        <f>Costanti!$C$7/'Misure Gocce'!U3</f>
        <v>2.5252525252525253E-4</v>
      </c>
      <c r="X3" s="10">
        <f>W3*SQRT((-V3/U3)^2)</f>
        <v>3.8261401897765534E-5</v>
      </c>
      <c r="Y3" s="31">
        <f>$S$3/Costanti!$C$9</f>
        <v>46072.374227714041</v>
      </c>
      <c r="Z3" s="95">
        <f>Y3*SQRT((T3/S3)^2+(Costanti!$C$10/Costanti!$C$9)^2)</f>
        <v>271.71853375983545</v>
      </c>
      <c r="AA3" s="53">
        <f>PI()*(-4/3)*('Misure Gocce'!$C$6)^3*(Costanti!$F$2)*(Costanti!$C$2)/'Misure Gocce'!$Y$3*(1-'Misure Gocce'!W3/$C$5)</f>
        <v>4.5906315927970231E-19</v>
      </c>
      <c r="AB3" s="58">
        <f>SQRT(((PI()*2*$C$6^2*(-4/3)*Costanti!$F$2*Costanti!$C$2/('Misure Gocce'!$Y$3)*(1-'Misure Gocce'!W3/$C$5))*$F$6)^2+((PI()*$C$6^3*(-4/3)*Costanti!$F$2*Costanti!$C$2/-('Misure Gocce'!Y3^2)*(1-'Misure Gocce'!W3/$C$5))*Z3)^2+(((PI()*$C$6^3*(-4/3)*Costanti!$F$2*Costanti!$C$2/(-'Misure Gocce'!Y3*$C$5))*'Misure Gocce'!X3)^2)+((((4/3)*PI()*$C$6^3*Costanti!$F$2*(Costanti!$C$2/'Misure Gocce'!Y3)*-('Misure Gocce'!W3)/($C$5)^2)*$F$5)^2))</f>
        <v>1.099209989461852E-19</v>
      </c>
      <c r="AD3" s="9">
        <f>-S3</f>
        <v>-348</v>
      </c>
      <c r="AE3" s="10">
        <v>2</v>
      </c>
      <c r="AF3" s="157">
        <v>2</v>
      </c>
      <c r="AG3">
        <v>0.3</v>
      </c>
      <c r="AH3" s="53">
        <f>Costanti!$C$7/'Misure Gocce'!AF3</f>
        <v>2.5000000000000001E-4</v>
      </c>
      <c r="AI3" s="10">
        <f>AH3*SQRT((-AG3/AF3)^2)</f>
        <v>3.7499999999999997E-5</v>
      </c>
      <c r="AJ3" s="62">
        <f>$AD$3/Costanti!$C$9</f>
        <v>-46072.374227714041</v>
      </c>
      <c r="AK3" s="49">
        <f>ABS(AJ3)*SQRT((AE3/AD3)^2+(Costanti!$C$10/Costanti!$C$9)^2)</f>
        <v>271.71853375983545</v>
      </c>
      <c r="AL3" s="25">
        <f>PI()*(-4/3)*'Misure Gocce'!$C$6^3*(Costanti!$F$2)*Costanti!$C$2/'Misure Gocce'!$AJ$3*(1+ABS('Misure Gocce'!AH3)/$C$5)</f>
        <v>5.0565092180590398E-19</v>
      </c>
      <c r="AM3" s="36">
        <f>SQRT(((PI()*2*$C$6^2*(-4/3)*Costanti!$F$2*Costanti!$C$2/($AJ$3)*(1+ABS(AH3)/$C$5))*$F$6)^2+((PI()*$C$6^3*(-4/3)*Costanti!$F$2*Costanti!$C$2/(-$AJ$3^2)*(1+ABS(AH3)/$C$5))*AK3)^2+(((PI()*$C$6^3*(-4/3)*Costanti!$F$2*Costanti!$C$2/($AJ$3*$C$5))*AI3)^2)+((((4/3)*PI()*$C$6^3*Costanti!$F$2*(Costanti!$C$2/$AJ$3)*ABS(AH3)/($C$5)^2)*$F$5)^2))</f>
        <v>1.1202487887777999E-19</v>
      </c>
      <c r="AO3" s="34"/>
      <c r="AQ3" s="133"/>
      <c r="AR3" s="30"/>
      <c r="AT3" s="30"/>
    </row>
    <row r="4" spans="2:46">
      <c r="B4" s="9"/>
      <c r="C4" s="10"/>
      <c r="D4" s="10"/>
      <c r="E4" s="10"/>
      <c r="F4" s="10"/>
      <c r="G4" s="10"/>
      <c r="H4" s="10"/>
      <c r="I4" s="10"/>
      <c r="J4" s="1"/>
      <c r="L4" s="93">
        <v>46.17</v>
      </c>
      <c r="M4">
        <v>0.3</v>
      </c>
      <c r="N4" s="144">
        <f>Costanti!$C$7/('Misure Gocce'!L4)</f>
        <v>1.0829542993285683E-5</v>
      </c>
      <c r="O4" s="30">
        <f>N4*SQRT((-M4/L4)^2)</f>
        <v>7.0367400866053819E-8</v>
      </c>
      <c r="P4" s="85">
        <f>SQRT((Costanti!$C$6/(2*Costanti!$C$5))^2+(9*$G$3*N4)/(2*Costanti!$C$2*Costanti!$F$2))-Costanti!$C$6/(2*Costanti!$C$5)</f>
        <v>2.8863086896853573E-7</v>
      </c>
      <c r="Q4" s="40">
        <f>SQRT((1/2*(9*$G$3)/(2*Costanti!$C$2*Costanti!$F$2)/(P4+Costanti!$C$6/(2*Costanti!$C$5))*O4)^2+(1/2*(9*N4)/(2*Costanti!$C$2*Costanti!$F$2)/(P4+Costanti!$C$6/(2*Costanti!$C$5))*$H$3)^2)</f>
        <v>1.1333280696625214E-9</v>
      </c>
      <c r="S4" s="45">
        <v>348</v>
      </c>
      <c r="T4" s="27">
        <f>T3</f>
        <v>2</v>
      </c>
      <c r="U4" s="34">
        <v>1.5</v>
      </c>
      <c r="V4">
        <v>0.3</v>
      </c>
      <c r="W4" s="30">
        <f>Costanti!$C$7/('Misure Gocce'!U4)</f>
        <v>3.3333333333333332E-4</v>
      </c>
      <c r="X4">
        <f>W4*SQRT((-V4/U4)^2)</f>
        <v>6.6666666666666656E-5</v>
      </c>
      <c r="Y4" s="32">
        <f>$S$3/Costanti!$C$9</f>
        <v>46072.374227714041</v>
      </c>
      <c r="Z4" s="96">
        <f>Z3</f>
        <v>271.71853375983545</v>
      </c>
      <c r="AA4" s="30">
        <f>PI()*(-4/3)*('Misure Gocce'!$C$6)^3*(Costanti!$F$2)*(Costanti!$C$2)/'Misure Gocce'!$Y$3*(1-'Misure Gocce'!W4/$C$5)</f>
        <v>6.1419306176582982E-19</v>
      </c>
      <c r="AB4" s="59">
        <f>SQRT(((PI()*2*$C$6^2*(-4/3)*Costanti!$F$2*Costanti!$C$2/('Misure Gocce'!$Y$3)*(1-'Misure Gocce'!W4/$C$5))*$F$6)^2+((PI()*$C$6^3*(-4/3)*Costanti!$F$2*Costanti!$C$2/-('Misure Gocce'!Y4^2)*(1-'Misure Gocce'!W4/$C$5))*Z4)^2+(((PI()*$C$6^3*(-4/3)*Costanti!$F$2*Costanti!$C$2/(-'Misure Gocce'!Y4*$C$5))*'Misure Gocce'!X4)^2)+((((4/3)*PI()*$C$6^3*Costanti!$F$2*(Costanti!$C$2/'Misure Gocce'!Y4)*-('Misure Gocce'!W4)/($C$5)^2)*$F$5)^2))</f>
        <v>1.6792189669370498E-19</v>
      </c>
      <c r="AD4" s="11">
        <f>-S4</f>
        <v>-348</v>
      </c>
      <c r="AE4">
        <f>AE3</f>
        <v>2</v>
      </c>
      <c r="AF4" s="72">
        <v>2.08</v>
      </c>
      <c r="AG4">
        <v>0.3</v>
      </c>
      <c r="AH4" s="30">
        <f>Costanti!$C$7/('Misure Gocce'!AF4)</f>
        <v>2.4038461538461537E-4</v>
      </c>
      <c r="AI4">
        <f>AH4*SQRT((-AG4/AF4)^2)</f>
        <v>3.4670857988165675E-5</v>
      </c>
      <c r="AJ4" s="63">
        <f>AJ3</f>
        <v>-46072.374227714041</v>
      </c>
      <c r="AK4" s="34">
        <f>AK3</f>
        <v>271.71853375983545</v>
      </c>
      <c r="AL4" s="26">
        <f>PI()*(-4/3)*'Misure Gocce'!$C$6^3*(Costanti!$F$2)*Costanti!$C$2/'Misure Gocce'!$AJ$3*(1+ABS('Misure Gocce'!AH4)/$C$5)</f>
        <v>4.8719195504373246E-19</v>
      </c>
      <c r="AM4" s="37">
        <f>SQRT(((PI()*2*$C$6^2*(-4/3)*Costanti!$F$2*Costanti!$C$2/($AJ$3)*(1+ABS(AH4)/$C$5))*$F$6)^2+((PI()*$C$6^3*(-4/3)*Costanti!$F$2*Costanti!$C$2/(-$AJ$3^2)*(1+ABS(AH4)/$C$5))*AK4)^2+(((PI()*$C$6^3*(-4/3)*Costanti!$F$2*Costanti!$C$2/($AJ$3*$C$5))*AI4)^2)+((((4/3)*PI()*$C$6^3*Costanti!$F$2*(Costanti!$C$2/$AJ$3)*ABS(AH4)/($C$5)^2)*$F$5)^2))</f>
        <v>1.0610002494772882E-19</v>
      </c>
      <c r="AO4" s="34"/>
      <c r="AQ4" s="133"/>
      <c r="AR4" s="30"/>
      <c r="AT4" s="30"/>
    </row>
    <row r="5" spans="2:46">
      <c r="B5" s="11" t="s">
        <v>37</v>
      </c>
      <c r="C5" s="30">
        <f>AVERAGE(N3:N7)</f>
        <v>1.3396546346865459E-5</v>
      </c>
      <c r="E5" s="132" t="s">
        <v>38</v>
      </c>
      <c r="F5" s="30">
        <f>_xlfn.STDEV.S(N3:N7)/SQRT(COUNT(N3:N7))</f>
        <v>1.563803860051589E-6</v>
      </c>
      <c r="H5" s="30"/>
      <c r="J5" s="2"/>
      <c r="L5" s="93">
        <v>45.77</v>
      </c>
      <c r="M5">
        <v>0.3</v>
      </c>
      <c r="N5" s="144">
        <f>Costanti!$C$7/('Misure Gocce'!L5)</f>
        <v>1.0924186148131964E-5</v>
      </c>
      <c r="O5" s="30">
        <f>N5*SQRT((-M5/L5)^2)</f>
        <v>7.1602705799422957E-8</v>
      </c>
      <c r="P5" s="85">
        <f>SQRT((Costanti!$C$6/(2*Costanti!$C$5))^2+(9*$G$3*N5)/(2*Costanti!$C$2*Costanti!$F$2))-Costanti!$C$6/(2*Costanti!$C$5)</f>
        <v>2.9004413106653377E-7</v>
      </c>
      <c r="Q5" s="40">
        <f>SQRT((1/2*(9*$G$3)/(2*Costanti!$C$2*Costanti!$F$2)/(P5+Costanti!$C$6/(2*Costanti!$C$5))*O5)^2+(1/2*(9*N5)/(2*Costanti!$C$2*Costanti!$F$2)/(P5+Costanti!$C$6/(2*Costanti!$C$5))*$H$3)^2)</f>
        <v>1.1469376563018991E-9</v>
      </c>
      <c r="S5" s="45">
        <v>348</v>
      </c>
      <c r="T5" s="27">
        <f>T4</f>
        <v>2</v>
      </c>
      <c r="U5" s="34">
        <v>1.82</v>
      </c>
      <c r="V5">
        <v>0.3</v>
      </c>
      <c r="W5" s="30">
        <f>Costanti!$C$7/('Misure Gocce'!U5)</f>
        <v>2.7472527472527473E-4</v>
      </c>
      <c r="X5">
        <f>W5*SQRT((-V5/U5)^2)</f>
        <v>4.5284385943726605E-5</v>
      </c>
      <c r="Y5" s="32">
        <f>$S$3/Costanti!$C$9</f>
        <v>46072.374227714041</v>
      </c>
      <c r="Z5" s="96">
        <f>Z4</f>
        <v>271.71853375983545</v>
      </c>
      <c r="AA5" s="30">
        <f>PI()*(-4/3)*('Misure Gocce'!$C$6)^3*(Costanti!$F$2)*(Costanti!$C$2)/'Misure Gocce'!$Y$3*(1-'Misure Gocce'!W5/$C$5)</f>
        <v>5.0168126435830877E-19</v>
      </c>
      <c r="AB5" s="59">
        <f>SQRT(((PI()*2*$C$6^2*(-4/3)*Costanti!$F$2*Costanti!$C$2/('Misure Gocce'!$Y$3)*(1-'Misure Gocce'!W5/$C$5))*$F$6)^2+((PI()*$C$6^3*(-4/3)*Costanti!$F$2*Costanti!$C$2/-('Misure Gocce'!Y5^2)*(1-'Misure Gocce'!W5/$C$5))*Z5)^2+(((PI()*$C$6^3*(-4/3)*Costanti!$F$2*Costanti!$C$2/(-'Misure Gocce'!Y5*$C$5))*'Misure Gocce'!X5)^2)+((((4/3)*PI()*$C$6^3*Costanti!$F$2*(Costanti!$C$2/'Misure Gocce'!Y5)*-('Misure Gocce'!W5)/($C$5)^2)*$F$5)^2))</f>
        <v>1.2453883220133654E-19</v>
      </c>
      <c r="AD5" s="11">
        <f>-S5</f>
        <v>-348</v>
      </c>
      <c r="AE5">
        <f>AE4</f>
        <v>2</v>
      </c>
      <c r="AF5" s="72">
        <v>2.0299999999999998</v>
      </c>
      <c r="AG5">
        <v>0.3</v>
      </c>
      <c r="AH5" s="30">
        <f>Costanti!$C$7/('Misure Gocce'!AF5)</f>
        <v>2.4630541871921186E-4</v>
      </c>
      <c r="AI5" s="30">
        <f>AH5*SQRT((-AG5/AF5)^2)</f>
        <v>3.6399815574267763E-5</v>
      </c>
      <c r="AJ5" s="63">
        <f>AJ4</f>
        <v>-46072.374227714041</v>
      </c>
      <c r="AK5" s="34">
        <f>AK4</f>
        <v>271.71853375983545</v>
      </c>
      <c r="AL5" s="26">
        <f>PI()*(-4/3)*'Misure Gocce'!$C$6^3*(Costanti!$F$2)*Costanti!$C$2/'Misure Gocce'!$AJ$3*(1+ABS('Misure Gocce'!AH5)/$C$5)</f>
        <v>4.9855831388743418E-19</v>
      </c>
      <c r="AM5" s="37">
        <f>SQRT(((PI()*2*$C$6^2*(-4/3)*Costanti!$F$2*Costanti!$C$2/($AJ$3)*(1+ABS(AH5)/$C$5))*$F$6)^2+((PI()*$C$6^3*(-4/3)*Costanti!$F$2*Costanti!$C$2/(-$AJ$3^2)*(1+ABS(AH5)/$C$5))*AK5)^2+(((PI()*$C$6^3*(-4/3)*Costanti!$F$2*Costanti!$C$2/($AJ$3*$C$5))*AI5)^2)+((((4/3)*PI()*$C$6^3*Costanti!$F$2*(Costanti!$C$2/$AJ$3)*ABS(AH5)/($C$5)^2)*$F$5)^2))</f>
        <v>1.0972725044187144E-19</v>
      </c>
      <c r="AQ5" s="133"/>
      <c r="AR5" s="30"/>
      <c r="AT5" s="30"/>
    </row>
    <row r="6" spans="2:46">
      <c r="B6" s="11" t="s">
        <v>39</v>
      </c>
      <c r="C6" s="30">
        <f>AVERAGE(P3:P7)</f>
        <v>3.2267370963925208E-7</v>
      </c>
      <c r="E6" t="s">
        <v>40</v>
      </c>
      <c r="F6" s="30">
        <f>_xlfn.STDEV.S(P3:P7)/SQRT(COUNT(P3:P7))</f>
        <v>2.0725876894943698E-8</v>
      </c>
      <c r="J6" s="2"/>
      <c r="L6" s="93">
        <v>29.07</v>
      </c>
      <c r="M6">
        <v>0.3</v>
      </c>
      <c r="N6" s="144">
        <f>Costanti!$C$7/('Misure Gocce'!L6)</f>
        <v>1.7199862401100791E-5</v>
      </c>
      <c r="O6" s="30">
        <f>N6*SQRT((-M6/L6)^2)</f>
        <v>1.7750115997008041E-7</v>
      </c>
      <c r="P6" s="85">
        <f>SQRT((Costanti!$C$6/(2*Costanti!$C$5))^2+(9*$G$3*N6)/(2*Costanti!$C$2*Costanti!$F$2))-Costanti!$C$6/(2*Costanti!$C$5)</f>
        <v>3.7311570343100914E-7</v>
      </c>
      <c r="Q6" s="40">
        <f>SQRT((1/2*(9*$G$3)/(2*Costanti!$C$2*Costanti!$F$2)/(P6+Costanti!$C$6/(2*Costanti!$C$5))*O6)^2+(1/2*(9*N6)/(2*Costanti!$C$2*Costanti!$F$2)/(P6+Costanti!$C$6/(2*Costanti!$C$5))*$H$3)^2)</f>
        <v>2.1789559145105123E-9</v>
      </c>
      <c r="S6" s="45">
        <v>348</v>
      </c>
      <c r="T6" s="27">
        <f>T5</f>
        <v>2</v>
      </c>
      <c r="U6" s="34">
        <v>1.68</v>
      </c>
      <c r="V6">
        <v>0.3</v>
      </c>
      <c r="W6" s="30">
        <f>Costanti!$C$7/('Misure Gocce'!U6)</f>
        <v>2.9761904761904765E-4</v>
      </c>
      <c r="X6">
        <f>W6*SQRT((-V6/U6)^2)</f>
        <v>5.3146258503401365E-5</v>
      </c>
      <c r="Y6" s="32">
        <f>$S$3/Costanti!$C$9</f>
        <v>46072.374227714041</v>
      </c>
      <c r="Z6" s="96">
        <f>Z5</f>
        <v>271.71853375983545</v>
      </c>
      <c r="AA6" s="30">
        <f>PI()*(-4/3)*('Misure Gocce'!$C$6)^3*(Costanti!$F$2)*(Costanti!$C$2)/'Misure Gocce'!$Y$3*(1-'Misure Gocce'!W6/$C$5)</f>
        <v>5.4563118522062175E-19</v>
      </c>
      <c r="AB6" s="59">
        <f>SQRT(((PI()*2*$C$6^2*(-4/3)*Costanti!$F$2*Costanti!$C$2/('Misure Gocce'!$Y$3)*(1-'Misure Gocce'!W6/$C$5))*$F$6)^2+((PI()*$C$6^3*(-4/3)*Costanti!$F$2*Costanti!$C$2/-('Misure Gocce'!Y6^2)*(1-'Misure Gocce'!W6/$C$5))*Z6)^2+(((PI()*$C$6^3*(-4/3)*Costanti!$F$2*Costanti!$C$2/(-'Misure Gocce'!Y6*$C$5))*'Misure Gocce'!X6)^2)+((((4/3)*PI()*$C$6^3*Costanti!$F$2*(Costanti!$C$2/'Misure Gocce'!Y6)*-('Misure Gocce'!W6)/($C$5)^2)*$F$5)^2))</f>
        <v>1.4064520125643246E-19</v>
      </c>
      <c r="AD6" s="11">
        <f>-S6</f>
        <v>-348</v>
      </c>
      <c r="AE6">
        <f>AE5</f>
        <v>2</v>
      </c>
      <c r="AF6" s="72">
        <v>2.1800000000000002</v>
      </c>
      <c r="AG6">
        <v>0.3</v>
      </c>
      <c r="AH6" s="30">
        <f>Costanti!$C$7/('Misure Gocce'!AF6)</f>
        <v>2.293577981651376E-4</v>
      </c>
      <c r="AI6">
        <f>AH6*SQRT((-AG6/AF6)^2)</f>
        <v>3.1562999747495998E-5</v>
      </c>
      <c r="AJ6" s="63">
        <f>AJ5</f>
        <v>-46072.374227714041</v>
      </c>
      <c r="AK6" s="34">
        <f>AK5</f>
        <v>271.71853375983545</v>
      </c>
      <c r="AL6" s="26">
        <f>PI()*(-4/3)*'Misure Gocce'!$C$6^3*(Costanti!$F$2)*Costanti!$C$2/'Misure Gocce'!$AJ$3*(1+ABS('Misure Gocce'!AH6)/$C$5)</f>
        <v>4.6602341517885692E-19</v>
      </c>
      <c r="AM6" s="37">
        <f>SQRT(((PI()*2*$C$6^2*(-4/3)*Costanti!$F$2*Costanti!$C$2/($AJ$3)*(1+ABS(AH6)/$C$5))*$F$6)^2+((PI()*$C$6^3*(-4/3)*Costanti!$F$2*Costanti!$C$2/(-$AJ$3^2)*(1+ABS(AH6)/$C$5))*AK6)^2+(((PI()*$C$6^3*(-4/3)*Costanti!$F$2*Costanti!$C$2/($AJ$3*$C$5))*AI6)^2)+((((4/3)*PI()*$C$6^3*Costanti!$F$2*(Costanti!$C$2/$AJ$3)*ABS(AH6)/($C$5)^2)*$F$5)^2))</f>
        <v>9.9522766690976948E-20</v>
      </c>
      <c r="AO6" s="34"/>
      <c r="AQ6" s="133"/>
      <c r="AT6" s="30"/>
    </row>
    <row r="7" spans="2:46">
      <c r="B7" s="8"/>
      <c r="C7" s="12"/>
      <c r="D7" s="12"/>
      <c r="E7" s="12"/>
      <c r="F7" s="12"/>
      <c r="G7" s="12"/>
      <c r="H7" s="12"/>
      <c r="I7" s="12"/>
      <c r="J7" s="3"/>
      <c r="L7" s="94">
        <v>28.98</v>
      </c>
      <c r="M7" s="47">
        <v>0.3</v>
      </c>
      <c r="N7" s="145">
        <f>Costanti!$C$7/('Misure Gocce'!L7)</f>
        <v>1.7253278122843341E-5</v>
      </c>
      <c r="O7" s="61">
        <f>N7*SQRT((-M7/L7)^2)</f>
        <v>1.7860536359051079E-7</v>
      </c>
      <c r="P7" s="146">
        <f>SQRT((Costanti!$C$6/(2*Costanti!$C$5))^2+(9*$G$3*N7)/(2*Costanti!$C$2*Costanti!$F$2))-Costanti!$C$6/(2*Costanti!$C$5)</f>
        <v>3.7375127198463194E-7</v>
      </c>
      <c r="Q7" s="41">
        <f>SQRT((1/2*(9*$G$3)/(2*Costanti!$C$2*Costanti!$F$2)/(P7+Costanti!$C$6/(2*Costanti!$C$5))*O7)^2+(1/2*(9*N7)/(2*Costanti!$C$2*Costanti!$F$2)/(P7+Costanti!$C$6/(2*Costanti!$C$5))*$H$3)^2)</f>
        <v>2.1887469076307107E-9</v>
      </c>
      <c r="S7" s="46">
        <v>348</v>
      </c>
      <c r="T7" s="29">
        <f>T6</f>
        <v>2</v>
      </c>
      <c r="U7" s="52">
        <v>2.0699999999999998</v>
      </c>
      <c r="V7" s="12">
        <v>0.3</v>
      </c>
      <c r="W7" s="57">
        <f>Costanti!$C$7/('Misure Gocce'!U7)</f>
        <v>2.4154589371980678E-4</v>
      </c>
      <c r="X7" s="12">
        <f>W7*SQRT((-V7/U7)^2)</f>
        <v>3.5006651263740118E-5</v>
      </c>
      <c r="Y7" s="33">
        <f>$S$3/Costanti!$C$9</f>
        <v>46072.374227714041</v>
      </c>
      <c r="Z7" s="97">
        <f>Z6</f>
        <v>271.71853375983545</v>
      </c>
      <c r="AA7" s="57">
        <f>PI()*(-4/3)*('Misure Gocce'!$C$6)^3*(Costanti!$F$2)*(Costanti!$C$2)/'Misure Gocce'!$Y$3*(1-'Misure Gocce'!W7/$C$5)</f>
        <v>4.3798572687669578E-19</v>
      </c>
      <c r="AB7" s="60">
        <f>SQRT(((PI()*2*$C$6^2*(-4/3)*Costanti!$F$2*Costanti!$C$2/('Misure Gocce'!$Y$3)*(1-'Misure Gocce'!W7/$C$5))*$F$6)^2+((PI()*$C$6^3*(-4/3)*Costanti!$F$2*Costanti!$C$2/-('Misure Gocce'!Y7^2)*(1-'Misure Gocce'!W7/$C$5))*Z7)^2+(((PI()*$C$6^3*(-4/3)*Costanti!$F$2*Costanti!$C$2/(-'Misure Gocce'!Y7*$C$5))*'Misure Gocce'!X7)^2)+((((4/3)*PI()*$C$6^3*Costanti!$F$2*(Costanti!$C$2/'Misure Gocce'!Y7)*-('Misure Gocce'!W7)/($C$5)^2)*$F$5)^2))</f>
        <v>1.0304698292874373E-19</v>
      </c>
      <c r="AD7" s="8">
        <f>-S7</f>
        <v>-348</v>
      </c>
      <c r="AE7" s="12">
        <f>AE6</f>
        <v>2</v>
      </c>
      <c r="AF7" s="73">
        <v>2.25</v>
      </c>
      <c r="AG7" s="12">
        <v>0.3</v>
      </c>
      <c r="AH7" s="57">
        <f>Costanti!$C$7/('Misure Gocce'!AF7)</f>
        <v>2.2222222222222223E-4</v>
      </c>
      <c r="AI7" s="12">
        <f>AH7*SQRT((-AG7/AF7)^2)</f>
        <v>2.962962962962963E-5</v>
      </c>
      <c r="AJ7" s="64">
        <f>AJ6</f>
        <v>-46072.374227714041</v>
      </c>
      <c r="AK7" s="52">
        <f>AK6</f>
        <v>271.71853375983545</v>
      </c>
      <c r="AL7" s="28">
        <f>PI()*(-4/3)*'Misure Gocce'!$C$6^3*(Costanti!$F$2)*Costanti!$C$2/'Misure Gocce'!$AJ$3*(1+ABS('Misure Gocce'!AH7)/$C$5)</f>
        <v>4.5232501782629761E-19</v>
      </c>
      <c r="AM7" s="38">
        <f>SQRT(((PI()*2*$C$6^2*(-4/3)*Costanti!$F$2*Costanti!$C$2/($AJ$3)*(1+ABS(AH7)/$C$5))*$F$6)^2+((PI()*$C$6^3*(-4/3)*Costanti!$F$2*Costanti!$C$2/(-$AJ$3^2)*(1+ABS(AH7)/$C$5))*AK7)^2+(((PI()*$C$6^3*(-4/3)*Costanti!$F$2*Costanti!$C$2/($AJ$3*$C$5))*AI7)^2)+((((4/3)*PI()*$C$6^3*Costanti!$F$2*(Costanti!$C$2/$AJ$3)*ABS(AH7)/($C$5)^2)*$F$5)^2))</f>
        <v>9.5388224407163869E-20</v>
      </c>
      <c r="AO7" s="34"/>
      <c r="AQ7" s="133"/>
      <c r="AT7" s="30"/>
    </row>
    <row r="8" spans="2:46">
      <c r="L8" s="34"/>
      <c r="N8" s="30"/>
      <c r="O8" s="30"/>
      <c r="P8" s="30"/>
      <c r="Q8" s="30"/>
      <c r="U8" s="34"/>
      <c r="W8" s="30"/>
      <c r="Y8" s="42"/>
      <c r="Z8" s="34"/>
      <c r="AA8" s="30"/>
      <c r="AB8" s="30"/>
      <c r="AF8" s="34"/>
      <c r="AH8" s="30"/>
      <c r="AJ8" s="42"/>
      <c r="AK8" s="34"/>
      <c r="AL8" s="30"/>
      <c r="AM8" s="30"/>
      <c r="AO8" s="34"/>
      <c r="AQ8" s="34"/>
      <c r="AT8" s="30"/>
    </row>
    <row r="9" spans="2:46">
      <c r="B9" s="113" t="s">
        <v>16</v>
      </c>
      <c r="C9" s="114" t="s">
        <v>17</v>
      </c>
      <c r="D9" s="114" t="s">
        <v>18</v>
      </c>
      <c r="E9" s="114" t="s">
        <v>19</v>
      </c>
      <c r="F9" s="114" t="s">
        <v>20</v>
      </c>
      <c r="G9" s="114" t="s">
        <v>21</v>
      </c>
      <c r="H9" s="114" t="s">
        <v>22</v>
      </c>
      <c r="I9" s="114" t="s">
        <v>23</v>
      </c>
      <c r="J9" s="115" t="s">
        <v>24</v>
      </c>
      <c r="L9" s="74" t="s">
        <v>25</v>
      </c>
      <c r="M9" s="75" t="s">
        <v>26</v>
      </c>
      <c r="N9" s="74" t="s">
        <v>27</v>
      </c>
      <c r="O9" s="75" t="s">
        <v>28</v>
      </c>
      <c r="P9" s="74" t="s">
        <v>29</v>
      </c>
      <c r="Q9" s="76" t="s">
        <v>30</v>
      </c>
      <c r="S9" s="77" t="s">
        <v>31</v>
      </c>
      <c r="T9" s="79" t="s">
        <v>32</v>
      </c>
      <c r="U9" s="161" t="s">
        <v>25</v>
      </c>
      <c r="V9" s="78" t="s">
        <v>26</v>
      </c>
      <c r="W9" s="77" t="s">
        <v>27</v>
      </c>
      <c r="X9" s="78" t="s">
        <v>28</v>
      </c>
      <c r="Y9" s="77" t="s">
        <v>33</v>
      </c>
      <c r="Z9" s="78" t="s">
        <v>34</v>
      </c>
      <c r="AA9" s="134" t="s">
        <v>35</v>
      </c>
      <c r="AB9" s="135" t="s">
        <v>36</v>
      </c>
      <c r="AD9" s="125" t="s">
        <v>31</v>
      </c>
      <c r="AE9" s="126" t="s">
        <v>32</v>
      </c>
      <c r="AF9" s="158" t="s">
        <v>25</v>
      </c>
      <c r="AG9" s="127" t="s">
        <v>26</v>
      </c>
      <c r="AH9" s="128" t="s">
        <v>27</v>
      </c>
      <c r="AI9" s="127" t="s">
        <v>28</v>
      </c>
      <c r="AJ9" s="128" t="s">
        <v>33</v>
      </c>
      <c r="AK9" s="127" t="s">
        <v>34</v>
      </c>
      <c r="AL9" s="138" t="s">
        <v>35</v>
      </c>
      <c r="AM9" s="139" t="s">
        <v>36</v>
      </c>
    </row>
    <row r="10" spans="2:46">
      <c r="B10" s="110">
        <v>2</v>
      </c>
      <c r="C10" s="109">
        <v>2.06</v>
      </c>
      <c r="D10" s="12">
        <v>1E-3</v>
      </c>
      <c r="E10" s="12">
        <v>24</v>
      </c>
      <c r="F10" s="12">
        <v>1</v>
      </c>
      <c r="G10" s="12">
        <f>(1.8+($E$10-15)*4.765*10^(-3))*10^(-5)</f>
        <v>1.8428850000000002E-5</v>
      </c>
      <c r="H10" s="12">
        <f>SQRT((4.765*10^(-8)*F10)^2)</f>
        <v>4.765E-8</v>
      </c>
      <c r="I10" s="147">
        <f>G10/(1+Costanti!$C$6/(Costanti!$C$5*C13))</f>
        <v>1.4941623149981766E-5</v>
      </c>
      <c r="J10" s="116">
        <f>(G10-I10)/G10</f>
        <v>0.18922650355384277</v>
      </c>
      <c r="L10" s="72">
        <v>34.99</v>
      </c>
      <c r="M10">
        <v>0.3</v>
      </c>
      <c r="N10" s="85">
        <f>Costanti!$C$7/'Misure Gocce'!L10</f>
        <v>1.4289797084881394E-5</v>
      </c>
      <c r="O10" s="40">
        <f>N10*SQRT((-M10/L10)^2)</f>
        <v>1.2251898043625087E-7</v>
      </c>
      <c r="P10" s="85">
        <f>SQRT((Costanti!$C$6/(2*Costanti!$C$5))^2+(9*$G$10*N10)/(2*Costanti!$C$2*Costanti!$F$2))-Costanti!$C$6/(2*Costanti!$C$5)</f>
        <v>3.3687584254240685E-7</v>
      </c>
      <c r="Q10" s="40">
        <f>SQRT((1/2*(9*$G$10)/(2*Costanti!$C$2*Costanti!$F$2)/(P10+Costanti!$C$6/(2*Costanti!$C$5))*O10)^2+(1/2*(9*N10)/(2*Costanti!$C$2*Costanti!$F$2)/(P10+Costanti!$C$6/(2*Costanti!$C$5))*$H$10)^2)</f>
        <v>1.6701599777443586E-9</v>
      </c>
      <c r="S10" s="11">
        <v>404</v>
      </c>
      <c r="T10" s="2">
        <v>2</v>
      </c>
      <c r="U10" s="72">
        <v>0.81</v>
      </c>
      <c r="V10">
        <v>0.3</v>
      </c>
      <c r="W10" s="23">
        <f>Costanti!$C$7/'Misure Gocce'!U10</f>
        <v>6.1728395061728394E-4</v>
      </c>
      <c r="X10">
        <f>W10*SQRT((-V10/U10)^2)</f>
        <v>2.2862368541380886E-4</v>
      </c>
      <c r="Y10" s="32">
        <f>$S$10/Costanti!$C$9</f>
        <v>53486.319505736989</v>
      </c>
      <c r="Z10" s="34">
        <f>Y10*SQRT((T10/S10)^2+(Costanti!$C$10/Costanti!$C$9)^2)</f>
        <v>274.08888024568813</v>
      </c>
      <c r="AA10" s="86">
        <f>PI()*(-4/3)*('Misure Gocce'!$C$13)^3*(Costanti!$F$2)*(Costanti!$C$2)/'Misure Gocce'!$Y$10*(1-'Misure Gocce'!W10/'Misure Gocce'!$C$12)</f>
        <v>1.0981005419553925E-18</v>
      </c>
      <c r="AB10" s="36">
        <f>SQRT(((PI()*2*$C$13^2*(-4/3)*Costanti!$F$2*Costanti!$C$2/('Misure Gocce'!$Y$10)*(1-'Misure Gocce'!W10/'Misure Gocce'!$C$12))*'Misure Gocce'!$F$13)^2+((PI()*$C$13^3*(-4/3)*Costanti!$F$2*Costanti!$C$2/-('Misure Gocce'!Y10^2)*(1-'Misure Gocce'!W10/'Misure Gocce'!$C$12))*Z10)^2+(((PI()*$C$13^3*(-4/3)*Costanti!$F$2*Costanti!$C$2/(-'Misure Gocce'!Y10*'Misure Gocce'!$C$12))*'Misure Gocce'!X10)^2)+((((4/3)*PI()*'Misure Gocce'!$C$13^3*Costanti!$F$2*(Costanti!$C$2/'Misure Gocce'!Y10)*-('Misure Gocce'!W10)/('Misure Gocce'!$C$12)^2)*'Misure Gocce'!$F$12)^2))</f>
        <v>4.2133669915773987E-19</v>
      </c>
      <c r="AD10" s="11">
        <f>-S10</f>
        <v>-404</v>
      </c>
      <c r="AE10" s="2">
        <v>2</v>
      </c>
      <c r="AF10" s="34">
        <v>1</v>
      </c>
      <c r="AG10">
        <v>0.3</v>
      </c>
      <c r="AH10" s="23">
        <f>Costanti!$C$7/'Misure Gocce'!AF10</f>
        <v>5.0000000000000001E-4</v>
      </c>
      <c r="AI10">
        <f>AH10*SQRT((-AG10/AF10)^2)</f>
        <v>1.4999999999999999E-4</v>
      </c>
      <c r="AJ10" s="32">
        <f>$AD$10/Costanti!$C$9</f>
        <v>-53486.319505736989</v>
      </c>
      <c r="AK10" s="34">
        <f>ABS(AJ10)*SQRT((AE10/AD10)^2+(Costanti!$C$10/Costanti!$C$9)^2)</f>
        <v>274.08888024568813</v>
      </c>
      <c r="AL10" s="86">
        <f>PI()*(-4/3)*'Misure Gocce'!$C$13^3*(Costanti!$F$2)*Costanti!$C$2/'Misure Gocce'!$AJ$10*(1+ABS('Misure Gocce'!AH10)/'Misure Gocce'!$C$12)</f>
        <v>9.3921953363979395E-19</v>
      </c>
      <c r="AM10" s="36">
        <f>SQRT(((PI()*2*$C$13^2*(-4/3)*Costanti!$F$2*Costanti!$C$2/($AJ$10)*(1+ABS(AH10)/'Misure Gocce'!$C$12))*'Misure Gocce'!$F$13)^2+((PI()*$C$13^3*(-4/3)*Costanti!$F$2*Costanti!$C$2/(-$AJ$10^2)*(1+ABS(AH10)/'Misure Gocce'!$C$12))*AK10)^2+(((PI()*$C$13^3*(-4/3)*Costanti!$F$2*Costanti!$C$2/($AJ$10*'Misure Gocce'!$C$12))*AI10)^2)+((((4/3)*PI()*'Misure Gocce'!$C$13^3*Costanti!$F$2*(Costanti!$C$2/$AJ$10)*ABS(AH10)/($C$12)^2)*'Misure Gocce'!$F$12)^2))</f>
        <v>2.7822924459727459E-19</v>
      </c>
      <c r="AO10" s="34"/>
      <c r="AQ10" s="34"/>
    </row>
    <row r="11" spans="2:46">
      <c r="B11" s="45"/>
      <c r="I11" s="84"/>
      <c r="J11" s="27"/>
      <c r="L11" s="72">
        <v>36.369999999999997</v>
      </c>
      <c r="M11">
        <v>0.3</v>
      </c>
      <c r="N11" s="85">
        <f>Costanti!$C$7/('Misure Gocce'!L11)</f>
        <v>1.3747594171020073E-5</v>
      </c>
      <c r="O11" s="40">
        <f>N11*SQRT((-M11/L11)^2)</f>
        <v>1.1339780729463904E-7</v>
      </c>
      <c r="P11" s="85">
        <f>SQRT((Costanti!$C$6/(2*Costanti!$C$5))^2+(9*$G$10*N11)/(2*Costanti!$C$2*Costanti!$F$2))-Costanti!$C$6/(2*Costanti!$C$5)</f>
        <v>3.2973176656318022E-7</v>
      </c>
      <c r="Q11" s="40">
        <f>SQRT((1/2*(9*$G$10)/(2*Costanti!$C$2*Costanti!$F$2)/(P11+Costanti!$C$6/(2*Costanti!$C$5))*O11)^2+(1/2*(9*N11)/(2*Costanti!$C$2*Costanti!$F$2)/(P11+Costanti!$C$6/(2*Costanti!$C$5))*$H$10)^2)</f>
        <v>1.5809267647808976E-9</v>
      </c>
      <c r="S11" s="11">
        <v>404</v>
      </c>
      <c r="T11" s="2">
        <f>T10</f>
        <v>2</v>
      </c>
      <c r="U11" s="72">
        <v>0.86</v>
      </c>
      <c r="V11">
        <v>0.3</v>
      </c>
      <c r="W11" s="23">
        <f>Costanti!$C$7/('Misure Gocce'!U11)</f>
        <v>5.8139534883720929E-4</v>
      </c>
      <c r="X11">
        <f>W11*SQRT((-V11/U11)^2)</f>
        <v>2.0281233098972418E-4</v>
      </c>
      <c r="Y11" s="32">
        <f>$S$10/Costanti!$C$9</f>
        <v>53486.319505736989</v>
      </c>
      <c r="Z11" s="34">
        <f>Z10</f>
        <v>274.08888024568813</v>
      </c>
      <c r="AA11" s="87">
        <f>PI()*(-4/3)*('Misure Gocce'!$C$13)^3*(Costanti!$F$2)*(Costanti!$C$2)/'Misure Gocce'!$Y$10*(1-'Misure Gocce'!W11/'Misure Gocce'!$C$12)</f>
        <v>1.0326591930027013E-18</v>
      </c>
      <c r="AB11" s="37">
        <f>SQRT(((PI()*2*$C$13^2*(-4/3)*Costanti!$F$2*Costanti!$C$2/('Misure Gocce'!$Y$10)*(1-'Misure Gocce'!W11/'Misure Gocce'!$C$12))*'Misure Gocce'!$F$13)^2+((PI()*$C$13^3*(-4/3)*Costanti!$F$2*Costanti!$C$2/-('Misure Gocce'!Y11^2)*(1-'Misure Gocce'!W11/'Misure Gocce'!$C$12))*Z11)^2+(((PI()*$C$13^3*(-4/3)*Costanti!$F$2*Costanti!$C$2/(-'Misure Gocce'!Y11*'Misure Gocce'!$C$12))*'Misure Gocce'!X11)^2)+((((4/3)*PI()*'Misure Gocce'!$C$13^3*Costanti!$F$2*(Costanti!$C$2/'Misure Gocce'!Y11)*-('Misure Gocce'!W11)/('Misure Gocce'!$C$12)^2)*'Misure Gocce'!$F$12)^2))</f>
        <v>3.7426046533328549E-19</v>
      </c>
      <c r="AD11" s="11">
        <f>-S11</f>
        <v>-404</v>
      </c>
      <c r="AE11" s="2">
        <f>AE10</f>
        <v>2</v>
      </c>
      <c r="AF11" s="34">
        <v>1.01</v>
      </c>
      <c r="AG11">
        <v>0.3</v>
      </c>
      <c r="AH11" s="23">
        <f>Costanti!$C$7/('Misure Gocce'!AF11)</f>
        <v>4.9504950495049506E-4</v>
      </c>
      <c r="AI11">
        <f>AH11*SQRT((-AG11/AF11)^2)</f>
        <v>1.4704440741103813E-4</v>
      </c>
      <c r="AJ11" s="32">
        <f>AJ10</f>
        <v>-53486.319505736989</v>
      </c>
      <c r="AK11" s="34">
        <f>AK10</f>
        <v>274.08888024568813</v>
      </c>
      <c r="AL11" s="87">
        <f>PI()*(-4/3)*'Misure Gocce'!$C$13^3*(Costanti!$F$2)*Costanti!$C$2/'Misure Gocce'!$AJ$10*(1+ABS('Misure Gocce'!AH11)/'Misure Gocce'!$C$12)</f>
        <v>9.3019251508921071E-19</v>
      </c>
      <c r="AM11" s="37">
        <f>SQRT(((PI()*2*$C$13^2*(-4/3)*Costanti!$F$2*Costanti!$C$2/($AJ$10)*(1+ABS(AH11)/'Misure Gocce'!$C$12))*'Misure Gocce'!$F$13)^2+((PI()*$C$13^3*(-4/3)*Costanti!$F$2*Costanti!$C$2/(-$AJ$10^2)*(1+ABS(AH11)/'Misure Gocce'!$C$12))*AK11)^2+(((PI()*$C$13^3*(-4/3)*Costanti!$F$2*Costanti!$C$2/($AJ$10*'Misure Gocce'!$C$12))*AI11)^2)+((((4/3)*PI()*'Misure Gocce'!$C$13^3*Costanti!$F$2*(Costanti!$C$2/$AJ$10)*ABS(AH11)/($C$12)^2)*'Misure Gocce'!$F$12)^2))</f>
        <v>2.7284058644074118E-19</v>
      </c>
      <c r="AO11" s="34"/>
      <c r="AQ11" s="34"/>
    </row>
    <row r="12" spans="2:46">
      <c r="B12" s="45" t="s">
        <v>37</v>
      </c>
      <c r="C12" s="30">
        <f>AVERAGE(N10:N14)</f>
        <v>1.5076115732784663E-5</v>
      </c>
      <c r="E12" s="132" t="s">
        <v>38</v>
      </c>
      <c r="F12" s="30">
        <f>_xlfn.STDEV.S(N10:N14)/SQRT(COUNT(N10:N14))</f>
        <v>5.5675671165068923E-7</v>
      </c>
      <c r="I12" s="84"/>
      <c r="J12" s="27"/>
      <c r="L12" s="72">
        <v>29.45</v>
      </c>
      <c r="M12">
        <v>0.3</v>
      </c>
      <c r="N12" s="85">
        <f>Costanti!$C$7/('Misure Gocce'!L12)</f>
        <v>1.6977928692699491E-5</v>
      </c>
      <c r="O12" s="40">
        <f>N12*SQRT((-M12/L12)^2)</f>
        <v>1.7295003761663321E-7</v>
      </c>
      <c r="P12" s="85">
        <f>SQRT((Costanti!$C$6/(2*Costanti!$C$5))^2+(9*$G$10*N12)/(2*Costanti!$C$2*Costanti!$F$2))-Costanti!$C$6/(2*Costanti!$C$5)</f>
        <v>3.7046449189816508E-7</v>
      </c>
      <c r="Q12" s="40">
        <f>SQRT((1/2*(9*$G$10)/(2*Costanti!$C$2*Costanti!$F$2)/(P12+Costanti!$C$6/(2*Costanti!$C$5))*O12)^2+(1/2*(9*N12)/(2*Costanti!$C$2*Costanti!$F$2)/(P12+Costanti!$C$6/(2*Costanti!$C$5))*$H$10)^2)</f>
        <v>2.1384451840918923E-9</v>
      </c>
      <c r="S12" s="11">
        <v>404</v>
      </c>
      <c r="T12" s="2">
        <f>T11</f>
        <v>2</v>
      </c>
      <c r="U12" s="72">
        <v>0.85</v>
      </c>
      <c r="V12">
        <v>0.3</v>
      </c>
      <c r="W12" s="23">
        <f>Costanti!$C$7/('Misure Gocce'!U12)</f>
        <v>5.8823529411764712E-4</v>
      </c>
      <c r="X12">
        <f>W12*SQRT((-V12/U12)^2)</f>
        <v>2.0761245674740488E-4</v>
      </c>
      <c r="Y12" s="32">
        <f>$S$10/Costanti!$C$9</f>
        <v>53486.319505736989</v>
      </c>
      <c r="Z12" s="34">
        <f>Z11</f>
        <v>274.08888024568813</v>
      </c>
      <c r="AA12" s="87">
        <f>PI()*(-4/3)*('Misure Gocce'!$C$13)^3*(Costanti!$F$2)*(Costanti!$C$2)/'Misure Gocce'!$Y$10*(1-'Misure Gocce'!W12/'Misure Gocce'!$C$12)</f>
        <v>1.0451315442148614E-18</v>
      </c>
      <c r="AB12" s="37">
        <f>SQRT(((PI()*2*$C$13^2*(-4/3)*Costanti!$F$2*Costanti!$C$2/('Misure Gocce'!$Y$10)*(1-'Misure Gocce'!W12/'Misure Gocce'!$C$12))*'Misure Gocce'!$F$13)^2+((PI()*$C$13^3*(-4/3)*Costanti!$F$2*Costanti!$C$2/-('Misure Gocce'!Y12^2)*(1-'Misure Gocce'!W12/'Misure Gocce'!$C$12))*Z12)^2+(((PI()*$C$13^3*(-4/3)*Costanti!$F$2*Costanti!$C$2/(-'Misure Gocce'!Y12*'Misure Gocce'!$C$12))*'Misure Gocce'!X12)^2)+((((4/3)*PI()*'Misure Gocce'!$C$13^3*Costanti!$F$2*(Costanti!$C$2/'Misure Gocce'!Y12)*-('Misure Gocce'!W12)/('Misure Gocce'!$C$12)^2)*'Misure Gocce'!$F$12)^2))</f>
        <v>3.8301536692605434E-19</v>
      </c>
      <c r="AD12" s="11">
        <f>-S12</f>
        <v>-404</v>
      </c>
      <c r="AE12" s="2">
        <f>AE11</f>
        <v>2</v>
      </c>
      <c r="AF12" s="34">
        <v>0.86</v>
      </c>
      <c r="AG12">
        <v>0.3</v>
      </c>
      <c r="AH12" s="23">
        <f>Costanti!$C$7/('Misure Gocce'!AF12)</f>
        <v>5.8139534883720929E-4</v>
      </c>
      <c r="AI12">
        <f>AH12*SQRT((-AG12/AF12)^2)</f>
        <v>2.0281233098972418E-4</v>
      </c>
      <c r="AJ12" s="32">
        <f>AJ11</f>
        <v>-53486.319505736989</v>
      </c>
      <c r="AK12" s="34">
        <f>AK11</f>
        <v>274.08888024568813</v>
      </c>
      <c r="AL12" s="87">
        <f>PI()*(-4/3)*'Misure Gocce'!$C$13^3*(Costanti!$F$2)*Costanti!$C$2/'Misure Gocce'!$AJ$10*(1+ABS('Misure Gocce'!AH12)/'Misure Gocce'!$C$12)</f>
        <v>1.0876405130644978E-18</v>
      </c>
      <c r="AM12" s="37">
        <f>SQRT(((PI()*2*$C$13^2*(-4/3)*Costanti!$F$2*Costanti!$C$2/($AJ$10)*(1+ABS(AH12)/'Misure Gocce'!$C$12))*'Misure Gocce'!$F$13)^2+((PI()*$C$13^3*(-4/3)*Costanti!$F$2*Costanti!$C$2/(-$AJ$10^2)*(1+ABS(AH12)/'Misure Gocce'!$C$12))*AK12)^2+(((PI()*$C$13^3*(-4/3)*Costanti!$F$2*Costanti!$C$2/($AJ$10*'Misure Gocce'!$C$12))*AI12)^2)+((((4/3)*PI()*'Misure Gocce'!$C$13^3*Costanti!$F$2*(Costanti!$C$2/$AJ$10)*ABS(AH12)/($C$12)^2)*'Misure Gocce'!$F$12)^2))</f>
        <v>3.7451909489661523E-19</v>
      </c>
      <c r="AO12" s="34"/>
      <c r="AQ12" s="34"/>
    </row>
    <row r="13" spans="2:46">
      <c r="B13" s="45" t="s">
        <v>39</v>
      </c>
      <c r="C13" s="30">
        <f>AVERAGE(P10:P14)</f>
        <v>3.467486818041917E-7</v>
      </c>
      <c r="E13" t="s">
        <v>40</v>
      </c>
      <c r="F13" s="30">
        <f>_xlfn.STDEV.S(P10:P14)/SQRT(COUNT(P10:P14))</f>
        <v>7.0102676267477484E-9</v>
      </c>
      <c r="I13" s="84"/>
      <c r="J13" s="27"/>
      <c r="L13" s="72">
        <v>32.299999999999997</v>
      </c>
      <c r="M13">
        <v>0.3</v>
      </c>
      <c r="N13" s="85">
        <f>Costanti!$C$7/('Misure Gocce'!L13)</f>
        <v>1.5479876160990712E-5</v>
      </c>
      <c r="O13" s="40">
        <f>N13*SQRT((-M13/L13)^2)</f>
        <v>1.4377593957576513E-7</v>
      </c>
      <c r="P13" s="85">
        <f>SQRT((Costanti!$C$6/(2*Costanti!$C$5))^2+(9*$G$10*N13)/(2*Costanti!$C$2*Costanti!$F$2))-Costanti!$C$6/(2*Costanti!$C$5)</f>
        <v>3.5210076188190386E-7</v>
      </c>
      <c r="Q13" s="40">
        <f>SQRT((1/2*(9*$G$10)/(2*Costanti!$C$2*Costanti!$F$2)/(P13+Costanti!$C$6/(2*Costanti!$C$5))*O13)^2+(1/2*(9*N13)/(2*Costanti!$C$2*Costanti!$F$2)/(P13+Costanti!$C$6/(2*Costanti!$C$5))*$H$10)^2)</f>
        <v>1.8722734824886341E-9</v>
      </c>
      <c r="S13" s="11">
        <v>404</v>
      </c>
      <c r="T13" s="2">
        <f>T12</f>
        <v>2</v>
      </c>
      <c r="U13" s="72">
        <v>0.9</v>
      </c>
      <c r="V13">
        <v>0.3</v>
      </c>
      <c r="W13" s="23">
        <f>Costanti!$C$7/('Misure Gocce'!U13)</f>
        <v>5.5555555555555556E-4</v>
      </c>
      <c r="X13">
        <f>W13*SQRT((-V13/U13)^2)</f>
        <v>1.8518518518518518E-4</v>
      </c>
      <c r="Y13" s="32">
        <f>$S$10/Costanti!$C$9</f>
        <v>53486.319505736989</v>
      </c>
      <c r="Z13" s="34">
        <f>Z12</f>
        <v>274.08888024568813</v>
      </c>
      <c r="AA13" s="87">
        <f>PI()*(-4/3)*('Misure Gocce'!$C$13)^3*(Costanti!$F$2)*(Costanti!$C$2)/'Misure Gocce'!$Y$10*(1-'Misure Gocce'!W13/'Misure Gocce'!$C$12)</f>
        <v>9.8554142175676355E-19</v>
      </c>
      <c r="AB13" s="37">
        <f>SQRT(((PI()*2*$C$13^2*(-4/3)*Costanti!$F$2*Costanti!$C$2/('Misure Gocce'!$Y$10)*(1-'Misure Gocce'!W13/'Misure Gocce'!$C$12))*'Misure Gocce'!$F$13)^2+((PI()*$C$13^3*(-4/3)*Costanti!$F$2*Costanti!$C$2/-('Misure Gocce'!Y13^2)*(1-'Misure Gocce'!W13/'Misure Gocce'!$C$12))*Z13)^2+(((PI()*$C$13^3*(-4/3)*Costanti!$F$2*Costanti!$C$2/(-'Misure Gocce'!Y13*'Misure Gocce'!$C$12))*'Misure Gocce'!X13)^2)+((((4/3)*PI()*'Misure Gocce'!$C$13^3*Costanti!$F$2*(Costanti!$C$2/'Misure Gocce'!Y13)*-('Misure Gocce'!W13)/('Misure Gocce'!$C$12)^2)*'Misure Gocce'!$F$12)^2))</f>
        <v>3.4210975426733488E-19</v>
      </c>
      <c r="AD13" s="11">
        <f>-S13</f>
        <v>-404</v>
      </c>
      <c r="AE13" s="2">
        <f>AE12</f>
        <v>2</v>
      </c>
      <c r="AF13" s="34">
        <v>0.88</v>
      </c>
      <c r="AG13">
        <v>0.3</v>
      </c>
      <c r="AH13" s="23">
        <f>Costanti!$C$7/('Misure Gocce'!AF13)</f>
        <v>5.6818181818181815E-4</v>
      </c>
      <c r="AI13">
        <f>AH13*SQRT((-AG13/AF13)^2)</f>
        <v>1.9369834710743799E-4</v>
      </c>
      <c r="AJ13" s="32">
        <f>AJ12</f>
        <v>-53486.319505736989</v>
      </c>
      <c r="AK13" s="34">
        <f>AK12</f>
        <v>274.08888024568813</v>
      </c>
      <c r="AL13" s="87">
        <f>PI()*(-4/3)*'Misure Gocce'!$C$13^3*(Costanti!$F$2)*Costanti!$C$2/'Misure Gocce'!$AJ$10*(1+ABS('Misure Gocce'!AH13)/'Misure Gocce'!$C$12)</f>
        <v>1.0635461982228249E-18</v>
      </c>
      <c r="AM13" s="37">
        <f>SQRT(((PI()*2*$C$13^2*(-4/3)*Costanti!$F$2*Costanti!$C$2/($AJ$10)*(1+ABS(AH13)/'Misure Gocce'!$C$12))*'Misure Gocce'!$F$13)^2+((PI()*$C$13^3*(-4/3)*Costanti!$F$2*Costanti!$C$2/(-$AJ$10^2)*(1+ABS(AH13)/'Misure Gocce'!$C$12))*AK13)^2+(((PI()*$C$13^3*(-4/3)*Costanti!$F$2*Costanti!$C$2/($AJ$10*'Misure Gocce'!$C$12))*AI13)^2)+((((4/3)*PI()*'Misure Gocce'!$C$13^3*Costanti!$F$2*(Costanti!$C$2/$AJ$10)*ABS(AH13)/($C$12)^2)*'Misure Gocce'!$F$12)^2))</f>
        <v>3.5790182725232641E-19</v>
      </c>
      <c r="AO13" s="34"/>
      <c r="AQ13" s="34"/>
    </row>
    <row r="14" spans="2:46">
      <c r="B14" s="46"/>
      <c r="C14" s="47"/>
      <c r="D14" s="47"/>
      <c r="E14" s="47"/>
      <c r="F14" s="47"/>
      <c r="G14" s="47"/>
      <c r="H14" s="47"/>
      <c r="I14" s="148"/>
      <c r="J14" s="29"/>
      <c r="L14" s="73">
        <v>33.590000000000003</v>
      </c>
      <c r="M14" s="12">
        <v>0.3</v>
      </c>
      <c r="N14" s="146">
        <f>Costanti!$C$7/('Misure Gocce'!L14)</f>
        <v>1.4885382554331645E-5</v>
      </c>
      <c r="O14" s="41">
        <f>N14*SQRT((-M14/L14)^2)</f>
        <v>1.3294476827328053E-7</v>
      </c>
      <c r="P14" s="146">
        <f>SQRT((Costanti!$C$6/(2*Costanti!$C$5))^2+(9*$G$10*N14)/(2*Costanti!$C$2*Costanti!$F$2))-Costanti!$C$6/(2*Costanti!$C$5)</f>
        <v>3.4457054613530239E-7</v>
      </c>
      <c r="Q14" s="41">
        <f>SQRT((1/2*(9*$G$10)/(2*Costanti!$C$2*Costanti!$F$2)/(P14+Costanti!$C$6/(2*Costanti!$C$5))*O14)^2+(1/2*(9*N14)/(2*Costanti!$C$2*Costanti!$F$2)/(P14+Costanti!$C$6/(2*Costanti!$C$5))*$H$10)^2)</f>
        <v>1.770250226188019E-9</v>
      </c>
      <c r="S14" s="8">
        <v>404</v>
      </c>
      <c r="T14" s="3">
        <f>T13</f>
        <v>2</v>
      </c>
      <c r="U14" s="73">
        <v>0.86</v>
      </c>
      <c r="V14" s="12">
        <v>0.3</v>
      </c>
      <c r="W14" s="24">
        <f>Costanti!$C$7/('Misure Gocce'!U14)</f>
        <v>5.8139534883720929E-4</v>
      </c>
      <c r="X14" s="12">
        <f>W14*SQRT((-V14/U14)^2)</f>
        <v>2.0281233098972418E-4</v>
      </c>
      <c r="Y14" s="33">
        <f>$S$10/Costanti!$C$9</f>
        <v>53486.319505736989</v>
      </c>
      <c r="Z14" s="35">
        <f>Z13</f>
        <v>274.08888024568813</v>
      </c>
      <c r="AA14" s="88">
        <f>PI()*(-4/3)*('Misure Gocce'!$C$13)^3*(Costanti!$F$2)*(Costanti!$C$2)/'Misure Gocce'!$Y$10*(1-'Misure Gocce'!W14/'Misure Gocce'!$C$12)</f>
        <v>1.0326591930027013E-18</v>
      </c>
      <c r="AB14" s="38">
        <f>SQRT(((PI()*2*$C$13^2*(-4/3)*Costanti!$F$2*Costanti!$C$2/('Misure Gocce'!$Y$10)*(1-'Misure Gocce'!W14/'Misure Gocce'!$C$12))*'Misure Gocce'!$F$13)^2+((PI()*$C$13^3*(-4/3)*Costanti!$F$2*Costanti!$C$2/-('Misure Gocce'!Y14^2)*(1-'Misure Gocce'!W14/'Misure Gocce'!$C$12))*Z14)^2+(((PI()*$C$13^3*(-4/3)*Costanti!$F$2*Costanti!$C$2/(-'Misure Gocce'!Y14*'Misure Gocce'!$C$12))*'Misure Gocce'!X14)^2)+((((4/3)*PI()*'Misure Gocce'!$C$13^3*Costanti!$F$2*(Costanti!$C$2/'Misure Gocce'!Y14)*-('Misure Gocce'!W14)/('Misure Gocce'!$C$12)^2)*'Misure Gocce'!$F$12)^2))</f>
        <v>3.7426046533328549E-19</v>
      </c>
      <c r="AD14" s="8">
        <f>-S14</f>
        <v>-404</v>
      </c>
      <c r="AE14" s="3">
        <f>AE13</f>
        <v>2</v>
      </c>
      <c r="AF14" s="35">
        <v>0.86</v>
      </c>
      <c r="AG14" s="12">
        <v>0.3</v>
      </c>
      <c r="AH14" s="24">
        <f>Costanti!$C$7/('Misure Gocce'!AF14)</f>
        <v>5.8139534883720929E-4</v>
      </c>
      <c r="AI14" s="12">
        <f>AH14*SQRT((-AG14/AF14)^2)</f>
        <v>2.0281233098972418E-4</v>
      </c>
      <c r="AJ14" s="33">
        <f>AJ13</f>
        <v>-53486.319505736989</v>
      </c>
      <c r="AK14" s="35">
        <f>AK13</f>
        <v>274.08888024568813</v>
      </c>
      <c r="AL14" s="88">
        <f>PI()*(-4/3)*'Misure Gocce'!$C$13^3*(Costanti!$F$2)*Costanti!$C$2/'Misure Gocce'!$AJ$10*(1+ABS('Misure Gocce'!AH14)/'Misure Gocce'!$C$12)</f>
        <v>1.0876405130644978E-18</v>
      </c>
      <c r="AM14" s="38">
        <f>SQRT(((PI()*2*$C$13^2*(-4/3)*Costanti!$F$2*Costanti!$C$2/($AJ$10)*(1+ABS(AH14)/'Misure Gocce'!$C$12))*'Misure Gocce'!$F$13)^2+((PI()*$C$13^3*(-4/3)*Costanti!$F$2*Costanti!$C$2/(-$AJ$10^2)*(1+ABS(AH14)/'Misure Gocce'!$C$12))*AK14)^2+(((PI()*$C$13^3*(-4/3)*Costanti!$F$2*Costanti!$C$2/($AJ$10*'Misure Gocce'!$C$12))*AI14)^2)+((((4/3)*PI()*'Misure Gocce'!$C$13^3*Costanti!$F$2*(Costanti!$C$2/$AJ$10)*ABS(AH14)/($C$12)^2)*'Misure Gocce'!$F$12)^2))</f>
        <v>3.7451909489661523E-19</v>
      </c>
      <c r="AO14" s="34"/>
      <c r="AQ14" s="34"/>
    </row>
    <row r="15" spans="2:46">
      <c r="I15" s="84"/>
      <c r="L15" s="34"/>
      <c r="N15" s="84"/>
      <c r="O15" s="30"/>
      <c r="P15" s="84"/>
      <c r="Q15" s="30"/>
      <c r="U15" s="34"/>
      <c r="W15" s="30"/>
      <c r="Y15" s="42"/>
      <c r="Z15" s="34"/>
      <c r="AA15" s="30"/>
      <c r="AB15" s="30"/>
      <c r="AF15" s="34"/>
      <c r="AH15" s="30"/>
      <c r="AJ15" s="42"/>
      <c r="AK15" s="34"/>
      <c r="AL15" s="30"/>
      <c r="AM15" s="30"/>
      <c r="AO15" s="34"/>
      <c r="AQ15" s="34"/>
    </row>
    <row r="16" spans="2:46">
      <c r="B16" s="113" t="s">
        <v>16</v>
      </c>
      <c r="C16" s="114" t="s">
        <v>17</v>
      </c>
      <c r="D16" s="114" t="s">
        <v>18</v>
      </c>
      <c r="E16" s="114" t="s">
        <v>19</v>
      </c>
      <c r="F16" s="114" t="s">
        <v>20</v>
      </c>
      <c r="G16" s="114" t="s">
        <v>21</v>
      </c>
      <c r="H16" s="114" t="s">
        <v>22</v>
      </c>
      <c r="I16" s="149" t="s">
        <v>23</v>
      </c>
      <c r="J16" s="115" t="s">
        <v>24</v>
      </c>
      <c r="L16" s="74" t="s">
        <v>25</v>
      </c>
      <c r="M16" s="75" t="s">
        <v>26</v>
      </c>
      <c r="N16" s="154" t="s">
        <v>27</v>
      </c>
      <c r="O16" s="75" t="s">
        <v>28</v>
      </c>
      <c r="P16" s="154" t="s">
        <v>29</v>
      </c>
      <c r="Q16" s="76" t="s">
        <v>30</v>
      </c>
      <c r="S16" s="77" t="s">
        <v>31</v>
      </c>
      <c r="T16" s="79" t="s">
        <v>32</v>
      </c>
      <c r="U16" s="161" t="s">
        <v>25</v>
      </c>
      <c r="V16" s="78" t="s">
        <v>26</v>
      </c>
      <c r="W16" s="77" t="s">
        <v>27</v>
      </c>
      <c r="X16" s="78" t="s">
        <v>28</v>
      </c>
      <c r="Y16" s="77" t="s">
        <v>33</v>
      </c>
      <c r="Z16" s="78" t="s">
        <v>34</v>
      </c>
      <c r="AA16" s="77" t="s">
        <v>35</v>
      </c>
      <c r="AB16" s="79" t="s">
        <v>36</v>
      </c>
      <c r="AD16" s="80" t="s">
        <v>31</v>
      </c>
      <c r="AE16" s="82" t="s">
        <v>32</v>
      </c>
      <c r="AF16" s="159" t="s">
        <v>25</v>
      </c>
      <c r="AG16" s="81" t="s">
        <v>26</v>
      </c>
      <c r="AH16" s="80" t="s">
        <v>27</v>
      </c>
      <c r="AI16" s="81" t="s">
        <v>28</v>
      </c>
      <c r="AJ16" s="80" t="s">
        <v>33</v>
      </c>
      <c r="AK16" s="81" t="s">
        <v>34</v>
      </c>
      <c r="AL16" s="136" t="s">
        <v>35</v>
      </c>
      <c r="AM16" s="137" t="s">
        <v>36</v>
      </c>
    </row>
    <row r="17" spans="2:43">
      <c r="B17" s="108">
        <v>3</v>
      </c>
      <c r="C17" s="111">
        <v>2.0579999999999998</v>
      </c>
      <c r="D17" s="107">
        <v>1E-3</v>
      </c>
      <c r="E17" s="111">
        <v>24</v>
      </c>
      <c r="F17" s="111">
        <v>1</v>
      </c>
      <c r="G17" s="111">
        <f>(1.8+($E$17-15)*4.765*10^(-3))*10^(-5)</f>
        <v>1.8428850000000002E-5</v>
      </c>
      <c r="H17" s="111">
        <f>SQRT((4.765*10^(-8)*F17)^2)</f>
        <v>4.765E-8</v>
      </c>
      <c r="I17" s="150">
        <f>G17/(1+Costanti!$C$6/(Costanti!$C$5*C20))</f>
        <v>1.4986015133620025E-5</v>
      </c>
      <c r="J17" s="112">
        <f>(G17-I17)/G17</f>
        <v>0.18681767263719534</v>
      </c>
      <c r="L17" s="72">
        <v>37.090000000000003</v>
      </c>
      <c r="M17">
        <v>0.3</v>
      </c>
      <c r="N17" s="85">
        <f>Costanti!$C$7/'Misure Gocce'!L17</f>
        <v>1.3480722566729575E-5</v>
      </c>
      <c r="O17" s="40">
        <f>N17*SQRT((-M17/L17)^2)</f>
        <v>1.0903792855267921E-7</v>
      </c>
      <c r="P17" s="85">
        <f>SQRT((Costanti!$C$6/(2*Costanti!$C$5))^2+(9*$G$17*N17)/(2*Costanti!$C$2*Costanti!$F$2))-Costanti!$C$6/(2*Costanti!$C$5)</f>
        <v>3.2616434327101993E-7</v>
      </c>
      <c r="Q17" s="40">
        <f>SQRT((1/2*(9*$G$17)/(2*Costanti!$C$2*Costanti!$F$2)/(P17+Costanti!$C$6/(2*Costanti!$C$5))*O17)^2+(1/2*(9*N17)/(2*Costanti!$C$2*Costanti!$F$2)/(P17+Costanti!$C$6/(2*Costanti!$C$5))*$H$17)^2)</f>
        <v>1.5376784693547725E-9</v>
      </c>
      <c r="S17" s="11">
        <v>306</v>
      </c>
      <c r="T17" s="2">
        <v>2</v>
      </c>
      <c r="U17" s="72"/>
      <c r="V17">
        <v>0.3</v>
      </c>
      <c r="W17" s="23" t="e">
        <f>Costanti!$C$7/'Misure Gocce'!U17</f>
        <v>#DIV/0!</v>
      </c>
      <c r="X17" t="e">
        <f>W17*SQRT((-V17/U17)^2)</f>
        <v>#DIV/0!</v>
      </c>
      <c r="Y17" s="32">
        <f>$S$17/Costanti!$C$9</f>
        <v>40511.915269196827</v>
      </c>
      <c r="Z17" s="34">
        <f>Y17*SQRT((T17/S17)^2+(Costanti!$C$10/Costanti!$C$9)^2)</f>
        <v>270.16124377118615</v>
      </c>
      <c r="AA17" s="26" t="e">
        <f>PI()*(-4/3)*('Misure Gocce'!$C$20)^3*(Costanti!$F$2)*(Costanti!$C$2)/'Misure Gocce'!$Y$17*(1-'Misure Gocce'!W17/'Misure Gocce'!N17)</f>
        <v>#DIV/0!</v>
      </c>
      <c r="AB17" s="37" t="e">
        <f>SQRT(((PI()*2*P17^2*(-4/3)*Costanti!$F$2*Costanti!$C$2/('Misure Gocce'!$Y$17)*(1-'Misure Gocce'!W17/'Misure Gocce'!N17))*'Misure Gocce'!Q17)^2+((PI()*P17^3*(-4/3)*Costanti!$F$2*Costanti!$C$2/-('Misure Gocce'!Y17^2)*(1-'Misure Gocce'!W17/'Misure Gocce'!N17))*Z17)^2+(((PI()*P17^3*(-4/3)*Costanti!$F$2*Costanti!$C$2/(-'Misure Gocce'!Y17*'Misure Gocce'!N17))*'Misure Gocce'!X17)^2)+((((4/3)*PI()*'Misure Gocce'!P17^3*Costanti!$F$2*(Costanti!$C$2/'Misure Gocce'!Y17)*-('Misure Gocce'!W17)/('Misure Gocce'!N17)^2)*'Misure Gocce'!O17)^2))</f>
        <v>#DIV/0!</v>
      </c>
      <c r="AD17" s="11">
        <f>-S17</f>
        <v>-306</v>
      </c>
      <c r="AE17" s="2">
        <v>2</v>
      </c>
      <c r="AF17" s="34">
        <v>5.08</v>
      </c>
      <c r="AG17">
        <v>0.3</v>
      </c>
      <c r="AH17" s="23">
        <f>Costanti!$C$7/'Misure Gocce'!AF17</f>
        <v>9.8425196850393699E-5</v>
      </c>
      <c r="AI17">
        <f>AH17*SQRT((-AG17/AF17)^2)</f>
        <v>5.8125116250232502E-6</v>
      </c>
      <c r="AJ17" s="32">
        <f>$AD$17/Costanti!$C$9</f>
        <v>-40511.915269196827</v>
      </c>
      <c r="AK17" s="34">
        <f>ABS(AJ17)*SQRT((AE17/AD17)^2+(Costanti!$C$10/Costanti!$C$9)^2)</f>
        <v>270.16124377118615</v>
      </c>
      <c r="AL17" s="25">
        <f>PI()*(-4/3)*'Misure Gocce'!$C$20^3*(Costanti!$F$2)*Costanti!$C$2/'Misure Gocce'!$AJ$17*(1+ABS('Misure Gocce'!AH17)/'Misure Gocce'!$C$19)</f>
        <v>2.787399736133919E-19</v>
      </c>
      <c r="AM17" s="36">
        <f>SQRT(((PI()*2*$C$20^2*(-4/3)*Costanti!$F$2*Costanti!$C$2/($AJ$17)*(1+ABS(AH17)/'Misure Gocce'!$C$19))*'Misure Gocce'!$F$20)^2+((PI()*$C$20^3*(-4/3)*Costanti!$F$2*Costanti!$C$2/(-$AJ$17^2)*(1+ABS(AH17)/'Misure Gocce'!$C$19))*AK17)^2+(((PI()*$C$20^3*(-4/3)*Costanti!$F$2*Costanti!$C$2/($AJ$17*'Misure Gocce'!$C$19))*AI17)^2)+((((4/3)*PI()*'Misure Gocce'!$C$20^3*Costanti!$F$2*(Costanti!$C$2/$AJ$17)*ABS(AH17)/($C$19)^2)*'Misure Gocce'!$F$19)^2))</f>
        <v>2.9868850501644881E-20</v>
      </c>
      <c r="AO17" s="34"/>
      <c r="AQ17" s="34"/>
    </row>
    <row r="18" spans="2:43">
      <c r="B18" s="45"/>
      <c r="I18" s="84"/>
      <c r="J18" s="27"/>
      <c r="L18" s="72">
        <v>33.49</v>
      </c>
      <c r="M18">
        <v>0.3</v>
      </c>
      <c r="N18" s="85">
        <f>Costanti!$C$7/('Misure Gocce'!L18)</f>
        <v>1.492982979994028E-5</v>
      </c>
      <c r="O18" s="40">
        <f>N18*SQRT((-M18/L18)^2)</f>
        <v>1.3373989071311087E-7</v>
      </c>
      <c r="P18" s="85">
        <f>SQRT((Costanti!$C$6/(2*Costanti!$C$5))^2+(9*$G$17*N18)/(2*Costanti!$C$2*Costanti!$F$2))-Costanti!$C$6/(2*Costanti!$C$5)</f>
        <v>3.4513862809243203E-7</v>
      </c>
      <c r="Q18" s="40">
        <f>SQRT((1/2*(9*$G$17)/(2*Costanti!$C$2*Costanti!$F$2)/(P18+Costanti!$C$6/(2*Costanti!$C$5))*O18)^2+(1/2*(9*N18)/(2*Costanti!$C$2*Costanti!$F$2)/(P18+Costanti!$C$6/(2*Costanti!$C$5))*$H$17)^2)</f>
        <v>1.7778054182084736E-9</v>
      </c>
      <c r="S18" s="11">
        <v>306</v>
      </c>
      <c r="T18" s="2">
        <f>T17</f>
        <v>2</v>
      </c>
      <c r="U18" s="72"/>
      <c r="V18">
        <v>0.3</v>
      </c>
      <c r="W18" s="23" t="e">
        <f>Costanti!$C$7/('Misure Gocce'!U18)</f>
        <v>#DIV/0!</v>
      </c>
      <c r="X18" t="e">
        <f>W18*SQRT((-V18/U18)^2)</f>
        <v>#DIV/0!</v>
      </c>
      <c r="Y18" s="32">
        <f>$S$17/Costanti!$C$9</f>
        <v>40511.915269196827</v>
      </c>
      <c r="Z18" s="34">
        <f>Z17</f>
        <v>270.16124377118615</v>
      </c>
      <c r="AA18" s="26" t="e">
        <f>PI()*(-4/3)*('Misure Gocce'!$C$20)^3*(Costanti!$F$2)*(Costanti!$C$2)/'Misure Gocce'!$Y$17*(1-'Misure Gocce'!W18/'Misure Gocce'!N18)</f>
        <v>#DIV/0!</v>
      </c>
      <c r="AB18" s="37" t="e">
        <f>SQRT(((PI()*2*P18^2*(-4/3)*Costanti!$F$2*Costanti!$C$2/('Misure Gocce'!$Y$3)*(1-'Misure Gocce'!W18/'Misure Gocce'!N18))*'Misure Gocce'!Q18)^2+((PI()*P18^3*(-4/3)*Costanti!$F$2*Costanti!$C$2/-('Misure Gocce'!Y18^2)*(1-'Misure Gocce'!W18/'Misure Gocce'!N18))*Z18)^2+(((PI()*P18^3*(-4/3)*Costanti!$F$2*Costanti!$C$2/(-'Misure Gocce'!Y18*'Misure Gocce'!N18))*'Misure Gocce'!X18)^2)+((((4/3)*PI()*'Misure Gocce'!P18^3*Costanti!$F$2*(Costanti!$C$2/'Misure Gocce'!Y18)*-('Misure Gocce'!W18)/('Misure Gocce'!N18)^2)*'Misure Gocce'!O18)^2))</f>
        <v>#DIV/0!</v>
      </c>
      <c r="AD18" s="11">
        <f>-S18</f>
        <v>-306</v>
      </c>
      <c r="AE18" s="2">
        <f>AE17</f>
        <v>2</v>
      </c>
      <c r="AF18" s="34">
        <v>4.57</v>
      </c>
      <c r="AG18">
        <v>0.3</v>
      </c>
      <c r="AH18" s="23">
        <f>Costanti!$C$7/('Misure Gocce'!AF18)</f>
        <v>1.0940919037199124E-4</v>
      </c>
      <c r="AI18">
        <f>AH18*SQRT((-AG18/AF18)^2)</f>
        <v>7.1822225627127722E-6</v>
      </c>
      <c r="AJ18" s="32">
        <f>AJ17</f>
        <v>-40511.915269196827</v>
      </c>
      <c r="AK18" s="34">
        <f>AK17</f>
        <v>270.16124377118615</v>
      </c>
      <c r="AL18" s="26">
        <f>PI()*(-4/3)*'Misure Gocce'!$C$20^3*(Costanti!$F$2)*Costanti!$C$2/'Misure Gocce'!$AJ$17*(1+ABS('Misure Gocce'!AH18)/'Misure Gocce'!$C$19)</f>
        <v>3.0559987692377853E-19</v>
      </c>
      <c r="AM18" s="37">
        <f>SQRT(((PI()*2*$C$20^2*(-4/3)*Costanti!$F$2*Costanti!$C$2/($AJ$17)*(1+ABS(AH18)/'Misure Gocce'!$C$19))*'Misure Gocce'!$F$20)^2+((PI()*$C$20^3*(-4/3)*Costanti!$F$2*Costanti!$C$2/(-$AJ$17^2)*(1+ABS(AH18)/'Misure Gocce'!$C$19))*AK18)^2+(((PI()*$C$20^3*(-4/3)*Costanti!$F$2*Costanti!$C$2/($AJ$17*'Misure Gocce'!$C$19))*AI18)^2)+((((4/3)*PI()*'Misure Gocce'!$C$20^3*Costanti!$F$2*(Costanti!$C$2/$AJ$17)*ABS(AH18)/($C$19)^2)*'Misure Gocce'!$F$19)^2))</f>
        <v>3.3864369567828597E-20</v>
      </c>
      <c r="AO18" s="34"/>
      <c r="AQ18" s="34"/>
    </row>
    <row r="19" spans="2:43">
      <c r="B19" s="45" t="s">
        <v>37</v>
      </c>
      <c r="C19" s="30">
        <f>AVERAGE(N17:N21)</f>
        <v>1.5561738582684597E-5</v>
      </c>
      <c r="E19" s="132" t="s">
        <v>38</v>
      </c>
      <c r="F19" s="30">
        <f>_xlfn.STDEV.S(N17:N21)/SQRT(COUNT(N17:N21))</f>
        <v>1.045857819437151E-6</v>
      </c>
      <c r="I19" s="84"/>
      <c r="J19" s="27"/>
      <c r="L19" s="72">
        <v>27.52</v>
      </c>
      <c r="M19">
        <v>0.3</v>
      </c>
      <c r="N19" s="85">
        <f>Costanti!$C$7/('Misure Gocce'!L19)</f>
        <v>1.816860465116279E-5</v>
      </c>
      <c r="O19" s="40">
        <f>N19*SQRT((-M19/L19)^2)</f>
        <v>1.9805891698215252E-7</v>
      </c>
      <c r="P19" s="85">
        <f>SQRT((Costanti!$C$6/(2*Costanti!$C$5))^2+(9*$G$17*N19)/(2*Costanti!$C$2*Costanti!$F$2))-Costanti!$C$6/(2*Costanti!$C$5)</f>
        <v>3.8449463283683683E-7</v>
      </c>
      <c r="Q19" s="40">
        <f>SQRT((1/2*(9*$G$17)/(2*Costanti!$C$2*Costanti!$F$2)/(P19+Costanti!$C$6/(2*Costanti!$C$5))*O19)^2+(1/2*(9*N19)/(2*Costanti!$C$2*Costanti!$F$2)/(P19+Costanti!$C$6/(2*Costanti!$C$5))*$H$17)^2)</f>
        <v>2.3589504584607778E-9</v>
      </c>
      <c r="S19" s="11">
        <v>306</v>
      </c>
      <c r="T19" s="2">
        <f>T18</f>
        <v>2</v>
      </c>
      <c r="U19" s="72"/>
      <c r="V19">
        <v>0.3</v>
      </c>
      <c r="W19" s="23" t="e">
        <f>Costanti!$C$7/('Misure Gocce'!U19)</f>
        <v>#DIV/0!</v>
      </c>
      <c r="X19" t="e">
        <f>W19*SQRT((-V19/U19)^2)</f>
        <v>#DIV/0!</v>
      </c>
      <c r="Y19" s="32">
        <f>$S$17/Costanti!$C$9</f>
        <v>40511.915269196827</v>
      </c>
      <c r="Z19" s="34">
        <f>Z18</f>
        <v>270.16124377118615</v>
      </c>
      <c r="AA19" s="26" t="e">
        <f>PI()*(-4/3)*('Misure Gocce'!$C$20)^3*(Costanti!$F$2)*(Costanti!$C$2)/'Misure Gocce'!$Y$17*(1-'Misure Gocce'!W19/'Misure Gocce'!N19)</f>
        <v>#DIV/0!</v>
      </c>
      <c r="AB19" s="37" t="e">
        <f>SQRT(((PI()*2*P19^2*(-4/3)*Costanti!$F$2*Costanti!$C$2/('Misure Gocce'!$Y$3)*(1-'Misure Gocce'!W19/'Misure Gocce'!N19))*'Misure Gocce'!Q19)^2+((PI()*P19^3*(-4/3)*Costanti!$F$2*Costanti!$C$2/-('Misure Gocce'!Y19^2)*(1-'Misure Gocce'!W19/'Misure Gocce'!N19))*Z19)^2+(((PI()*P19^3*(-4/3)*Costanti!$F$2*Costanti!$C$2/(-'Misure Gocce'!Y19*'Misure Gocce'!N19))*'Misure Gocce'!X19)^2)+((((4/3)*PI()*'Misure Gocce'!P19^3*Costanti!$F$2*(Costanti!$C$2/'Misure Gocce'!Y19)*-('Misure Gocce'!W19)/('Misure Gocce'!N19)^2)*'Misure Gocce'!O19)^2))</f>
        <v>#DIV/0!</v>
      </c>
      <c r="AD19" s="11">
        <f>-S19</f>
        <v>-306</v>
      </c>
      <c r="AE19" s="2">
        <f>AE18</f>
        <v>2</v>
      </c>
      <c r="AF19" s="34">
        <v>4.63</v>
      </c>
      <c r="AG19">
        <v>0.3</v>
      </c>
      <c r="AH19" s="23">
        <f>Costanti!$C$7/('Misure Gocce'!AF19)</f>
        <v>1.0799136069114471E-4</v>
      </c>
      <c r="AI19">
        <f>AH19*SQRT((-AG19/AF19)^2)</f>
        <v>6.9972803903549476E-6</v>
      </c>
      <c r="AJ19" s="32">
        <f>AJ18</f>
        <v>-40511.915269196827</v>
      </c>
      <c r="AK19" s="34">
        <f>AK18</f>
        <v>270.16124377118615</v>
      </c>
      <c r="AL19" s="26">
        <f>PI()*(-4/3)*'Misure Gocce'!$C$20^3*(Costanti!$F$2)*Costanti!$C$2/'Misure Gocce'!$AJ$17*(1+ABS('Misure Gocce'!AH19)/'Misure Gocce'!$C$19)</f>
        <v>3.0213276197480725E-19</v>
      </c>
      <c r="AM19" s="37">
        <f>SQRT(((PI()*2*$C$20^2*(-4/3)*Costanti!$F$2*Costanti!$C$2/($AJ$17)*(1+ABS(AH19)/'Misure Gocce'!$C$19))*'Misure Gocce'!$F$20)^2+((PI()*$C$20^3*(-4/3)*Costanti!$F$2*Costanti!$C$2/(-$AJ$17^2)*(1+ABS(AH19)/'Misure Gocce'!$C$19))*AK19)^2+(((PI()*$C$20^3*(-4/3)*Costanti!$F$2*Costanti!$C$2/($AJ$17*'Misure Gocce'!$C$19))*AI19)^2)+((((4/3)*PI()*'Misure Gocce'!$C$20^3*Costanti!$F$2*(Costanti!$C$2/$AJ$17)*ABS(AH19)/($C$19)^2)*'Misure Gocce'!$F$19)^2))</f>
        <v>3.3334202537097488E-20</v>
      </c>
      <c r="AO19" s="34"/>
      <c r="AQ19" s="34"/>
    </row>
    <row r="20" spans="2:43">
      <c r="B20" s="26" t="s">
        <v>39</v>
      </c>
      <c r="C20" s="30">
        <f>AVERAGE(P17:P21)</f>
        <v>3.5226314997642813E-7</v>
      </c>
      <c r="E20" t="s">
        <v>40</v>
      </c>
      <c r="F20" s="30">
        <f>_xlfn.STDEV.S(P17:P21)/SQRT(COUNT(P17:P21))</f>
        <v>1.3026752847795241E-8</v>
      </c>
      <c r="I20" s="84"/>
      <c r="J20" s="27"/>
      <c r="L20" s="72">
        <v>37.479999999999997</v>
      </c>
      <c r="M20">
        <v>0.3</v>
      </c>
      <c r="N20" s="85">
        <f>Costanti!$C$7/('Misure Gocce'!L20)</f>
        <v>1.3340448239060834E-5</v>
      </c>
      <c r="O20" s="40">
        <f>N20*SQRT((-M20/L20)^2)</f>
        <v>1.0678053553143677E-7</v>
      </c>
      <c r="P20" s="85">
        <f>SQRT((Costanti!$C$6/(2*Costanti!$C$5))^2+(9*$G$17*N20)/(2*Costanti!$C$2*Costanti!$F$2))-Costanti!$C$6/(2*Costanti!$C$5)</f>
        <v>3.2427522737307205E-7</v>
      </c>
      <c r="Q20" s="40">
        <f>SQRT((1/2*(9*$G$17)/(2*Costanti!$C$2*Costanti!$F$2)/(P20+Costanti!$C$6/(2*Costanti!$C$5))*O20)^2+(1/2*(9*N20)/(2*Costanti!$C$2*Costanti!$F$2)/(P20+Costanti!$C$6/(2*Costanti!$C$5))*$H$17)^2)</f>
        <v>1.5151261531268022E-9</v>
      </c>
      <c r="S20" s="11">
        <v>306</v>
      </c>
      <c r="T20" s="2">
        <f>T19</f>
        <v>2</v>
      </c>
      <c r="U20" s="72"/>
      <c r="V20">
        <v>0.3</v>
      </c>
      <c r="W20" s="23" t="e">
        <f>Costanti!$C$7/('Misure Gocce'!U20)</f>
        <v>#DIV/0!</v>
      </c>
      <c r="X20" t="e">
        <f>W20*SQRT((-V20/U20)^2)</f>
        <v>#DIV/0!</v>
      </c>
      <c r="Y20" s="32">
        <f>$S$17/Costanti!$C$9</f>
        <v>40511.915269196827</v>
      </c>
      <c r="Z20" s="34">
        <f>Z19</f>
        <v>270.16124377118615</v>
      </c>
      <c r="AA20" s="26" t="e">
        <f>PI()*(-4/3)*('Misure Gocce'!$C$20)^3*(Costanti!$F$2)*(Costanti!$C$2)/'Misure Gocce'!$Y$17*(1-'Misure Gocce'!W20/'Misure Gocce'!N20)</f>
        <v>#DIV/0!</v>
      </c>
      <c r="AB20" s="37" t="e">
        <f>SQRT(((PI()*2*P20^2*(-4/3)*Costanti!$F$2*Costanti!$C$2/('Misure Gocce'!$Y$3)*(1-'Misure Gocce'!W20/'Misure Gocce'!N20))*'Misure Gocce'!Q20)^2+((PI()*P20^3*(-4/3)*Costanti!$F$2*Costanti!$C$2/-('Misure Gocce'!Y20^2)*(1-'Misure Gocce'!W20/'Misure Gocce'!N20))*Z20)^2+(((PI()*P20^3*(-4/3)*Costanti!$F$2*Costanti!$C$2/(-'Misure Gocce'!Y20*'Misure Gocce'!N20))*'Misure Gocce'!X20)^2)+((((4/3)*PI()*'Misure Gocce'!P20^3*Costanti!$F$2*(Costanti!$C$2/'Misure Gocce'!Y20)*-('Misure Gocce'!W20)/('Misure Gocce'!N20)^2)*'Misure Gocce'!O20)^2))</f>
        <v>#DIV/0!</v>
      </c>
      <c r="AD20" s="11">
        <f>-S20</f>
        <v>-306</v>
      </c>
      <c r="AE20" s="2">
        <f>AE19</f>
        <v>2</v>
      </c>
      <c r="AF20" s="34">
        <v>4.4800000000000004</v>
      </c>
      <c r="AG20">
        <v>0.3</v>
      </c>
      <c r="AH20" s="23">
        <f>Costanti!$C$7/('Misure Gocce'!AF20)</f>
        <v>1.1160714285714285E-4</v>
      </c>
      <c r="AI20">
        <f>AH20*SQRT((-AG20/AF20)^2)</f>
        <v>7.4736926020408162E-6</v>
      </c>
      <c r="AJ20" s="32">
        <f>AJ19</f>
        <v>-40511.915269196827</v>
      </c>
      <c r="AK20" s="34">
        <f>AK19</f>
        <v>270.16124377118615</v>
      </c>
      <c r="AL20" s="26">
        <f>PI()*(-4/3)*'Misure Gocce'!$C$20^3*(Costanti!$F$2)*Costanti!$C$2/'Misure Gocce'!$AJ$17*(1+ABS('Misure Gocce'!AH20)/'Misure Gocce'!$C$19)</f>
        <v>3.1097467900427076E-19</v>
      </c>
      <c r="AM20" s="37">
        <f>SQRT(((PI()*2*$C$20^2*(-4/3)*Costanti!$F$2*Costanti!$C$2/($AJ$17)*(1+ABS(AH20)/'Misure Gocce'!$C$19))*'Misure Gocce'!$F$20)^2+((PI()*$C$20^3*(-4/3)*Costanti!$F$2*Costanti!$C$2/(-$AJ$17^2)*(1+ABS(AH20)/'Misure Gocce'!$C$19))*AK20)^2+(((PI()*$C$20^3*(-4/3)*Costanti!$F$2*Costanti!$C$2/($AJ$17*'Misure Gocce'!$C$19))*AI20)^2)+((((4/3)*PI()*'Misure Gocce'!$C$20^3*Costanti!$F$2*(Costanti!$C$2/$AJ$17)*ABS(AH20)/($C$19)^2)*'Misure Gocce'!$F$19)^2))</f>
        <v>3.4694897377356149E-20</v>
      </c>
      <c r="AO20" s="34"/>
      <c r="AQ20" s="34"/>
    </row>
    <row r="21" spans="2:43">
      <c r="B21" s="46"/>
      <c r="C21" s="47"/>
      <c r="D21" s="47"/>
      <c r="E21" s="47"/>
      <c r="F21" s="47"/>
      <c r="G21" s="47"/>
      <c r="H21" s="47"/>
      <c r="I21" s="148"/>
      <c r="J21" s="29"/>
      <c r="L21" s="73">
        <v>27.95</v>
      </c>
      <c r="M21" s="12">
        <v>0.3</v>
      </c>
      <c r="N21" s="146">
        <f>Costanti!$C$7/('Misure Gocce'!L21)</f>
        <v>1.7889087656529517E-5</v>
      </c>
      <c r="O21" s="41">
        <f>N21*SQRT((-M21/L21)^2)</f>
        <v>1.9201167430979803E-7</v>
      </c>
      <c r="P21" s="146">
        <f>SQRT((Costanti!$C$6/(2*Costanti!$C$5))^2+(9*$G$17*N21)/(2*Costanti!$C$2*Costanti!$F$2))-Costanti!$C$6/(2*Costanti!$C$5)</f>
        <v>3.8124291830877955E-7</v>
      </c>
      <c r="Q21" s="41">
        <f>SQRT((1/2*(9*$G$17)/(2*Costanti!$C$2*Costanti!$F$2)/(P21+Costanti!$C$6/(2*Costanti!$C$5))*O21)^2+(1/2*(9*N21)/(2*Costanti!$C$2*Costanti!$F$2)/(P21+Costanti!$C$6/(2*Costanti!$C$5))*$H$17)^2)</f>
        <v>2.3064918777720668E-9</v>
      </c>
      <c r="S21" s="8">
        <v>306</v>
      </c>
      <c r="T21" s="3">
        <f>T20</f>
        <v>2</v>
      </c>
      <c r="U21" s="73"/>
      <c r="V21" s="12">
        <v>0.3</v>
      </c>
      <c r="W21" s="24" t="e">
        <f>Costanti!$C$7/('Misure Gocce'!U21)</f>
        <v>#DIV/0!</v>
      </c>
      <c r="X21" s="12" t="e">
        <f>W21*SQRT((-V21/U21)^2)</f>
        <v>#DIV/0!</v>
      </c>
      <c r="Y21" s="33">
        <f>$S$17/Costanti!$C$9</f>
        <v>40511.915269196827</v>
      </c>
      <c r="Z21" s="35">
        <f>Z20</f>
        <v>270.16124377118615</v>
      </c>
      <c r="AA21" s="28" t="e">
        <f>PI()*(-4/3)*('Misure Gocce'!$C$20)^3*(Costanti!$F$2)*(Costanti!$C$2)/'Misure Gocce'!$Y$17*(1-'Misure Gocce'!W21/'Misure Gocce'!N21)</f>
        <v>#DIV/0!</v>
      </c>
      <c r="AB21" s="38" t="e">
        <f>SQRT(((PI()*2*P21^2*(-4/3)*Costanti!$F$2*Costanti!$C$2/('Misure Gocce'!$Y$3)*(1-'Misure Gocce'!W21/'Misure Gocce'!N21))*'Misure Gocce'!Q21)^2+((PI()*P21^3*(-4/3)*Costanti!$F$2*Costanti!$C$2/-('Misure Gocce'!Y21^2)*(1-'Misure Gocce'!W21/'Misure Gocce'!N21))*Z21)^2+(((PI()*P21^3*(-4/3)*Costanti!$F$2*Costanti!$C$2/(-'Misure Gocce'!Y21*'Misure Gocce'!N21))*'Misure Gocce'!X21)^2)+((((4/3)*PI()*'Misure Gocce'!P21^3*Costanti!$F$2*(Costanti!$C$2/'Misure Gocce'!Y21)*-('Misure Gocce'!W21)/('Misure Gocce'!N21)^2)*'Misure Gocce'!O21)^2))</f>
        <v>#DIV/0!</v>
      </c>
      <c r="AD21" s="8">
        <f>-S21</f>
        <v>-306</v>
      </c>
      <c r="AE21" s="3">
        <f>AE20</f>
        <v>2</v>
      </c>
      <c r="AF21" s="35">
        <v>3.6</v>
      </c>
      <c r="AG21" s="12">
        <v>0.3</v>
      </c>
      <c r="AH21" s="24">
        <f>Costanti!$C$7/('Misure Gocce'!AF21)</f>
        <v>1.3888888888888889E-4</v>
      </c>
      <c r="AI21" s="12">
        <f>AH21*SQRT((-AG21/AF21)^2)</f>
        <v>1.1574074074074073E-5</v>
      </c>
      <c r="AJ21" s="33">
        <f>AJ20</f>
        <v>-40511.915269196827</v>
      </c>
      <c r="AK21" s="35">
        <f>AK20</f>
        <v>270.16124377118615</v>
      </c>
      <c r="AL21" s="28">
        <f>PI()*(-4/3)*'Misure Gocce'!$C$20^3*(Costanti!$F$2)*Costanti!$C$2/'Misure Gocce'!$AJ$17*(1+ABS('Misure Gocce'!AH21)/'Misure Gocce'!$C$19)</f>
        <v>3.7768858038361579E-19</v>
      </c>
      <c r="AM21" s="38">
        <f>SQRT(((PI()*2*$C$20^2*(-4/3)*Costanti!$F$2*Costanti!$C$2/($AJ$17)*(1+ABS(AH21)/'Misure Gocce'!$C$19))*'Misure Gocce'!$F$20)^2+((PI()*$C$20^3*(-4/3)*Costanti!$F$2*Costanti!$C$2/(-$AJ$17^2)*(1+ABS(AH21)/'Misure Gocce'!$C$19))*AK21)^2+(((PI()*$C$20^3*(-4/3)*Costanti!$F$2*Costanti!$C$2/($AJ$17*'Misure Gocce'!$C$19))*AI21)^2)+((((4/3)*PI()*'Misure Gocce'!$C$20^3*Costanti!$F$2*(Costanti!$C$2/$AJ$17)*ABS(AH21)/($C$19)^2)*'Misure Gocce'!$F$19)^2))</f>
        <v>4.5920811409688501E-20</v>
      </c>
      <c r="AO21" s="34"/>
      <c r="AQ21" s="34"/>
    </row>
    <row r="22" spans="2:43">
      <c r="I22" s="84"/>
      <c r="L22" s="34"/>
      <c r="N22" s="84"/>
      <c r="O22" s="30"/>
      <c r="P22" s="84"/>
      <c r="Q22" s="30"/>
      <c r="U22" s="34"/>
      <c r="W22" s="30"/>
      <c r="Y22" s="42"/>
      <c r="Z22" s="34"/>
      <c r="AA22" s="30"/>
      <c r="AB22" s="30"/>
      <c r="AF22" s="34"/>
      <c r="AH22" s="30"/>
      <c r="AJ22" s="42"/>
      <c r="AK22" s="34"/>
      <c r="AL22" s="30"/>
      <c r="AM22" s="30"/>
      <c r="AO22" s="34"/>
      <c r="AQ22" s="34"/>
    </row>
    <row r="23" spans="2:43">
      <c r="B23" s="117" t="s">
        <v>16</v>
      </c>
      <c r="C23" s="118" t="s">
        <v>17</v>
      </c>
      <c r="D23" s="118" t="s">
        <v>18</v>
      </c>
      <c r="E23" s="118" t="s">
        <v>19</v>
      </c>
      <c r="F23" s="118" t="s">
        <v>20</v>
      </c>
      <c r="G23" s="118" t="s">
        <v>21</v>
      </c>
      <c r="H23" s="118" t="s">
        <v>22</v>
      </c>
      <c r="I23" s="151" t="s">
        <v>23</v>
      </c>
      <c r="J23" s="119" t="s">
        <v>24</v>
      </c>
      <c r="L23" s="74" t="s">
        <v>25</v>
      </c>
      <c r="M23" s="75" t="s">
        <v>26</v>
      </c>
      <c r="N23" s="154" t="s">
        <v>27</v>
      </c>
      <c r="O23" s="75" t="s">
        <v>28</v>
      </c>
      <c r="P23" s="154" t="s">
        <v>29</v>
      </c>
      <c r="Q23" s="76" t="s">
        <v>30</v>
      </c>
      <c r="S23" s="77" t="s">
        <v>31</v>
      </c>
      <c r="T23" s="79" t="s">
        <v>32</v>
      </c>
      <c r="U23" s="161" t="s">
        <v>25</v>
      </c>
      <c r="V23" s="78" t="s">
        <v>26</v>
      </c>
      <c r="W23" s="77" t="s">
        <v>27</v>
      </c>
      <c r="X23" s="78" t="s">
        <v>28</v>
      </c>
      <c r="Y23" s="77" t="s">
        <v>33</v>
      </c>
      <c r="Z23" s="78" t="s">
        <v>34</v>
      </c>
      <c r="AA23" s="134" t="s">
        <v>35</v>
      </c>
      <c r="AB23" s="135" t="s">
        <v>36</v>
      </c>
      <c r="AD23" s="80" t="s">
        <v>31</v>
      </c>
      <c r="AE23" s="82" t="s">
        <v>32</v>
      </c>
      <c r="AF23" s="159" t="s">
        <v>25</v>
      </c>
      <c r="AG23" s="81" t="s">
        <v>26</v>
      </c>
      <c r="AH23" s="80" t="s">
        <v>27</v>
      </c>
      <c r="AI23" s="81" t="s">
        <v>28</v>
      </c>
      <c r="AJ23" s="80" t="s">
        <v>33</v>
      </c>
      <c r="AK23" s="81" t="s">
        <v>34</v>
      </c>
      <c r="AL23" s="136" t="s">
        <v>35</v>
      </c>
      <c r="AM23" s="137" t="s">
        <v>36</v>
      </c>
    </row>
    <row r="24" spans="2:43">
      <c r="B24" s="120">
        <v>4</v>
      </c>
      <c r="C24" s="107">
        <v>2.0230000000000001</v>
      </c>
      <c r="D24" s="107">
        <v>1E-3</v>
      </c>
      <c r="E24" s="107">
        <v>24</v>
      </c>
      <c r="F24" s="107">
        <v>1</v>
      </c>
      <c r="G24" s="107">
        <f>(1.8+($E$24-15)*4.765*10^(-3))*10^(-5)</f>
        <v>1.8428850000000002E-5</v>
      </c>
      <c r="H24" s="107">
        <f>SQRT((4.765*10^(-8)*F24)^2)</f>
        <v>4.765E-8</v>
      </c>
      <c r="I24" s="152">
        <f>G24/(1+Costanti!$C$6/(Costanti!$C$5*C27))</f>
        <v>1.5888081859606463E-5</v>
      </c>
      <c r="J24" s="121">
        <f>(G24-I24)/G24</f>
        <v>0.13786905533408428</v>
      </c>
      <c r="L24" s="72">
        <v>16.96</v>
      </c>
      <c r="M24">
        <v>0.3</v>
      </c>
      <c r="N24" s="85">
        <f>Costanti!$C$7/'Misure Gocce'!L24</f>
        <v>2.9481132075471698E-5</v>
      </c>
      <c r="O24" s="40">
        <f>N24*SQRT((-M24/L24)^2)</f>
        <v>5.2148228907084374E-7</v>
      </c>
      <c r="P24" s="85">
        <f>SQRT((Costanti!$C$6/(2*Costanti!$C$5))^2+(9*$G$24*N24)/(2*Costanti!$C$2*Costanti!$F$2))-Costanti!$C$6/(2*Costanti!$C$5)</f>
        <v>4.9991832837097826E-7</v>
      </c>
      <c r="Q24" s="40">
        <f>SQRT((1/2*(9*$G$24)/(2*Costanti!$C$2*Costanti!$F$2)/(P24+Costanti!$C$6/(2*Costanti!$C$5))*O24)^2+(1/2*(9*N24)/(2*Costanti!$C$2*Costanti!$F$2)/(P24+Costanti!$C$6/(2*Costanti!$C$5))*$H$24)^2)</f>
        <v>4.8030304298829996E-9</v>
      </c>
      <c r="S24" s="11">
        <v>340</v>
      </c>
      <c r="T24" s="2">
        <v>2</v>
      </c>
      <c r="U24" s="34">
        <v>3.71</v>
      </c>
      <c r="V24">
        <v>0.3</v>
      </c>
      <c r="W24" s="23">
        <f>Costanti!$C$7/'Misure Gocce'!U24</f>
        <v>1.3477088948787063E-4</v>
      </c>
      <c r="X24">
        <f>W24*SQRT((-V24/U24)^2)</f>
        <v>1.0897915592011102E-5</v>
      </c>
      <c r="Y24" s="32">
        <f>$S$24/Costanti!$C$9</f>
        <v>45013.239187996478</v>
      </c>
      <c r="Z24" s="34">
        <f>Y24*SQRT((T24/S24)^2+(Costanti!$C$10/Costanti!$C$9)^2)</f>
        <v>271.40720199044512</v>
      </c>
      <c r="AA24" s="25">
        <f>PI()*(-4/3)*('Misure Gocce'!$C$27)^3*(Costanti!$F$2)*(Costanti!$C$2)/'Misure Gocce'!$Y$24*(1-'Misure Gocce'!W24/$C$26)</f>
        <v>3.517623236216243E-19</v>
      </c>
      <c r="AB24" s="36">
        <f>SQRT(((PI()*2*C$27^2*(-4/3)*Costanti!$F$2*Costanti!$C$2/('Misure Gocce'!$Y$24)*(1-'Misure Gocce'!W24/C$26))*F$27)^2+((PI()*C$27^3*(-4/3)*Costanti!$F$2*Costanti!$C$2/-('Misure Gocce'!Y24^2)*(1-'Misure Gocce'!W24/C$26))*Z24)^2+(((PI()*C$27^3*(-4/3)*Costanti!$F$2*Costanti!$C$2/(-'Misure Gocce'!Y24*C$26))*'Misure Gocce'!X24)^2)+((((4/3)*PI()*C$27^3*Costanti!$F$2*(Costanti!$C$2/'Misure Gocce'!Y24)*-('Misure Gocce'!W24)/(C$26)^2)*F$26)^2))</f>
        <v>4.1258529632315447E-20</v>
      </c>
      <c r="AD24" s="11">
        <f>-S24</f>
        <v>-340</v>
      </c>
      <c r="AE24" s="2">
        <v>2</v>
      </c>
      <c r="AF24" s="72">
        <v>7.31</v>
      </c>
      <c r="AG24">
        <v>0.3</v>
      </c>
      <c r="AH24" s="23">
        <f>Costanti!$C$7/'Misure Gocce'!AF24</f>
        <v>6.8399452804377564E-5</v>
      </c>
      <c r="AI24">
        <f>AH24*SQRT((-AG24/AF24)^2)</f>
        <v>2.8070910863629645E-6</v>
      </c>
      <c r="AJ24" s="32">
        <f>$AD$24/Costanti!$C$9</f>
        <v>-45013.239187996478</v>
      </c>
      <c r="AK24" s="34">
        <f>ABS(AJ24)*SQRT((AE24/AD24)^2+(Costanti!$C$10/Costanti!$C$9)^2)</f>
        <v>271.40720199044512</v>
      </c>
      <c r="AL24" s="25">
        <f>PI()*(-4/3)*'Misure Gocce'!$C$27^3*(Costanti!$F$2)*Costanti!$C$2/'Misure Gocce'!$AJ$24*(1+ABS('Misure Gocce'!AH24)/$C$26)</f>
        <v>3.3160778065127912E-19</v>
      </c>
      <c r="AM24" s="36">
        <f>SQRT(((PI()*2*C$27^2*(-4/3)*Costanti!$F$2*Costanti!$C$2/($AJ$24)*(1+ABS(AH24)/C$26))*F$27)^2+((PI()*C$27^3*(-4/3)*Costanti!$F$2*Costanti!$C$2/(-$AJ$24^2)*(1+ABS(AH24)/C$26))*AK24)^2+(((PI()*C$27^3*(-4/3)*Costanti!$F$2*Costanti!$C$2/($AJ$24*C$26))*AI24)^2)+((((4/3)*PI()*C$27^3*Costanti!$F$2*(Costanti!$C$2/$AJ$24)*ABS(AH24)/(C$26)^2)*F$26)^2))</f>
        <v>1.6620792565535438E-20</v>
      </c>
    </row>
    <row r="25" spans="2:43">
      <c r="B25" s="45"/>
      <c r="I25" s="84"/>
      <c r="J25" s="27"/>
      <c r="L25" s="72">
        <v>16.54</v>
      </c>
      <c r="M25">
        <v>0.3</v>
      </c>
      <c r="N25" s="85">
        <f>Costanti!$C$7/('Misure Gocce'!L25)</f>
        <v>3.0229746070133012E-5</v>
      </c>
      <c r="O25" s="40">
        <f>N25*SQRT((-M25/L25)^2)</f>
        <v>5.4830252847883341E-7</v>
      </c>
      <c r="P25" s="85">
        <f>SQRT((Costanti!$C$6/(2*Costanti!$C$5))^2+(9*$G$24*N25)/(2*Costanti!$C$2*Costanti!$F$2))-Costanti!$C$6/(2*Costanti!$C$5)</f>
        <v>5.0669828490609526E-7</v>
      </c>
      <c r="Q25" s="40">
        <f>SQRT((1/2*(9*$G$24)/(2*Costanti!$C$2*Costanti!$F$2)/(P25+Costanti!$C$6/(2*Costanti!$C$5))*O25)^2+(1/2*(9*N25)/(2*Costanti!$C$2*Costanti!$F$2)/(P25+Costanti!$C$6/(2*Costanti!$C$5))*$H$24)^2)</f>
        <v>4.9849256736750969E-9</v>
      </c>
      <c r="S25" s="11">
        <v>340</v>
      </c>
      <c r="T25" s="2">
        <f>T24</f>
        <v>2</v>
      </c>
      <c r="U25" s="34">
        <v>3.99</v>
      </c>
      <c r="V25">
        <v>0.3</v>
      </c>
      <c r="W25" s="23">
        <f>Costanti!$C$7/('Misure Gocce'!U25)</f>
        <v>1.2531328320802005E-4</v>
      </c>
      <c r="X25">
        <f>W25*SQRT((-V25/U25)^2)</f>
        <v>9.4220513690240626E-6</v>
      </c>
      <c r="Y25" s="32">
        <f>$S$24/Costanti!$C$9</f>
        <v>45013.239187996478</v>
      </c>
      <c r="Z25" s="34">
        <f>Z24</f>
        <v>271.40720199044512</v>
      </c>
      <c r="AA25" s="26">
        <f>PI()*(-4/3)*('Misure Gocce'!$C$27)^3*(Costanti!$F$2)*(Costanti!$C$2)/'Misure Gocce'!$Y$24*(1-'Misure Gocce'!W25/$C$26)</f>
        <v>3.1995135496982739E-19</v>
      </c>
      <c r="AB25" s="37">
        <f>SQRT(((PI()*2*C$27^2*(-4/3)*Costanti!$F$2*Costanti!$C$2/('Misure Gocce'!$Y$24)*(1-'Misure Gocce'!W25/C$26))*F$27)^2+((PI()*C$27^3*(-4/3)*Costanti!$F$2*Costanti!$C$2/-('Misure Gocce'!Y25^2)*(1-'Misure Gocce'!W25/C$26))*Z25)^2+(((PI()*C$27^3*(-4/3)*Costanti!$F$2*Costanti!$C$2/(-'Misure Gocce'!Y25*C$26))*'Misure Gocce'!X25)^2)+((((4/3)*PI()*C$27^3*Costanti!$F$2*(Costanti!$C$2/'Misure Gocce'!Y25)*-('Misure Gocce'!W25)/(C$26)^2)*F$26)^2))</f>
        <v>3.6177647724047135E-20</v>
      </c>
      <c r="AD25" s="11">
        <f>-S25</f>
        <v>-340</v>
      </c>
      <c r="AE25" s="2">
        <f>AE24</f>
        <v>2</v>
      </c>
      <c r="AF25" s="72">
        <v>7.26</v>
      </c>
      <c r="AG25">
        <v>0.3</v>
      </c>
      <c r="AH25" s="23">
        <f>Costanti!$C$7/('Misure Gocce'!AF25)</f>
        <v>6.8870523415977969E-5</v>
      </c>
      <c r="AI25">
        <f>AH25*SQRT((-AG25/AF25)^2)</f>
        <v>2.8458893973544618E-6</v>
      </c>
      <c r="AJ25" s="32">
        <f>AJ24</f>
        <v>-45013.239187996478</v>
      </c>
      <c r="AK25" s="34">
        <f>AK24</f>
        <v>271.40720199044512</v>
      </c>
      <c r="AL25" s="26">
        <f>PI()*(-4/3)*'Misure Gocce'!$C$27^3*(Costanti!$F$2)*Costanti!$C$2/'Misure Gocce'!$AJ$24*(1+ABS('Misure Gocce'!AH25)/$C$26)</f>
        <v>3.3319224209056843E-19</v>
      </c>
      <c r="AM25" s="37">
        <f>SQRT(((PI()*2*C$27^2*(-4/3)*Costanti!$F$2*Costanti!$C$2/($AJ$24)*(1+ABS(AH25)/C$26))*F$27)^2+((PI()*C$27^3*(-4/3)*Costanti!$F$2*Costanti!$C$2/(-$AJ$24^2)*(1+ABS(AH25)/C$26))*AK25)^2+(((PI()*C$27^3*(-4/3)*Costanti!$F$2*Costanti!$C$2/($AJ$24*C$26))*AI25)^2)+((((4/3)*PI()*C$27^3*Costanti!$F$2*(Costanti!$C$2/$AJ$24)*ABS(AH25)/(C$26)^2)*F$26)^2))</f>
        <v>1.675566290832811E-20</v>
      </c>
    </row>
    <row r="26" spans="2:43">
      <c r="B26" s="45" t="s">
        <v>37</v>
      </c>
      <c r="C26" s="30">
        <f>AVERAGE(N24:N28)</f>
        <v>3.0189680493130315E-5</v>
      </c>
      <c r="E26" s="132" t="s">
        <v>38</v>
      </c>
      <c r="F26" s="30">
        <f>_xlfn.STDEV.S(N24:N28)/SQRT(COUNT(N24:N28))</f>
        <v>9.6176622860346877E-7</v>
      </c>
      <c r="I26" s="84"/>
      <c r="J26" s="27"/>
      <c r="L26" s="72">
        <v>18.38</v>
      </c>
      <c r="M26">
        <v>0.3</v>
      </c>
      <c r="N26" s="85">
        <f>Costanti!$C$7/('Misure Gocce'!L26)</f>
        <v>2.7203482045701851E-5</v>
      </c>
      <c r="O26" s="40">
        <f>N26*SQRT((-M26/L26)^2)</f>
        <v>4.440176612464938E-7</v>
      </c>
      <c r="P26" s="85">
        <f>SQRT((Costanti!$C$6/(2*Costanti!$C$5))^2+(9*$G$24*N26)/(2*Costanti!$C$2*Costanti!$F$2))-Costanti!$C$6/(2*Costanti!$C$5)</f>
        <v>4.7874621786951999E-7</v>
      </c>
      <c r="Q26" s="40">
        <f>SQRT((1/2*(9*$G$24)/(2*Costanti!$C$2*Costanti!$F$2)/(P26+Costanti!$C$6/(2*Costanti!$C$5))*O26)^2+(1/2*(9*N26)/(2*Costanti!$C$2*Costanti!$F$2)/(P26+Costanti!$C$6/(2*Costanti!$C$5))*$H$24)^2)</f>
        <v>4.2640767888492842E-9</v>
      </c>
      <c r="S26" s="11">
        <v>340</v>
      </c>
      <c r="T26" s="2">
        <f>T25</f>
        <v>2</v>
      </c>
      <c r="U26" s="34">
        <v>3.92</v>
      </c>
      <c r="V26">
        <v>0.3</v>
      </c>
      <c r="W26" s="23">
        <f>Costanti!$C$7/('Misure Gocce'!U26)</f>
        <v>1.2755102040816328E-4</v>
      </c>
      <c r="X26">
        <f>W26*SQRT((-V26/U26)^2)</f>
        <v>9.7615576842982099E-6</v>
      </c>
      <c r="Y26" s="32">
        <f>$S$24/Costanti!$C$9</f>
        <v>45013.239187996478</v>
      </c>
      <c r="Z26" s="34">
        <f>Z25</f>
        <v>271.40720199044512</v>
      </c>
      <c r="AA26" s="26">
        <f>PI()*(-4/3)*('Misure Gocce'!$C$27)^3*(Costanti!$F$2)*(Costanti!$C$2)/'Misure Gocce'!$Y$24*(1-'Misure Gocce'!W26/$C$26)</f>
        <v>3.2747805737404728E-19</v>
      </c>
      <c r="AB26" s="37">
        <f>SQRT(((PI()*2*C$27^2*(-4/3)*Costanti!$F$2*Costanti!$C$2/('Misure Gocce'!$Y$24)*(1-'Misure Gocce'!W26/C$26))*F$27)^2+((PI()*C$27^3*(-4/3)*Costanti!$F$2*Costanti!$C$2/-('Misure Gocce'!Y26^2)*(1-'Misure Gocce'!W26/C$26))*Z26)^2+(((PI()*C$27^3*(-4/3)*Costanti!$F$2*Costanti!$C$2/(-'Misure Gocce'!Y26*C$26))*'Misure Gocce'!X26)^2)+((((4/3)*PI()*C$27^3*Costanti!$F$2*(Costanti!$C$2/'Misure Gocce'!Y26)*-('Misure Gocce'!W26)/(C$26)^2)*F$26)^2))</f>
        <v>3.734854081820043E-20</v>
      </c>
      <c r="AD26" s="11">
        <f>-S26</f>
        <v>-340</v>
      </c>
      <c r="AE26" s="2">
        <f>AE25</f>
        <v>2</v>
      </c>
      <c r="AF26" s="72">
        <v>7.08</v>
      </c>
      <c r="AG26">
        <v>0.3</v>
      </c>
      <c r="AH26" s="23">
        <f>Costanti!$C$7/('Misure Gocce'!AF26)</f>
        <v>7.0621468926553675E-5</v>
      </c>
      <c r="AI26">
        <f>AH26*SQRT((-AG26/AF26)^2)</f>
        <v>2.9924351240065114E-6</v>
      </c>
      <c r="AJ26" s="32">
        <f>AJ25</f>
        <v>-45013.239187996478</v>
      </c>
      <c r="AK26" s="34">
        <f>AK25</f>
        <v>271.40720199044512</v>
      </c>
      <c r="AL26" s="26">
        <f>PI()*(-4/3)*'Misure Gocce'!$C$27^3*(Costanti!$F$2)*Costanti!$C$2/'Misure Gocce'!$AJ$24*(1+ABS('Misure Gocce'!AH26)/$C$26)</f>
        <v>3.3908160469457056E-19</v>
      </c>
      <c r="AM26" s="37">
        <f>SQRT(((PI()*2*C$27^2*(-4/3)*Costanti!$F$2*Costanti!$C$2/($AJ$24)*(1+ABS(AH26)/C$26))*F$27)^2+((PI()*C$27^3*(-4/3)*Costanti!$F$2*Costanti!$C$2/(-$AJ$24^2)*(1+ABS(AH26)/C$26))*AK26)^2+(((PI()*C$27^3*(-4/3)*Costanti!$F$2*Costanti!$C$2/($AJ$24*C$26))*AI26)^2)+((((4/3)*PI()*C$27^3*Costanti!$F$2*(Costanti!$C$2/$AJ$24)*ABS(AH26)/(C$26)^2)*F$26)^2))</f>
        <v>1.726379757105558E-20</v>
      </c>
    </row>
    <row r="27" spans="2:43">
      <c r="B27" s="45" t="s">
        <v>39</v>
      </c>
      <c r="C27" s="30">
        <f>AVERAGE(P24:P28)</f>
        <v>5.0606193730099729E-7</v>
      </c>
      <c r="E27" t="s">
        <v>40</v>
      </c>
      <c r="F27" s="30">
        <f>_xlfn.STDEV.S(P24:P28)/SQRT(COUNT(P24:P28))</f>
        <v>8.67954787854881E-9</v>
      </c>
      <c r="I27" s="84"/>
      <c r="J27" s="27"/>
      <c r="L27" s="72">
        <v>16.170000000000002</v>
      </c>
      <c r="M27">
        <v>0.3</v>
      </c>
      <c r="N27" s="85">
        <f>Costanti!$C$7/('Misure Gocce'!L27)</f>
        <v>3.0921459492888058E-5</v>
      </c>
      <c r="O27" s="40">
        <f>N27*SQRT((-M27/L27)^2)</f>
        <v>5.7368199430219025E-7</v>
      </c>
      <c r="P27" s="85">
        <f>SQRT((Costanti!$C$6/(2*Costanti!$C$5))^2+(9*$G$24*N27)/(2*Costanti!$C$2*Costanti!$F$2))-Costanti!$C$6/(2*Costanti!$C$5)</f>
        <v>5.1288907591096865E-7</v>
      </c>
      <c r="Q27" s="40">
        <f>SQRT((1/2*(9*$G$24)/(2*Costanti!$C$2*Costanti!$F$2)/(P27+Costanti!$C$6/(2*Costanti!$C$5))*O27)^2+(1/2*(9*N27)/(2*Costanti!$C$2*Costanti!$F$2)/(P27+Costanti!$C$6/(2*Costanti!$C$5))*$H$24)^2)</f>
        <v>5.1550403251038886E-9</v>
      </c>
      <c r="S27" s="11">
        <v>340</v>
      </c>
      <c r="T27" s="2">
        <f>T26</f>
        <v>2</v>
      </c>
      <c r="U27" s="34">
        <v>3.55</v>
      </c>
      <c r="V27">
        <v>0.3</v>
      </c>
      <c r="W27" s="23">
        <f>Costanti!$C$7/('Misure Gocce'!U27)</f>
        <v>1.4084507042253522E-4</v>
      </c>
      <c r="X27">
        <f>W27*SQRT((-V27/U27)^2)</f>
        <v>1.1902400317397341E-5</v>
      </c>
      <c r="Y27" s="32">
        <f>$S$24/Costanti!$C$9</f>
        <v>45013.239187996478</v>
      </c>
      <c r="Z27" s="34">
        <f>Z26</f>
        <v>271.40720199044512</v>
      </c>
      <c r="AA27" s="26">
        <f>PI()*(-4/3)*('Misure Gocce'!$C$27)^3*(Costanti!$F$2)*(Costanti!$C$2)/'Misure Gocce'!$Y$24*(1-'Misure Gocce'!W27/$C$26)</f>
        <v>3.7219303024869387E-19</v>
      </c>
      <c r="AB27" s="37">
        <f>SQRT(((PI()*2*C$27^2*(-4/3)*Costanti!$F$2*Costanti!$C$2/('Misure Gocce'!$Y$24)*(1-'Misure Gocce'!W27/C$26))*F$27)^2+((PI()*C$27^3*(-4/3)*Costanti!$F$2*Costanti!$C$2/-('Misure Gocce'!Y27^2)*(1-'Misure Gocce'!W27/C$26))*Z27)^2+(((PI()*C$27^3*(-4/3)*Costanti!$F$2*Costanti!$C$2/(-'Misure Gocce'!Y27*C$26))*'Misure Gocce'!X27)^2)+((((4/3)*PI()*C$27^3*Costanti!$F$2*(Costanti!$C$2/'Misure Gocce'!Y27)*-('Misure Gocce'!W27)/(C$26)^2)*F$26)^2))</f>
        <v>4.4704975686235548E-20</v>
      </c>
      <c r="AD27" s="11">
        <f>-S27</f>
        <v>-340</v>
      </c>
      <c r="AE27" s="2">
        <f>AE26</f>
        <v>2</v>
      </c>
      <c r="AF27" s="72">
        <v>7.18</v>
      </c>
      <c r="AG27">
        <v>0.3</v>
      </c>
      <c r="AH27" s="23">
        <f>Costanti!$C$7/('Misure Gocce'!AF27)</f>
        <v>6.9637883008356549E-5</v>
      </c>
      <c r="AI27">
        <f>AH27*SQRT((-AG27/AF27)^2)</f>
        <v>2.9096608499313322E-6</v>
      </c>
      <c r="AJ27" s="32">
        <f>AJ26</f>
        <v>-45013.239187996478</v>
      </c>
      <c r="AK27" s="34">
        <f>AK26</f>
        <v>271.40720199044512</v>
      </c>
      <c r="AL27" s="26">
        <f>PI()*(-4/3)*'Misure Gocce'!$C$27^3*(Costanti!$F$2)*Costanti!$C$2/'Misure Gocce'!$AJ$24*(1+ABS('Misure Gocce'!AH27)/$C$26)</f>
        <v>3.3577328122621281E-19</v>
      </c>
      <c r="AM27" s="37">
        <f>SQRT(((PI()*2*C$27^2*(-4/3)*Costanti!$F$2*Costanti!$C$2/($AJ$24)*(1+ABS(AH27)/C$26))*F$27)^2+((PI()*C$27^3*(-4/3)*Costanti!$F$2*Costanti!$C$2/(-$AJ$24^2)*(1+ABS(AH27)/C$26))*AK27)^2+(((PI()*C$27^3*(-4/3)*Costanti!$F$2*Costanti!$C$2/($AJ$24*C$26))*AI27)^2)+((((4/3)*PI()*C$27^3*Costanti!$F$2*(Costanti!$C$2/$AJ$24)*ABS(AH27)/(C$26)^2)*F$26)^2))</f>
        <v>1.697702727962168E-20</v>
      </c>
    </row>
    <row r="28" spans="2:43">
      <c r="B28" s="46"/>
      <c r="C28" s="47"/>
      <c r="D28" s="47"/>
      <c r="E28" s="47"/>
      <c r="F28" s="47"/>
      <c r="G28" s="47"/>
      <c r="H28" s="47"/>
      <c r="I28" s="148"/>
      <c r="J28" s="29"/>
      <c r="L28" s="8">
        <v>15.1</v>
      </c>
      <c r="M28" s="12">
        <v>0.3</v>
      </c>
      <c r="N28" s="146">
        <f>Costanti!$C$7/('Misure Gocce'!L28)</f>
        <v>3.3112582781456954E-5</v>
      </c>
      <c r="O28" s="41">
        <f>N28*SQRT((-M28/L28)^2)</f>
        <v>6.5786588307530377E-7</v>
      </c>
      <c r="P28" s="146">
        <f>SQRT((Costanti!$C$6/(2*Costanti!$C$5))^2+(9*$G$24*N28)/(2*Costanti!$C$2*Costanti!$F$2))-Costanti!$C$6/(2*Costanti!$C$5)</f>
        <v>5.320577794474243E-7</v>
      </c>
      <c r="Q28" s="41">
        <f>SQRT((1/2*(9*$G$24)/(2*Costanti!$C$2*Costanti!$F$2)/(P28+Costanti!$C$6/(2*Costanti!$C$5))*O28)^2+(1/2*(9*N28)/(2*Costanti!$C$2*Costanti!$F$2)/(P28+Costanti!$C$6/(2*Costanti!$C$5))*$H$24)^2)</f>
        <v>5.7066135068728074E-9</v>
      </c>
      <c r="S28" s="8">
        <v>340</v>
      </c>
      <c r="T28" s="3">
        <f>T27</f>
        <v>2</v>
      </c>
      <c r="U28" s="35">
        <v>4.05</v>
      </c>
      <c r="V28" s="12">
        <v>0.3</v>
      </c>
      <c r="W28" s="24">
        <f>Costanti!$C$7/('Misure Gocce'!U28)</f>
        <v>1.2345679012345679E-4</v>
      </c>
      <c r="X28" s="12">
        <f>W28*SQRT((-V28/U28)^2)</f>
        <v>9.1449474165523548E-6</v>
      </c>
      <c r="Y28" s="33">
        <f>$S$24/Costanti!$C$9</f>
        <v>45013.239187996478</v>
      </c>
      <c r="Z28" s="35">
        <f>Z27</f>
        <v>271.40720199044512</v>
      </c>
      <c r="AA28" s="28">
        <f>PI()*(-4/3)*('Misure Gocce'!$C$27)^3*(Costanti!$F$2)*(Costanti!$C$2)/'Misure Gocce'!$Y$24*(1-'Misure Gocce'!W28/$C$26)</f>
        <v>3.1370697964188214E-19</v>
      </c>
      <c r="AB28" s="38">
        <f>SQRT(((PI()*2*C$27^2*(-4/3)*Costanti!$F$2*Costanti!$C$2/('Misure Gocce'!$Y$24)*(1-'Misure Gocce'!W28/C$26))*F$27)^2+((PI()*C$27^3*(-4/3)*Costanti!$F$2*Costanti!$C$2/-('Misure Gocce'!Y28^2)*(1-'Misure Gocce'!W28/C$26))*Z28)^2+(((PI()*C$27^3*(-4/3)*Costanti!$F$2*Costanti!$C$2/(-'Misure Gocce'!Y28*C$26))*'Misure Gocce'!X28)^2)+((((4/3)*PI()*C$27^3*Costanti!$F$2*(Costanti!$C$2/'Misure Gocce'!Y28)*-('Misure Gocce'!W28)/(C$26)^2)*F$26)^2))</f>
        <v>3.5220913028393666E-20</v>
      </c>
      <c r="AD28" s="8">
        <f>-S28</f>
        <v>-340</v>
      </c>
      <c r="AE28" s="3">
        <f>AE27</f>
        <v>2</v>
      </c>
      <c r="AF28" s="73">
        <v>7.16</v>
      </c>
      <c r="AG28" s="12">
        <v>0.3</v>
      </c>
      <c r="AH28" s="24">
        <f>Costanti!$C$7/('Misure Gocce'!AF28)</f>
        <v>6.9832402234636866E-5</v>
      </c>
      <c r="AI28" s="12">
        <f>AH28*SQRT((-AG28/AF28)^2)</f>
        <v>2.9259386411160695E-6</v>
      </c>
      <c r="AJ28" s="33">
        <f>AJ27</f>
        <v>-45013.239187996478</v>
      </c>
      <c r="AK28" s="35">
        <f>AK27</f>
        <v>271.40720199044512</v>
      </c>
      <c r="AL28" s="28">
        <f>PI()*(-4/3)*'Misure Gocce'!$C$27^3*(Costanti!$F$2)*Costanti!$C$2/'Misure Gocce'!$AJ$24*(1+ABS('Misure Gocce'!AH28)/$C$26)</f>
        <v>3.364275530182791E-19</v>
      </c>
      <c r="AM28" s="38">
        <f>SQRT(((PI()*2*C$27^2*(-4/3)*Costanti!$F$2*Costanti!$C$2/($AJ$24)*(1+ABS(AH28)/C$26))*F$27)^2+((PI()*C$27^3*(-4/3)*Costanti!$F$2*Costanti!$C$2/(-$AJ$24^2)*(1+ABS(AH28)/C$26))*AK28)^2+(((PI()*C$27^3*(-4/3)*Costanti!$F$2*Costanti!$C$2/($AJ$24*C$26))*AI28)^2)+((((4/3)*PI()*C$27^3*Costanti!$F$2*(Costanti!$C$2/$AJ$24)*ABS(AH28)/(C$26)^2)*F$26)^2))</f>
        <v>1.7033469973169672E-20</v>
      </c>
    </row>
    <row r="29" spans="2:43">
      <c r="I29" s="84"/>
      <c r="N29" s="84"/>
      <c r="O29" s="30"/>
      <c r="P29" s="84"/>
      <c r="Q29" s="30"/>
      <c r="U29" s="34"/>
      <c r="W29" s="30"/>
      <c r="Y29" s="42"/>
      <c r="Z29" s="34"/>
      <c r="AA29" s="30"/>
      <c r="AB29" s="30"/>
      <c r="AF29" s="34"/>
      <c r="AH29" s="30"/>
      <c r="AJ29" s="42"/>
      <c r="AK29" s="34"/>
      <c r="AL29" s="30"/>
      <c r="AM29" s="30"/>
    </row>
    <row r="30" spans="2:43">
      <c r="B30" s="113" t="s">
        <v>16</v>
      </c>
      <c r="C30" s="114" t="s">
        <v>17</v>
      </c>
      <c r="D30" s="114" t="s">
        <v>18</v>
      </c>
      <c r="E30" s="114" t="s">
        <v>19</v>
      </c>
      <c r="F30" s="114" t="s">
        <v>20</v>
      </c>
      <c r="G30" s="114" t="s">
        <v>21</v>
      </c>
      <c r="H30" s="114" t="s">
        <v>22</v>
      </c>
      <c r="I30" s="149" t="s">
        <v>23</v>
      </c>
      <c r="J30" s="115" t="s">
        <v>24</v>
      </c>
      <c r="L30" s="74" t="s">
        <v>25</v>
      </c>
      <c r="M30" s="75" t="s">
        <v>26</v>
      </c>
      <c r="N30" s="154" t="s">
        <v>27</v>
      </c>
      <c r="O30" s="75" t="s">
        <v>28</v>
      </c>
      <c r="P30" s="154" t="s">
        <v>29</v>
      </c>
      <c r="Q30" s="76" t="s">
        <v>30</v>
      </c>
      <c r="S30" s="77" t="s">
        <v>31</v>
      </c>
      <c r="T30" s="79" t="s">
        <v>32</v>
      </c>
      <c r="U30" s="161" t="s">
        <v>25</v>
      </c>
      <c r="V30" s="78" t="s">
        <v>26</v>
      </c>
      <c r="W30" s="77" t="s">
        <v>27</v>
      </c>
      <c r="X30" s="78" t="s">
        <v>28</v>
      </c>
      <c r="Y30" s="77" t="s">
        <v>33</v>
      </c>
      <c r="Z30" s="78" t="s">
        <v>34</v>
      </c>
      <c r="AA30" s="134" t="s">
        <v>35</v>
      </c>
      <c r="AB30" s="135" t="s">
        <v>36</v>
      </c>
      <c r="AD30" s="80" t="s">
        <v>31</v>
      </c>
      <c r="AE30" s="82" t="s">
        <v>32</v>
      </c>
      <c r="AF30" s="159" t="s">
        <v>25</v>
      </c>
      <c r="AG30" s="81" t="s">
        <v>26</v>
      </c>
      <c r="AH30" s="80" t="s">
        <v>27</v>
      </c>
      <c r="AI30" s="81" t="s">
        <v>28</v>
      </c>
      <c r="AJ30" s="80" t="s">
        <v>33</v>
      </c>
      <c r="AK30" s="81" t="s">
        <v>34</v>
      </c>
      <c r="AL30" s="136" t="s">
        <v>35</v>
      </c>
      <c r="AM30" s="137" t="s">
        <v>36</v>
      </c>
    </row>
    <row r="31" spans="2:43">
      <c r="B31" s="108">
        <v>5</v>
      </c>
      <c r="C31" s="111">
        <v>2.024</v>
      </c>
      <c r="D31" s="107">
        <v>1E-3</v>
      </c>
      <c r="E31" s="111">
        <v>24</v>
      </c>
      <c r="F31" s="111">
        <v>1</v>
      </c>
      <c r="G31" s="111">
        <f>(1.8+($E$31-15)*4.765*10^(-3))*10^(-5)</f>
        <v>1.8428850000000002E-5</v>
      </c>
      <c r="H31" s="111">
        <f>SQRT((4.765*10^(-8)*F31)^2)</f>
        <v>4.765E-8</v>
      </c>
      <c r="I31" s="150">
        <f>G31/(1+Costanti!$C$6/(Costanti!$C$5*C34))</f>
        <v>1.6244347399690594E-5</v>
      </c>
      <c r="J31" s="112">
        <f>(G31-I31)/G31</f>
        <v>0.11853710895196436</v>
      </c>
      <c r="L31" s="93">
        <v>12.57</v>
      </c>
      <c r="M31">
        <v>0.3</v>
      </c>
      <c r="N31" s="85">
        <f>Costanti!$C$7/'Misure Gocce'!L31</f>
        <v>3.9777247414478921E-5</v>
      </c>
      <c r="O31" s="40">
        <f>N31*SQRT((-M31/L31)^2)</f>
        <v>9.4933764712360195E-7</v>
      </c>
      <c r="P31" s="85">
        <f>SQRT((Costanti!$C$6/(2*Costanti!$C$5))^2+(9*$G$31*N31)/(2*Costanti!$C$2*Costanti!$F$2))-Costanti!$C$6/(2*Costanti!$C$5)</f>
        <v>5.867720660243211E-7</v>
      </c>
      <c r="Q31" s="40">
        <f>SQRT((1/2*(9*$G$31)/(2*Costanti!$C$2*Costanti!$F$2)/(P31+Costanti!$C$6/(2*Costanti!$C$5))*O31)^2+(1/2*(9*N31)/(2*Costanti!$C$2*Costanti!$F$2)/(P31+Costanti!$C$6/(2*Costanti!$C$5))*$H$31)^2)</f>
        <v>7.4973802521764996E-9</v>
      </c>
      <c r="S31" s="45">
        <v>410</v>
      </c>
      <c r="T31" s="2">
        <v>2</v>
      </c>
      <c r="U31" s="34">
        <v>1.2</v>
      </c>
      <c r="V31">
        <v>0.3</v>
      </c>
      <c r="W31" s="23">
        <f>Costanti!$C$7/'Misure Gocce'!U31</f>
        <v>4.1666666666666669E-4</v>
      </c>
      <c r="X31">
        <f>W31*SQRT((-V31/U31)^2)</f>
        <v>1.0416666666666667E-4</v>
      </c>
      <c r="Y31" s="32">
        <f>$S$31/Costanti!$C$9</f>
        <v>54280.670785525166</v>
      </c>
      <c r="Z31" s="34">
        <f>Y31*SQRT((T31/S31)^2+(Costanti!$C$10/Costanti!$C$9)^2)</f>
        <v>274.36245936706416</v>
      </c>
      <c r="AA31" s="25">
        <f>PI()*(-4/3)*('Misure Gocce'!$C$34)^3*(Costanti!$F$2)*(Costanti!$C$2)/'Misure Gocce'!$Y$31*(1-'Misure Gocce'!W31/'Misure Gocce'!$C$33)</f>
        <v>1.2724977008550723E-18</v>
      </c>
      <c r="AB31" s="36">
        <f>SQRT(((PI()*2*C$34^2*(-4/3)*Costanti!$F$2*Costanti!$C$2/('Misure Gocce'!$Y$31)*(1-'Misure Gocce'!W31/C$33))*F$34)^2+((PI()*C$34^3*(-4/3)*Costanti!$F$2*Costanti!$C$2/-('Misure Gocce'!Y31^2)*(1-'Misure Gocce'!W31/C$33))*Z31)^2+(((PI()*C$34^3*(-4/3)*Costanti!$F$2*Costanti!$C$2/(-'Misure Gocce'!Y31*C$33))*'Misure Gocce'!X31)^2)+((((4/3)*PI()*C$34^3*Costanti!$F$2*(Costanti!$C$2/'Misure Gocce'!Y31)*-('Misure Gocce'!W31)/(C$33)^2)*F$33)^2))</f>
        <v>3.54994934517762E-19</v>
      </c>
      <c r="AD31" s="45">
        <v>-410</v>
      </c>
      <c r="AE31" s="2">
        <v>2</v>
      </c>
      <c r="AF31" s="72">
        <v>2.0499999999999998</v>
      </c>
      <c r="AG31">
        <v>0.3</v>
      </c>
      <c r="AH31" s="23">
        <f>Costanti!$C$7/'Misure Gocce'!AF31</f>
        <v>2.4390243902439027E-4</v>
      </c>
      <c r="AI31">
        <f>AH31*SQRT((-AG31/AF31)^2)</f>
        <v>3.5693039857227848E-5</v>
      </c>
      <c r="AJ31" s="32">
        <f>$AD$31/Costanti!$C$9</f>
        <v>-54280.670785525166</v>
      </c>
      <c r="AK31" s="34">
        <f>ABS(AJ31)*SQRT((AE31/AD31)^2+(Costanti!$C$10/Costanti!$C$9)^2)</f>
        <v>274.36245936706416</v>
      </c>
      <c r="AL31" s="25">
        <f>PI()*(-4/3)*'Misure Gocce'!$C$34^3*(Costanti!$F$2)*Costanti!$C$2/'Misure Gocce'!$AJ$31*(1+ABS('Misure Gocce'!AH31)/'Misure Gocce'!$C$33)</f>
        <v>9.6937267183786253E-19</v>
      </c>
      <c r="AM31" s="36">
        <f>SQRT(((PI()*2*$C$34^2*(-4/3)*Costanti!$F$2*Costanti!$C$2/($AJ$31)*(1+ABS(AH31)/'Misure Gocce'!$C$33))*'Misure Gocce'!$F$34)^2+((PI()*$C$34^3*(-4/3)*Costanti!$F$2*Costanti!$C$2/(-$AJ$31^2)*(1+ABS(AH31)/'Misure Gocce'!$C$33))*AK31)^2+(((PI()*$C$34^3*(-4/3)*Costanti!$F$2*Costanti!$C$2/($AJ$31*'Misure Gocce'!$C$33))*AI31)^2)+((((4/3)*PI()*'Misure Gocce'!$C$34^3*Costanti!$F$2*(Costanti!$C$2/$AJ$31)*ABS(AH31)/($C$33)^2)*'Misure Gocce'!$F$33)^2))</f>
        <v>1.2310210999118841E-19</v>
      </c>
    </row>
    <row r="32" spans="2:43">
      <c r="B32" s="45"/>
      <c r="I32" s="84"/>
      <c r="J32" s="27"/>
      <c r="L32" s="93">
        <v>11.89</v>
      </c>
      <c r="M32">
        <v>0.3</v>
      </c>
      <c r="N32" s="85">
        <f>Costanti!$C$7/('Misure Gocce'!L32)</f>
        <v>4.2052144659377626E-5</v>
      </c>
      <c r="O32" s="40">
        <f>N32*SQRT((-M32/L32)^2)</f>
        <v>1.0610297222719333E-6</v>
      </c>
      <c r="P32" s="85">
        <f>SQRT((Costanti!$C$6/(2*Costanti!$C$5))^2+(9*$G$31*N32)/(2*Costanti!$C$2*Costanti!$F$2))-Costanti!$C$6/(2*Costanti!$C$5)</f>
        <v>6.0438619833605513E-7</v>
      </c>
      <c r="Q32" s="40">
        <f>SQRT((1/2*(9*$G$31)/(2*Costanti!$C$2*Costanti!$F$2)/(P32+Costanti!$C$6/(2*Costanti!$C$5))*O32)^2+(1/2*(9*N32)/(2*Costanti!$C$2*Costanti!$F$2)/(P32+Costanti!$C$6/(2*Costanti!$C$5))*$H$31)^2)</f>
        <v>8.1456027249280189E-9</v>
      </c>
      <c r="S32" s="45">
        <v>410</v>
      </c>
      <c r="T32" s="2">
        <f>T31</f>
        <v>2</v>
      </c>
      <c r="U32" s="34">
        <v>1.75</v>
      </c>
      <c r="V32">
        <v>0.3</v>
      </c>
      <c r="W32" s="23">
        <f>Costanti!$C$7/('Misure Gocce'!U32)</f>
        <v>2.8571428571428574E-4</v>
      </c>
      <c r="X32">
        <f>W32*SQRT((-V32/U32)^2)</f>
        <v>4.8979591836734697E-5</v>
      </c>
      <c r="Y32" s="32">
        <f>$S$31/Costanti!$C$9</f>
        <v>54280.670785525166</v>
      </c>
      <c r="Z32" s="34">
        <f>Z31</f>
        <v>274.36245936706416</v>
      </c>
      <c r="AA32" s="26">
        <f>PI()*(-4/3)*('Misure Gocce'!$C$34)^3*(Costanti!$F$2)*(Costanti!$C$2)/'Misure Gocce'!$Y$31*(1-'Misure Gocce'!W32/'Misure Gocce'!$C$33)</f>
        <v>8.2806537642231901E-19</v>
      </c>
      <c r="AB32" s="37">
        <f>SQRT(((PI()*2*C$34^2*(-4/3)*Costanti!$F$2*Costanti!$C$2/('Misure Gocce'!$Y$31)*(1-'Misure Gocce'!W32/C$33))*F$34)^2+((PI()*C$34^3*(-4/3)*Costanti!$F$2*Costanti!$C$2/-('Misure Gocce'!Y32^2)*(1-'Misure Gocce'!W32/C$33))*Z32)^2+(((PI()*C$34^3*(-4/3)*Costanti!$F$2*Costanti!$C$2/(-'Misure Gocce'!Y32*C$33))*'Misure Gocce'!X32)^2)+((((4/3)*PI()*C$34^3*Costanti!$F$2*(Costanti!$C$2/'Misure Gocce'!Y32)*-('Misure Gocce'!W32)/(C$33)^2)*F$33)^2))</f>
        <v>1.6762270859311341E-19</v>
      </c>
      <c r="AD32" s="45">
        <v>-410</v>
      </c>
      <c r="AE32" s="2">
        <f>AE31</f>
        <v>2</v>
      </c>
      <c r="AF32" s="72">
        <v>2.42</v>
      </c>
      <c r="AG32">
        <v>0.3</v>
      </c>
      <c r="AH32" s="23">
        <f>Costanti!$C$7/('Misure Gocce'!AF32)</f>
        <v>2.0661157024793391E-4</v>
      </c>
      <c r="AI32">
        <f>AH32*SQRT((-AG32/AF32)^2)</f>
        <v>2.5613004576190155E-5</v>
      </c>
      <c r="AJ32" s="32">
        <f>AJ31</f>
        <v>-54280.670785525166</v>
      </c>
      <c r="AK32" s="34">
        <f>AK31</f>
        <v>274.36245936706416</v>
      </c>
      <c r="AL32" s="26">
        <f>PI()*(-4/3)*'Misure Gocce'!$C$34^3*(Costanti!$F$2)*Costanti!$C$2/'Misure Gocce'!$AJ$31*(1+ABS('Misure Gocce'!AH32)/'Misure Gocce'!$C$33)</f>
        <v>8.4281317463815957E-19</v>
      </c>
      <c r="AM32" s="37">
        <f>SQRT(((PI()*2*$C$34^2*(-4/3)*Costanti!$F$2*Costanti!$C$2/($AJ$31)*(1+ABS(AH32)/'Misure Gocce'!$C$33))*'Misure Gocce'!$F$34)^2+((PI()*$C$34^3*(-4/3)*Costanti!$F$2*Costanti!$C$2/(-$AJ$31^2)*(1+ABS(AH32)/'Misure Gocce'!$C$33))*AK32)^2+(((PI()*$C$34^3*(-4/3)*Costanti!$F$2*Costanti!$C$2/($AJ$31*'Misure Gocce'!$C$33))*AI32)^2)+((((4/3)*PI()*'Misure Gocce'!$C$34^3*Costanti!$F$2*(Costanti!$C$2/$AJ$31)*ABS(AH32)/($C$33)^2)*'Misure Gocce'!$F$33)^2))</f>
        <v>8.8950799654705835E-20</v>
      </c>
    </row>
    <row r="33" spans="2:39">
      <c r="B33" s="45" t="s">
        <v>37</v>
      </c>
      <c r="C33" s="30">
        <f>AVERAGE(N31:N35)</f>
        <v>4.1724083684910573E-5</v>
      </c>
      <c r="E33" s="132" t="s">
        <v>38</v>
      </c>
      <c r="F33" s="30">
        <f>_xlfn.STDEV.S(N31:N35)/SQRT(COUNT(N31:N35))</f>
        <v>6.7415081217633904E-7</v>
      </c>
      <c r="I33" s="84"/>
      <c r="J33" s="27"/>
      <c r="L33" s="93">
        <v>12.24</v>
      </c>
      <c r="M33">
        <v>0.3</v>
      </c>
      <c r="N33" s="85">
        <f>Costanti!$C$7/('Misure Gocce'!L33)</f>
        <v>4.0849673202614376E-5</v>
      </c>
      <c r="O33" s="40">
        <f>N33*SQRT((-M33/L33)^2)</f>
        <v>1.0012174804562347E-6</v>
      </c>
      <c r="P33" s="85">
        <f>SQRT((Costanti!$C$6/(2*Costanti!$C$5))^2+(9*$G$31*N33)/(2*Costanti!$C$2*Costanti!$F$2))-Costanti!$C$6/(2*Costanti!$C$5)</f>
        <v>5.9513649189206476E-7</v>
      </c>
      <c r="Q33" s="40">
        <f>SQRT((1/2*(9*$G$31)/(2*Costanti!$C$2*Costanti!$F$2)/(P33+Costanti!$C$6/(2*Costanti!$C$5))*O33)^2+(1/2*(9*N33)/(2*Costanti!$C$2*Costanti!$F$2)/(P33+Costanti!$C$6/(2*Costanti!$C$5))*$H$31)^2)</f>
        <v>7.8006983391194371E-9</v>
      </c>
      <c r="S33" s="45">
        <v>410</v>
      </c>
      <c r="T33" s="2">
        <f>T32</f>
        <v>2</v>
      </c>
      <c r="U33" s="34">
        <v>1.72</v>
      </c>
      <c r="V33">
        <v>0.3</v>
      </c>
      <c r="W33" s="23">
        <f>Costanti!$C$7/('Misure Gocce'!U33)</f>
        <v>2.9069767441860465E-4</v>
      </c>
      <c r="X33">
        <f>W33*SQRT((-V33/U33)^2)</f>
        <v>5.0703082747431044E-5</v>
      </c>
      <c r="Y33" s="32">
        <f>$S$31/Costanti!$C$9</f>
        <v>54280.670785525166</v>
      </c>
      <c r="Z33" s="34">
        <f>Z32</f>
        <v>274.36245936706416</v>
      </c>
      <c r="AA33" s="26">
        <f>PI()*(-4/3)*('Misure Gocce'!$C$34)^3*(Costanti!$F$2)*(Costanti!$C$2)/'Misure Gocce'!$Y$31*(1-'Misure Gocce'!W33/'Misure Gocce'!$C$33)</f>
        <v>8.4497823443455904E-19</v>
      </c>
      <c r="AB33" s="37">
        <f>SQRT(((PI()*2*C$34^2*(-4/3)*Costanti!$F$2*Costanti!$C$2/('Misure Gocce'!$Y$31)*(1-'Misure Gocce'!W33/C$33))*F$34)^2+((PI()*C$34^3*(-4/3)*Costanti!$F$2*Costanti!$C$2/-('Misure Gocce'!Y33^2)*(1-'Misure Gocce'!W33/C$33))*Z33)^2+(((PI()*C$34^3*(-4/3)*Costanti!$F$2*Costanti!$C$2/(-'Misure Gocce'!Y33*C$33))*'Misure Gocce'!X33)^2)+((((4/3)*PI()*C$34^3*Costanti!$F$2*(Costanti!$C$2/'Misure Gocce'!Y33)*-('Misure Gocce'!W33)/(C$33)^2)*F$33)^2))</f>
        <v>1.7347601959400934E-19</v>
      </c>
      <c r="AD33" s="45">
        <v>-410</v>
      </c>
      <c r="AE33" s="2">
        <f>AE32</f>
        <v>2</v>
      </c>
      <c r="AF33" s="72">
        <v>2.08</v>
      </c>
      <c r="AG33">
        <v>0.3</v>
      </c>
      <c r="AH33" s="23">
        <f>Costanti!$C$7/('Misure Gocce'!AF33)</f>
        <v>2.4038461538461537E-4</v>
      </c>
      <c r="AI33">
        <f>AH33*SQRT((-AG33/AF33)^2)</f>
        <v>3.4670857988165675E-5</v>
      </c>
      <c r="AJ33" s="32">
        <f>AJ32</f>
        <v>-54280.670785525166</v>
      </c>
      <c r="AK33" s="34">
        <f>AK32</f>
        <v>274.36245936706416</v>
      </c>
      <c r="AL33" s="26">
        <f>PI()*(-4/3)*'Misure Gocce'!$C$34^3*(Costanti!$F$2)*Costanti!$C$2/'Misure Gocce'!$AJ$31*(1+ABS('Misure Gocce'!AH33)/'Misure Gocce'!$C$33)</f>
        <v>9.5743371719038526E-19</v>
      </c>
      <c r="AM33" s="37">
        <f>SQRT(((PI()*2*$C$34^2*(-4/3)*Costanti!$F$2*Costanti!$C$2/($AJ$31)*(1+ABS(AH33)/'Misure Gocce'!$C$33))*'Misure Gocce'!$F$34)^2+((PI()*$C$34^3*(-4/3)*Costanti!$F$2*Costanti!$C$2/(-$AJ$31^2)*(1+ABS(AH33)/'Misure Gocce'!$C$33))*AK33)^2+(((PI()*$C$34^3*(-4/3)*Costanti!$F$2*Costanti!$C$2/($AJ$31*'Misure Gocce'!$C$33))*AI33)^2)+((((4/3)*PI()*'Misure Gocce'!$C$34^3*Costanti!$F$2*(Costanti!$C$2/$AJ$31)*ABS(AH33)/($C$33)^2)*'Misure Gocce'!$F$33)^2))</f>
        <v>1.1963775160362712E-19</v>
      </c>
    </row>
    <row r="34" spans="2:39">
      <c r="B34" s="26" t="s">
        <v>39</v>
      </c>
      <c r="C34" s="30">
        <f>AVERAGE(P31:P35)</f>
        <v>6.0179273795615432E-7</v>
      </c>
      <c r="E34" t="s">
        <v>40</v>
      </c>
      <c r="F34" s="30">
        <f>_xlfn.STDEV.S(P31:P35)/SQRT(COUNT(P31:P35))</f>
        <v>5.1674584848316787E-9</v>
      </c>
      <c r="I34" s="84"/>
      <c r="J34" s="27"/>
      <c r="L34" s="93">
        <v>11.86</v>
      </c>
      <c r="M34">
        <v>0.3</v>
      </c>
      <c r="N34" s="85">
        <f>Costanti!$C$7/('Misure Gocce'!L34)</f>
        <v>4.2158516020236088E-5</v>
      </c>
      <c r="O34" s="40">
        <f>N34*SQRT((-M34/L34)^2)</f>
        <v>1.0664042838171018E-6</v>
      </c>
      <c r="P34" s="85">
        <f>SQRT((Costanti!$C$6/(2*Costanti!$C$5))^2+(9*$G$31*N34)/(2*Costanti!$C$2*Costanti!$F$2))-Costanti!$C$6/(2*Costanti!$C$5)</f>
        <v>6.051980536071841E-7</v>
      </c>
      <c r="Q34" s="40">
        <f>SQRT((1/2*(9*$G$31)/(2*Costanti!$C$2*Costanti!$F$2)/(P34+Costanti!$C$6/(2*Costanti!$C$5))*O34)^2+(1/2*(9*N34)/(2*Costanti!$C$2*Costanti!$F$2)/(P34+Costanti!$C$6/(2*Costanti!$C$5))*$H$31)^2)</f>
        <v>8.1763553325425664E-9</v>
      </c>
      <c r="S34" s="45">
        <v>410</v>
      </c>
      <c r="T34" s="2">
        <f>T33</f>
        <v>2</v>
      </c>
      <c r="U34" s="34">
        <v>1.6</v>
      </c>
      <c r="V34">
        <v>0.3</v>
      </c>
      <c r="W34" s="23">
        <f>Costanti!$C$7/('Misure Gocce'!U34)</f>
        <v>3.1250000000000001E-4</v>
      </c>
      <c r="X34">
        <f>W34*SQRT((-V34/U34)^2)</f>
        <v>5.8593749999999991E-5</v>
      </c>
      <c r="Y34" s="32">
        <f>$S$31/Costanti!$C$9</f>
        <v>54280.670785525166</v>
      </c>
      <c r="Z34" s="34">
        <f>Z33</f>
        <v>274.36245936706416</v>
      </c>
      <c r="AA34" s="26">
        <f>PI()*(-4/3)*('Misure Gocce'!$C$34)^3*(Costanti!$F$2)*(Costanti!$C$2)/'Misure Gocce'!$Y$31*(1-'Misure Gocce'!W34/'Misure Gocce'!$C$33)</f>
        <v>9.189719882381094E-19</v>
      </c>
      <c r="AB34" s="37">
        <f>SQRT(((PI()*2*C$34^2*(-4/3)*Costanti!$F$2*Costanti!$C$2/('Misure Gocce'!$Y$31)*(1-'Misure Gocce'!W34/C$33))*F$34)^2+((PI()*C$34^3*(-4/3)*Costanti!$F$2*Costanti!$C$2/-('Misure Gocce'!Y34^2)*(1-'Misure Gocce'!W34/C$33))*Z34)^2+(((PI()*C$34^3*(-4/3)*Costanti!$F$2*Costanti!$C$2/(-'Misure Gocce'!Y34*C$33))*'Misure Gocce'!X34)^2)+((((4/3)*PI()*C$34^3*Costanti!$F$2*(Costanti!$C$2/'Misure Gocce'!Y34)*-('Misure Gocce'!W34)/(C$33)^2)*F$33)^2))</f>
        <v>2.0027202284087977E-19</v>
      </c>
      <c r="AD34" s="45">
        <v>-410</v>
      </c>
      <c r="AE34" s="2">
        <f>AE33</f>
        <v>2</v>
      </c>
      <c r="AF34" s="72">
        <v>2.65</v>
      </c>
      <c r="AG34">
        <v>0.3</v>
      </c>
      <c r="AH34" s="23">
        <f>Costanti!$C$7/('Misure Gocce'!AF34)</f>
        <v>1.8867924528301889E-4</v>
      </c>
      <c r="AI34">
        <f>AH34*SQRT((-AG34/AF34)^2)</f>
        <v>2.1359914560341761E-5</v>
      </c>
      <c r="AJ34" s="32">
        <f>AJ33</f>
        <v>-54280.670785525166</v>
      </c>
      <c r="AK34" s="34">
        <f>AK33</f>
        <v>274.36245936706416</v>
      </c>
      <c r="AL34" s="26">
        <f>PI()*(-4/3)*'Misure Gocce'!$C$34^3*(Costanti!$F$2)*Costanti!$C$2/'Misure Gocce'!$AJ$31*(1+ABS('Misure Gocce'!AH34)/'Misure Gocce'!$C$33)</f>
        <v>7.8195361020199446E-19</v>
      </c>
      <c r="AM34" s="37">
        <f>SQRT(((PI()*2*$C$34^2*(-4/3)*Costanti!$F$2*Costanti!$C$2/($AJ$31)*(1+ABS(AH34)/'Misure Gocce'!$C$33))*'Misure Gocce'!$F$34)^2+((PI()*$C$34^3*(-4/3)*Costanti!$F$2*Costanti!$C$2/(-$AJ$31^2)*(1+ABS(AH34)/'Misure Gocce'!$C$33))*AK34)^2+(((PI()*$C$34^3*(-4/3)*Costanti!$F$2*Costanti!$C$2/($AJ$31*'Misure Gocce'!$C$33))*AI34)^2)+((((4/3)*PI()*'Misure Gocce'!$C$34^3*Costanti!$F$2*(Costanti!$C$2/$AJ$31)*ABS(AH34)/($C$33)^2)*'Misure Gocce'!$F$33)^2))</f>
        <v>7.455289685503046E-20</v>
      </c>
    </row>
    <row r="35" spans="2:39">
      <c r="B35" s="46"/>
      <c r="C35" s="47"/>
      <c r="D35" s="47"/>
      <c r="E35" s="47"/>
      <c r="F35" s="47"/>
      <c r="G35" s="47"/>
      <c r="H35" s="47"/>
      <c r="I35" s="148"/>
      <c r="J35" s="29"/>
      <c r="L35" s="94">
        <v>11.42</v>
      </c>
      <c r="M35" s="12">
        <v>0.3</v>
      </c>
      <c r="N35" s="146">
        <f>Costanti!$C$7/('Misure Gocce'!L35)</f>
        <v>4.3782837127845886E-5</v>
      </c>
      <c r="O35" s="48">
        <f>N35*SQRT((-M35/L35)^2)</f>
        <v>1.150162096178088E-6</v>
      </c>
      <c r="P35" s="155">
        <f>SQRT((Costanti!$C$6/(2*Costanti!$C$5))^2+(9*$G$31*N35)/(2*Costanti!$C$2*Costanti!$F$2))-Costanti!$C$6/(2*Costanti!$C$5)</f>
        <v>6.1747087992114637E-7</v>
      </c>
      <c r="Q35" s="41">
        <f>SQRT((1/2*(9*$G$31)/(2*Costanti!$C$2*Costanti!$F$2)/(P35+Costanti!$C$6/(2*Costanti!$C$5))*O35)^2+(1/2*(9*N35)/(2*Costanti!$C$2*Costanti!$F$2)/(P35+Costanti!$C$6/(2*Costanti!$C$5))*$H$31)^2)</f>
        <v>8.6507885996846287E-9</v>
      </c>
      <c r="S35" s="46">
        <v>410</v>
      </c>
      <c r="T35" s="50">
        <f>T34</f>
        <v>2</v>
      </c>
      <c r="U35" s="52">
        <v>1.65</v>
      </c>
      <c r="V35" s="12">
        <v>0.3</v>
      </c>
      <c r="W35" s="24">
        <f>Costanti!$C$7/('Misure Gocce'!U35)</f>
        <v>3.0303030303030303E-4</v>
      </c>
      <c r="X35" s="47">
        <f>W35*SQRT((-V35/U35)^2)</f>
        <v>5.5096418732782371E-5</v>
      </c>
      <c r="Y35" s="51">
        <f>$S$31/Costanti!$C$9</f>
        <v>54280.670785525166</v>
      </c>
      <c r="Z35" s="52">
        <f>Z34</f>
        <v>274.36245936706416</v>
      </c>
      <c r="AA35" s="28">
        <f>PI()*(-4/3)*('Misure Gocce'!$C$34)^3*(Costanti!$F$2)*(Costanti!$C$2)/'Misure Gocce'!$Y$31*(1-'Misure Gocce'!W35/'Misure Gocce'!$C$33)</f>
        <v>8.8683328709111282E-19</v>
      </c>
      <c r="AB35" s="38">
        <f>SQRT(((PI()*2*C$34^2*(-4/3)*Costanti!$F$2*Costanti!$C$2/('Misure Gocce'!$Y$31)*(1-'Misure Gocce'!W35/C$33))*F$34)^2+((PI()*C$34^3*(-4/3)*Costanti!$F$2*Costanti!$C$2/-('Misure Gocce'!Y35^2)*(1-'Misure Gocce'!W35/C$33))*Z35)^2+(((PI()*C$34^3*(-4/3)*Costanti!$F$2*Costanti!$C$2/(-'Misure Gocce'!Y35*C$33))*'Misure Gocce'!X35)^2)+((((4/3)*PI()*C$34^3*Costanti!$F$2*(Costanti!$C$2/'Misure Gocce'!Y35)*-('Misure Gocce'!W35)/(C$33)^2)*F$33)^2))</f>
        <v>1.8839581054620435E-19</v>
      </c>
      <c r="AD35" s="46">
        <v>-410</v>
      </c>
      <c r="AE35" s="50">
        <f>AE34</f>
        <v>2</v>
      </c>
      <c r="AF35" s="160">
        <v>2.4</v>
      </c>
      <c r="AG35" s="12">
        <v>0.3</v>
      </c>
      <c r="AH35" s="24">
        <f>Costanti!$C$7/('Misure Gocce'!AF35)</f>
        <v>2.0833333333333335E-4</v>
      </c>
      <c r="AI35" s="47">
        <f>AH35*SQRT((-AG35/AF35)^2)</f>
        <v>2.6041666666666668E-5</v>
      </c>
      <c r="AJ35" s="51">
        <f>AJ34</f>
        <v>-54280.670785525166</v>
      </c>
      <c r="AK35" s="52">
        <f>AK34</f>
        <v>274.36245936706416</v>
      </c>
      <c r="AL35" s="28">
        <f>PI()*(-4/3)*'Misure Gocce'!$C$34^3*(Costanti!$F$2)*Costanti!$C$2/'Misure Gocce'!$AJ$31*(1+ABS('Misure Gocce'!AH35)/'Misure Gocce'!$C$33)</f>
        <v>8.4865657484670448E-19</v>
      </c>
      <c r="AM35" s="38">
        <f>SQRT(((PI()*2*$C$34^2*(-4/3)*Costanti!$F$2*Costanti!$C$2/($AJ$31)*(1+ABS(AH35)/'Misure Gocce'!$C$33))*'Misure Gocce'!$F$34)^2+((PI()*$C$34^3*(-4/3)*Costanti!$F$2*Costanti!$C$2/(-$AJ$31^2)*(1+ABS(AH35)/'Misure Gocce'!$C$33))*AK35)^2+(((PI()*$C$34^3*(-4/3)*Costanti!$F$2*Costanti!$C$2/($AJ$31*'Misure Gocce'!$C$33))*AI35)^2)+((((4/3)*PI()*'Misure Gocce'!$C$34^3*Costanti!$F$2*(Costanti!$C$2/$AJ$31)*ABS(AH35)/($C$33)^2)*'Misure Gocce'!$F$33)^2))</f>
        <v>9.040243982126441E-20</v>
      </c>
    </row>
    <row r="36" spans="2:39">
      <c r="I36" s="84"/>
      <c r="N36" s="84"/>
      <c r="O36" s="30"/>
      <c r="P36" s="84"/>
      <c r="Q36" s="30"/>
      <c r="U36" s="34"/>
      <c r="W36" s="30"/>
      <c r="Y36" s="42"/>
      <c r="Z36" s="34"/>
      <c r="AA36" s="30"/>
      <c r="AB36" s="30"/>
      <c r="AF36" s="34"/>
      <c r="AH36" s="30"/>
      <c r="AJ36" s="42"/>
      <c r="AK36" s="34"/>
      <c r="AL36" s="30"/>
      <c r="AM36" s="30"/>
    </row>
    <row r="37" spans="2:39">
      <c r="B37" s="117" t="s">
        <v>16</v>
      </c>
      <c r="C37" s="118" t="s">
        <v>17</v>
      </c>
      <c r="D37" s="118" t="s">
        <v>18</v>
      </c>
      <c r="E37" s="118" t="s">
        <v>19</v>
      </c>
      <c r="F37" s="118" t="s">
        <v>20</v>
      </c>
      <c r="G37" s="118" t="s">
        <v>21</v>
      </c>
      <c r="H37" s="118" t="s">
        <v>22</v>
      </c>
      <c r="I37" s="151" t="s">
        <v>23</v>
      </c>
      <c r="J37" s="119" t="s">
        <v>24</v>
      </c>
      <c r="L37" s="74" t="s">
        <v>25</v>
      </c>
      <c r="M37" s="75" t="s">
        <v>26</v>
      </c>
      <c r="N37" s="154" t="s">
        <v>27</v>
      </c>
      <c r="O37" s="75" t="s">
        <v>28</v>
      </c>
      <c r="P37" s="154" t="s">
        <v>29</v>
      </c>
      <c r="Q37" s="76" t="s">
        <v>30</v>
      </c>
      <c r="S37" s="77" t="s">
        <v>31</v>
      </c>
      <c r="T37" s="79" t="s">
        <v>32</v>
      </c>
      <c r="U37" s="161" t="s">
        <v>25</v>
      </c>
      <c r="V37" s="78" t="s">
        <v>26</v>
      </c>
      <c r="W37" s="77" t="s">
        <v>27</v>
      </c>
      <c r="X37" s="78" t="s">
        <v>28</v>
      </c>
      <c r="Y37" s="77" t="s">
        <v>33</v>
      </c>
      <c r="Z37" s="78" t="s">
        <v>34</v>
      </c>
      <c r="AA37" s="77" t="s">
        <v>35</v>
      </c>
      <c r="AB37" s="79" t="s">
        <v>36</v>
      </c>
      <c r="AD37" s="80" t="s">
        <v>31</v>
      </c>
      <c r="AE37" s="82" t="s">
        <v>32</v>
      </c>
      <c r="AF37" s="159" t="s">
        <v>25</v>
      </c>
      <c r="AG37" s="81" t="s">
        <v>26</v>
      </c>
      <c r="AH37" s="80" t="s">
        <v>27</v>
      </c>
      <c r="AI37" s="81" t="s">
        <v>28</v>
      </c>
      <c r="AJ37" s="80" t="s">
        <v>33</v>
      </c>
      <c r="AK37" s="81" t="s">
        <v>34</v>
      </c>
      <c r="AL37" s="80" t="s">
        <v>35</v>
      </c>
      <c r="AM37" s="82" t="s">
        <v>36</v>
      </c>
    </row>
    <row r="38" spans="2:39">
      <c r="B38" s="122">
        <v>6</v>
      </c>
      <c r="C38" s="123">
        <v>2.028</v>
      </c>
      <c r="D38" s="123">
        <v>1E-3</v>
      </c>
      <c r="E38" s="123">
        <v>24</v>
      </c>
      <c r="F38" s="123">
        <v>1</v>
      </c>
      <c r="G38" s="123">
        <f>(1.8+($E$38-15)*4.765*10^(-3))*10^(-5)</f>
        <v>1.8428850000000002E-5</v>
      </c>
      <c r="H38" s="123">
        <f>SQRT((4.765*10^(-8)*F38)^2)</f>
        <v>4.765E-8</v>
      </c>
      <c r="I38" s="153">
        <f>G38/(1+Costanti!$C$6/(Costanti!$C$5*C41))</f>
        <v>1.6761839554753921E-5</v>
      </c>
      <c r="J38" s="124">
        <f>(G38-I38)/G38</f>
        <v>9.0456563770722573E-2</v>
      </c>
      <c r="L38" s="93">
        <v>6.77</v>
      </c>
      <c r="M38">
        <v>0.3</v>
      </c>
      <c r="N38" s="85">
        <f>Costanti!$C$7/'Misure Gocce'!L38</f>
        <v>7.3855243722304291E-5</v>
      </c>
      <c r="O38" s="40">
        <f>N38*SQRT((-M38/L38)^2)</f>
        <v>3.2727582151685799E-6</v>
      </c>
      <c r="P38" s="85">
        <f>SQRT((Costanti!$C$6/(2*Costanti!$C$5))^2+(9*$G$38*N38)/(2*Costanti!$C$2*Costanti!$F$2))-Costanti!$C$6/(2*Costanti!$C$5)</f>
        <v>8.1339648319008845E-7</v>
      </c>
      <c r="Q38" s="40">
        <f>SQRT((1/2*(9*$G$38)/(2*Costanti!$C$2*Costanti!$F$2)/(P38+Costanti!$C$6/(2*Costanti!$C$5))*O38)^2+(1/2*(9*N38)/(2*Costanti!$C$2*Costanti!$F$2)/(P38+Costanti!$C$6/(2*Costanti!$C$5))*$H$38)^2)</f>
        <v>1.8908237955834113E-8</v>
      </c>
      <c r="S38" s="45">
        <v>380</v>
      </c>
      <c r="T38" s="2">
        <v>2</v>
      </c>
      <c r="U38" s="34">
        <v>1.43</v>
      </c>
      <c r="V38">
        <v>0.3</v>
      </c>
      <c r="W38" s="23">
        <f>Costanti!$C$7/'Misure Gocce'!U38</f>
        <v>3.4965034965034965E-4</v>
      </c>
      <c r="X38">
        <f>W38*SQRT((-V38/U38)^2)</f>
        <v>7.3353220206367057E-5</v>
      </c>
      <c r="Y38" s="32">
        <f>$S$38/Costanti!$C$9</f>
        <v>50308.9143865843</v>
      </c>
      <c r="Z38" s="34">
        <f>Y38*SQRT((T38/S38)^2+(Costanti!$C$10/Costanti!$C$9)^2)</f>
        <v>273.03233245109493</v>
      </c>
      <c r="AA38" s="23">
        <f>PI()*(-4/3)*('Misure Gocce'!$C$41)^3*(Costanti!$F$2)*(Costanti!$C$2)/'Misure Gocce'!$Y$38*(1-'Misure Gocce'!W38/'Misure Gocce'!$C$40)</f>
        <v>1.4079677762355536E-18</v>
      </c>
      <c r="AB38" s="40">
        <f>SQRT(((PI()*2*$C$41^2*(-4/3)*Costanti!$F$2*Costanti!$C$2/('Misure Gocce'!$Y$38)*(1-'Misure Gocce'!W38/$C$40))*$F$41)^2+((PI()*$C$41^3*(-4/3)*Costanti!$F$2*Costanti!$C$2/-('Misure Gocce'!Y38^2)*(1-'Misure Gocce'!W38/$C$40))*Z38)^2+(((PI()*$C$41^3*(-4/3)*Costanti!$F$2*Costanti!$C$2/(-'Misure Gocce'!Y38*$C$40))*'Misure Gocce'!X38)^2)+((((4/3)*PI()*$C$41^3*Costanti!$F$2*(Costanti!$C$2/'Misure Gocce'!Y38)*-('Misure Gocce'!W38)/($C$40)^2)*$F$40)^2))</f>
        <v>3.7938100427356407E-19</v>
      </c>
      <c r="AD38" s="45">
        <v>-380</v>
      </c>
      <c r="AE38" s="2">
        <v>2</v>
      </c>
      <c r="AF38" s="72">
        <v>3.33</v>
      </c>
      <c r="AG38">
        <v>0.3</v>
      </c>
      <c r="AH38" s="23">
        <f>Costanti!$C$7/'Misure Gocce'!AF38</f>
        <v>1.5015015015015014E-4</v>
      </c>
      <c r="AI38">
        <f>AH38*SQRT((-AG38/AF38)^2)</f>
        <v>1.352704055406758E-5</v>
      </c>
      <c r="AJ38" s="32">
        <f>$AD$38/Costanti!$C$9</f>
        <v>-50308.9143865843</v>
      </c>
      <c r="AK38" s="34">
        <f>ABS(AJ38)*SQRT((AE38/AD38)^2+(Costanti!$C$10/Costanti!$C$9)^2)</f>
        <v>273.03233245109493</v>
      </c>
      <c r="AL38" s="26">
        <f>PI()*(-4/3)*'Misure Gocce'!$C$41^3*(Costanti!$F$2)*Costanti!$C$2/'Misure Gocce'!$AJ$38*(1+ABS('Misure Gocce'!AH38)/'Misure Gocce'!$C$40)</f>
        <v>1.1445596792592653E-18</v>
      </c>
      <c r="AM38" s="37">
        <f>SQRT(((PI()*2*$C$41^2*(-4/3)*Costanti!$F$2*Costanti!$C$2/($AJ$38)*(1+ABS(AH38)/$C$40))*$F$41)^2+((PI()*$C$41^3*(-4/3)*Costanti!$F$2*Costanti!$C$2/(-$AJ$38^2)*(1+ABS(AH38)/$C$40))*AK38)^2+(((PI()*$C$41^3*(-4/3)*Costanti!$F$2*Costanti!$C$2/($AJ$38*$C$40))*AI38)^2)+((((4/3)*PI()*$C$41^3*Costanti!$F$2*(Costanti!$C$2/$AJ$38)*ABS(AH38)/($C$40)^2)*$F$40)^2))</f>
        <v>7.8378102661512247E-20</v>
      </c>
    </row>
    <row r="39" spans="2:39">
      <c r="B39" s="45"/>
      <c r="I39" s="84"/>
      <c r="J39" s="27"/>
      <c r="L39" s="93">
        <v>7.16</v>
      </c>
      <c r="M39">
        <v>0.3</v>
      </c>
      <c r="N39" s="85">
        <f>Costanti!$C$7/('Misure Gocce'!L39)</f>
        <v>6.9832402234636866E-5</v>
      </c>
      <c r="O39" s="40">
        <f>N39*SQRT((-M39/L39)^2)</f>
        <v>2.9259386411160695E-6</v>
      </c>
      <c r="P39" s="85">
        <f>SQRT((Costanti!$C$6/(2*Costanti!$C$5))^2+(9*$G$38*N39)/(2*Costanti!$C$2*Costanti!$F$2))-Costanti!$C$6/(2*Costanti!$C$5)</f>
        <v>7.8987001780161348E-7</v>
      </c>
      <c r="Q39" s="40">
        <f>SQRT((1/2*(9*$G$38)/(2*Costanti!$C$2*Costanti!$F$2)/(P39+Costanti!$C$6/(2*Costanti!$C$5))*O39)^2+(1/2*(9*N39)/(2*Costanti!$C$2*Costanti!$F$2)/(P39+Costanti!$C$6/(2*Costanti!$C$5))*$H$38)^2)</f>
        <v>1.7386963960723179E-8</v>
      </c>
      <c r="S39" s="45">
        <v>380</v>
      </c>
      <c r="T39" s="2">
        <f>T38</f>
        <v>2</v>
      </c>
      <c r="U39" s="34">
        <v>1.48</v>
      </c>
      <c r="V39">
        <v>0.3</v>
      </c>
      <c r="W39" s="23">
        <f>Costanti!$C$7/('Misure Gocce'!U39)</f>
        <v>3.3783783783783786E-4</v>
      </c>
      <c r="X39">
        <f>W39*SQRT((-V39/U39)^2)</f>
        <v>6.8480642804967127E-5</v>
      </c>
      <c r="Y39" s="32">
        <f>$S$38/Costanti!$C$9</f>
        <v>50308.9143865843</v>
      </c>
      <c r="Z39" s="34">
        <f>Z38</f>
        <v>273.03233245109493</v>
      </c>
      <c r="AA39" s="23">
        <f>PI()*(-4/3)*('Misure Gocce'!$C$41)^3*(Costanti!$F$2)*(Costanti!$C$2)/'Misure Gocce'!$Y$38*(1-'Misure Gocce'!W39/'Misure Gocce'!$C$40)</f>
        <v>1.3476401840626193E-18</v>
      </c>
      <c r="AB39" s="40">
        <f>SQRT(((PI()*2*$C$41^2*(-4/3)*Costanti!$F$2*Costanti!$C$2/('Misure Gocce'!$Y$38)*(1-'Misure Gocce'!W39/$C$40))*$F$41)^2+((PI()*$C$41^3*(-4/3)*Costanti!$F$2*Costanti!$C$2/-('Misure Gocce'!Y39^2)*(1-'Misure Gocce'!W39/$C$40))*Z39)^2+(((PI()*$C$41^3*(-4/3)*Costanti!$F$2*Costanti!$C$2/(-'Misure Gocce'!Y39*$C$40))*'Misure Gocce'!X39)^2)+((((4/3)*PI()*$C$41^3*Costanti!$F$2*(Costanti!$C$2/'Misure Gocce'!Y39)*-('Misure Gocce'!W39)/($C$40)^2)*$F$40)^2))</f>
        <v>3.5445759602002137E-19</v>
      </c>
      <c r="AD39" s="45">
        <v>-380</v>
      </c>
      <c r="AE39" s="2">
        <f>AE38</f>
        <v>2</v>
      </c>
      <c r="AF39" s="72">
        <v>3.27</v>
      </c>
      <c r="AG39">
        <v>0.3</v>
      </c>
      <c r="AH39" s="23">
        <f>Costanti!$C$7/('Misure Gocce'!AF39)</f>
        <v>1.529051987767584E-4</v>
      </c>
      <c r="AI39">
        <f>AH39*SQRT((-AG39/AF39)^2)</f>
        <v>1.4027999887775999E-5</v>
      </c>
      <c r="AJ39" s="32">
        <f>AJ38</f>
        <v>-50308.9143865843</v>
      </c>
      <c r="AK39" s="34">
        <f>AK38</f>
        <v>273.03233245109493</v>
      </c>
      <c r="AL39" s="26">
        <f>PI()*(-4/3)*'Misure Gocce'!$C$41^3*(Costanti!$F$2)*Costanti!$C$2/'Misure Gocce'!$AJ$38*(1+ABS('Misure Gocce'!AH39)/'Misure Gocce'!$C$40)</f>
        <v>1.1586299678313013E-18</v>
      </c>
      <c r="AM39" s="37">
        <f>SQRT(((PI()*2*$C$41^2*(-4/3)*Costanti!$F$2*Costanti!$C$2/($AJ$38)*(1+ABS(AH39)/$C$40))*$F$41)^2+((PI()*$C$41^3*(-4/3)*Costanti!$F$2*Costanti!$C$2/(-$AJ$38^2)*(1+ABS(AH39)/$C$40))*AK39)^2+(((PI()*$C$41^3*(-4/3)*Costanti!$F$2*Costanti!$C$2/($AJ$38*$C$40))*AI39)^2)+((((4/3)*PI()*$C$41^3*Costanti!$F$2*(Costanti!$C$2/$AJ$38)*ABS(AH39)/($C$40)^2)*$F$40)^2))</f>
        <v>8.0881610214995898E-20</v>
      </c>
    </row>
    <row r="40" spans="2:39">
      <c r="B40" s="45" t="s">
        <v>37</v>
      </c>
      <c r="C40" s="30">
        <f>AVERAGE(N38:N42)</f>
        <v>7.396164089594686E-5</v>
      </c>
      <c r="E40" s="132" t="s">
        <v>38</v>
      </c>
      <c r="F40" s="30">
        <f>_xlfn.STDEV.S(N38:N42)/SQRT(COUNT(N38:N42))</f>
        <v>1.8984176942279901E-6</v>
      </c>
      <c r="I40" s="84"/>
      <c r="J40" s="27"/>
      <c r="L40" s="93">
        <v>6.5</v>
      </c>
      <c r="M40">
        <v>0.3</v>
      </c>
      <c r="N40" s="85">
        <f>Costanti!$C$7/('Misure Gocce'!L40)</f>
        <v>7.6923076923076926E-5</v>
      </c>
      <c r="O40" s="40">
        <f>N40*SQRT((-M40/L40)^2)</f>
        <v>3.5502958579881654E-6</v>
      </c>
      <c r="P40" s="85">
        <f>SQRT((Costanti!$C$6/(2*Costanti!$C$5))^2+(9*$G$38*N40)/(2*Costanti!$C$2*Costanti!$F$2))-Costanti!$C$6/(2*Costanti!$C$5)</f>
        <v>8.3091104820765617E-7</v>
      </c>
      <c r="Q40" s="40">
        <f>SQRT((1/2*(9*$G$38)/(2*Costanti!$C$2*Costanti!$F$2)/(P40+Costanti!$C$6/(2*Costanti!$C$5))*O40)^2+(1/2*(9*N40)/(2*Costanti!$C$2*Costanti!$F$2)/(P40+Costanti!$C$6/(2*Costanti!$C$5))*$H$38)^2)</f>
        <v>2.0096751950778113E-8</v>
      </c>
      <c r="S40" s="45">
        <v>380</v>
      </c>
      <c r="T40" s="2">
        <f>T39</f>
        <v>2</v>
      </c>
      <c r="U40" s="34">
        <v>1.68</v>
      </c>
      <c r="V40">
        <v>0.3</v>
      </c>
      <c r="W40" s="23">
        <f>Costanti!$C$7/('Misure Gocce'!U40)</f>
        <v>2.9761904761904765E-4</v>
      </c>
      <c r="X40">
        <f>W40*SQRT((-V40/U40)^2)</f>
        <v>5.3146258503401365E-5</v>
      </c>
      <c r="Y40" s="32">
        <f>$S$38/Costanti!$C$9</f>
        <v>50308.9143865843</v>
      </c>
      <c r="Z40" s="34">
        <f>Z39</f>
        <v>273.03233245109493</v>
      </c>
      <c r="AA40" s="23">
        <f>PI()*(-4/3)*('Misure Gocce'!$C$41)^3*(Costanti!$F$2)*(Costanti!$C$2)/'Misure Gocce'!$Y$38*(1-'Misure Gocce'!W40/'Misure Gocce'!$C$40)</f>
        <v>1.1422390964262003E-18</v>
      </c>
      <c r="AB40" s="40">
        <f>SQRT(((PI()*2*$C$41^2*(-4/3)*Costanti!$F$2*Costanti!$C$2/('Misure Gocce'!$Y$38)*(1-'Misure Gocce'!W40/$C$40))*$F$41)^2+((PI()*$C$41^3*(-4/3)*Costanti!$F$2*Costanti!$C$2/-('Misure Gocce'!Y40^2)*(1-'Misure Gocce'!W40/$C$40))*Z40)^2+(((PI()*$C$41^3*(-4/3)*Costanti!$F$2*Costanti!$C$2/(-'Misure Gocce'!Y40*$C$40))*'Misure Gocce'!X40)^2)+((((4/3)*PI()*$C$41^3*Costanti!$F$2*(Costanti!$C$2/'Misure Gocce'!Y40)*-('Misure Gocce'!W40)/($C$40)^2)*$F$40)^2))</f>
        <v>2.7599205811254688E-19</v>
      </c>
      <c r="AD40" s="45">
        <v>-380</v>
      </c>
      <c r="AE40" s="2">
        <f>AE39</f>
        <v>2</v>
      </c>
      <c r="AF40" s="72">
        <v>2.87</v>
      </c>
      <c r="AG40">
        <v>0.3</v>
      </c>
      <c r="AH40" s="23">
        <f>Costanti!$C$7/('Misure Gocce'!AF40)</f>
        <v>1.7421602787456446E-4</v>
      </c>
      <c r="AI40">
        <f>AH40*SQRT((-AG40/AF40)^2)</f>
        <v>1.8210734621034611E-5</v>
      </c>
      <c r="AJ40" s="32">
        <f>AJ39</f>
        <v>-50308.9143865843</v>
      </c>
      <c r="AK40" s="34">
        <f>AK39</f>
        <v>273.03233245109493</v>
      </c>
      <c r="AL40" s="26">
        <f>PI()*(-4/3)*'Misure Gocce'!$C$41^3*(Costanti!$F$2)*Costanti!$C$2/'Misure Gocce'!$AJ$38*(1+ABS('Misure Gocce'!AH40)/'Misure Gocce'!$C$40)</f>
        <v>1.2674663463327647E-18</v>
      </c>
      <c r="AM40" s="37">
        <f>SQRT(((PI()*2*$C$41^2*(-4/3)*Costanti!$F$2*Costanti!$C$2/($AJ$38)*(1+ABS(AH40)/$C$40))*$F$41)^2+((PI()*$C$41^3*(-4/3)*Costanti!$F$2*Costanti!$C$2/(-$AJ$38^2)*(1+ABS(AH40)/$C$40))*AK40)^2+(((PI()*$C$41^3*(-4/3)*Costanti!$F$2*Costanti!$C$2/($AJ$38*$C$40))*AI40)^2)+((((4/3)*PI()*$C$41^3*Costanti!$F$2*(Costanti!$C$2/$AJ$38)*ABS(AH40)/($C$40)^2)*$F$40)^2))</f>
        <v>1.0186705727530236E-19</v>
      </c>
    </row>
    <row r="41" spans="2:39">
      <c r="B41" s="45" t="s">
        <v>39</v>
      </c>
      <c r="C41" s="30">
        <f>AVERAGE(P38:P42)</f>
        <v>8.1373050704709096E-7</v>
      </c>
      <c r="E41" t="s">
        <v>40</v>
      </c>
      <c r="F41" s="30">
        <f>_xlfn.STDEV.S(P38:P42)/SQRT(COUNT(P38:P42))</f>
        <v>1.0925110558218239E-8</v>
      </c>
      <c r="I41" s="84"/>
      <c r="J41" s="27"/>
      <c r="L41" s="93">
        <v>6.3</v>
      </c>
      <c r="M41">
        <v>0.3</v>
      </c>
      <c r="N41" s="85">
        <f>Costanti!$C$7/('Misure Gocce'!L41)</f>
        <v>7.9365079365079365E-5</v>
      </c>
      <c r="O41" s="40">
        <f>N41*SQRT((-M41/L41)^2)</f>
        <v>3.7792894935752077E-6</v>
      </c>
      <c r="P41" s="85">
        <f>SQRT((Costanti!$C$6/(2*Costanti!$C$5))^2+(9*$G$38*N41)/(2*Costanti!$C$2*Costanti!$F$2))-Costanti!$C$6/(2*Costanti!$C$5)</f>
        <v>8.4460496823448366E-7</v>
      </c>
      <c r="Q41" s="40">
        <f>SQRT((1/2*(9*$G$38)/(2*Costanti!$C$2*Costanti!$F$2)/(P41+Costanti!$C$6/(2*Costanti!$C$5))*O41)^2+(1/2*(9*N41)/(2*Costanti!$C$2*Costanti!$F$2)/(P41+Costanti!$C$6/(2*Costanti!$C$5))*$H$38)^2)</f>
        <v>2.1059997872878212E-8</v>
      </c>
      <c r="S41" s="45">
        <v>380</v>
      </c>
      <c r="T41" s="2">
        <f>T40</f>
        <v>2</v>
      </c>
      <c r="U41" s="34">
        <v>1.68</v>
      </c>
      <c r="V41">
        <v>0.3</v>
      </c>
      <c r="W41" s="23">
        <f>Costanti!$C$7/('Misure Gocce'!U41)</f>
        <v>2.9761904761904765E-4</v>
      </c>
      <c r="X41">
        <f>W41*SQRT((-V41/U41)^2)</f>
        <v>5.3146258503401365E-5</v>
      </c>
      <c r="Y41" s="32">
        <f>$S$38/Costanti!$C$9</f>
        <v>50308.9143865843</v>
      </c>
      <c r="Z41" s="34">
        <f>Z40</f>
        <v>273.03233245109493</v>
      </c>
      <c r="AA41" s="23">
        <f>PI()*(-4/3)*('Misure Gocce'!$C$41)^3*(Costanti!$F$2)*(Costanti!$C$2)/'Misure Gocce'!$Y$38*(1-'Misure Gocce'!W41/'Misure Gocce'!$C$40)</f>
        <v>1.1422390964262003E-18</v>
      </c>
      <c r="AB41" s="40">
        <f>SQRT(((PI()*2*$C$41^2*(-4/3)*Costanti!$F$2*Costanti!$C$2/('Misure Gocce'!$Y$38)*(1-'Misure Gocce'!W41/$C$40))*$F$41)^2+((PI()*$C$41^3*(-4/3)*Costanti!$F$2*Costanti!$C$2/-('Misure Gocce'!Y41^2)*(1-'Misure Gocce'!W41/$C$40))*Z41)^2+(((PI()*$C$41^3*(-4/3)*Costanti!$F$2*Costanti!$C$2/(-'Misure Gocce'!Y41*$C$40))*'Misure Gocce'!X41)^2)+((((4/3)*PI()*$C$41^3*Costanti!$F$2*(Costanti!$C$2/'Misure Gocce'!Y41)*-('Misure Gocce'!W41)/($C$40)^2)*$F$40)^2))</f>
        <v>2.7599205811254688E-19</v>
      </c>
      <c r="AD41" s="45">
        <v>-380</v>
      </c>
      <c r="AE41" s="2">
        <f>AE40</f>
        <v>2</v>
      </c>
      <c r="AF41" s="72">
        <v>3.35</v>
      </c>
      <c r="AG41">
        <v>0.3</v>
      </c>
      <c r="AH41" s="23">
        <f>Costanti!$C$7/('Misure Gocce'!AF41)</f>
        <v>1.4925373134328358E-4</v>
      </c>
      <c r="AI41">
        <f>AH41*SQRT((-AG41/AF41)^2)</f>
        <v>1.3366005791935842E-5</v>
      </c>
      <c r="AJ41" s="32">
        <f>AJ40</f>
        <v>-50308.9143865843</v>
      </c>
      <c r="AK41" s="34">
        <f>AK40</f>
        <v>273.03233245109493</v>
      </c>
      <c r="AL41" s="26">
        <f>PI()*(-4/3)*'Misure Gocce'!$C$41^3*(Costanti!$F$2)*Costanti!$C$2/'Misure Gocce'!$AJ$38*(1+ABS('Misure Gocce'!AH41)/'Misure Gocce'!$C$40)</f>
        <v>1.1399815853656774E-18</v>
      </c>
      <c r="AM41" s="37">
        <f>SQRT(((PI()*2*$C$41^2*(-4/3)*Costanti!$F$2*Costanti!$C$2/($AJ$38)*(1+ABS(AH41)/$C$40))*$F$41)^2+((PI()*$C$41^3*(-4/3)*Costanti!$F$2*Costanti!$C$2/(-$AJ$38^2)*(1+ABS(AH41)/$C$40))*AK41)^2+(((PI()*$C$41^3*(-4/3)*Costanti!$F$2*Costanti!$C$2/($AJ$38*$C$40))*AI41)^2)+((((4/3)*PI()*$C$41^3*Costanti!$F$2*(Costanti!$C$2/$AJ$38)*ABS(AH41)/($C$40)^2)*$F$40)^2))</f>
        <v>7.7573903073699308E-20</v>
      </c>
    </row>
    <row r="42" spans="2:39">
      <c r="B42" s="46"/>
      <c r="C42" s="47"/>
      <c r="D42" s="47"/>
      <c r="E42" s="47"/>
      <c r="F42" s="47"/>
      <c r="G42" s="47"/>
      <c r="H42" s="47"/>
      <c r="I42" s="148"/>
      <c r="J42" s="29"/>
      <c r="L42" s="94">
        <v>7.16</v>
      </c>
      <c r="M42" s="12">
        <v>0.3</v>
      </c>
      <c r="N42" s="146">
        <f>Costanti!$C$7/('Misure Gocce'!L42)</f>
        <v>6.9832402234636866E-5</v>
      </c>
      <c r="O42" s="48">
        <f>N42*SQRT((-M42/L42)^2)</f>
        <v>2.9259386411160695E-6</v>
      </c>
      <c r="P42" s="155">
        <f>SQRT((Costanti!$C$6/(2*Costanti!$C$5))^2+(9*$G$38*N42)/(2*Costanti!$C$2*Costanti!$F$2))-Costanti!$C$6/(2*Costanti!$C$5)</f>
        <v>7.8987001780161348E-7</v>
      </c>
      <c r="Q42" s="41">
        <f>SQRT((1/2*(9*$G$38)/(2*Costanti!$C$2*Costanti!$F$2)/(P42+Costanti!$C$6/(2*Costanti!$C$5))*O42)^2+(1/2*(9*N42)/(2*Costanti!$C$2*Costanti!$F$2)/(P42+Costanti!$C$6/(2*Costanti!$C$5))*$H$38)^2)</f>
        <v>1.7386963960723179E-8</v>
      </c>
      <c r="S42" s="46">
        <v>380</v>
      </c>
      <c r="T42" s="50">
        <f>T41</f>
        <v>2</v>
      </c>
      <c r="U42" s="52">
        <v>1.46</v>
      </c>
      <c r="V42" s="12">
        <v>0.3</v>
      </c>
      <c r="W42" s="24">
        <f>Costanti!$C$7/('Misure Gocce'!U42)</f>
        <v>3.4246575342465754E-4</v>
      </c>
      <c r="X42" s="47">
        <f>W42*SQRT((-V42/U42)^2)</f>
        <v>7.0369675361231E-5</v>
      </c>
      <c r="Y42" s="51">
        <f>$S$38/Costanti!$C$9</f>
        <v>50308.9143865843</v>
      </c>
      <c r="Z42" s="52">
        <f>Z41</f>
        <v>273.03233245109493</v>
      </c>
      <c r="AA42" s="24">
        <f>PI()*(-4/3)*('Misure Gocce'!$C$41)^3*(Costanti!$F$2)*(Costanti!$C$2)/'Misure Gocce'!$Y$38*(1-'Misure Gocce'!W42/'Misure Gocce'!$C$40)</f>
        <v>1.3712753777084536E-18</v>
      </c>
      <c r="AB42" s="41">
        <f>SQRT(((PI()*2*$C$41^2*(-4/3)*Costanti!$F$2*Costanti!$C$2/('Misure Gocce'!$Y$38)*(1-'Misure Gocce'!W42/$C$40))*$F$41)^2+((PI()*$C$41^3*(-4/3)*Costanti!$F$2*Costanti!$C$2/-('Misure Gocce'!Y42^2)*(1-'Misure Gocce'!W42/$C$40))*Z42)^2+(((PI()*$C$41^3*(-4/3)*Costanti!$F$2*Costanti!$C$2/(-'Misure Gocce'!Y42*$C$40))*'Misure Gocce'!X42)^2)+((((4/3)*PI()*$C$41^3*Costanti!$F$2*(Costanti!$C$2/'Misure Gocce'!Y42)*-('Misure Gocce'!W42)/($C$40)^2)*$F$40)^2))</f>
        <v>3.6412050143458449E-19</v>
      </c>
      <c r="AD42" s="46">
        <v>-380</v>
      </c>
      <c r="AE42" s="50">
        <f>AE41</f>
        <v>2</v>
      </c>
      <c r="AF42" s="160">
        <v>2.67</v>
      </c>
      <c r="AG42" s="12">
        <v>0.3</v>
      </c>
      <c r="AH42" s="24">
        <f>Costanti!$C$7/('Misure Gocce'!AF42)</f>
        <v>1.8726591760299626E-4</v>
      </c>
      <c r="AI42" s="47">
        <f>AH42*SQRT((-AG42/AF42)^2)</f>
        <v>2.1041114337415309E-5</v>
      </c>
      <c r="AJ42" s="51">
        <f>AJ41</f>
        <v>-50308.9143865843</v>
      </c>
      <c r="AK42" s="52">
        <f>AK41</f>
        <v>273.03233245109493</v>
      </c>
      <c r="AL42" s="28">
        <f>PI()*(-4/3)*'Misure Gocce'!$C$41^3*(Costanti!$F$2)*Costanti!$C$2/'Misure Gocce'!$AJ$38*(1+ABS('Misure Gocce'!AH42)/'Misure Gocce'!$C$40)</f>
        <v>1.3341133421566946E-18</v>
      </c>
      <c r="AM42" s="141">
        <f>SQRT(((PI()*2*$C$41^2*(-4/3)*Costanti!$F$2*Costanti!$C$2/($AJ$38)*(1+ABS(AH42)/$C$40))*$F$41)^2+((PI()*$C$41^3*(-4/3)*Costanti!$F$2*Costanti!$C$2/(-$AJ$38^2)*(1+ABS(AH42)/$C$40))*AK42)^2+(((PI()*$C$41^3*(-4/3)*Costanti!$F$2*Costanti!$C$2/($AJ$38*$C$40))*AI42)^2)+((((4/3)*PI()*$C$41^3*Costanti!$F$2*(Costanti!$C$2/$AJ$38)*ABS(AH42)/($C$40)^2)*$F$40)^2))</f>
        <v>1.1612826687044846E-19</v>
      </c>
    </row>
    <row r="43" spans="2:39">
      <c r="I43" s="84"/>
      <c r="N43" s="84"/>
      <c r="O43" s="30"/>
      <c r="P43" s="84"/>
      <c r="Q43" s="30"/>
      <c r="U43" s="34"/>
      <c r="W43" s="30"/>
      <c r="Y43" s="42"/>
      <c r="Z43" s="34"/>
      <c r="AA43" s="30"/>
      <c r="AB43" s="30"/>
      <c r="AF43" s="34"/>
      <c r="AH43" s="30"/>
      <c r="AJ43" s="42"/>
      <c r="AK43" s="34"/>
      <c r="AL43" s="30"/>
      <c r="AM43" s="30"/>
    </row>
    <row r="44" spans="2:39">
      <c r="B44" s="117" t="s">
        <v>16</v>
      </c>
      <c r="C44" s="118" t="s">
        <v>17</v>
      </c>
      <c r="D44" s="118" t="s">
        <v>18</v>
      </c>
      <c r="E44" s="118" t="s">
        <v>19</v>
      </c>
      <c r="F44" s="118" t="s">
        <v>20</v>
      </c>
      <c r="G44" s="118" t="s">
        <v>21</v>
      </c>
      <c r="H44" s="118" t="s">
        <v>22</v>
      </c>
      <c r="I44" s="151" t="s">
        <v>23</v>
      </c>
      <c r="J44" s="119" t="s">
        <v>24</v>
      </c>
      <c r="L44" s="74" t="s">
        <v>25</v>
      </c>
      <c r="M44" s="75" t="s">
        <v>26</v>
      </c>
      <c r="N44" s="154" t="s">
        <v>27</v>
      </c>
      <c r="O44" s="75" t="s">
        <v>28</v>
      </c>
      <c r="P44" s="154" t="s">
        <v>29</v>
      </c>
      <c r="Q44" s="76" t="s">
        <v>30</v>
      </c>
      <c r="S44" s="77" t="s">
        <v>31</v>
      </c>
      <c r="T44" s="79" t="s">
        <v>32</v>
      </c>
      <c r="U44" s="161" t="s">
        <v>25</v>
      </c>
      <c r="V44" s="78" t="s">
        <v>26</v>
      </c>
      <c r="W44" s="77" t="s">
        <v>27</v>
      </c>
      <c r="X44" s="78" t="s">
        <v>28</v>
      </c>
      <c r="Y44" s="77" t="s">
        <v>33</v>
      </c>
      <c r="Z44" s="78" t="s">
        <v>34</v>
      </c>
      <c r="AA44" s="77" t="s">
        <v>35</v>
      </c>
      <c r="AB44" s="79" t="s">
        <v>36</v>
      </c>
      <c r="AD44" s="125" t="s">
        <v>31</v>
      </c>
      <c r="AE44" s="126" t="s">
        <v>32</v>
      </c>
      <c r="AF44" s="158" t="s">
        <v>25</v>
      </c>
      <c r="AG44" s="127" t="s">
        <v>26</v>
      </c>
      <c r="AH44" s="128" t="s">
        <v>27</v>
      </c>
      <c r="AI44" s="127" t="s">
        <v>28</v>
      </c>
      <c r="AJ44" s="128" t="s">
        <v>33</v>
      </c>
      <c r="AK44" s="127" t="s">
        <v>34</v>
      </c>
      <c r="AL44" s="128" t="s">
        <v>35</v>
      </c>
      <c r="AM44" s="129" t="s">
        <v>36</v>
      </c>
    </row>
    <row r="45" spans="2:39">
      <c r="B45" s="122">
        <v>7</v>
      </c>
      <c r="C45" s="123">
        <v>2.028</v>
      </c>
      <c r="D45" s="123">
        <v>1E-3</v>
      </c>
      <c r="E45" s="123">
        <v>24</v>
      </c>
      <c r="F45" s="123">
        <v>1</v>
      </c>
      <c r="G45" s="123">
        <f>(1.8+($E$45-15)*4.765*10^(-3))*10^(-5)</f>
        <v>1.8428850000000002E-5</v>
      </c>
      <c r="H45" s="123">
        <f>SQRT((4.765*10^(-8)*F45)^2)</f>
        <v>4.765E-8</v>
      </c>
      <c r="I45" s="153">
        <f>G45/(1+Costanti!$C$6/(Costanti!$C$5*C48))</f>
        <v>1.6723932934163339E-5</v>
      </c>
      <c r="J45" s="124">
        <f>(G45-I45)/G45</f>
        <v>9.2513481081926613E-2</v>
      </c>
      <c r="L45" s="93">
        <v>7.6</v>
      </c>
      <c r="M45">
        <v>0.3</v>
      </c>
      <c r="N45" s="85">
        <f>Costanti!$C$7/'Misure Gocce'!L45</f>
        <v>6.5789473684210525E-5</v>
      </c>
      <c r="O45" s="40">
        <f>N45*SQRT((-M45/L45)^2)</f>
        <v>2.5969529085872574E-6</v>
      </c>
      <c r="P45" s="85">
        <f>SQRT((Costanti!$C$6/(2*Costanti!$C$5))^2+(9*$G$45*N45)/(2*Costanti!$C$2*Costanti!$F$2))-Costanti!$C$6/(2*Costanti!$C$5)</f>
        <v>7.6553450429511806E-7</v>
      </c>
      <c r="Q45" s="40">
        <f>SQRT((1/2*(9*$G$45)/(2*Costanti!$C$2*Costanti!$F$2)/(P45+Costanti!$C$6/(2*Costanti!$C$5))*O45)^2+(1/2*(9*N45)/(2*Costanti!$C$2*Costanti!$F$2)/(P45+Costanti!$C$6/(2*Costanti!$C$5))*$H$45)^2)</f>
        <v>1.5901772835287313E-8</v>
      </c>
      <c r="S45" s="11">
        <v>380</v>
      </c>
      <c r="T45" s="2">
        <v>2</v>
      </c>
      <c r="U45" s="34">
        <v>1.3</v>
      </c>
      <c r="V45">
        <v>0.3</v>
      </c>
      <c r="W45" s="23">
        <f>Costanti!$C$7/'Misure Gocce'!U45</f>
        <v>3.8461538461538462E-4</v>
      </c>
      <c r="X45">
        <f>W45*SQRT((-V45/U45)^2)</f>
        <v>8.8757396449704138E-5</v>
      </c>
      <c r="Y45" s="32">
        <f>$S$45/Costanti!$C$9</f>
        <v>50308.9143865843</v>
      </c>
      <c r="Z45" s="34">
        <f>Y45*SQRT((T45/S45)^2+(Costanti!$C$10/Costanti!$C$9)^2)</f>
        <v>273.03233245109493</v>
      </c>
      <c r="AA45" s="23">
        <f>PI()*(-4/3)*('Misure Gocce'!$C$48)^3*(Costanti!$F$2)*(Costanti!$C$2)/'Misure Gocce'!$Y$45*(1-'Misure Gocce'!W45/$C$47)</f>
        <v>1.5613766898178482E-18</v>
      </c>
      <c r="AB45" s="40">
        <f>SQRT(((PI()*2*$C$48^2*(-4/3)*Costanti!$F$2*Costanti!$C$2/('Misure Gocce'!$Y$45)*(1-'Misure Gocce'!W45/'Misure Gocce'!$C$47))*'Misure Gocce'!$F$48)^2+((PI()*$C$48^3*(-4/3)*Costanti!$F$2*Costanti!$C$2/-('Misure Gocce'!Y45^2)*(1-'Misure Gocce'!W45/'Misure Gocce'!$C$47))*Z45)^2+(((PI()*$C$48^3*(-4/3)*Costanti!$F$2*Costanti!$C$2/(-'Misure Gocce'!Y45*'Misure Gocce'!$C$47))*'Misure Gocce'!X45)^2)+((((4/3)*PI()*'Misure Gocce'!$C$48^3*Costanti!$F$2*(Costanti!$C$2/'Misure Gocce'!Y45)*-('Misure Gocce'!W45)/('Misure Gocce'!$C$47)^2)*'Misure Gocce'!$F$47)^2))</f>
        <v>4.4544071646001764E-19</v>
      </c>
      <c r="AD45" s="11">
        <f>-S45</f>
        <v>-380</v>
      </c>
      <c r="AE45" s="2">
        <v>2</v>
      </c>
      <c r="AF45" s="34">
        <v>2.67</v>
      </c>
      <c r="AG45">
        <v>0.3</v>
      </c>
      <c r="AH45" s="23">
        <f>Costanti!$C$7/'Misure Gocce'!AF45</f>
        <v>1.8726591760299626E-4</v>
      </c>
      <c r="AI45">
        <f>AH45*SQRT((-AG45/AF45)^2)</f>
        <v>2.1041114337415309E-5</v>
      </c>
      <c r="AJ45" s="32">
        <f>$AD$45/Costanti!$C$9</f>
        <v>-50308.9143865843</v>
      </c>
      <c r="AK45" s="34">
        <f>ABS(AJ45)*SQRT((AE45/AD45)^2+(Costanti!$C$10/Costanti!$C$9)^2)</f>
        <v>273.03233245109493</v>
      </c>
      <c r="AL45" s="26">
        <f>PI()*(-4/3)*'Misure Gocce'!$C$48^3*(Costanti!$F$2)*Costanti!$C$2/'Misure Gocce'!$AJ$45*(1+ABS('Misure Gocce'!AH45)/$C$47)</f>
        <v>1.2816735626985753E-18</v>
      </c>
      <c r="AM45" s="37">
        <f>SQRT(((PI()*2*$C$48^2*(-4/3)*Costanti!$F$2*Costanti!$C$2/($AJ$45)*(1+ABS(AH45)/'Misure Gocce'!$C$47))*'Misure Gocce'!$F$48)^2+((PI()*$C$48^3*(-4/3)*Costanti!$F$2*Costanti!$C$2/(-$AJ$45^2)*(1+ABS(AH45)/'Misure Gocce'!$C$47))*AK45)^2+(((PI()*$C$48^3*(-4/3)*Costanti!$F$2*Costanti!$C$2/($AJ$45*'Misure Gocce'!$C$47))*AI45)^2)+((((4/3)*PI()*'Misure Gocce'!$C$48^3*Costanti!$F$2*(Costanti!$C$2/$AJ$45)*ABS(AH45)/($C$47)^2)*'Misure Gocce'!$F$47)^2))</f>
        <v>1.1191820083950217E-19</v>
      </c>
    </row>
    <row r="46" spans="2:39">
      <c r="B46" s="45"/>
      <c r="I46" s="84"/>
      <c r="J46" s="27"/>
      <c r="L46" s="93">
        <v>7.2</v>
      </c>
      <c r="M46">
        <v>0.3</v>
      </c>
      <c r="N46" s="85">
        <f>Costanti!$C$7/('Misure Gocce'!L46)</f>
        <v>6.9444444444444444E-5</v>
      </c>
      <c r="O46" s="40">
        <f>N46*SQRT((-M46/L46)^2)</f>
        <v>2.8935185185185184E-6</v>
      </c>
      <c r="P46" s="85">
        <f>SQRT((Costanti!$C$6/(2*Costanti!$C$5))^2+(9*$G$45*N46)/(2*Costanti!$C$2*Costanti!$F$2))-Costanti!$C$6/(2*Costanti!$C$5)</f>
        <v>7.8756581516737706E-7</v>
      </c>
      <c r="Q46" s="40">
        <f>SQRT((1/2*(9*$G$45)/(2*Costanti!$C$2*Costanti!$F$2)/(P46+Costanti!$C$6/(2*Costanti!$C$5))*O46)^2+(1/2*(9*N46)/(2*Costanti!$C$2*Costanti!$F$2)/(P46+Costanti!$C$6/(2*Costanti!$C$5))*$H$45)^2)</f>
        <v>1.7242526086765786E-8</v>
      </c>
      <c r="S46" s="11">
        <v>380</v>
      </c>
      <c r="T46" s="2">
        <f>T45</f>
        <v>2</v>
      </c>
      <c r="U46" s="34">
        <v>1.63</v>
      </c>
      <c r="V46">
        <v>0.3</v>
      </c>
      <c r="W46" s="23">
        <f>Costanti!$C$7/('Misure Gocce'!U46)</f>
        <v>3.0674846625766873E-4</v>
      </c>
      <c r="X46">
        <f>W46*SQRT((-V46/U46)^2)</f>
        <v>5.6456772930859273E-5</v>
      </c>
      <c r="Y46" s="32">
        <f>$S$45/Costanti!$C$9</f>
        <v>50308.9143865843</v>
      </c>
      <c r="Z46" s="34">
        <f>Z45</f>
        <v>273.03233245109493</v>
      </c>
      <c r="AA46" s="23">
        <f>PI()*(-4/3)*('Misure Gocce'!$C$48)^3*(Costanti!$F$2)*(Costanti!$C$2)/'Misure Gocce'!$Y$45*(1-'Misure Gocce'!W46/$C$47)</f>
        <v>1.1742691536196406E-18</v>
      </c>
      <c r="AB46" s="40">
        <f>SQRT(((PI()*2*$C$48^2*(-4/3)*Costanti!$F$2*Costanti!$C$2/('Misure Gocce'!$Y$45)*(1-'Misure Gocce'!W46/'Misure Gocce'!$C$47))*'Misure Gocce'!$F$48)^2+((PI()*$C$48^3*(-4/3)*Costanti!$F$2*Costanti!$C$2/-('Misure Gocce'!Y46^2)*(1-'Misure Gocce'!W46/'Misure Gocce'!$C$47))*Z46)^2+(((PI()*$C$48^3*(-4/3)*Costanti!$F$2*Costanti!$C$2/(-'Misure Gocce'!Y46*'Misure Gocce'!$C$47))*'Misure Gocce'!X46)^2)+((((4/3)*PI()*'Misure Gocce'!$C$48^3*Costanti!$F$2*(Costanti!$C$2/'Misure Gocce'!Y46)*-('Misure Gocce'!W46)/('Misure Gocce'!$C$47)^2)*'Misure Gocce'!$F$47)^2))</f>
        <v>2.8465117145488207E-19</v>
      </c>
      <c r="AD46" s="11">
        <f>-S46</f>
        <v>-380</v>
      </c>
      <c r="AE46" s="2">
        <f>AE45</f>
        <v>2</v>
      </c>
      <c r="AF46" s="34">
        <v>2.87</v>
      </c>
      <c r="AG46">
        <v>0.3</v>
      </c>
      <c r="AH46" s="23">
        <f>Costanti!$C$7/('Misure Gocce'!AF46)</f>
        <v>1.7421602787456446E-4</v>
      </c>
      <c r="AI46">
        <f>AH46*SQRT((-AG46/AF46)^2)</f>
        <v>1.8210734621034611E-5</v>
      </c>
      <c r="AJ46" s="32">
        <f>AJ45</f>
        <v>-50308.9143865843</v>
      </c>
      <c r="AK46" s="34">
        <f>AK45</f>
        <v>273.03233245109493</v>
      </c>
      <c r="AL46" s="26">
        <f>PI()*(-4/3)*'Misure Gocce'!$C$48^3*(Costanti!$F$2)*Costanti!$C$2/'Misure Gocce'!$AJ$45*(1+ABS('Misure Gocce'!AH46)/$C$47)</f>
        <v>1.2167973512473364E-18</v>
      </c>
      <c r="AM46" s="37">
        <f>SQRT(((PI()*2*$C$48^2*(-4/3)*Costanti!$F$2*Costanti!$C$2/($AJ$45)*(1+ABS(AH46)/'Misure Gocce'!$C$47))*'Misure Gocce'!$F$48)^2+((PI()*$C$48^3*(-4/3)*Costanti!$F$2*Costanti!$C$2/(-$AJ$45^2)*(1+ABS(AH46)/'Misure Gocce'!$C$47))*AK46)^2+(((PI()*$C$48^3*(-4/3)*Costanti!$F$2*Costanti!$C$2/($AJ$45*'Misure Gocce'!$C$47))*AI46)^2)+((((4/3)*PI()*'Misure Gocce'!$C$48^3*Costanti!$F$2*(Costanti!$C$2/$AJ$45)*ABS(AH46)/($C$47)^2)*'Misure Gocce'!$F$47)^2))</f>
        <v>9.8008851654091562E-20</v>
      </c>
    </row>
    <row r="47" spans="2:39">
      <c r="B47" s="45" t="s">
        <v>37</v>
      </c>
      <c r="C47" s="30">
        <f>AVERAGE(N45:N49)</f>
        <v>7.0543505711338466E-5</v>
      </c>
      <c r="E47" s="132" t="s">
        <v>38</v>
      </c>
      <c r="F47" s="30">
        <f>_xlfn.STDEV.S(N45:N49)/SQRT(COUNT(N45:N49))</f>
        <v>1.6941926426185069E-6</v>
      </c>
      <c r="I47" s="84"/>
      <c r="J47" s="27"/>
      <c r="L47" s="93">
        <v>7.19</v>
      </c>
      <c r="M47">
        <v>0.3</v>
      </c>
      <c r="N47" s="85">
        <f>Costanti!$C$7/('Misure Gocce'!L47)</f>
        <v>6.9541029207232258E-5</v>
      </c>
      <c r="O47" s="40">
        <f>N47*SQRT((-M47/L47)^2)</f>
        <v>2.9015728459206782E-6</v>
      </c>
      <c r="P47" s="85">
        <f>SQRT((Costanti!$C$6/(2*Costanti!$C$5))^2+(9*$G$45*N47)/(2*Costanti!$C$2*Costanti!$F$2))-Costanti!$C$6/(2*Costanti!$C$5)</f>
        <v>7.8814006131343043E-7</v>
      </c>
      <c r="Q47" s="40">
        <f>SQRT((1/2*(9*$G$45)/(2*Costanti!$C$2*Costanti!$F$2)/(P47+Costanti!$C$6/(2*Costanti!$C$5))*O47)^2+(1/2*(9*N47)/(2*Costanti!$C$2*Costanti!$F$2)/(P47+Costanti!$C$6/(2*Costanti!$C$5))*$H$45)^2)</f>
        <v>1.7278447142546845E-8</v>
      </c>
      <c r="S47" s="11">
        <v>380</v>
      </c>
      <c r="T47" s="2">
        <f>T46</f>
        <v>2</v>
      </c>
      <c r="U47" s="34">
        <v>1.55</v>
      </c>
      <c r="V47">
        <v>0.3</v>
      </c>
      <c r="W47" s="23">
        <f>Costanti!$C$7/('Misure Gocce'!U47)</f>
        <v>3.2258064516129032E-4</v>
      </c>
      <c r="X47">
        <f>W47*SQRT((-V47/U47)^2)</f>
        <v>6.2434963579604581E-5</v>
      </c>
      <c r="Y47" s="32">
        <f>$S$45/Costanti!$C$9</f>
        <v>50308.9143865843</v>
      </c>
      <c r="Z47" s="34">
        <f>Z46</f>
        <v>273.03233245109493</v>
      </c>
      <c r="AA47" s="23">
        <f>PI()*(-4/3)*('Misure Gocce'!$C$48)^3*(Costanti!$F$2)*(Costanti!$C$2)/'Misure Gocce'!$Y$45*(1-'Misure Gocce'!W47/$C$47)</f>
        <v>1.2529772352708889E-18</v>
      </c>
      <c r="AB47" s="40">
        <f>SQRT(((PI()*2*$C$48^2*(-4/3)*Costanti!$F$2*Costanti!$C$2/('Misure Gocce'!$Y$45)*(1-'Misure Gocce'!W47/'Misure Gocce'!$C$47))*'Misure Gocce'!$F$48)^2+((PI()*$C$48^3*(-4/3)*Costanti!$F$2*Costanti!$C$2/-('Misure Gocce'!Y47^2)*(1-'Misure Gocce'!W47/'Misure Gocce'!$C$47))*Z47)^2+(((PI()*$C$48^3*(-4/3)*Costanti!$F$2*Costanti!$C$2/(-'Misure Gocce'!Y47*'Misure Gocce'!$C$47))*'Misure Gocce'!X47)^2)+((((4/3)*PI()*'Misure Gocce'!$C$48^3*Costanti!$F$2*(Costanti!$C$2/'Misure Gocce'!Y47)*-('Misure Gocce'!W47)/('Misure Gocce'!$C$47)^2)*'Misure Gocce'!$F$47)^2))</f>
        <v>3.1442106569668439E-19</v>
      </c>
      <c r="AD47" s="11">
        <f>-S47</f>
        <v>-380</v>
      </c>
      <c r="AE47" s="2">
        <f>AE46</f>
        <v>2</v>
      </c>
      <c r="AF47" s="34">
        <v>2.48</v>
      </c>
      <c r="AG47">
        <v>0.3</v>
      </c>
      <c r="AH47" s="23">
        <f>Costanti!$C$7/('Misure Gocce'!AF47)</f>
        <v>2.0161290322580645E-4</v>
      </c>
      <c r="AI47">
        <f>AH47*SQRT((-AG47/AF47)^2)</f>
        <v>2.4388657648283037E-5</v>
      </c>
      <c r="AJ47" s="32">
        <f>AJ46</f>
        <v>-50308.9143865843</v>
      </c>
      <c r="AK47" s="34">
        <f>AK46</f>
        <v>273.03233245109493</v>
      </c>
      <c r="AL47" s="26">
        <f>PI()*(-4/3)*'Misure Gocce'!$C$48^3*(Costanti!$F$2)*Costanti!$C$2/'Misure Gocce'!$AJ$45*(1+ABS('Misure Gocce'!AH47)/$C$47)</f>
        <v>1.3529981556509151E-18</v>
      </c>
      <c r="AM47" s="37">
        <f>SQRT(((PI()*2*$C$48^2*(-4/3)*Costanti!$F$2*Costanti!$C$2/($AJ$45)*(1+ABS(AH47)/'Misure Gocce'!$C$47))*'Misure Gocce'!$F$48)^2+((PI()*$C$48^3*(-4/3)*Costanti!$F$2*Costanti!$C$2/(-$AJ$45^2)*(1+ABS(AH47)/'Misure Gocce'!$C$47))*AK47)^2+(((PI()*$C$48^3*(-4/3)*Costanti!$F$2*Costanti!$C$2/($AJ$45*'Misure Gocce'!$C$47))*AI47)^2)+((((4/3)*PI()*'Misure Gocce'!$C$48^3*Costanti!$F$2*(Costanti!$C$2/$AJ$45)*ABS(AH47)/($C$47)^2)*'Misure Gocce'!$F$47)^2))</f>
        <v>1.284047658301044E-19</v>
      </c>
    </row>
    <row r="48" spans="2:39">
      <c r="B48" s="26" t="s">
        <v>39</v>
      </c>
      <c r="C48" s="30">
        <f>AVERAGE(P45:P49)</f>
        <v>7.9383894153302559E-7</v>
      </c>
      <c r="E48" t="s">
        <v>40</v>
      </c>
      <c r="F48" s="30">
        <f>_xlfn.STDEV.S(P45:P49)/SQRT(COUNT(P45:P49))</f>
        <v>9.9652636767269491E-9</v>
      </c>
      <c r="I48" s="84"/>
      <c r="J48" s="27"/>
      <c r="L48" s="93">
        <v>6.57</v>
      </c>
      <c r="M48">
        <v>0.3</v>
      </c>
      <c r="N48" s="85">
        <f>Costanti!$C$7/('Misure Gocce'!L48)</f>
        <v>7.6103500761035001E-5</v>
      </c>
      <c r="O48" s="40">
        <f>N48*SQRT((-M48/L48)^2)</f>
        <v>3.4750456968509131E-6</v>
      </c>
      <c r="P48" s="85">
        <f>SQRT((Costanti!$C$6/(2*Costanti!$C$5))^2+(9*$G$45*N48)/(2*Costanti!$C$2*Costanti!$F$2))-Costanti!$C$6/(2*Costanti!$C$5)</f>
        <v>8.2626665330184928E-7</v>
      </c>
      <c r="Q48" s="40">
        <f>SQRT((1/2*(9*$G$45)/(2*Costanti!$C$2*Costanti!$F$2)/(P48+Costanti!$C$6/(2*Costanti!$C$5))*O48)^2+(1/2*(9*N48)/(2*Costanti!$C$2*Costanti!$F$2)/(P48+Costanti!$C$6/(2*Costanti!$C$5))*$H$45)^2)</f>
        <v>1.97768682809356E-8</v>
      </c>
      <c r="S48" s="11">
        <v>380</v>
      </c>
      <c r="T48" s="2">
        <f>T47</f>
        <v>2</v>
      </c>
      <c r="U48" s="34">
        <v>1.6</v>
      </c>
      <c r="V48">
        <v>0.3</v>
      </c>
      <c r="W48" s="23">
        <f>Costanti!$C$7/('Misure Gocce'!U48)</f>
        <v>3.1250000000000001E-4</v>
      </c>
      <c r="X48">
        <f>W48*SQRT((-V48/U48)^2)</f>
        <v>5.8593749999999991E-5</v>
      </c>
      <c r="Y48" s="32">
        <f>$S$45/Costanti!$C$9</f>
        <v>50308.9143865843</v>
      </c>
      <c r="Z48" s="34">
        <f>Z47</f>
        <v>273.03233245109493</v>
      </c>
      <c r="AA48" s="23">
        <f>PI()*(-4/3)*('Misure Gocce'!$C$48)^3*(Costanti!$F$2)*(Costanti!$C$2)/'Misure Gocce'!$Y$45*(1-'Misure Gocce'!W48/$C$47)</f>
        <v>1.2028623239070084E-18</v>
      </c>
      <c r="AB48" s="40">
        <f>SQRT(((PI()*2*$C$48^2*(-4/3)*Costanti!$F$2*Costanti!$C$2/('Misure Gocce'!$Y$45)*(1-'Misure Gocce'!W48/'Misure Gocce'!$C$47))*'Misure Gocce'!$F$48)^2+((PI()*$C$48^3*(-4/3)*Costanti!$F$2*Costanti!$C$2/-('Misure Gocce'!Y48^2)*(1-'Misure Gocce'!W48/'Misure Gocce'!$C$47))*Z48)^2+(((PI()*$C$48^3*(-4/3)*Costanti!$F$2*Costanti!$C$2/(-'Misure Gocce'!Y48*'Misure Gocce'!$C$47))*'Misure Gocce'!X48)^2)+((((4/3)*PI()*'Misure Gocce'!$C$48^3*Costanti!$F$2*(Costanti!$C$2/'Misure Gocce'!Y48)*-('Misure Gocce'!W48)/('Misure Gocce'!$C$47)^2)*'Misure Gocce'!$F$47)^2))</f>
        <v>2.9529357889126749E-19</v>
      </c>
      <c r="AD48" s="11">
        <f>-S48</f>
        <v>-380</v>
      </c>
      <c r="AE48" s="2">
        <f>AE47</f>
        <v>2</v>
      </c>
      <c r="AF48" s="34">
        <v>2.8</v>
      </c>
      <c r="AG48">
        <v>0.3</v>
      </c>
      <c r="AH48" s="23">
        <f>Costanti!$C$7/('Misure Gocce'!AF48)</f>
        <v>1.785714285714286E-4</v>
      </c>
      <c r="AI48">
        <f>AH48*SQRT((-AG48/AF48)^2)</f>
        <v>1.9132653061224496E-5</v>
      </c>
      <c r="AJ48" s="32">
        <f>AJ47</f>
        <v>-50308.9143865843</v>
      </c>
      <c r="AK48" s="34">
        <f>AK47</f>
        <v>273.03233245109493</v>
      </c>
      <c r="AL48" s="26">
        <f>PI()*(-4/3)*'Misure Gocce'!$C$48^3*(Costanti!$F$2)*Costanti!$C$2/'Misure Gocce'!$AJ$45*(1+ABS('Misure Gocce'!AH48)/$C$47)</f>
        <v>1.2384497868191875E-18</v>
      </c>
      <c r="AM48" s="37">
        <f>SQRT(((PI()*2*$C$48^2*(-4/3)*Costanti!$F$2*Costanti!$C$2/($AJ$45)*(1+ABS(AH48)/'Misure Gocce'!$C$47))*'Misure Gocce'!$F$48)^2+((PI()*$C$48^3*(-4/3)*Costanti!$F$2*Costanti!$C$2/(-$AJ$45^2)*(1+ABS(AH48)/'Misure Gocce'!$C$47))*AK48)^2+(((PI()*$C$48^3*(-4/3)*Costanti!$F$2*Costanti!$C$2/($AJ$45*'Misure Gocce'!$C$47))*AI48)^2)+((((4/3)*PI()*'Misure Gocce'!$C$48^3*Costanti!$F$2*(Costanti!$C$2/$AJ$45)*ABS(AH48)/($C$47)^2)*'Misure Gocce'!$F$47)^2))</f>
        <v>1.0253577286302242E-19</v>
      </c>
    </row>
    <row r="49" spans="2:39">
      <c r="B49" s="46"/>
      <c r="C49" s="47"/>
      <c r="D49" s="47"/>
      <c r="E49" s="47"/>
      <c r="F49" s="47"/>
      <c r="G49" s="47"/>
      <c r="H49" s="47"/>
      <c r="I49" s="148"/>
      <c r="J49" s="29"/>
      <c r="L49" s="94">
        <v>6.96</v>
      </c>
      <c r="M49" s="12">
        <v>0.3</v>
      </c>
      <c r="N49" s="146">
        <f>Costanti!$C$7/('Misure Gocce'!L49)</f>
        <v>7.1839080459770114E-5</v>
      </c>
      <c r="O49" s="48">
        <f>N49*SQRT((-M49/L49)^2)</f>
        <v>3.0965120887831943E-6</v>
      </c>
      <c r="P49" s="146">
        <f>SQRT((Costanti!$C$6/(2*Costanti!$C$5))^2+(9*$G$45*N49)/(2*Costanti!$C$2*Costanti!$F$2))-Costanti!$C$6/(2*Costanti!$C$5)</f>
        <v>8.0168767358735324E-7</v>
      </c>
      <c r="Q49" s="41">
        <f>SQRT((1/2*(9*$G$45)/(2*Costanti!$C$2*Costanti!$F$2)/(P49+Costanti!$C$6/(2*Costanti!$C$5))*O49)^2+(1/2*(9*N49)/(2*Costanti!$C$2*Costanti!$F$2)/(P49+Costanti!$C$6/(2*Costanti!$C$5))*$H$45)^2)</f>
        <v>1.8140466419734705E-8</v>
      </c>
      <c r="S49" s="8">
        <v>380</v>
      </c>
      <c r="T49" s="3">
        <f>T48</f>
        <v>2</v>
      </c>
      <c r="U49" s="52">
        <v>1.48</v>
      </c>
      <c r="V49" s="12">
        <v>0.3</v>
      </c>
      <c r="W49" s="24">
        <f>Costanti!$C$7/('Misure Gocce'!U49)</f>
        <v>3.3783783783783786E-4</v>
      </c>
      <c r="X49" s="47">
        <f>W49*SQRT((-V49/U49)^2)</f>
        <v>6.8480642804967127E-5</v>
      </c>
      <c r="Y49" s="51">
        <f>$S$45/Costanti!$C$9</f>
        <v>50308.9143865843</v>
      </c>
      <c r="Z49" s="52">
        <f>Z48</f>
        <v>273.03233245109493</v>
      </c>
      <c r="AA49" s="24">
        <f>PI()*(-4/3)*('Misure Gocce'!$C$48)^3*(Costanti!$F$2)*(Costanti!$C$2)/'Misure Gocce'!$Y$45*(1-'Misure Gocce'!W49/$C$47)</f>
        <v>1.3288268308486546E-18</v>
      </c>
      <c r="AB49" s="41">
        <f>SQRT(((PI()*2*$C$48^2*(-4/3)*Costanti!$F$2*Costanti!$C$2/('Misure Gocce'!$Y$45)*(1-'Misure Gocce'!W49/'Misure Gocce'!$C$47))*'Misure Gocce'!$F$48)^2+((PI()*$C$48^3*(-4/3)*Costanti!$F$2*Costanti!$C$2/-('Misure Gocce'!Y49^2)*(1-'Misure Gocce'!W49/'Misure Gocce'!$C$47))*Z49)^2+(((PI()*$C$48^3*(-4/3)*Costanti!$F$2*Costanti!$C$2/(-'Misure Gocce'!Y49*'Misure Gocce'!$C$47))*'Misure Gocce'!X49)^2)+((((4/3)*PI()*'Misure Gocce'!$C$48^3*Costanti!$F$2*(Costanti!$C$2/'Misure Gocce'!Y49)*-('Misure Gocce'!W49)/('Misure Gocce'!$C$47)^2)*'Misure Gocce'!$F$47)^2))</f>
        <v>3.4452078606103169E-19</v>
      </c>
      <c r="AD49" s="8">
        <f>-S49</f>
        <v>-380</v>
      </c>
      <c r="AE49" s="3">
        <f>AE48</f>
        <v>2</v>
      </c>
      <c r="AF49" s="52">
        <v>2.4500000000000002</v>
      </c>
      <c r="AG49" s="12">
        <v>0.3</v>
      </c>
      <c r="AH49" s="24">
        <f>Costanti!$C$7/('Misure Gocce'!AF49)</f>
        <v>2.040816326530612E-4</v>
      </c>
      <c r="AI49" s="47">
        <f>AH49*SQRT((-AG49/AF49)^2)</f>
        <v>2.4989587671803409E-5</v>
      </c>
      <c r="AJ49" s="51">
        <f>AJ48</f>
        <v>-50308.9143865843</v>
      </c>
      <c r="AK49" s="52">
        <f>AK48</f>
        <v>273.03233245109493</v>
      </c>
      <c r="AL49" s="142">
        <f>PI()*(-4/3)*'Misure Gocce'!$C$48^3*(Costanti!$F$2)*Costanti!$C$2/'Misure Gocce'!$AJ$45*(1+ABS('Misure Gocce'!AH49)/$C$47)</f>
        <v>1.3652711951685999E-18</v>
      </c>
      <c r="AM49" s="141">
        <f>SQRT(((PI()*2*$C$48^2*(-4/3)*Costanti!$F$2*Costanti!$C$2/($AJ$45)*(1+ABS(AH49)/'Misure Gocce'!$C$47))*'Misure Gocce'!$F$48)^2+((PI()*$C$48^3*(-4/3)*Costanti!$F$2*Costanti!$C$2/(-$AJ$45^2)*(1+ABS(AH49)/'Misure Gocce'!$C$47))*AK49)^2+(((PI()*$C$48^3*(-4/3)*Costanti!$F$2*Costanti!$C$2/($AJ$45*'Misure Gocce'!$C$47))*AI49)^2)+((((4/3)*PI()*'Misure Gocce'!$C$48^3*Costanti!$F$2*(Costanti!$C$2/$AJ$45)*ABS(AH49)/($C$47)^2)*'Misure Gocce'!$F$47)^2))</f>
        <v>1.3136754522877821E-19</v>
      </c>
    </row>
    <row r="50" spans="2:39">
      <c r="I50" s="84"/>
      <c r="N50" s="84"/>
      <c r="O50" s="30"/>
      <c r="P50" s="84"/>
      <c r="Q50" s="30"/>
      <c r="U50" s="34"/>
      <c r="W50" s="30"/>
      <c r="Y50" s="42"/>
      <c r="Z50" s="34"/>
      <c r="AA50" s="30"/>
      <c r="AB50" s="30"/>
      <c r="AF50" s="34"/>
      <c r="AH50" s="30"/>
      <c r="AJ50" s="42"/>
      <c r="AK50" s="34"/>
      <c r="AL50" s="30"/>
      <c r="AM50" s="30"/>
    </row>
    <row r="51" spans="2:39">
      <c r="B51" s="117" t="s">
        <v>16</v>
      </c>
      <c r="C51" s="118" t="s">
        <v>17</v>
      </c>
      <c r="D51" s="118" t="s">
        <v>18</v>
      </c>
      <c r="E51" s="118" t="s">
        <v>19</v>
      </c>
      <c r="F51" s="118" t="s">
        <v>20</v>
      </c>
      <c r="G51" s="118" t="s">
        <v>21</v>
      </c>
      <c r="H51" s="118" t="s">
        <v>22</v>
      </c>
      <c r="I51" s="151" t="s">
        <v>23</v>
      </c>
      <c r="J51" s="119" t="s">
        <v>24</v>
      </c>
      <c r="L51" s="74" t="s">
        <v>25</v>
      </c>
      <c r="M51" s="75" t="s">
        <v>26</v>
      </c>
      <c r="N51" s="154" t="s">
        <v>27</v>
      </c>
      <c r="O51" s="75" t="s">
        <v>28</v>
      </c>
      <c r="P51" s="154" t="s">
        <v>29</v>
      </c>
      <c r="Q51" s="76" t="s">
        <v>30</v>
      </c>
      <c r="S51" s="77" t="s">
        <v>31</v>
      </c>
      <c r="T51" s="79" t="s">
        <v>32</v>
      </c>
      <c r="U51" s="161" t="s">
        <v>25</v>
      </c>
      <c r="V51" s="78" t="s">
        <v>26</v>
      </c>
      <c r="W51" s="77" t="s">
        <v>27</v>
      </c>
      <c r="X51" s="78" t="s">
        <v>28</v>
      </c>
      <c r="Y51" s="77" t="s">
        <v>33</v>
      </c>
      <c r="Z51" s="78" t="s">
        <v>34</v>
      </c>
      <c r="AA51" s="77" t="s">
        <v>35</v>
      </c>
      <c r="AB51" s="79" t="s">
        <v>36</v>
      </c>
      <c r="AD51" s="125" t="s">
        <v>31</v>
      </c>
      <c r="AE51" s="126" t="s">
        <v>32</v>
      </c>
      <c r="AF51" s="158" t="s">
        <v>25</v>
      </c>
      <c r="AG51" s="127" t="s">
        <v>26</v>
      </c>
      <c r="AH51" s="128" t="s">
        <v>27</v>
      </c>
      <c r="AI51" s="127" t="s">
        <v>28</v>
      </c>
      <c r="AJ51" s="128" t="s">
        <v>33</v>
      </c>
      <c r="AK51" s="127" t="s">
        <v>34</v>
      </c>
      <c r="AL51" s="128" t="s">
        <v>35</v>
      </c>
      <c r="AM51" s="129" t="s">
        <v>36</v>
      </c>
    </row>
    <row r="52" spans="2:39">
      <c r="B52" s="122">
        <v>8</v>
      </c>
      <c r="C52" s="123">
        <v>2.0289999999999999</v>
      </c>
      <c r="D52" s="123">
        <v>1E-3</v>
      </c>
      <c r="E52" s="123">
        <v>24</v>
      </c>
      <c r="F52" s="123">
        <v>1</v>
      </c>
      <c r="G52" s="123">
        <f>(1.8+($E$52-15)*4.765*10^(-3))*10^(-5)</f>
        <v>1.8428850000000002E-5</v>
      </c>
      <c r="H52" s="123">
        <f>SQRT((4.765*10^(-8)*F52)^2)</f>
        <v>4.765E-8</v>
      </c>
      <c r="I52" s="153">
        <f>G52/(1+Costanti!$C$6/(Costanti!$C$5*C55))</f>
        <v>1.6331227199862571E-5</v>
      </c>
      <c r="J52" s="124">
        <f>(G52-I52)/G52</f>
        <v>0.11382277245392038</v>
      </c>
      <c r="L52" s="93">
        <v>11.39</v>
      </c>
      <c r="M52">
        <v>0.3</v>
      </c>
      <c r="N52" s="85">
        <f>Costanti!$C$7/'Misure Gocce'!L52</f>
        <v>4.3898156277436344E-5</v>
      </c>
      <c r="O52" s="30">
        <f>N52*SQRT((-M52/L52)^2)</f>
        <v>1.1562288747349342E-6</v>
      </c>
      <c r="P52" s="144">
        <f>SQRT((Costanti!$C$6/(2*Costanti!$C$5))^2+(9*$G$52*N52)/(2*Costanti!$C$2*Costanti!$F$2))-Costanti!$C$6/(2*Costanti!$C$5)</f>
        <v>6.1833350075863876E-7</v>
      </c>
      <c r="Q52" s="40">
        <f>SQRT((1/2*(9*$G$52)/(2*Costanti!$C$2*Costanti!$F$2)/(P52+Costanti!$C$6/(2*Costanti!$C$5))*O52)^2+(1/2*(9*N52)/(2*Costanti!$C$2*Costanti!$F$2)/(P52+Costanti!$C$6/(2*Costanti!$C$5))*$H$52)^2)</f>
        <v>8.6848134521658076E-9</v>
      </c>
      <c r="S52" s="11">
        <v>410</v>
      </c>
      <c r="T52">
        <v>2</v>
      </c>
      <c r="U52" s="72">
        <v>0.93</v>
      </c>
      <c r="V52" s="2">
        <v>0.3</v>
      </c>
      <c r="W52" s="30">
        <f>Costanti!$C$7/'Misure Gocce'!AF52</f>
        <v>4.9504950495049506E-4</v>
      </c>
      <c r="X52">
        <f>W52*SQRT((-V52/AF52)^2)</f>
        <v>1.4704440741103813E-4</v>
      </c>
      <c r="Y52" s="63">
        <f>$S$52/Costanti!$C$9</f>
        <v>54280.670785525166</v>
      </c>
      <c r="Z52" s="34">
        <f>Y52*SQRT((T52/S52)^2+(Costanti!$C$10/Costanti!$C$9)^2)</f>
        <v>274.36245936706416</v>
      </c>
      <c r="AA52" s="83">
        <f>PI()*(-4/3)*('Misure Gocce'!$C$55)^3*(Costanti!$F$2)*(Costanti!$C$2)/'Misure Gocce'!$Y$52*(1-'Misure Gocce'!W52/'Misure Gocce'!$C$54)</f>
        <v>1.6032695382876553E-18</v>
      </c>
      <c r="AB52" s="40">
        <f>SQRT(((PI()*2*$C$55^2*(-4/3)*Costanti!$F$2*Costanti!$C$2/('Misure Gocce'!$Y$52)*(1-'Misure Gocce'!W52/$C$54))*$F$55)^2+((PI()*$C$55^3*(-4/3)*Costanti!$F$2*Costanti!$C$2/-('Misure Gocce'!Y52^2)*(1-'Misure Gocce'!W52/$C$54))*Z52)^2+(((PI()*$C$55^3*(-4/3)*Costanti!$F$2*Costanti!$C$2/(-'Misure Gocce'!Y52*$C$54))*'Misure Gocce'!X52)^2)+((((4/3)*PI()*$C$55^3*Costanti!$F$2*(Costanti!$C$2/'Misure Gocce'!Y52)*-('Misure Gocce'!W52)/($C$54)^2)*$F$54)^2))</f>
        <v>5.3486624585479166E-19</v>
      </c>
      <c r="AD52" s="11">
        <f>-S52</f>
        <v>-410</v>
      </c>
      <c r="AE52">
        <v>2</v>
      </c>
      <c r="AF52" s="72">
        <v>1.01</v>
      </c>
      <c r="AG52">
        <v>0.3</v>
      </c>
      <c r="AH52" s="23">
        <f>Costanti!$C$7/'Misure Gocce'!AF52</f>
        <v>4.9504950495049506E-4</v>
      </c>
      <c r="AI52" s="2">
        <f>AH52*SQRT((-AG52/AF52)^2)</f>
        <v>1.4704440741103813E-4</v>
      </c>
      <c r="AJ52" s="42">
        <f>$AD$52/Costanti!$C$9</f>
        <v>-54280.670785525166</v>
      </c>
      <c r="AK52" s="34">
        <f>ABS(AJ52)*SQRT((AE52/AD52)^2+(Costanti!$C$10/Costanti!$C$9)^2)</f>
        <v>274.36245936706416</v>
      </c>
      <c r="AL52" s="83">
        <f>PI()*(-4/3)*'Misure Gocce'!$C$55^3*(Costanti!$F$2)*Costanti!$C$2/'Misure Gocce'!$AJ$52*(1+ABS('Misure Gocce'!AH52)/'Misure Gocce'!$C$54)</f>
        <v>1.9283075945560815E-18</v>
      </c>
      <c r="AM52" s="40">
        <f>SQRT(((PI()*2*$C$55^2*(-4/3)*Costanti!$F$2*Costanti!$C$2/($AJ$52)*(1+ABS(AH52)/$C$54))*$F$55)^2+((PI()*$C$55^3*(-4/3)*Costanti!$F$2*Costanti!$C$2/(-$AJ$52^2)*(1+ABS(AH52)/$C$54))*AK52)^2+(((PI()*$C$55^3*(-4/3)*Costanti!$F$2*Costanti!$C$2/($AJ$52*$C$54))*AI52)^2)+((((4/3)*PI()*$C$55^3*Costanti!$F$2*(Costanti!$C$2/$AJ$52)*ABS(AH52)/($C$54)^2)*$F$54)^2))</f>
        <v>5.3704733852623267E-19</v>
      </c>
    </row>
    <row r="53" spans="2:39">
      <c r="B53" s="45"/>
      <c r="I53" s="84"/>
      <c r="J53" s="27"/>
      <c r="L53" s="93">
        <v>11.65</v>
      </c>
      <c r="M53">
        <v>0.3</v>
      </c>
      <c r="N53" s="85">
        <f>Costanti!$C$7/('Misure Gocce'!L53)</f>
        <v>4.2918454935622314E-5</v>
      </c>
      <c r="O53" s="30">
        <f>N53*SQRT((-M53/L53)^2)</f>
        <v>1.105196264436626E-6</v>
      </c>
      <c r="P53" s="144">
        <f>SQRT((Costanti!$C$6/(2*Costanti!$C$5))^2+(9*$G$52*N53)/(2*Costanti!$C$2*Costanti!$F$2))-Costanti!$C$6/(2*Costanti!$C$5)</f>
        <v>6.1096868081758918E-7</v>
      </c>
      <c r="Q53" s="40">
        <f>SQRT((1/2*(9*$G$52)/(2*Costanti!$C$2*Costanti!$F$2)/(P53+Costanti!$C$6/(2*Costanti!$C$5))*O53)^2+(1/2*(9*N53)/(2*Costanti!$C$2*Costanti!$F$2)/(P53+Costanti!$C$6/(2*Costanti!$C$5))*$H$52)^2)</f>
        <v>8.3971938069138465E-9</v>
      </c>
      <c r="S53" s="11">
        <f>S52</f>
        <v>410</v>
      </c>
      <c r="T53">
        <f>T52</f>
        <v>2</v>
      </c>
      <c r="U53" s="72">
        <v>0.83</v>
      </c>
      <c r="V53" s="2">
        <v>0.3</v>
      </c>
      <c r="W53" s="30">
        <f>Costanti!$C$7/('Misure Gocce'!AF53)</f>
        <v>4.9504950495049506E-4</v>
      </c>
      <c r="X53">
        <f>W53*SQRT((-V53/AF53)^2)</f>
        <v>1.4704440741103813E-4</v>
      </c>
      <c r="Y53" s="63">
        <f>$S$52/Costanti!$C$9</f>
        <v>54280.670785525166</v>
      </c>
      <c r="Z53" s="34">
        <f>Z52</f>
        <v>274.36245936706416</v>
      </c>
      <c r="AA53" s="83">
        <f>PI()*(-4/3)*('Misure Gocce'!$C$55)^3*(Costanti!$F$2)*(Costanti!$C$2)/'Misure Gocce'!$Y$52*(1-'Misure Gocce'!W53/'Misure Gocce'!$C$54)</f>
        <v>1.6032695382876553E-18</v>
      </c>
      <c r="AB53" s="40">
        <f>SQRT(((PI()*2*$C$55^2*(-4/3)*Costanti!$F$2*Costanti!$C$2/('Misure Gocce'!$Y$52)*(1-'Misure Gocce'!W53/$C$54))*$F$55)^2+((PI()*$C$55^3*(-4/3)*Costanti!$F$2*Costanti!$C$2/-('Misure Gocce'!Y53^2)*(1-'Misure Gocce'!W53/$C$54))*Z53)^2+(((PI()*$C$55^3*(-4/3)*Costanti!$F$2*Costanti!$C$2/(-'Misure Gocce'!Y53*$C$54))*'Misure Gocce'!X53)^2)+((((4/3)*PI()*$C$55^3*Costanti!$F$2*(Costanti!$C$2/'Misure Gocce'!Y53)*-('Misure Gocce'!W53)/($C$54)^2)*$F$54)^2))</f>
        <v>5.3486624585479166E-19</v>
      </c>
      <c r="AD53" s="11">
        <f>-S53</f>
        <v>-410</v>
      </c>
      <c r="AE53">
        <f>AE52</f>
        <v>2</v>
      </c>
      <c r="AF53" s="72">
        <v>1.01</v>
      </c>
      <c r="AG53">
        <v>0.3</v>
      </c>
      <c r="AH53" s="23">
        <f>Costanti!$C$7/'Misure Gocce'!AF53</f>
        <v>4.9504950495049506E-4</v>
      </c>
      <c r="AI53" s="2">
        <f>AH53*SQRT((-AG53/AF53)^2)</f>
        <v>1.4704440741103813E-4</v>
      </c>
      <c r="AJ53" s="42">
        <f>$AD$52/Costanti!$C$9</f>
        <v>-54280.670785525166</v>
      </c>
      <c r="AK53" s="34">
        <f>AK52</f>
        <v>274.36245936706416</v>
      </c>
      <c r="AL53" s="83">
        <f>PI()*(-4/3)*'Misure Gocce'!$C$55^3*(Costanti!$F$2)*Costanti!$C$2/'Misure Gocce'!$AJ$52*(1+ABS('Misure Gocce'!AH53)/'Misure Gocce'!$C$54)</f>
        <v>1.9283075945560815E-18</v>
      </c>
      <c r="AM53" s="40">
        <f>SQRT(((PI()*2*$C$55^2*(-4/3)*Costanti!$F$2*Costanti!$C$2/($AJ$52)*(1+ABS(AH53)/$C$54))*$F$55)^2+((PI()*$C$55^3*(-4/3)*Costanti!$F$2*Costanti!$C$2/(-$AJ$52^2)*(1+ABS(AH53)/$C$54))*AK53)^2+(((PI()*$C$55^3*(-4/3)*Costanti!$F$2*Costanti!$C$2/($AJ$52*$C$54))*AI53)^2)+((((4/3)*PI()*$C$55^3*Costanti!$F$2*(Costanti!$C$2/$AJ$52)*ABS(AH53)/($C$54)^2)*$F$54)^2))</f>
        <v>5.3704733852623267E-19</v>
      </c>
    </row>
    <row r="54" spans="2:39">
      <c r="B54" s="45" t="s">
        <v>37</v>
      </c>
      <c r="C54" s="30">
        <f>AVERAGE(N52:N56)</f>
        <v>4.556319253210982E-5</v>
      </c>
      <c r="E54" s="132" t="s">
        <v>38</v>
      </c>
      <c r="F54" s="30">
        <f>_xlfn.STDEV.S(N52:N56)/SQRT(COUNT(N52:N56))</f>
        <v>1.9574964963462521E-6</v>
      </c>
      <c r="I54" s="84"/>
      <c r="J54" s="27"/>
      <c r="L54" s="93">
        <v>10.67</v>
      </c>
      <c r="M54">
        <v>0.3</v>
      </c>
      <c r="N54" s="85">
        <f>Costanti!$C$7/('Misure Gocce'!L54)</f>
        <v>4.6860356138706655E-5</v>
      </c>
      <c r="O54" s="30">
        <f>N54*SQRT((-M54/L54)^2)</f>
        <v>1.3175357864678535E-6</v>
      </c>
      <c r="P54" s="144">
        <f>SQRT((Costanti!$C$6/(2*Costanti!$C$5))^2+(9*$G$52*N54)/(2*Costanti!$C$2*Costanti!$F$2))-Costanti!$C$6/(2*Costanti!$C$5)</f>
        <v>6.4011697120898787E-7</v>
      </c>
      <c r="Q54" s="40">
        <f>SQRT((1/2*(9*$G$52)/(2*Costanti!$C$2*Costanti!$F$2)/(P54+Costanti!$C$6/(2*Costanti!$C$5))*O54)^2+(1/2*(9*N54)/(2*Costanti!$C$2*Costanti!$F$2)/(P54+Costanti!$C$6/(2*Costanti!$C$5))*$H$52)^2)</f>
        <v>9.5740863093852769E-9</v>
      </c>
      <c r="S54" s="11">
        <f>S53</f>
        <v>410</v>
      </c>
      <c r="T54">
        <f>T53</f>
        <v>2</v>
      </c>
      <c r="U54" s="72">
        <v>0.81</v>
      </c>
      <c r="V54" s="2">
        <v>0.3</v>
      </c>
      <c r="W54" s="30">
        <f>Costanti!$C$7/('Misure Gocce'!AF54)</f>
        <v>4.9504950495049506E-4</v>
      </c>
      <c r="X54">
        <f>W54*SQRT((-V54/AF54)^2)</f>
        <v>1.4704440741103813E-4</v>
      </c>
      <c r="Y54" s="63">
        <f>$S$52/Costanti!$C$9</f>
        <v>54280.670785525166</v>
      </c>
      <c r="Z54" s="34">
        <f>Z53</f>
        <v>274.36245936706416</v>
      </c>
      <c r="AA54" s="83">
        <f>PI()*(-4/3)*('Misure Gocce'!$C$55)^3*(Costanti!$F$2)*(Costanti!$C$2)/'Misure Gocce'!$Y$52*(1-'Misure Gocce'!W54/'Misure Gocce'!$C$54)</f>
        <v>1.6032695382876553E-18</v>
      </c>
      <c r="AB54" s="40">
        <f>SQRT(((PI()*2*$C$55^2*(-4/3)*Costanti!$F$2*Costanti!$C$2/('Misure Gocce'!$Y$52)*(1-'Misure Gocce'!W54/$C$54))*$F$55)^2+((PI()*$C$55^3*(-4/3)*Costanti!$F$2*Costanti!$C$2/-('Misure Gocce'!Y54^2)*(1-'Misure Gocce'!W54/$C$54))*Z54)^2+(((PI()*$C$55^3*(-4/3)*Costanti!$F$2*Costanti!$C$2/(-'Misure Gocce'!Y54*$C$54))*'Misure Gocce'!X54)^2)+((((4/3)*PI()*$C$55^3*Costanti!$F$2*(Costanti!$C$2/'Misure Gocce'!Y54)*-('Misure Gocce'!W54)/($C$54)^2)*$F$54)^2))</f>
        <v>5.3486624585479166E-19</v>
      </c>
      <c r="AD54" s="11">
        <f>-S54</f>
        <v>-410</v>
      </c>
      <c r="AE54">
        <f>AE53</f>
        <v>2</v>
      </c>
      <c r="AF54" s="72">
        <v>1.01</v>
      </c>
      <c r="AG54">
        <v>0.3</v>
      </c>
      <c r="AH54" s="23">
        <f>Costanti!$C$7/'Misure Gocce'!AF54</f>
        <v>4.9504950495049506E-4</v>
      </c>
      <c r="AI54" s="2">
        <f>AH54*SQRT((-AG54/AF54)^2)</f>
        <v>1.4704440741103813E-4</v>
      </c>
      <c r="AJ54" s="42">
        <f>$AD$52/Costanti!$C$9</f>
        <v>-54280.670785525166</v>
      </c>
      <c r="AK54" s="34">
        <f>AK53</f>
        <v>274.36245936706416</v>
      </c>
      <c r="AL54" s="83">
        <f>PI()*(-4/3)*'Misure Gocce'!$C$55^3*(Costanti!$F$2)*Costanti!$C$2/'Misure Gocce'!$AJ$52*(1+ABS('Misure Gocce'!AH54)/'Misure Gocce'!$C$54)</f>
        <v>1.9283075945560815E-18</v>
      </c>
      <c r="AM54" s="40">
        <f>SQRT(((PI()*2*$C$55^2*(-4/3)*Costanti!$F$2*Costanti!$C$2/($AJ$52)*(1+ABS(AH54)/$C$54))*$F$55)^2+((PI()*$C$55^3*(-4/3)*Costanti!$F$2*Costanti!$C$2/(-$AJ$52^2)*(1+ABS(AH54)/$C$54))*AK54)^2+(((PI()*$C$55^3*(-4/3)*Costanti!$F$2*Costanti!$C$2/($AJ$52*$C$54))*AI54)^2)+((((4/3)*PI()*$C$55^3*Costanti!$F$2*(Costanti!$C$2/$AJ$52)*ABS(AH54)/($C$54)^2)*$F$54)^2))</f>
        <v>5.3704733852623267E-19</v>
      </c>
    </row>
    <row r="55" spans="2:39">
      <c r="B55" s="45" t="s">
        <v>39</v>
      </c>
      <c r="C55" s="30">
        <f>AVERAGE(P52:P56)</f>
        <v>6.3006980278538615E-7</v>
      </c>
      <c r="E55" t="s">
        <v>40</v>
      </c>
      <c r="F55" s="30">
        <f>_xlfn.STDEV.S(P52:P56)/SQRT(COUNT(P52:P56))</f>
        <v>1.4128078208575968E-8</v>
      </c>
      <c r="I55" s="84"/>
      <c r="J55" s="27"/>
      <c r="L55" s="93">
        <v>9.51</v>
      </c>
      <c r="M55">
        <v>0.3</v>
      </c>
      <c r="N55" s="85">
        <f>Costanti!$C$7/('Misure Gocce'!L55)</f>
        <v>5.257623554153523E-5</v>
      </c>
      <c r="O55" s="30">
        <f>N55*SQRT((-M55/L55)^2)</f>
        <v>1.6585563262313951E-6</v>
      </c>
      <c r="P55" s="144">
        <f>SQRT((Costanti!$C$6/(2*Costanti!$C$5))^2+(9*$G$52*N55)/(2*Costanti!$C$2*Costanti!$F$2))-Costanti!$C$6/(2*Costanti!$C$5)</f>
        <v>6.8029202734539225E-7</v>
      </c>
      <c r="Q55" s="40">
        <f>SQRT((1/2*(9*$G$52)/(2*Costanti!$C$2*Costanti!$F$2)/(P55+Costanti!$C$6/(2*Costanti!$C$5))*O55)^2+(1/2*(9*N55)/(2*Costanti!$C$2*Costanti!$F$2)/(P55+Costanti!$C$6/(2*Costanti!$C$5))*$H$52)^2)</f>
        <v>1.1370561483604507E-8</v>
      </c>
      <c r="S55" s="11">
        <f>S54</f>
        <v>410</v>
      </c>
      <c r="T55">
        <f>T54</f>
        <v>2</v>
      </c>
      <c r="U55" s="72">
        <v>0.88</v>
      </c>
      <c r="V55" s="2">
        <v>0.3</v>
      </c>
      <c r="W55" s="30">
        <f>Costanti!$C$7/('Misure Gocce'!AF55)</f>
        <v>4.9504950495049506E-4</v>
      </c>
      <c r="X55">
        <f>W55*SQRT((-V55/AF55)^2)</f>
        <v>1.4704440741103813E-4</v>
      </c>
      <c r="Y55" s="63">
        <f>$S$52/Costanti!$C$9</f>
        <v>54280.670785525166</v>
      </c>
      <c r="Z55" s="34">
        <f>Z54</f>
        <v>274.36245936706416</v>
      </c>
      <c r="AA55" s="83">
        <f>PI()*(-4/3)*('Misure Gocce'!$C$55)^3*(Costanti!$F$2)*(Costanti!$C$2)/'Misure Gocce'!$Y$52*(1-'Misure Gocce'!W55/'Misure Gocce'!$C$54)</f>
        <v>1.6032695382876553E-18</v>
      </c>
      <c r="AB55" s="40">
        <f>SQRT(((PI()*2*$C$55^2*(-4/3)*Costanti!$F$2*Costanti!$C$2/('Misure Gocce'!$Y$52)*(1-'Misure Gocce'!W55/$C$54))*$F$55)^2+((PI()*$C$55^3*(-4/3)*Costanti!$F$2*Costanti!$C$2/-('Misure Gocce'!Y55^2)*(1-'Misure Gocce'!W55/$C$54))*Z55)^2+(((PI()*$C$55^3*(-4/3)*Costanti!$F$2*Costanti!$C$2/(-'Misure Gocce'!Y55*$C$54))*'Misure Gocce'!X55)^2)+((((4/3)*PI()*$C$55^3*Costanti!$F$2*(Costanti!$C$2/'Misure Gocce'!Y55)*-('Misure Gocce'!W55)/($C$54)^2)*$F$54)^2))</f>
        <v>5.3486624585479166E-19</v>
      </c>
      <c r="AD55" s="11">
        <f>-S55</f>
        <v>-410</v>
      </c>
      <c r="AE55">
        <f>AE54</f>
        <v>2</v>
      </c>
      <c r="AF55" s="72">
        <v>1.01</v>
      </c>
      <c r="AG55">
        <v>0.3</v>
      </c>
      <c r="AH55" s="23">
        <f>Costanti!$C$7/'Misure Gocce'!AF55</f>
        <v>4.9504950495049506E-4</v>
      </c>
      <c r="AI55" s="2">
        <f>AH55*SQRT((-AG55/AF55)^2)</f>
        <v>1.4704440741103813E-4</v>
      </c>
      <c r="AJ55" s="42">
        <f>$AD$52/Costanti!$C$9</f>
        <v>-54280.670785525166</v>
      </c>
      <c r="AK55" s="34">
        <f>AK54</f>
        <v>274.36245936706416</v>
      </c>
      <c r="AL55" s="83">
        <f>PI()*(-4/3)*'Misure Gocce'!$C$55^3*(Costanti!$F$2)*Costanti!$C$2/'Misure Gocce'!$AJ$52*(1+ABS('Misure Gocce'!AH55)/'Misure Gocce'!$C$54)</f>
        <v>1.9283075945560815E-18</v>
      </c>
      <c r="AM55" s="40">
        <f>SQRT(((PI()*2*$C$55^2*(-4/3)*Costanti!$F$2*Costanti!$C$2/($AJ$52)*(1+ABS(AH55)/$C$54))*$F$55)^2+((PI()*$C$55^3*(-4/3)*Costanti!$F$2*Costanti!$C$2/(-$AJ$52^2)*(1+ABS(AH55)/$C$54))*AK55)^2+(((PI()*$C$55^3*(-4/3)*Costanti!$F$2*Costanti!$C$2/($AJ$52*$C$54))*AI55)^2)+((((4/3)*PI()*$C$55^3*Costanti!$F$2*(Costanti!$C$2/$AJ$52)*ABS(AH55)/($C$54)^2)*$F$54)^2))</f>
        <v>5.3704733852623267E-19</v>
      </c>
    </row>
    <row r="56" spans="2:39">
      <c r="B56" s="46"/>
      <c r="C56" s="47"/>
      <c r="D56" s="47"/>
      <c r="E56" s="47"/>
      <c r="F56" s="47"/>
      <c r="G56" s="47"/>
      <c r="H56" s="47"/>
      <c r="I56" s="148"/>
      <c r="J56" s="29"/>
      <c r="L56" s="94">
        <v>12.03</v>
      </c>
      <c r="M56" s="12">
        <v>0.3</v>
      </c>
      <c r="N56" s="146">
        <f>Costanti!$C$7/('Misure Gocce'!L56)</f>
        <v>4.1562759767248551E-5</v>
      </c>
      <c r="O56" s="61">
        <f>N56*SQRT((-M56/L56)^2)</f>
        <v>1.0364777996820089E-6</v>
      </c>
      <c r="P56" s="145">
        <f>SQRT((Costanti!$C$6/(2*Costanti!$C$5))^2+(9*$G$52*N56)/(2*Costanti!$C$2*Costanti!$F$2))-Costanti!$C$6/(2*Costanti!$C$5)</f>
        <v>6.0063783379632271E-7</v>
      </c>
      <c r="Q56" s="41">
        <f>SQRT((1/2*(9*$G$52)/(2*Costanti!$C$2*Costanti!$F$2)/(P56+Costanti!$C$6/(2*Costanti!$C$5))*O56)^2+(1/2*(9*N56)/(2*Costanti!$C$2*Costanti!$F$2)/(P56+Costanti!$C$6/(2*Costanti!$C$5))*$H$52)^2)</f>
        <v>8.0046242043012487E-9</v>
      </c>
      <c r="S56" s="8">
        <f>S55</f>
        <v>410</v>
      </c>
      <c r="T56" s="12">
        <f>T55</f>
        <v>2</v>
      </c>
      <c r="U56" s="73">
        <v>0.81</v>
      </c>
      <c r="V56" s="3">
        <v>0.3</v>
      </c>
      <c r="W56" s="57">
        <f>Costanti!$C$7/('Misure Gocce'!AF56)</f>
        <v>4.9504950495049506E-4</v>
      </c>
      <c r="X56" s="47">
        <f>W56*SQRT((-V56/AF56)^2)</f>
        <v>1.4704440741103813E-4</v>
      </c>
      <c r="Y56" s="64">
        <f>$S$52/Costanti!$C$9</f>
        <v>54280.670785525166</v>
      </c>
      <c r="Z56" s="52">
        <f>Z55</f>
        <v>274.36245936706416</v>
      </c>
      <c r="AA56" s="89">
        <f>PI()*(-4/3)*('Misure Gocce'!$C$55)^3*(Costanti!$F$2)*(Costanti!$C$2)/'Misure Gocce'!$Y$52*(1-'Misure Gocce'!W56/'Misure Gocce'!$C$54)</f>
        <v>1.6032695382876553E-18</v>
      </c>
      <c r="AB56" s="41">
        <f>SQRT(((PI()*2*$C$55^2*(-4/3)*Costanti!$F$2*Costanti!$C$2/('Misure Gocce'!$Y$52)*(1-'Misure Gocce'!W56/$C$54))*$F$55)^2+((PI()*$C$55^3*(-4/3)*Costanti!$F$2*Costanti!$C$2/-('Misure Gocce'!Y56^2)*(1-'Misure Gocce'!W56/$C$54))*Z56)^2+(((PI()*$C$55^3*(-4/3)*Costanti!$F$2*Costanti!$C$2/(-'Misure Gocce'!Y56*$C$54))*'Misure Gocce'!X56)^2)+((((4/3)*PI()*$C$55^3*Costanti!$F$2*(Costanti!$C$2/'Misure Gocce'!Y56)*-('Misure Gocce'!W56)/($C$54)^2)*$F$54)^2))</f>
        <v>5.3486624585479166E-19</v>
      </c>
      <c r="AD56" s="8">
        <f>-S56</f>
        <v>-410</v>
      </c>
      <c r="AE56" s="12">
        <f>AE55</f>
        <v>2</v>
      </c>
      <c r="AF56" s="73">
        <v>1.01</v>
      </c>
      <c r="AG56" s="12">
        <v>0.3</v>
      </c>
      <c r="AH56" s="24">
        <f>Costanti!$C$7/'Misure Gocce'!AF56</f>
        <v>4.9504950495049506E-4</v>
      </c>
      <c r="AI56" s="3">
        <f>AH56*SQRT((-AG56/AF56)^2)</f>
        <v>1.4704440741103813E-4</v>
      </c>
      <c r="AJ56" s="65">
        <f>$AD$52/Costanti!$C$9</f>
        <v>-54280.670785525166</v>
      </c>
      <c r="AK56" s="35">
        <f>AK55</f>
        <v>274.36245936706416</v>
      </c>
      <c r="AL56" s="83">
        <f>PI()*(-4/3)*'Misure Gocce'!$C$55^3*(Costanti!$F$2)*Costanti!$C$2/'Misure Gocce'!$AJ$52*(1+ABS('Misure Gocce'!AH56)/'Misure Gocce'!$C$54)</f>
        <v>1.9283075945560815E-18</v>
      </c>
      <c r="AM56" s="41">
        <f>SQRT(((PI()*2*$C$55^2*(-4/3)*Costanti!$F$2*Costanti!$C$2/($AJ$52)*(1+ABS(AH56)/$C$54))*$F$55)^2+((PI()*$C$55^3*(-4/3)*Costanti!$F$2*Costanti!$C$2/(-$AJ$52^2)*(1+ABS(AH56)/$C$54))*AK56)^2+(((PI()*$C$55^3*(-4/3)*Costanti!$F$2*Costanti!$C$2/($AJ$52*$C$54))*AI56)^2)+((((4/3)*PI()*$C$55^3*Costanti!$F$2*(Costanti!$C$2/$AJ$52)*ABS(AH56)/($C$54)^2)*$F$54)^2))</f>
        <v>5.3704733852623267E-19</v>
      </c>
    </row>
    <row r="57" spans="2:39">
      <c r="I57" s="84"/>
      <c r="L57" s="34"/>
      <c r="N57" s="84"/>
      <c r="O57" s="30"/>
      <c r="P57" s="84"/>
      <c r="Q57" s="30"/>
      <c r="U57" s="34"/>
      <c r="W57" s="30"/>
      <c r="Y57" s="42"/>
      <c r="Z57" s="34"/>
      <c r="AA57" s="30"/>
      <c r="AB57" s="30"/>
      <c r="AF57" s="34"/>
      <c r="AH57" s="30"/>
      <c r="AJ57" s="42"/>
      <c r="AK57" s="34"/>
      <c r="AL57" s="30"/>
      <c r="AM57" s="30"/>
    </row>
    <row r="58" spans="2:39">
      <c r="B58" s="117" t="s">
        <v>16</v>
      </c>
      <c r="C58" s="118" t="s">
        <v>17</v>
      </c>
      <c r="D58" s="118" t="s">
        <v>18</v>
      </c>
      <c r="E58" s="118" t="s">
        <v>19</v>
      </c>
      <c r="F58" s="118" t="s">
        <v>20</v>
      </c>
      <c r="G58" s="118" t="s">
        <v>21</v>
      </c>
      <c r="H58" s="118" t="s">
        <v>22</v>
      </c>
      <c r="I58" s="151" t="s">
        <v>23</v>
      </c>
      <c r="J58" s="119" t="s">
        <v>24</v>
      </c>
      <c r="L58" s="156" t="s">
        <v>25</v>
      </c>
      <c r="M58" s="75" t="s">
        <v>26</v>
      </c>
      <c r="N58" s="154" t="s">
        <v>27</v>
      </c>
      <c r="O58" s="75" t="s">
        <v>28</v>
      </c>
      <c r="P58" s="154" t="s">
        <v>29</v>
      </c>
      <c r="Q58" s="76" t="s">
        <v>30</v>
      </c>
      <c r="S58" s="77" t="s">
        <v>31</v>
      </c>
      <c r="T58" s="79" t="s">
        <v>32</v>
      </c>
      <c r="U58" s="161" t="s">
        <v>25</v>
      </c>
      <c r="V58" s="78" t="s">
        <v>26</v>
      </c>
      <c r="W58" s="77" t="s">
        <v>27</v>
      </c>
      <c r="X58" s="78" t="s">
        <v>28</v>
      </c>
      <c r="Y58" s="77" t="s">
        <v>33</v>
      </c>
      <c r="Z58" s="78" t="s">
        <v>34</v>
      </c>
      <c r="AA58" s="77" t="s">
        <v>35</v>
      </c>
      <c r="AB58" s="79" t="s">
        <v>36</v>
      </c>
      <c r="AD58" s="125" t="s">
        <v>31</v>
      </c>
      <c r="AE58" s="126" t="s">
        <v>32</v>
      </c>
      <c r="AF58" s="158" t="s">
        <v>25</v>
      </c>
      <c r="AG58" s="127" t="s">
        <v>26</v>
      </c>
      <c r="AH58" s="128" t="s">
        <v>27</v>
      </c>
      <c r="AI58" s="127" t="s">
        <v>28</v>
      </c>
      <c r="AJ58" s="128" t="s">
        <v>33</v>
      </c>
      <c r="AK58" s="127" t="s">
        <v>34</v>
      </c>
      <c r="AL58" s="128" t="s">
        <v>35</v>
      </c>
      <c r="AM58" s="129" t="s">
        <v>36</v>
      </c>
    </row>
    <row r="59" spans="2:39">
      <c r="B59" s="122">
        <v>9</v>
      </c>
      <c r="C59" s="123">
        <v>2.0249999999999999</v>
      </c>
      <c r="D59" s="123">
        <v>1E-3</v>
      </c>
      <c r="E59" s="123">
        <v>24</v>
      </c>
      <c r="F59" s="123">
        <v>1</v>
      </c>
      <c r="G59" s="123">
        <f>(1.8+($E$59-15)*4.765*10^(-3))*10^(-5)</f>
        <v>1.8428850000000002E-5</v>
      </c>
      <c r="H59" s="123">
        <f>SQRT((4.765*10^(-8)*F59)^2)</f>
        <v>4.765E-8</v>
      </c>
      <c r="I59" s="153">
        <f>G59/(1+Costanti!$C$6/(Costanti!$C$5*C62))</f>
        <v>1.6089922692231947E-5</v>
      </c>
      <c r="J59" s="124">
        <f>(G59-I59)/G59</f>
        <v>0.12691661757342726</v>
      </c>
      <c r="L59" s="72">
        <v>16.829999999999998</v>
      </c>
      <c r="M59">
        <v>0.3</v>
      </c>
      <c r="N59" s="85">
        <f>Costanti!$C$7/'Misure Gocce'!L59</f>
        <v>2.9708853238265006E-5</v>
      </c>
      <c r="O59" s="37">
        <f>N59*SQRT((-M59/L59)^2)</f>
        <v>5.2956957643966139E-7</v>
      </c>
      <c r="P59" s="84">
        <f>SQRT((Costanti!$C$6/(2*Costanti!$C$5))^2+(9*$G$59*N59)/(2*Costanti!$C$2*Costanti!$F$2))-Costanti!$C$6/(2*Costanti!$C$5)</f>
        <v>5.0198969391697564E-7</v>
      </c>
      <c r="Q59" s="40">
        <f>SQRT((1/2*(9*$G$59)/(2*Costanti!$C$2*Costanti!$F$2)/(P59+Costanti!$C$6/(2*Costanti!$C$5))*O59)^2+(1/2*(9*N59)/(2*Costanti!$C$2*Costanti!$F$2)/(P59+Costanti!$C$6/(2*Costanti!$C$5))*$H$59)^2)</f>
        <v>4.8581160474957572E-9</v>
      </c>
      <c r="S59" s="11">
        <v>306</v>
      </c>
      <c r="T59" s="2">
        <v>2</v>
      </c>
      <c r="U59" s="34">
        <v>4.04</v>
      </c>
      <c r="V59">
        <v>0.3</v>
      </c>
      <c r="W59" s="23">
        <f>Costanti!$C$7/'Misure Gocce'!U59</f>
        <v>1.2376237623762376E-4</v>
      </c>
      <c r="X59">
        <f>W59*SQRT((-V59/U59)^2)</f>
        <v>9.1902754631898831E-6</v>
      </c>
      <c r="Y59" s="63">
        <f>$S$59/Costanti!$C$9</f>
        <v>40511.915269196827</v>
      </c>
      <c r="Z59" s="34">
        <f>Y59*SQRT((T59/S59)^2+(Costanti!$C$10/Costanti!$C$9)^2)</f>
        <v>270.16124377118615</v>
      </c>
      <c r="AA59" s="23">
        <f>PI()*(-4/3)*('Misure Gocce'!$C$62)^3*(Costanti!$F$2)*(Costanti!$C$2)/'Misure Gocce'!$Y$59*(1-'Misure Gocce'!W59/$C$61)</f>
        <v>3.6442238592032214E-19</v>
      </c>
      <c r="AB59" s="40">
        <f>SQRT(((PI()*2*$C$62^2*(-4/3)*Costanti!$F$2*Costanti!$C$2/('Misure Gocce'!$Y$59)*(1-'Misure Gocce'!W59/'Misure Gocce'!$C$61))*'Misure Gocce'!$F$62)^2+((PI()*$C$62^3*(-4/3)*Costanti!$F$2*Costanti!$C$2/-('Misure Gocce'!Y59^2)*(1-'Misure Gocce'!W59/'Misure Gocce'!$C$61))*Z59)^2+(((PI()*$C$62^3*(-4/3)*Costanti!$F$2*Costanti!$C$2/(-'Misure Gocce'!Y59*'Misure Gocce'!$C$61))*'Misure Gocce'!X59)^2)+((((4/3)*PI()*'Misure Gocce'!$C$62^3*Costanti!$F$2*(Costanti!$C$2/'Misure Gocce'!Y59)*-('Misure Gocce'!W59)/('Misure Gocce'!$C$61)^2)*'Misure Gocce'!$F$61)^2))</f>
        <v>4.8883966529979591E-20</v>
      </c>
      <c r="AD59" s="11">
        <f>-S59</f>
        <v>-306</v>
      </c>
      <c r="AE59" s="2">
        <v>2</v>
      </c>
      <c r="AF59" s="34">
        <v>8.84</v>
      </c>
      <c r="AG59">
        <v>0.3</v>
      </c>
      <c r="AH59" s="23">
        <f>Costanti!$C$7/'Misure Gocce'!AF59</f>
        <v>5.6561085972850681E-5</v>
      </c>
      <c r="AI59">
        <f>AH59*SQRT((-AG59/AF59)^2)</f>
        <v>1.9194938678569232E-6</v>
      </c>
      <c r="AJ59" s="32">
        <f>$AD$59/Costanti!$C$9</f>
        <v>-40511.915269196827</v>
      </c>
      <c r="AK59" s="34">
        <f>ABS(AJ59)*SQRT((AE59/AD59)^2+(Costanti!$C$10/Costanti!$C$9)^2)</f>
        <v>270.16124377118615</v>
      </c>
      <c r="AL59" s="26">
        <f>PI()*(-4/3)*'Misure Gocce'!$C$62^3*(Costanti!$F$2)*Costanti!$C$2/'Misure Gocce'!$AJ$59*(1+ABS('Misure Gocce'!AH59)/$C$61)</f>
        <v>3.8540661802627867E-19</v>
      </c>
      <c r="AM59" s="37">
        <f>SQRT(((PI()*2*$C$62^2*(-4/3)*Costanti!$F$2*Costanti!$C$2/($AJ$59)*(1+ABS(AH59)/'Misure Gocce'!$C$61))*'Misure Gocce'!$F$62)^2+((PI()*$C$62^3*(-4/3)*Costanti!$F$2*Costanti!$C$2/(-$AJ$59^2)*(1+ABS(AH59)/'Misure Gocce'!$C$61))*AK59)^2+(((PI()*$C$62^3*(-4/3)*Costanti!$F$2*Costanti!$C$2/($AJ$59*'Misure Gocce'!$C$61))*AI59)^2)+((((4/3)*PI()*'Misure Gocce'!$C$62^3*Costanti!$F$2*(Costanti!$C$2/$AJ$59)*ABS(AH59)/($C$61)^2)*'Misure Gocce'!$F$61)^2))</f>
        <v>2.4105726308878862E-20</v>
      </c>
    </row>
    <row r="60" spans="2:39">
      <c r="B60" s="45"/>
      <c r="I60" s="84"/>
      <c r="J60" s="27"/>
      <c r="L60" s="72">
        <v>12.85</v>
      </c>
      <c r="M60">
        <v>0.3</v>
      </c>
      <c r="N60" s="85">
        <f>Costanti!$C$7/('Misure Gocce'!L60)</f>
        <v>3.8910505836575878E-5</v>
      </c>
      <c r="O60" s="37">
        <f>N60*SQRT((-M60/L60)^2)</f>
        <v>9.0841647867492328E-7</v>
      </c>
      <c r="P60" s="84">
        <f>SQRT((Costanti!$C$6/(2*Costanti!$C$5))^2+(9*$G$59*N60)/(2*Costanti!$C$2*Costanti!$F$2))-Costanti!$C$6/(2*Costanti!$C$5)</f>
        <v>5.7992948399201837E-7</v>
      </c>
      <c r="Q60" s="40">
        <f>SQRT((1/2*(9*$G$59)/(2*Costanti!$C$2*Costanti!$F$2)/(P60+Costanti!$C$6/(2*Costanti!$C$5))*O60)^2+(1/2*(9*N60)/(2*Costanti!$C$2*Costanti!$F$2)/(P60+Costanti!$C$6/(2*Costanti!$C$5))*$H$59)^2)</f>
        <v>7.2552282646693445E-9</v>
      </c>
      <c r="S60" s="11">
        <f>S59</f>
        <v>306</v>
      </c>
      <c r="T60" s="2">
        <f>T59</f>
        <v>2</v>
      </c>
      <c r="U60" s="34">
        <v>2.4500000000000002</v>
      </c>
      <c r="V60">
        <v>0.3</v>
      </c>
      <c r="W60" s="23">
        <f>Costanti!$C$7/('Misure Gocce'!U60)</f>
        <v>2.040816326530612E-4</v>
      </c>
      <c r="X60">
        <f>W60*SQRT((-V60/U60)^2)</f>
        <v>2.4989587671803409E-5</v>
      </c>
      <c r="Y60" s="63">
        <f>$S$59/Costanti!$C$9</f>
        <v>40511.915269196827</v>
      </c>
      <c r="Z60" s="34">
        <f>Z59</f>
        <v>270.16124377118615</v>
      </c>
      <c r="AA60" s="23">
        <f>PI()*(-4/3)*('Misure Gocce'!$C$62)^3*(Costanti!$F$2)*(Costanti!$C$2)/'Misure Gocce'!$Y$59*(1-'Misure Gocce'!W60/$C$61)</f>
        <v>6.984094738868528E-19</v>
      </c>
      <c r="AB60" s="40">
        <f>SQRT(((PI()*2*$C$62^2*(-4/3)*Costanti!$F$2*Costanti!$C$2/('Misure Gocce'!$Y$59)*(1-'Misure Gocce'!W60/'Misure Gocce'!$C$61))*'Misure Gocce'!$F$62)^2+((PI()*$C$62^3*(-4/3)*Costanti!$F$2*Costanti!$C$2/-('Misure Gocce'!Y60^2)*(1-'Misure Gocce'!W60/'Misure Gocce'!$C$61))*Z60)^2+(((PI()*$C$62^3*(-4/3)*Costanti!$F$2*Costanti!$C$2/(-'Misure Gocce'!Y60*'Misure Gocce'!$C$61))*'Misure Gocce'!X60)^2)+((((4/3)*PI()*'Misure Gocce'!$C$62^3*Costanti!$F$2*(Costanti!$C$2/'Misure Gocce'!Y60)*-('Misure Gocce'!W60)/('Misure Gocce'!$C$61)^2)*'Misure Gocce'!$F$61)^2))</f>
        <v>1.1689119357115528E-19</v>
      </c>
      <c r="AD60" s="11">
        <f>-S60</f>
        <v>-306</v>
      </c>
      <c r="AE60" s="2">
        <f>AE59</f>
        <v>2</v>
      </c>
      <c r="AF60" s="34">
        <v>3.81</v>
      </c>
      <c r="AG60">
        <v>0.3</v>
      </c>
      <c r="AH60" s="23">
        <f>Costanti!$C$7/('Misure Gocce'!AF60)</f>
        <v>1.3123359580052493E-4</v>
      </c>
      <c r="AI60">
        <f>AH60*SQRT((-AG60/AF60)^2)</f>
        <v>1.0333354000041333E-5</v>
      </c>
      <c r="AJ60" s="32">
        <f>$AD$59/Costanti!$C$9</f>
        <v>-40511.915269196827</v>
      </c>
      <c r="AK60" s="34">
        <f>AK59</f>
        <v>270.16124377118615</v>
      </c>
      <c r="AL60" s="26">
        <f>PI()*(-4/3)*'Misure Gocce'!$C$62^3*(Costanti!$F$2)*Costanti!$C$2/'Misure Gocce'!$AJ$59*(1+ABS('Misure Gocce'!AH60)/$C$61)</f>
        <v>6.9591315433559181E-19</v>
      </c>
      <c r="AM60" s="37">
        <f>SQRT(((PI()*2*$C$62^2*(-4/3)*Costanti!$F$2*Costanti!$C$2/($AJ$59)*(1+ABS(AH60)/'Misure Gocce'!$C$61))*'Misure Gocce'!$F$62)^2+((PI()*$C$62^3*(-4/3)*Costanti!$F$2*Costanti!$C$2/(-$AJ$59^2)*(1+ABS(AH60)/'Misure Gocce'!$C$61))*AK60)^2+(((PI()*$C$62^3*(-4/3)*Costanti!$F$2*Costanti!$C$2/($AJ$59*'Misure Gocce'!$C$61))*AI60)^2)+((((4/3)*PI()*'Misure Gocce'!$C$62^3*Costanti!$F$2*(Costanti!$C$2/$AJ$59)*ABS(AH60)/($C$61)^2)*'Misure Gocce'!$F$61)^2))</f>
        <v>6.1543413543844922E-20</v>
      </c>
    </row>
    <row r="61" spans="2:39">
      <c r="B61" s="45" t="s">
        <v>37</v>
      </c>
      <c r="C61" s="30">
        <f>AVERAGE(N59:N63)</f>
        <v>3.6123853334028567E-5</v>
      </c>
      <c r="E61" s="132" t="s">
        <v>38</v>
      </c>
      <c r="F61" s="30">
        <f>_xlfn.STDEV.S(N59:N63)/SQRT(COUNT(N59:N63))</f>
        <v>1.6814210791824511E-6</v>
      </c>
      <c r="I61" s="84"/>
      <c r="J61" s="27"/>
      <c r="L61" s="72">
        <v>13.9</v>
      </c>
      <c r="M61">
        <v>0.3</v>
      </c>
      <c r="N61" s="85">
        <f>Costanti!$C$7/('Misure Gocce'!L61)</f>
        <v>3.5971223021582733E-5</v>
      </c>
      <c r="O61" s="37">
        <f>N61*SQRT((-M61/L61)^2)</f>
        <v>7.7635733140106608E-7</v>
      </c>
      <c r="P61" s="84">
        <f>SQRT((Costanti!$C$6/(2*Costanti!$C$5))^2+(9*$G$59*N61)/(2*Costanti!$C$2*Costanti!$F$2))-Costanti!$C$6/(2*Costanti!$C$5)</f>
        <v>5.5614096593992971E-7</v>
      </c>
      <c r="Q61" s="40">
        <f>SQRT((1/2*(9*$G$59)/(2*Costanti!$C$2*Costanti!$F$2)/(P61+Costanti!$C$6/(2*Costanti!$C$5))*O61)^2+(1/2*(9*N61)/(2*Costanti!$C$2*Costanti!$F$2)/(P61+Costanti!$C$6/(2*Costanti!$C$5))*$H$59)^2)</f>
        <v>6.4543901176166431E-9</v>
      </c>
      <c r="S61" s="11">
        <f>S60</f>
        <v>306</v>
      </c>
      <c r="T61" s="2">
        <f>T60</f>
        <v>2</v>
      </c>
      <c r="U61" s="34">
        <v>3</v>
      </c>
      <c r="V61">
        <v>0.3</v>
      </c>
      <c r="W61" s="23">
        <f>Costanti!$C$7/('Misure Gocce'!U61)</f>
        <v>1.6666666666666666E-4</v>
      </c>
      <c r="X61">
        <f>W61*SQRT((-V61/U61)^2)</f>
        <v>1.6666666666666664E-5</v>
      </c>
      <c r="Y61" s="63">
        <f>$S$59/Costanti!$C$9</f>
        <v>40511.915269196827</v>
      </c>
      <c r="Z61" s="34">
        <f>Z60</f>
        <v>270.16124377118615</v>
      </c>
      <c r="AA61" s="23">
        <f>PI()*(-4/3)*('Misure Gocce'!$C$62)^3*(Costanti!$F$2)*(Costanti!$C$2)/'Misure Gocce'!$Y$59*(1-'Misure Gocce'!W61/$C$61)</f>
        <v>5.4282890586554655E-19</v>
      </c>
      <c r="AB61" s="40">
        <f>SQRT(((PI()*2*$C$62^2*(-4/3)*Costanti!$F$2*Costanti!$C$2/('Misure Gocce'!$Y$59)*(1-'Misure Gocce'!W61/'Misure Gocce'!$C$61))*'Misure Gocce'!$F$62)^2+((PI()*$C$62^3*(-4/3)*Costanti!$F$2*Costanti!$C$2/-('Misure Gocce'!Y61^2)*(1-'Misure Gocce'!W61/'Misure Gocce'!$C$61))*Z61)^2+(((PI()*$C$62^3*(-4/3)*Costanti!$F$2*Costanti!$C$2/(-'Misure Gocce'!Y61*'Misure Gocce'!$C$61))*'Misure Gocce'!X61)^2)+((((4/3)*PI()*'Misure Gocce'!$C$62^3*Costanti!$F$2*(Costanti!$C$2/'Misure Gocce'!Y61)*-('Misure Gocce'!W61)/('Misure Gocce'!$C$61)^2)*'Misure Gocce'!$F$61)^2))</f>
        <v>8.1438676383576193E-20</v>
      </c>
      <c r="AD61" s="11">
        <f>-S61</f>
        <v>-306</v>
      </c>
      <c r="AE61" s="2">
        <f>AE60</f>
        <v>2</v>
      </c>
      <c r="AF61" s="34">
        <v>5.79</v>
      </c>
      <c r="AG61">
        <v>0.3</v>
      </c>
      <c r="AH61" s="23">
        <f>Costanti!$C$7/('Misure Gocce'!AF61)</f>
        <v>8.6355785837651119E-5</v>
      </c>
      <c r="AI61">
        <f>AH61*SQRT((-AG61/AF61)^2)</f>
        <v>4.4743930485829595E-6</v>
      </c>
      <c r="AJ61" s="32">
        <f>$AD$59/Costanti!$C$9</f>
        <v>-40511.915269196827</v>
      </c>
      <c r="AK61" s="34">
        <f>AK60</f>
        <v>270.16124377118615</v>
      </c>
      <c r="AL61" s="26">
        <f>PI()*(-4/3)*'Misure Gocce'!$C$62^3*(Costanti!$F$2)*Costanti!$C$2/'Misure Gocce'!$AJ$59*(1+ABS('Misure Gocce'!AH61)/$C$61)</f>
        <v>5.0930025809201107E-19</v>
      </c>
      <c r="AM61" s="37">
        <f>SQRT(((PI()*2*$C$62^2*(-4/3)*Costanti!$F$2*Costanti!$C$2/($AJ$59)*(1+ABS(AH61)/'Misure Gocce'!$C$61))*'Misure Gocce'!$F$62)^2+((PI()*$C$62^3*(-4/3)*Costanti!$F$2*Costanti!$C$2/(-$AJ$59^2)*(1+ABS(AH61)/'Misure Gocce'!$C$61))*AK61)^2+(((PI()*$C$62^3*(-4/3)*Costanti!$F$2*Costanti!$C$2/($AJ$59*'Misure Gocce'!$C$61))*AI61)^2)+((((4/3)*PI()*'Misure Gocce'!$C$62^3*Costanti!$F$2*(Costanti!$C$2/$AJ$59)*ABS(AH61)/($C$61)^2)*'Misure Gocce'!$F$61)^2))</f>
        <v>3.6328063340349354E-20</v>
      </c>
    </row>
    <row r="62" spans="2:39">
      <c r="B62" s="45" t="s">
        <v>39</v>
      </c>
      <c r="C62">
        <f>AVERAGE(P59:P63)</f>
        <v>5.5671698687458015E-7</v>
      </c>
      <c r="E62" t="s">
        <v>40</v>
      </c>
      <c r="F62" s="30">
        <f>_xlfn.STDEV.S(P59:P63)/SQRT(COUNT(P59:P63))</f>
        <v>1.4280167918226108E-8</v>
      </c>
      <c r="I62" s="84"/>
      <c r="J62" s="27"/>
      <c r="L62" s="72">
        <v>12.99</v>
      </c>
      <c r="M62">
        <v>0.3</v>
      </c>
      <c r="N62" s="85">
        <f>Costanti!$C$7/('Misure Gocce'!L62)</f>
        <v>3.849114703618168E-5</v>
      </c>
      <c r="O62" s="37">
        <f>N62*SQRT((-M62/L62)^2)</f>
        <v>8.8894104009657465E-7</v>
      </c>
      <c r="P62" s="84">
        <f>SQRT((Costanti!$C$6/(2*Costanti!$C$5))^2+(9*$G$59*N62)/(2*Costanti!$C$2*Costanti!$F$2))-Costanti!$C$6/(2*Costanti!$C$5)</f>
        <v>5.7659157518760906E-7</v>
      </c>
      <c r="Q62" s="40">
        <f>SQRT((1/2*(9*$G$59)/(2*Costanti!$C$2*Costanti!$F$2)/(P62+Costanti!$C$6/(2*Costanti!$C$5))*O62)^2+(1/2*(9*N62)/(2*Costanti!$C$2*Costanti!$F$2)/(P62+Costanti!$C$6/(2*Costanti!$C$5))*$H$59)^2)</f>
        <v>7.1390367861491713E-9</v>
      </c>
      <c r="S62" s="11">
        <f>S61</f>
        <v>306</v>
      </c>
      <c r="T62" s="2">
        <f>T61</f>
        <v>2</v>
      </c>
      <c r="U62" s="34">
        <v>3.3</v>
      </c>
      <c r="V62">
        <v>0.3</v>
      </c>
      <c r="W62" s="23">
        <f>Costanti!$C$7/('Misure Gocce'!U62)</f>
        <v>1.5151515151515152E-4</v>
      </c>
      <c r="X62">
        <f>W62*SQRT((-V62/U62)^2)</f>
        <v>1.3774104683195593E-5</v>
      </c>
      <c r="Y62" s="63">
        <f>$S$59/Costanti!$C$9</f>
        <v>40511.915269196827</v>
      </c>
      <c r="Z62" s="34">
        <f>Z61</f>
        <v>270.16124377118615</v>
      </c>
      <c r="AA62" s="23">
        <f>PI()*(-4/3)*('Misure Gocce'!$C$62)^3*(Costanti!$F$2)*(Costanti!$C$2)/'Misure Gocce'!$Y$59*(1-'Misure Gocce'!W62/$C$61)</f>
        <v>4.798252047660093E-19</v>
      </c>
      <c r="AB62" s="40">
        <f>SQRT(((PI()*2*$C$62^2*(-4/3)*Costanti!$F$2*Costanti!$C$2/('Misure Gocce'!$Y$59)*(1-'Misure Gocce'!W62/'Misure Gocce'!$C$61))*'Misure Gocce'!$F$62)^2+((PI()*$C$62^3*(-4/3)*Costanti!$F$2*Costanti!$C$2/-('Misure Gocce'!Y62^2)*(1-'Misure Gocce'!W62/'Misure Gocce'!$C$61))*Z62)^2+(((PI()*$C$62^3*(-4/3)*Costanti!$F$2*Costanti!$C$2/(-'Misure Gocce'!Y62*'Misure Gocce'!$C$61))*'Misure Gocce'!X62)^2)+((((4/3)*PI()*'Misure Gocce'!$C$62^3*Costanti!$F$2*(Costanti!$C$2/'Misure Gocce'!Y62)*-('Misure Gocce'!W62)/('Misure Gocce'!$C$61)^2)*'Misure Gocce'!$F$61)^2))</f>
        <v>6.8968966602092123E-20</v>
      </c>
      <c r="AD62" s="11">
        <f>-S62</f>
        <v>-306</v>
      </c>
      <c r="AE62" s="2">
        <f>AE61</f>
        <v>2</v>
      </c>
      <c r="AF62" s="34">
        <v>5.33</v>
      </c>
      <c r="AG62">
        <v>0.3</v>
      </c>
      <c r="AH62" s="23">
        <f>Costanti!$C$7/('Misure Gocce'!AF62)</f>
        <v>9.3808630393996248E-5</v>
      </c>
      <c r="AI62">
        <f>AH62*SQRT((-AG62/AF62)^2)</f>
        <v>5.2800354818384378E-6</v>
      </c>
      <c r="AJ62" s="32">
        <f>$AD$59/Costanti!$C$9</f>
        <v>-40511.915269196827</v>
      </c>
      <c r="AK62" s="34">
        <f>AK61</f>
        <v>270.16124377118615</v>
      </c>
      <c r="AL62" s="26">
        <f>PI()*(-4/3)*'Misure Gocce'!$C$62^3*(Costanti!$F$2)*Costanti!$C$2/'Misure Gocce'!$AJ$59*(1+ABS('Misure Gocce'!AH62)/$C$61)</f>
        <v>5.4029100628278368E-19</v>
      </c>
      <c r="AM62" s="37">
        <f>SQRT(((PI()*2*$C$62^2*(-4/3)*Costanti!$F$2*Costanti!$C$2/($AJ$59)*(1+ABS(AH62)/'Misure Gocce'!$C$61))*'Misure Gocce'!$F$62)^2+((PI()*$C$62^3*(-4/3)*Costanti!$F$2*Costanti!$C$2/(-$AJ$59^2)*(1+ABS(AH62)/'Misure Gocce'!$C$61))*AK62)^2+(((PI()*$C$62^3*(-4/3)*Costanti!$F$2*Costanti!$C$2/($AJ$59*'Misure Gocce'!$C$61))*AI62)^2)+((((4/3)*PI()*'Misure Gocce'!$C$62^3*Costanti!$F$2*(Costanti!$C$2/$AJ$59)*ABS(AH62)/($C$61)^2)*'Misure Gocce'!$F$61)^2))</f>
        <v>3.9911971645021867E-20</v>
      </c>
    </row>
    <row r="63" spans="2:39">
      <c r="B63" s="46"/>
      <c r="C63" s="47"/>
      <c r="D63" s="47"/>
      <c r="E63" s="47"/>
      <c r="F63" s="47"/>
      <c r="G63" s="47"/>
      <c r="H63" s="47"/>
      <c r="I63" s="148"/>
      <c r="J63" s="29"/>
      <c r="L63" s="73">
        <v>13.32</v>
      </c>
      <c r="M63" s="12">
        <v>0.3</v>
      </c>
      <c r="N63" s="146">
        <f>Costanti!$C$7/('Misure Gocce'!L63)</f>
        <v>3.7537537537537536E-5</v>
      </c>
      <c r="O63" s="38">
        <f>N63*SQRT((-M63/L63)^2)</f>
        <v>8.4544003462922377E-7</v>
      </c>
      <c r="P63" s="148">
        <f>SQRT((Costanti!$C$6/(2*Costanti!$C$5))^2+(9*$G$59*N63)/(2*Costanti!$C$2*Costanti!$F$2))-Costanti!$C$6/(2*Costanti!$C$5)</f>
        <v>5.6893321533636807E-7</v>
      </c>
      <c r="Q63" s="41">
        <f>SQRT((1/2*(9*$G$59)/(2*Costanti!$C$2*Costanti!$F$2)/(P63+Costanti!$C$6/(2*Costanti!$C$5))*O63)^2+(1/2*(9*N63)/(2*Costanti!$C$2*Costanti!$F$2)/(P63+Costanti!$C$6/(2*Costanti!$C$5))*$H$59)^2)</f>
        <v>6.8771984837339942E-9</v>
      </c>
      <c r="S63" s="8">
        <f>S62</f>
        <v>306</v>
      </c>
      <c r="T63" s="3">
        <f>T62</f>
        <v>2</v>
      </c>
      <c r="U63" s="35">
        <v>2.63</v>
      </c>
      <c r="V63" s="12">
        <v>0.3</v>
      </c>
      <c r="W63" s="24">
        <f>Costanti!$C$7/('Misure Gocce'!U63)</f>
        <v>1.9011406844106465E-4</v>
      </c>
      <c r="X63" s="12">
        <f>W63*SQRT((-V63/U63)^2)</f>
        <v>2.1686015411528287E-5</v>
      </c>
      <c r="Y63" s="64">
        <f>$S$59/Costanti!$C$9</f>
        <v>40511.915269196827</v>
      </c>
      <c r="Z63" s="52">
        <f>Z62</f>
        <v>270.16124377118615</v>
      </c>
      <c r="AA63" s="24">
        <f>PI()*(-4/3)*('Misure Gocce'!$C$62)^3*(Costanti!$F$2)*(Costanti!$C$2)/'Misure Gocce'!$Y$59*(1-'Misure Gocce'!W63/$C$61)</f>
        <v>6.403289300005719E-19</v>
      </c>
      <c r="AB63" s="41">
        <f>SQRT(((PI()*2*$C$62^2*(-4/3)*Costanti!$F$2*Costanti!$C$2/('Misure Gocce'!$Y$59)*(1-'Misure Gocce'!W63/'Misure Gocce'!$C$61))*'Misure Gocce'!$F$62)^2+((PI()*$C$62^3*(-4/3)*Costanti!$F$2*Costanti!$C$2/-('Misure Gocce'!Y63^2)*(1-'Misure Gocce'!W63/'Misure Gocce'!$C$61))*Z63)^2+(((PI()*$C$62^3*(-4/3)*Costanti!$F$2*Costanti!$C$2/(-'Misure Gocce'!Y63*'Misure Gocce'!$C$61))*'Misure Gocce'!X63)^2)+((((4/3)*PI()*'Misure Gocce'!$C$62^3*Costanti!$F$2*(Costanti!$C$2/'Misure Gocce'!Y63)*-('Misure Gocce'!W63)/('Misure Gocce'!$C$61)^2)*'Misure Gocce'!$F$61)^2))</f>
        <v>1.0287365515475393E-19</v>
      </c>
      <c r="AD63" s="8">
        <f>-S63</f>
        <v>-306</v>
      </c>
      <c r="AE63" s="3">
        <f>AE62</f>
        <v>2</v>
      </c>
      <c r="AF63" s="35">
        <v>3.9</v>
      </c>
      <c r="AG63" s="12">
        <v>0.3</v>
      </c>
      <c r="AH63" s="24">
        <f>Costanti!$C$7/('Misure Gocce'!AF63)</f>
        <v>1.2820512820512821E-4</v>
      </c>
      <c r="AI63" s="12">
        <f>AH63*SQRT((-AG63/AF63)^2)</f>
        <v>9.8619329388560168E-6</v>
      </c>
      <c r="AJ63" s="33">
        <f>$AD$59/Costanti!$C$9</f>
        <v>-40511.915269196827</v>
      </c>
      <c r="AK63" s="35">
        <f>AK62</f>
        <v>270.16124377118615</v>
      </c>
      <c r="AL63" s="142">
        <f>PI()*(-4/3)*'Misure Gocce'!$C$62^3*(Costanti!$F$2)*Costanti!$C$2/'Misure Gocce'!$AJ$59*(1+ABS('Misure Gocce'!AH63)/$C$61)</f>
        <v>6.8332004630237121E-19</v>
      </c>
      <c r="AM63" s="141">
        <f>SQRT(((PI()*2*$C$62^2*(-4/3)*Costanti!$F$2*Costanti!$C$2/($AJ$59)*(1+ABS(AH63)/'Misure Gocce'!$C$61))*'Misure Gocce'!$F$62)^2+((PI()*$C$62^3*(-4/3)*Costanti!$F$2*Costanti!$C$2/(-$AJ$59^2)*(1+ABS(AH63)/'Misure Gocce'!$C$61))*AK63)^2+(((PI()*$C$62^3*(-4/3)*Costanti!$F$2*Costanti!$C$2/($AJ$59*'Misure Gocce'!$C$61))*AI63)^2)+((((4/3)*PI()*'Misure Gocce'!$C$62^3*Costanti!$F$2*(Costanti!$C$2/$AJ$59)*ABS(AH63)/($C$61)^2)*'Misure Gocce'!$F$61)^2))</f>
        <v>5.9557160391293227E-20</v>
      </c>
    </row>
    <row r="64" spans="2:39">
      <c r="I64" s="84"/>
      <c r="L64" s="34"/>
      <c r="N64" s="84"/>
      <c r="O64" s="30"/>
      <c r="P64" s="84"/>
      <c r="Q64" s="30"/>
      <c r="U64" s="34"/>
      <c r="W64" s="30"/>
      <c r="Y64" s="42"/>
      <c r="Z64" s="34"/>
      <c r="AA64" s="30"/>
      <c r="AB64" s="30"/>
      <c r="AF64" s="34"/>
      <c r="AH64" s="30"/>
      <c r="AJ64" s="42"/>
      <c r="AK64" s="34"/>
      <c r="AL64" s="30"/>
      <c r="AM64" s="30"/>
    </row>
    <row r="65" spans="2:39">
      <c r="B65" s="117" t="s">
        <v>16</v>
      </c>
      <c r="C65" s="118" t="s">
        <v>17</v>
      </c>
      <c r="D65" s="118" t="s">
        <v>18</v>
      </c>
      <c r="E65" s="118" t="s">
        <v>19</v>
      </c>
      <c r="F65" s="118" t="s">
        <v>20</v>
      </c>
      <c r="G65" s="118" t="s">
        <v>21</v>
      </c>
      <c r="H65" s="118" t="s">
        <v>22</v>
      </c>
      <c r="I65" s="151" t="s">
        <v>23</v>
      </c>
      <c r="J65" s="119" t="s">
        <v>24</v>
      </c>
      <c r="L65" s="156" t="s">
        <v>25</v>
      </c>
      <c r="M65" s="75" t="s">
        <v>26</v>
      </c>
      <c r="N65" s="154" t="s">
        <v>27</v>
      </c>
      <c r="O65" s="75" t="s">
        <v>28</v>
      </c>
      <c r="P65" s="154" t="s">
        <v>29</v>
      </c>
      <c r="Q65" s="76" t="s">
        <v>30</v>
      </c>
      <c r="S65" s="77" t="s">
        <v>31</v>
      </c>
      <c r="T65" s="79" t="s">
        <v>32</v>
      </c>
      <c r="U65" s="161" t="s">
        <v>25</v>
      </c>
      <c r="V65" s="78" t="s">
        <v>26</v>
      </c>
      <c r="W65" s="77" t="s">
        <v>27</v>
      </c>
      <c r="X65" s="78" t="s">
        <v>28</v>
      </c>
      <c r="Y65" s="77" t="s">
        <v>33</v>
      </c>
      <c r="Z65" s="78" t="s">
        <v>34</v>
      </c>
      <c r="AA65" s="77" t="s">
        <v>35</v>
      </c>
      <c r="AB65" s="79" t="s">
        <v>36</v>
      </c>
      <c r="AD65" s="125" t="s">
        <v>31</v>
      </c>
      <c r="AE65" s="126" t="s">
        <v>32</v>
      </c>
      <c r="AF65" s="158" t="s">
        <v>25</v>
      </c>
      <c r="AG65" s="127" t="s">
        <v>26</v>
      </c>
      <c r="AH65" s="128" t="s">
        <v>27</v>
      </c>
      <c r="AI65" s="127" t="s">
        <v>28</v>
      </c>
      <c r="AJ65" s="128" t="s">
        <v>33</v>
      </c>
      <c r="AK65" s="127" t="s">
        <v>34</v>
      </c>
      <c r="AL65" s="128" t="s">
        <v>35</v>
      </c>
      <c r="AM65" s="129" t="s">
        <v>36</v>
      </c>
    </row>
    <row r="66" spans="2:39">
      <c r="B66" s="122">
        <v>10</v>
      </c>
      <c r="C66" s="123">
        <v>2.028</v>
      </c>
      <c r="D66" s="123">
        <v>1E-3</v>
      </c>
      <c r="E66" s="123">
        <v>24</v>
      </c>
      <c r="F66" s="123">
        <v>1</v>
      </c>
      <c r="G66" s="123">
        <f>(1.8+($E$66-15)*4.765*10^(-3))*10^(-5)</f>
        <v>1.8428850000000002E-5</v>
      </c>
      <c r="H66" s="123">
        <f>SQRT((4.765*10^(-8)*F66)^2)</f>
        <v>4.765E-8</v>
      </c>
      <c r="I66" s="153">
        <f>G66/(1+Costanti!$C$6/(Costanti!$C$5*C69))</f>
        <v>1.6608289903236587E-5</v>
      </c>
      <c r="J66" s="124">
        <f>(G66-I66)/G66</f>
        <v>9.8788589454220713E-2</v>
      </c>
      <c r="L66" s="72">
        <v>8.68</v>
      </c>
      <c r="M66">
        <v>0.3</v>
      </c>
      <c r="N66" s="85">
        <f>Costanti!$C$7/'Misure Gocce'!L66</f>
        <v>5.76036866359447E-5</v>
      </c>
      <c r="O66" s="30">
        <f>N66*SQRT((-M66/L66)^2)</f>
        <v>1.9909108284312687E-6</v>
      </c>
      <c r="P66" s="144">
        <f>SQRT((Costanti!$C$6/(2*Costanti!$C$5))^2+(9*$G$66*N66)/(2*Costanti!$C$2*Costanti!$F$2))-Costanti!$C$6/(2*Costanti!$C$5)</f>
        <v>7.1386175170413596E-7</v>
      </c>
      <c r="Q66" s="40">
        <f>SQRT((1/2*(9*$G$66)/(2*Costanti!$C$2*Costanti!$F$2)/(P66+Costanti!$C$6/(2*Costanti!$C$5))*O66)^2+(1/2*(9*N66)/(2*Costanti!$C$2*Costanti!$F$2)/(P66+Costanti!$C$6/(2*Costanti!$C$5))*$H$66)^2)</f>
        <v>1.30343926540027E-8</v>
      </c>
      <c r="S66" s="45">
        <v>410</v>
      </c>
      <c r="T66" s="27">
        <v>2</v>
      </c>
      <c r="U66" s="34">
        <v>2.12</v>
      </c>
      <c r="V66">
        <v>0.3</v>
      </c>
      <c r="W66" s="23">
        <f>Costanti!$C$7/'Misure Gocce'!U66</f>
        <v>2.3584905660377359E-4</v>
      </c>
      <c r="X66">
        <f>W66*SQRT((-V66/U66)^2)</f>
        <v>3.3374866500534E-5</v>
      </c>
      <c r="Y66" s="63">
        <f>$S$66/Costanti!$C$9</f>
        <v>54280.670785525166</v>
      </c>
      <c r="Z66" s="34">
        <f>Y66*SQRT((T66/S66)^2+(Costanti!$C$10/Costanti!$C$9)^2)</f>
        <v>274.36245936706416</v>
      </c>
      <c r="AA66" s="26">
        <f>PI()*(-4/3)*('Misure Gocce'!$C$69)^3*(Costanti!$F$2)*(Costanti!$C$2)/'Misure Gocce'!$Y$66*(1-'Misure Gocce'!W66/$C$68)</f>
        <v>7.4189911640905603E-19</v>
      </c>
      <c r="AB66" s="37">
        <f>SQRT(((PI()*2*$C$69^2*(-4/3)*Costanti!$F$2*Costanti!$C$2/('Misure Gocce'!$Y$3)*(1-'Misure Gocce'!W66/'Misure Gocce'!$C$68))*'Misure Gocce'!$F$69)^2+((PI()*$C$69^3*(-4/3)*Costanti!$F$2*Costanti!$C$2/-('Misure Gocce'!Y66^2)*(1-'Misure Gocce'!W66/'Misure Gocce'!$C$68))*Z66)^2+(((PI()*$C$69^3*(-4/3)*Costanti!$F$2*Costanti!$C$2/(-'Misure Gocce'!Y66*'Misure Gocce'!$C$68))*'Misure Gocce'!X66)^2)+((((4/3)*PI()*'Misure Gocce'!$C$69^3*Costanti!$F$2*(Costanti!$C$2/'Misure Gocce'!Y66)*-('Misure Gocce'!W66)/('Misure Gocce'!$C$68)^2)*'Misure Gocce'!$F$68)^2))</f>
        <v>1.4767644591147478E-19</v>
      </c>
      <c r="AD66" s="11">
        <f>-S66</f>
        <v>-410</v>
      </c>
      <c r="AE66" s="2">
        <v>2</v>
      </c>
      <c r="AF66" s="34">
        <v>4.07</v>
      </c>
      <c r="AG66">
        <v>0.3</v>
      </c>
      <c r="AH66" s="23">
        <f>Costanti!$C$7/'Misure Gocce'!AF66</f>
        <v>1.2285012285012285E-4</v>
      </c>
      <c r="AI66" s="27">
        <f>AH66*SQRT((-AG66/AF66)^2)</f>
        <v>9.0552916105741657E-6</v>
      </c>
      <c r="AJ66" s="42">
        <f>$AD$66/Costanti!$C$9</f>
        <v>-54280.670785525166</v>
      </c>
      <c r="AK66" s="34">
        <f>ABS(AJ66)*SQRT((AE66/AD66)^2+(Costanti!$C$10/Costanti!$C$9)^2)</f>
        <v>274.36245936706416</v>
      </c>
      <c r="AL66" s="26">
        <f>PI()*(-4/3)*'Misure Gocce'!$C$69^3*(Costanti!$F$2)*Costanti!$C$2/'Misure Gocce'!$AJ$66*(1+ABS('Misure Gocce'!AH66)/$C$68)</f>
        <v>7.8407992581523676E-19</v>
      </c>
      <c r="AM66" s="37">
        <f>SQRT(((PI()*2*$C$69^2*(-4/3)*Costanti!$F$2*Costanti!$C$2/($AJ$66)*(1+ABS(AH66)/'Misure Gocce'!$C$68))*'Misure Gocce'!$F$69)^2+((PI()*$C$69^3*(-4/3)*Costanti!$F$2*Costanti!$C$2/(-$AJ$66^2)*(1+ABS(AH66)/'Misure Gocce'!$C$68))*AK66)^2+(((PI()*$C$69^3*(-4/3)*Costanti!$F$2*Costanti!$C$2/($AJ$66*'Misure Gocce'!$C$68))*AI66)^2)+((((4/3)*PI()*'Misure Gocce'!$C$69^3*Costanti!$F$2*(Costanti!$C$2/$AJ$66)*ABS(AH66)/($C$68)^2)*'Misure Gocce'!$F$68)^2))</f>
        <v>4.8362307424058153E-20</v>
      </c>
    </row>
    <row r="67" spans="2:39">
      <c r="B67" s="45"/>
      <c r="I67" s="84"/>
      <c r="J67" s="27"/>
      <c r="L67" s="72">
        <v>8.48</v>
      </c>
      <c r="M67">
        <v>0.3</v>
      </c>
      <c r="N67" s="85">
        <f>Costanti!$C$7/('Misure Gocce'!L67)</f>
        <v>5.8962264150943397E-5</v>
      </c>
      <c r="O67" s="30">
        <f>N67*SQRT((-M67/L67)^2)</f>
        <v>2.085929156283375E-6</v>
      </c>
      <c r="P67" s="144">
        <f>SQRT((Costanti!$C$6/(2*Costanti!$C$5))^2+(9*$G$66*N67)/(2*Costanti!$C$2*Costanti!$F$2))-Costanti!$C$6/(2*Costanti!$C$5)</f>
        <v>7.2267996110412335E-7</v>
      </c>
      <c r="Q67" s="40">
        <f>SQRT((1/2*(9*$G$66)/(2*Costanti!$C$2*Costanti!$F$2)/(P67+Costanti!$C$6/(2*Costanti!$C$5))*O67)^2+(1/2*(9*N67)/(2*Costanti!$C$2*Costanti!$F$2)/(P67+Costanti!$C$6/(2*Costanti!$C$5))*$H$66)^2)</f>
        <v>1.3496959633494876E-8</v>
      </c>
      <c r="S67" s="45">
        <f>S66</f>
        <v>410</v>
      </c>
      <c r="T67" s="27">
        <f>T66</f>
        <v>2</v>
      </c>
      <c r="U67" s="34">
        <v>1.85</v>
      </c>
      <c r="V67">
        <v>0.3</v>
      </c>
      <c r="W67" s="23">
        <f>Costanti!$C$7/('Misure Gocce'!U67)</f>
        <v>2.7027027027027027E-4</v>
      </c>
      <c r="X67">
        <f>W67*SQRT((-V67/U67)^2)</f>
        <v>4.3827611395178956E-5</v>
      </c>
      <c r="Y67" s="63">
        <f>$S$66/Costanti!$C$9</f>
        <v>54280.670785525166</v>
      </c>
      <c r="Z67" s="34">
        <f>Z66</f>
        <v>274.36245936706416</v>
      </c>
      <c r="AA67" s="26">
        <f>PI()*(-4/3)*('Misure Gocce'!$C$69)^3*(Costanti!$F$2)*(Costanti!$C$2)/'Misure Gocce'!$Y$66*(1-'Misure Gocce'!W67/$C$68)</f>
        <v>8.8833393887775214E-19</v>
      </c>
      <c r="AB67" s="37">
        <f>SQRT(((PI()*2*$C$69^2*(-4/3)*Costanti!$F$2*Costanti!$C$2/('Misure Gocce'!$Y$3)*(1-'Misure Gocce'!W67/'Misure Gocce'!$C$68))*'Misure Gocce'!$F$69)^2+((PI()*$C$69^3*(-4/3)*Costanti!$F$2*Costanti!$C$2/-('Misure Gocce'!Y67^2)*(1-'Misure Gocce'!W67/'Misure Gocce'!$C$68))*Z67)^2+(((PI()*$C$69^3*(-4/3)*Costanti!$F$2*Costanti!$C$2/(-'Misure Gocce'!Y67*'Misure Gocce'!$C$68))*'Misure Gocce'!X67)^2)+((((4/3)*PI()*'Misure Gocce'!$C$69^3*Costanti!$F$2*(Costanti!$C$2/'Misure Gocce'!Y67)*-('Misure Gocce'!W67)/('Misure Gocce'!$C$68)^2)*'Misure Gocce'!$F$68)^2))</f>
        <v>1.9240779564959395E-19</v>
      </c>
      <c r="AD67" s="11">
        <f>AD66</f>
        <v>-410</v>
      </c>
      <c r="AE67" s="2">
        <f>AE66</f>
        <v>2</v>
      </c>
      <c r="AF67" s="34">
        <v>3.87</v>
      </c>
      <c r="AG67">
        <v>0.3</v>
      </c>
      <c r="AH67" s="23">
        <f>Costanti!$C$7/('Misure Gocce'!AF67)</f>
        <v>1.2919896640826872E-4</v>
      </c>
      <c r="AI67" s="27">
        <f>AH67*SQRT((-AG67/AF67)^2)</f>
        <v>1.001542375257897E-5</v>
      </c>
      <c r="AJ67" s="42">
        <f>$AD$66/Costanti!$C$9</f>
        <v>-54280.670785525166</v>
      </c>
      <c r="AK67" s="34">
        <f>AK66</f>
        <v>274.36245936706416</v>
      </c>
      <c r="AL67" s="26">
        <f>PI()*(-4/3)*'Misure Gocce'!$C$69^3*(Costanti!$F$2)*Costanti!$C$2/'Misure Gocce'!$AJ$66*(1+ABS('Misure Gocce'!AH67)/$C$68)</f>
        <v>8.1108919365588584E-19</v>
      </c>
      <c r="AM67" s="37">
        <f>SQRT(((PI()*2*$C$69^2*(-4/3)*Costanti!$F$2*Costanti!$C$2/($AJ$66)*(1+ABS(AH67)/'Misure Gocce'!$C$68))*'Misure Gocce'!$F$69)^2+((PI()*$C$69^3*(-4/3)*Costanti!$F$2*Costanti!$C$2/(-$AJ$66^2)*(1+ABS(AH67)/'Misure Gocce'!$C$68))*AK67)^2+(((PI()*$C$69^3*(-4/3)*Costanti!$F$2*Costanti!$C$2/($AJ$66*'Misure Gocce'!$C$68))*AI67)^2)+((((4/3)*PI()*'Misure Gocce'!$C$69^3*Costanti!$F$2*(Costanti!$C$2/$AJ$66)*ABS(AH67)/($C$68)^2)*'Misure Gocce'!$F$68)^2))</f>
        <v>5.2334721428537754E-20</v>
      </c>
    </row>
    <row r="68" spans="2:39">
      <c r="B68" s="45" t="s">
        <v>37</v>
      </c>
      <c r="C68" s="30">
        <f>AVERAGE(N66:N70)</f>
        <v>6.1457012591425818E-5</v>
      </c>
      <c r="E68" s="132" t="s">
        <v>38</v>
      </c>
      <c r="F68" s="30">
        <f>_xlfn.STDEV.S(N66:N70)/SQRT(COUNT(N66:N70))</f>
        <v>1.8306932776416247E-6</v>
      </c>
      <c r="I68" s="84"/>
      <c r="J68" s="27"/>
      <c r="L68" s="72">
        <v>7.73</v>
      </c>
      <c r="M68">
        <v>0.3</v>
      </c>
      <c r="N68" s="85">
        <f>Costanti!$C$7/('Misure Gocce'!L68)</f>
        <v>6.4683053040103495E-5</v>
      </c>
      <c r="O68" s="30">
        <f>N68*SQRT((-M68/L68)^2)</f>
        <v>2.5103384103533048E-6</v>
      </c>
      <c r="P68" s="144">
        <f>SQRT((Costanti!$C$6/(2*Costanti!$C$5))^2+(9*$G$66*N68)/(2*Costanti!$C$2*Costanti!$F$2))-Costanti!$C$6/(2*Costanti!$C$5)</f>
        <v>7.5874551754370503E-7</v>
      </c>
      <c r="Q68" s="40">
        <f>SQRT((1/2*(9*$G$66)/(2*Costanti!$C$2*Costanti!$F$2)/(P68+Costanti!$C$6/(2*Costanti!$C$5))*O68)^2+(1/2*(9*N68)/(2*Costanti!$C$2*Costanti!$F$2)/(P68+Costanti!$C$6/(2*Costanti!$C$5))*$H$66)^2)</f>
        <v>1.5503128168643897E-8</v>
      </c>
      <c r="S68" s="45">
        <f t="shared" ref="S68:S70" si="0">S67</f>
        <v>410</v>
      </c>
      <c r="T68" s="27">
        <f>T67</f>
        <v>2</v>
      </c>
      <c r="U68" s="34">
        <v>2.0699999999999998</v>
      </c>
      <c r="V68">
        <v>0.3</v>
      </c>
      <c r="W68" s="23">
        <f>Costanti!$C$7/('Misure Gocce'!U68)</f>
        <v>2.4154589371980678E-4</v>
      </c>
      <c r="X68">
        <f>W68*SQRT((-V68/U68)^2)</f>
        <v>3.5006651263740118E-5</v>
      </c>
      <c r="Y68" s="63">
        <f>$S$66/Costanti!$C$9</f>
        <v>54280.670785525166</v>
      </c>
      <c r="Z68" s="34">
        <f>Z67</f>
        <v>274.36245936706416</v>
      </c>
      <c r="AA68" s="26">
        <f>PI()*(-4/3)*('Misure Gocce'!$C$69)^3*(Costanti!$F$2)*(Costanti!$C$2)/'Misure Gocce'!$Y$66*(1-'Misure Gocce'!W68/$C$68)</f>
        <v>7.6613461663871146E-19</v>
      </c>
      <c r="AB68" s="37">
        <f>SQRT(((PI()*2*$C$69^2*(-4/3)*Costanti!$F$2*Costanti!$C$2/('Misure Gocce'!$Y$3)*(1-'Misure Gocce'!W68/'Misure Gocce'!$C$68))*'Misure Gocce'!$F$69)^2+((PI()*$C$69^3*(-4/3)*Costanti!$F$2*Costanti!$C$2/-('Misure Gocce'!Y68^2)*(1-'Misure Gocce'!W68/'Misure Gocce'!$C$68))*Z68)^2+(((PI()*$C$69^3*(-4/3)*Costanti!$F$2*Costanti!$C$2/(-'Misure Gocce'!Y68*'Misure Gocce'!$C$68))*'Misure Gocce'!X68)^2)+((((4/3)*PI()*'Misure Gocce'!$C$69^3*Costanti!$F$2*(Costanti!$C$2/'Misure Gocce'!Y68)*-('Misure Gocce'!W68)/('Misure Gocce'!$C$68)^2)*'Misure Gocce'!$F$68)^2))</f>
        <v>1.5466629417279933E-19</v>
      </c>
      <c r="AD68" s="11">
        <f t="shared" ref="AD68:AD70" si="1">AD67</f>
        <v>-410</v>
      </c>
      <c r="AE68" s="2">
        <f>AE67</f>
        <v>2</v>
      </c>
      <c r="AF68" s="34">
        <v>3.93</v>
      </c>
      <c r="AG68">
        <v>0.3</v>
      </c>
      <c r="AH68" s="23">
        <f>Costanti!$C$7/('Misure Gocce'!AF68)</f>
        <v>1.272264631043257E-4</v>
      </c>
      <c r="AI68" s="27">
        <f>AH68*SQRT((-AG68/AF68)^2)</f>
        <v>9.7119437484218072E-6</v>
      </c>
      <c r="AJ68" s="42">
        <f>$AD$66/Costanti!$C$9</f>
        <v>-54280.670785525166</v>
      </c>
      <c r="AK68" s="34">
        <f>AK67</f>
        <v>274.36245936706416</v>
      </c>
      <c r="AL68" s="26">
        <f>PI()*(-4/3)*'Misure Gocce'!$C$69^3*(Costanti!$F$2)*Costanti!$C$2/'Misure Gocce'!$AJ$66*(1+ABS('Misure Gocce'!AH68)/$C$68)</f>
        <v>8.0269776463974521E-19</v>
      </c>
      <c r="AM68" s="37">
        <f>SQRT(((PI()*2*$C$69^2*(-4/3)*Costanti!$F$2*Costanti!$C$2/($AJ$66)*(1+ABS(AH68)/'Misure Gocce'!$C$68))*'Misure Gocce'!$F$69)^2+((PI()*$C$69^3*(-4/3)*Costanti!$F$2*Costanti!$C$2/(-$AJ$66^2)*(1+ABS(AH68)/'Misure Gocce'!$C$68))*AK68)^2+(((PI()*$C$69^3*(-4/3)*Costanti!$F$2*Costanti!$C$2/($AJ$66*'Misure Gocce'!$C$68))*AI68)^2)+((((4/3)*PI()*'Misure Gocce'!$C$69^3*Costanti!$F$2*(Costanti!$C$2/$AJ$66)*ABS(AH68)/($C$68)^2)*'Misure Gocce'!$F$68)^2))</f>
        <v>5.107794525676287E-20</v>
      </c>
    </row>
    <row r="69" spans="2:39">
      <c r="B69" s="45" t="s">
        <v>39</v>
      </c>
      <c r="C69" s="30">
        <f>AVERAGE(P66:P70)</f>
        <v>7.3827325772476699E-7</v>
      </c>
      <c r="E69" t="s">
        <v>40</v>
      </c>
      <c r="F69" s="30">
        <f>_xlfn.STDEV.S(P66:P70)/SQRT(COUNT(P66:P70))</f>
        <v>1.1501272237708581E-8</v>
      </c>
      <c r="I69" s="84"/>
      <c r="J69" s="27"/>
      <c r="L69" s="72">
        <v>7.47</v>
      </c>
      <c r="M69">
        <v>0.3</v>
      </c>
      <c r="N69" s="85">
        <f>Costanti!$C$7/('Misure Gocce'!L69)</f>
        <v>6.6934404283801877E-5</v>
      </c>
      <c r="O69" s="30">
        <f>N69*SQRT((-M69/L69)^2)</f>
        <v>2.6881286860964608E-6</v>
      </c>
      <c r="P69" s="144">
        <f>SQRT((Costanti!$C$6/(2*Costanti!$C$5))^2+(9*$G$66*N69)/(2*Costanti!$C$2*Costanti!$F$2))-Costanti!$C$6/(2*Costanti!$C$5)</f>
        <v>7.7250010148589998E-7</v>
      </c>
      <c r="Q69" s="40">
        <f>SQRT((1/2*(9*$G$66)/(2*Costanti!$C$2*Costanti!$F$2)/(P69+Costanti!$C$6/(2*Costanti!$C$5))*O69)^2+(1/2*(9*N69)/(2*Costanti!$C$2*Costanti!$F$2)/(P69+Costanti!$C$6/(2*Costanti!$C$5))*$H$66)^2)</f>
        <v>1.6317849545304809E-8</v>
      </c>
      <c r="S69" s="45">
        <f t="shared" si="0"/>
        <v>410</v>
      </c>
      <c r="T69" s="27">
        <f>T68</f>
        <v>2</v>
      </c>
      <c r="U69" s="34">
        <v>1.71</v>
      </c>
      <c r="V69">
        <v>0.3</v>
      </c>
      <c r="W69" s="23">
        <f>Costanti!$C$7/('Misure Gocce'!U69)</f>
        <v>2.9239766081871346E-4</v>
      </c>
      <c r="X69">
        <f>W69*SQRT((-V69/U69)^2)</f>
        <v>5.1297835231353237E-5</v>
      </c>
      <c r="Y69" s="63">
        <f>$S$66/Costanti!$C$9</f>
        <v>54280.670785525166</v>
      </c>
      <c r="Z69" s="34">
        <f>Z68</f>
        <v>274.36245936706416</v>
      </c>
      <c r="AA69" s="26">
        <f>PI()*(-4/3)*('Misure Gocce'!$C$69)^3*(Costanti!$F$2)*(Costanti!$C$2)/'Misure Gocce'!$Y$66*(1-'Misure Gocce'!W69/$C$68)</f>
        <v>9.8246834500447755E-19</v>
      </c>
      <c r="AB69" s="37">
        <f>SQRT(((PI()*2*$C$69^2*(-4/3)*Costanti!$F$2*Costanti!$C$2/('Misure Gocce'!$Y$3)*(1-'Misure Gocce'!W69/'Misure Gocce'!$C$68))*'Misure Gocce'!$F$69)^2+((PI()*$C$69^3*(-4/3)*Costanti!$F$2*Costanti!$C$2/-('Misure Gocce'!Y69^2)*(1-'Misure Gocce'!W69/'Misure Gocce'!$C$68))*Z69)^2+(((PI()*$C$69^3*(-4/3)*Costanti!$F$2*Costanti!$C$2/(-'Misure Gocce'!Y69*'Misure Gocce'!$C$68))*'Misure Gocce'!X69)^2)+((((4/3)*PI()*'Misure Gocce'!$C$69^3*Costanti!$F$2*(Costanti!$C$2/'Misure Gocce'!Y69)*-('Misure Gocce'!W69)/('Misure Gocce'!$C$68)^2)*'Misure Gocce'!$F$68)^2))</f>
        <v>2.2432848036707394E-19</v>
      </c>
      <c r="AD69" s="11">
        <f t="shared" si="1"/>
        <v>-410</v>
      </c>
      <c r="AE69" s="2">
        <f>AE68</f>
        <v>2</v>
      </c>
      <c r="AF69" s="34">
        <v>3.8</v>
      </c>
      <c r="AG69">
        <v>0.3</v>
      </c>
      <c r="AH69" s="23">
        <f>Costanti!$C$7/('Misure Gocce'!AF69)</f>
        <v>1.3157894736842105E-4</v>
      </c>
      <c r="AI69" s="27">
        <f>AH69*SQRT((-AG69/AF69)^2)</f>
        <v>1.038781163434903E-5</v>
      </c>
      <c r="AJ69" s="42">
        <f>$AD$66/Costanti!$C$9</f>
        <v>-54280.670785525166</v>
      </c>
      <c r="AK69" s="34">
        <f>AK68</f>
        <v>274.36245936706416</v>
      </c>
      <c r="AL69" s="26">
        <f>PI()*(-4/3)*'Misure Gocce'!$C$69^3*(Costanti!$F$2)*Costanti!$C$2/'Misure Gocce'!$AJ$66*(1+ABS('Misure Gocce'!AH69)/$C$68)</f>
        <v>8.2121411524509757E-19</v>
      </c>
      <c r="AM69" s="37">
        <f>SQRT(((PI()*2*$C$69^2*(-4/3)*Costanti!$F$2*Costanti!$C$2/($AJ$66)*(1+ABS(AH69)/'Misure Gocce'!$C$68))*'Misure Gocce'!$F$69)^2+((PI()*$C$69^3*(-4/3)*Costanti!$F$2*Costanti!$C$2/(-$AJ$66^2)*(1+ABS(AH69)/'Misure Gocce'!$C$68))*AK69)^2+(((PI()*$C$69^3*(-4/3)*Costanti!$F$2*Costanti!$C$2/($AJ$66*'Misure Gocce'!$C$68))*AI69)^2)+((((4/3)*PI()*'Misure Gocce'!$C$69^3*Costanti!$F$2*(Costanti!$C$2/$AJ$66)*ABS(AH69)/($C$68)^2)*'Misure Gocce'!$F$68)^2))</f>
        <v>5.3878244683399963E-20</v>
      </c>
    </row>
    <row r="70" spans="2:39">
      <c r="B70" s="46"/>
      <c r="C70" s="47"/>
      <c r="D70" s="47"/>
      <c r="E70" s="47"/>
      <c r="F70" s="47"/>
      <c r="G70" s="47"/>
      <c r="H70" s="47"/>
      <c r="I70" s="148"/>
      <c r="J70" s="29"/>
      <c r="L70" s="73">
        <v>8.4600000000000009</v>
      </c>
      <c r="M70" s="12">
        <v>0.3</v>
      </c>
      <c r="N70" s="146">
        <f>Costanti!$C$7/('Misure Gocce'!L70)</f>
        <v>5.9101654846335695E-5</v>
      </c>
      <c r="O70" s="57">
        <f>N70*SQRT((-M70/L70)^2)</f>
        <v>2.095803363345237E-6</v>
      </c>
      <c r="P70" s="145">
        <f>SQRT((Costanti!$C$6/(2*Costanti!$C$5))^2+(9*$G$66*N70)/(2*Costanti!$C$2*Costanti!$F$2))-Costanti!$C$6/(2*Costanti!$C$5)</f>
        <v>7.2357895678597007E-7</v>
      </c>
      <c r="Q70" s="41">
        <f>SQRT((1/2*(9*$G$66)/(2*Costanti!$C$2*Costanti!$F$2)/(P70+Costanti!$C$6/(2*Costanti!$C$5))*O70)^2+(1/2*(9*N70)/(2*Costanti!$C$2*Costanti!$F$2)/(P70+Costanti!$C$6/(2*Costanti!$C$5))*$H$66)^2)</f>
        <v>1.3544724836939618E-8</v>
      </c>
      <c r="S70" s="46">
        <f t="shared" si="0"/>
        <v>410</v>
      </c>
      <c r="T70" s="29">
        <f>T69</f>
        <v>2</v>
      </c>
      <c r="U70" s="35">
        <v>2.08</v>
      </c>
      <c r="V70" s="12">
        <v>0.3</v>
      </c>
      <c r="W70" s="24">
        <f>Costanti!$C$7/('Misure Gocce'!U70)</f>
        <v>2.4038461538461537E-4</v>
      </c>
      <c r="X70" s="12">
        <f>W70*SQRT((-V70/U70)^2)</f>
        <v>3.4670857988165675E-5</v>
      </c>
      <c r="Y70" s="64">
        <f>$S$66/Costanti!$C$9</f>
        <v>54280.670785525166</v>
      </c>
      <c r="Z70" s="52">
        <f>Z69</f>
        <v>274.36245936706416</v>
      </c>
      <c r="AA70" s="142">
        <f>PI()*(-4/3)*('Misure Gocce'!$C$69)^3*(Costanti!$F$2)*(Costanti!$C$2)/'Misure Gocce'!$Y$66*(1-'Misure Gocce'!W70/$C$68)</f>
        <v>7.6119430313035845E-19</v>
      </c>
      <c r="AB70" s="141">
        <f>SQRT(((PI()*2*$C$69^2*(-4/3)*Costanti!$F$2*Costanti!$C$2/('Misure Gocce'!$Y$3)*(1-'Misure Gocce'!W70/'Misure Gocce'!$C$68))*'Misure Gocce'!$F$69)^2+((PI()*$C$69^3*(-4/3)*Costanti!$F$2*Costanti!$C$2/-('Misure Gocce'!Y70^2)*(1-'Misure Gocce'!W70/'Misure Gocce'!$C$68))*Z70)^2+(((PI()*$C$69^3*(-4/3)*Costanti!$F$2*Costanti!$C$2/(-'Misure Gocce'!Y70*'Misure Gocce'!$C$68))*'Misure Gocce'!X70)^2)+((((4/3)*PI()*'Misure Gocce'!$C$69^3*Costanti!$F$2*(Costanti!$C$2/'Misure Gocce'!Y70)*-('Misure Gocce'!W70)/('Misure Gocce'!$C$68)^2)*'Misure Gocce'!$F$68)^2))</f>
        <v>1.5322814943403797E-19</v>
      </c>
      <c r="AD70" s="8">
        <f t="shared" si="1"/>
        <v>-410</v>
      </c>
      <c r="AE70" s="3">
        <f>AE69</f>
        <v>2</v>
      </c>
      <c r="AF70" s="35">
        <v>3.9</v>
      </c>
      <c r="AG70" s="12">
        <v>0.3</v>
      </c>
      <c r="AH70" s="24">
        <f>Costanti!$C$7/('Misure Gocce'!AF70)</f>
        <v>1.2820512820512821E-4</v>
      </c>
      <c r="AI70" s="29">
        <f>AH70*SQRT((-AG70/AF70)^2)</f>
        <v>9.8619329388560168E-6</v>
      </c>
      <c r="AJ70" s="65">
        <f>$AD$66/Costanti!$C$9</f>
        <v>-54280.670785525166</v>
      </c>
      <c r="AK70" s="35">
        <f>AK69</f>
        <v>274.36245936706416</v>
      </c>
      <c r="AL70" s="142">
        <f>PI()*(-4/3)*'Misure Gocce'!$C$69^3*(Costanti!$F$2)*Costanti!$C$2/'Misure Gocce'!$AJ$66*(1+ABS('Misure Gocce'!AH70)/$C$68)</f>
        <v>8.0686120442083039E-19</v>
      </c>
      <c r="AM70" s="141">
        <f>SQRT(((PI()*2*$C$69^2*(-4/3)*Costanti!$F$2*Costanti!$C$2/($AJ$66)*(1+ABS(AH70)/'Misure Gocce'!$C$68))*'Misure Gocce'!$F$69)^2+((PI()*$C$69^3*(-4/3)*Costanti!$F$2*Costanti!$C$2/(-$AJ$66^2)*(1+ABS(AH70)/'Misure Gocce'!$C$68))*AK70)^2+(((PI()*$C$69^3*(-4/3)*Costanti!$F$2*Costanti!$C$2/($AJ$66*'Misure Gocce'!$C$68))*AI70)^2)+((((4/3)*PI()*'Misure Gocce'!$C$69^3*Costanti!$F$2*(Costanti!$C$2/$AJ$66)*ABS(AH70)/($C$68)^2)*'Misure Gocce'!$F$68)^2))</f>
        <v>5.1698952954737159E-20</v>
      </c>
    </row>
  </sheetData>
  <mergeCells count="3">
    <mergeCell ref="L1:Q1"/>
    <mergeCell ref="S1:AB1"/>
    <mergeCell ref="AD1:A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3B60B-AD89-4CEF-83D8-2379BD28C908}">
  <dimension ref="B1:X115"/>
  <sheetViews>
    <sheetView tabSelected="1" zoomScale="90" zoomScaleNormal="90" workbookViewId="0">
      <selection activeCell="P39" sqref="P39:P40"/>
    </sheetView>
  </sheetViews>
  <sheetFormatPr defaultRowHeight="15"/>
  <cols>
    <col min="1" max="1" width="13.5703125" customWidth="1"/>
    <col min="2" max="2" width="11.5703125" customWidth="1"/>
    <col min="3" max="3" width="9.85546875" customWidth="1"/>
    <col min="7" max="7" width="9.28515625" bestFit="1" customWidth="1"/>
    <col min="10" max="10" width="17.42578125" customWidth="1"/>
    <col min="11" max="11" width="13.28515625" customWidth="1"/>
    <col min="12" max="12" width="12" customWidth="1"/>
    <col min="13" max="13" width="18" bestFit="1" customWidth="1"/>
    <col min="17" max="17" width="10" bestFit="1" customWidth="1"/>
    <col min="18" max="19" width="10.28515625" bestFit="1" customWidth="1"/>
  </cols>
  <sheetData>
    <row r="1" spans="2:18">
      <c r="G1" s="56"/>
    </row>
    <row r="2" spans="2:18">
      <c r="B2" s="103" t="s">
        <v>35</v>
      </c>
      <c r="C2" s="69" t="s">
        <v>41</v>
      </c>
      <c r="D2" s="69" t="s">
        <v>42</v>
      </c>
      <c r="E2" s="69" t="s">
        <v>43</v>
      </c>
      <c r="F2" s="69" t="s">
        <v>44</v>
      </c>
      <c r="G2" s="140" t="s">
        <v>45</v>
      </c>
      <c r="L2" s="104" t="s">
        <v>46</v>
      </c>
      <c r="M2" s="106" t="s">
        <v>47</v>
      </c>
    </row>
    <row r="3" spans="2:18">
      <c r="B3" s="98">
        <f>'Misure Gocce'!AA3</f>
        <v>4.5906315927970231E-19</v>
      </c>
      <c r="C3" s="30">
        <f>B3/Costanti!$C$12</f>
        <v>2.8655627920081295</v>
      </c>
      <c r="D3" s="23">
        <f>C3+0.5</f>
        <v>3.3655627920081295</v>
      </c>
      <c r="E3" s="32">
        <f>INT(D3)</f>
        <v>3</v>
      </c>
      <c r="F3" s="23">
        <f>B3/E3</f>
        <v>1.530210530932341E-19</v>
      </c>
      <c r="G3" s="67">
        <f>(F3-Costanti!$C$12)^2</f>
        <v>5.1537278690163609E-41</v>
      </c>
      <c r="I3" t="s">
        <v>48</v>
      </c>
      <c r="J3" s="84">
        <f>1/COUNT(B3:B102)*(SUM(F18:F102)+SUM(F3:F12))</f>
        <v>1.6209612557409415E-19</v>
      </c>
      <c r="L3" s="105">
        <f>B3</f>
        <v>4.5906315927970231E-19</v>
      </c>
      <c r="M3" s="98">
        <f>B3</f>
        <v>4.5906315927970231E-19</v>
      </c>
      <c r="O3" s="30"/>
      <c r="P3" s="30"/>
      <c r="Q3" s="30"/>
      <c r="R3" s="30"/>
    </row>
    <row r="4" spans="2:18">
      <c r="B4" s="99">
        <f>'Misure Gocce'!AA4</f>
        <v>6.1419306176582982E-19</v>
      </c>
      <c r="C4" s="30">
        <f>B4/Costanti!$C$12</f>
        <v>3.833914243232396</v>
      </c>
      <c r="D4" s="23">
        <f>C4+0.5</f>
        <v>4.333914243232396</v>
      </c>
      <c r="E4" s="11">
        <f>INT(D4)</f>
        <v>4</v>
      </c>
      <c r="F4" s="23">
        <f>B4/E4</f>
        <v>1.5354826544145745E-19</v>
      </c>
      <c r="G4" s="67">
        <f>(F4-Costanti!$C$12)^2</f>
        <v>4.4245572637309173E-41</v>
      </c>
      <c r="I4" t="s">
        <v>49</v>
      </c>
      <c r="J4">
        <f>SQRT(J3/(COUNT(B3:B102)*(COUNT(B3:B102)-1)))</f>
        <v>4.260500177962198E-12</v>
      </c>
      <c r="K4" s="55"/>
      <c r="L4" s="85">
        <f t="shared" ref="L4:L7" si="0">B4</f>
        <v>6.1419306176582982E-19</v>
      </c>
      <c r="M4" s="99">
        <f t="shared" ref="M4:M7" si="1">B4</f>
        <v>6.1419306176582982E-19</v>
      </c>
      <c r="N4" s="55"/>
    </row>
    <row r="5" spans="2:18">
      <c r="B5" s="99">
        <f>'Misure Gocce'!AA5</f>
        <v>5.0168126435830877E-19</v>
      </c>
      <c r="C5" s="30">
        <f>B5/Costanti!$C$12</f>
        <v>3.1315934104763343</v>
      </c>
      <c r="D5" s="23">
        <f>C5+0.5</f>
        <v>3.6315934104763343</v>
      </c>
      <c r="E5" s="11">
        <f>INT(D5)</f>
        <v>3</v>
      </c>
      <c r="F5" s="23">
        <f>B5/E5</f>
        <v>1.6722708811943625E-19</v>
      </c>
      <c r="G5" s="67">
        <f>(F5-Costanti!$C$12)^2</f>
        <v>4.9379967438322089E-41</v>
      </c>
      <c r="I5" s="30"/>
      <c r="J5" s="55"/>
      <c r="K5" s="55"/>
      <c r="L5" s="85">
        <f t="shared" si="0"/>
        <v>5.0168126435830877E-19</v>
      </c>
      <c r="M5" s="99">
        <f t="shared" si="1"/>
        <v>5.0168126435830877E-19</v>
      </c>
      <c r="N5" s="55"/>
    </row>
    <row r="6" spans="2:18">
      <c r="B6" s="99">
        <f>'Misure Gocce'!AA6</f>
        <v>5.4563118522062175E-19</v>
      </c>
      <c r="C6" s="30">
        <f>B6/Costanti!$C$12</f>
        <v>3.4059374857716715</v>
      </c>
      <c r="D6" s="23">
        <f>C6+0.5</f>
        <v>3.9059374857716715</v>
      </c>
      <c r="E6" s="11">
        <f>INT(D6)</f>
        <v>3</v>
      </c>
      <c r="F6" s="23">
        <f>B6/E6</f>
        <v>1.8187706174020725E-19</v>
      </c>
      <c r="G6" s="67">
        <f>(F6-Costanti!$C$12)^2</f>
        <v>4.6989500568875711E-40</v>
      </c>
      <c r="J6" s="55"/>
      <c r="K6" s="55"/>
      <c r="L6" s="85">
        <f t="shared" si="0"/>
        <v>5.4563118522062175E-19</v>
      </c>
      <c r="M6" s="99">
        <f t="shared" si="1"/>
        <v>5.4563118522062175E-19</v>
      </c>
      <c r="N6" s="55"/>
    </row>
    <row r="7" spans="2:18">
      <c r="B7" s="99">
        <f>'Misure Gocce'!AA7</f>
        <v>4.3798572687669578E-19</v>
      </c>
      <c r="C7" s="30">
        <f>B7/Costanti!$C$12</f>
        <v>2.7339933013526578</v>
      </c>
      <c r="D7" s="23">
        <f>C7+0.5</f>
        <v>3.2339933013526578</v>
      </c>
      <c r="E7" s="11">
        <f>INT(D7)</f>
        <v>3</v>
      </c>
      <c r="F7" s="23">
        <f>B7/E7</f>
        <v>1.4599524229223193E-19</v>
      </c>
      <c r="G7" s="67">
        <f>(F7-Costanti!$C$12)^2</f>
        <v>2.0177514153639623E-40</v>
      </c>
      <c r="I7" s="30"/>
      <c r="J7" s="55"/>
      <c r="K7" s="55"/>
      <c r="L7" s="85">
        <f t="shared" si="0"/>
        <v>4.3798572687669578E-19</v>
      </c>
      <c r="M7" s="99">
        <f t="shared" si="1"/>
        <v>4.3798572687669578E-19</v>
      </c>
      <c r="N7" s="55"/>
    </row>
    <row r="8" spans="2:18">
      <c r="B8" s="100">
        <f>'Misure Gocce'!AA10</f>
        <v>1.0981005419553925E-18</v>
      </c>
      <c r="C8" s="30">
        <f>B8/Costanti!$C$12</f>
        <v>6.8545601869874684</v>
      </c>
      <c r="D8" s="23">
        <f>C8+0.5</f>
        <v>7.3545601869874684</v>
      </c>
      <c r="E8" s="11">
        <f>INT(D8)</f>
        <v>7</v>
      </c>
      <c r="F8" s="23">
        <f>B8/E8</f>
        <v>1.5687150599362749E-19</v>
      </c>
      <c r="G8" s="67">
        <f>(F8-Costanti!$C$12)^2</f>
        <v>1.1078872350457741E-41</v>
      </c>
      <c r="I8" s="30"/>
      <c r="J8" s="55"/>
      <c r="K8" s="55"/>
      <c r="L8" s="85">
        <f>B18</f>
        <v>3.517623236216243E-19</v>
      </c>
      <c r="M8" s="99">
        <f>B18</f>
        <v>3.517623236216243E-19</v>
      </c>
      <c r="N8" s="55"/>
    </row>
    <row r="9" spans="2:18">
      <c r="B9" s="100">
        <f>'Misure Gocce'!AA11</f>
        <v>1.0326591930027013E-18</v>
      </c>
      <c r="C9" s="30">
        <f>B9/Costanti!$C$12</f>
        <v>6.4460623782940152</v>
      </c>
      <c r="D9" s="23">
        <f>C9+0.5</f>
        <v>6.9460623782940152</v>
      </c>
      <c r="E9" s="11">
        <f>INT(D9)</f>
        <v>6</v>
      </c>
      <c r="F9" s="23">
        <f>B9/E9</f>
        <v>1.7210986550045022E-19</v>
      </c>
      <c r="G9" s="67">
        <f>(F9-Costanti!$C$12)^2</f>
        <v>1.4184489623881437E-40</v>
      </c>
      <c r="J9" s="30"/>
      <c r="L9" s="85">
        <f t="shared" ref="L9:L27" si="2">B19</f>
        <v>3.1995135496982739E-19</v>
      </c>
      <c r="M9" s="99">
        <f t="shared" ref="M9:M27" si="3">B19</f>
        <v>3.1995135496982739E-19</v>
      </c>
    </row>
    <row r="10" spans="2:18">
      <c r="B10" s="100">
        <f>'Misure Gocce'!AA12</f>
        <v>1.0451315442148614E-18</v>
      </c>
      <c r="C10" s="30">
        <f>B10/Costanti!$C$12</f>
        <v>6.5239172547744158</v>
      </c>
      <c r="D10" s="23">
        <f>C10+0.5</f>
        <v>7.0239172547744158</v>
      </c>
      <c r="E10" s="11">
        <f>INT(D10)</f>
        <v>7</v>
      </c>
      <c r="F10" s="23">
        <f>B10/E10</f>
        <v>1.4930450631640878E-19</v>
      </c>
      <c r="G10" s="67">
        <f>(F10-Costanti!$C$12)^2</f>
        <v>1.1871178260917617E-40</v>
      </c>
      <c r="J10" s="30"/>
      <c r="L10" s="85">
        <f t="shared" si="2"/>
        <v>3.2747805737404728E-19</v>
      </c>
      <c r="M10" s="99">
        <f t="shared" si="3"/>
        <v>3.2747805737404728E-19</v>
      </c>
    </row>
    <row r="11" spans="2:18">
      <c r="B11" s="100">
        <f>'Misure Gocce'!AA13</f>
        <v>9.8554142175676355E-19</v>
      </c>
      <c r="C11" s="30">
        <f>B11/Costanti!$C$12</f>
        <v>6.1519439560347289</v>
      </c>
      <c r="D11" s="23">
        <f>C11+0.5</f>
        <v>6.6519439560347289</v>
      </c>
      <c r="E11" s="11">
        <f>INT(D11)</f>
        <v>6</v>
      </c>
      <c r="F11" s="23">
        <f>B11/E11</f>
        <v>1.6425690362612726E-19</v>
      </c>
      <c r="G11" s="67">
        <f>(F11-Costanti!$C$12)^2</f>
        <v>1.6458467031684515E-41</v>
      </c>
      <c r="J11" s="30"/>
      <c r="L11" s="85">
        <f t="shared" si="2"/>
        <v>3.7219303024869387E-19</v>
      </c>
      <c r="M11" s="99">
        <f t="shared" si="3"/>
        <v>3.7219303024869387E-19</v>
      </c>
    </row>
    <row r="12" spans="2:18">
      <c r="B12" s="100">
        <f>'Misure Gocce'!AA14</f>
        <v>1.0326591930027013E-18</v>
      </c>
      <c r="C12" s="30">
        <f>B12/Costanti!$C$12</f>
        <v>6.4460623782940152</v>
      </c>
      <c r="D12" s="23">
        <f>C12+0.5</f>
        <v>6.9460623782940152</v>
      </c>
      <c r="E12" s="11">
        <f>INT(D12)</f>
        <v>6</v>
      </c>
      <c r="F12" s="23">
        <f>B12/E12</f>
        <v>1.7210986550045022E-19</v>
      </c>
      <c r="G12" s="67">
        <f>(F12-Costanti!$C$12)^2</f>
        <v>1.4184489623881437E-40</v>
      </c>
      <c r="J12" s="30"/>
      <c r="L12" s="85">
        <f t="shared" si="2"/>
        <v>3.1370697964188214E-19</v>
      </c>
      <c r="M12" s="99">
        <f t="shared" si="3"/>
        <v>3.1370697964188214E-19</v>
      </c>
    </row>
    <row r="13" spans="2:18">
      <c r="B13" s="99" t="e">
        <f>'Misure Gocce'!AA17</f>
        <v>#DIV/0!</v>
      </c>
      <c r="C13" s="30" t="e">
        <f>B13/Costanti!$C$12</f>
        <v>#DIV/0!</v>
      </c>
      <c r="D13" s="23" t="e">
        <f>C13+0.5</f>
        <v>#DIV/0!</v>
      </c>
      <c r="E13" s="11" t="e">
        <f>INT(D13)</f>
        <v>#DIV/0!</v>
      </c>
      <c r="F13" s="23" t="e">
        <f>B13/E13</f>
        <v>#DIV/0!</v>
      </c>
      <c r="G13" s="67" t="e">
        <f>(F13-Costanti!$C$12)^2</f>
        <v>#DIV/0!</v>
      </c>
      <c r="J13" s="30"/>
      <c r="L13" s="85">
        <f t="shared" si="2"/>
        <v>1.2724977008550723E-18</v>
      </c>
      <c r="M13" s="99">
        <f t="shared" si="3"/>
        <v>1.2724977008550723E-18</v>
      </c>
    </row>
    <row r="14" spans="2:18">
      <c r="B14" s="99" t="e">
        <f>'Misure Gocce'!AA18</f>
        <v>#DIV/0!</v>
      </c>
      <c r="C14" s="30" t="e">
        <f>B14/Costanti!$C$12</f>
        <v>#DIV/0!</v>
      </c>
      <c r="D14" s="23" t="e">
        <f>C14+0.5</f>
        <v>#DIV/0!</v>
      </c>
      <c r="E14" s="11" t="e">
        <f>INT(D14)</f>
        <v>#DIV/0!</v>
      </c>
      <c r="F14" s="23" t="e">
        <f>B14/E14</f>
        <v>#DIV/0!</v>
      </c>
      <c r="G14" s="67" t="e">
        <f>(F14-Costanti!$C$12)^2</f>
        <v>#DIV/0!</v>
      </c>
      <c r="J14" s="30"/>
      <c r="L14" s="85">
        <f t="shared" si="2"/>
        <v>8.2806537642231901E-19</v>
      </c>
      <c r="M14" s="99">
        <f t="shared" si="3"/>
        <v>8.2806537642231901E-19</v>
      </c>
    </row>
    <row r="15" spans="2:18">
      <c r="B15" s="99" t="e">
        <f>'Misure Gocce'!AA19</f>
        <v>#DIV/0!</v>
      </c>
      <c r="C15" s="30" t="e">
        <f>B15/Costanti!$C$12</f>
        <v>#DIV/0!</v>
      </c>
      <c r="D15" s="23" t="e">
        <f>C15+0.5</f>
        <v>#DIV/0!</v>
      </c>
      <c r="E15" s="11" t="e">
        <f>INT(D15)</f>
        <v>#DIV/0!</v>
      </c>
      <c r="F15" s="23" t="e">
        <f>B15/E15</f>
        <v>#DIV/0!</v>
      </c>
      <c r="G15" s="67" t="e">
        <f>(F15-Costanti!$C$12)^2</f>
        <v>#DIV/0!</v>
      </c>
      <c r="J15" s="30"/>
      <c r="L15" s="85">
        <f t="shared" si="2"/>
        <v>8.4497823443455904E-19</v>
      </c>
      <c r="M15" s="99">
        <f t="shared" si="3"/>
        <v>8.4497823443455904E-19</v>
      </c>
    </row>
    <row r="16" spans="2:18">
      <c r="B16" s="99" t="e">
        <f>'Misure Gocce'!AA20</f>
        <v>#DIV/0!</v>
      </c>
      <c r="C16" s="30" t="e">
        <f>B16/Costanti!$C$12</f>
        <v>#DIV/0!</v>
      </c>
      <c r="D16" s="23" t="e">
        <f>C16+0.5</f>
        <v>#DIV/0!</v>
      </c>
      <c r="E16" s="11" t="e">
        <f>INT(D16)</f>
        <v>#DIV/0!</v>
      </c>
      <c r="F16" s="23" t="e">
        <f>B16/E16</f>
        <v>#DIV/0!</v>
      </c>
      <c r="G16" s="67" t="e">
        <f>(F16-Costanti!$C$12)^2</f>
        <v>#DIV/0!</v>
      </c>
      <c r="J16" s="30"/>
      <c r="L16" s="85">
        <f t="shared" si="2"/>
        <v>9.189719882381094E-19</v>
      </c>
      <c r="M16" s="99">
        <f t="shared" si="3"/>
        <v>9.189719882381094E-19</v>
      </c>
    </row>
    <row r="17" spans="2:24">
      <c r="B17" s="99" t="e">
        <f>'Misure Gocce'!AA21</f>
        <v>#DIV/0!</v>
      </c>
      <c r="C17" s="30" t="e">
        <f>B17/Costanti!$C$12</f>
        <v>#DIV/0!</v>
      </c>
      <c r="D17" s="23" t="e">
        <f>C17+0.5</f>
        <v>#DIV/0!</v>
      </c>
      <c r="E17" s="11" t="e">
        <f>INT(D17)</f>
        <v>#DIV/0!</v>
      </c>
      <c r="F17" s="23" t="e">
        <f>B17/E17</f>
        <v>#DIV/0!</v>
      </c>
      <c r="G17" s="67" t="e">
        <f>(F17-Costanti!$C$12)^2</f>
        <v>#DIV/0!</v>
      </c>
      <c r="J17" s="30"/>
      <c r="L17" s="85">
        <f t="shared" si="2"/>
        <v>8.8683328709111282E-19</v>
      </c>
      <c r="M17" s="99">
        <f t="shared" si="3"/>
        <v>8.8683328709111282E-19</v>
      </c>
    </row>
    <row r="18" spans="2:24">
      <c r="B18" s="99">
        <f>'Misure Gocce'!AA24</f>
        <v>3.517623236216243E-19</v>
      </c>
      <c r="C18" s="30">
        <f>B18/Costanti!$C$12</f>
        <v>2.1957698103721865</v>
      </c>
      <c r="D18" s="23">
        <f>C18+0.5</f>
        <v>2.6957698103721865</v>
      </c>
      <c r="E18" s="11">
        <f>INT(D18)</f>
        <v>2</v>
      </c>
      <c r="F18" s="23">
        <f>B18/E18</f>
        <v>1.7588116181081215E-19</v>
      </c>
      <c r="G18" s="67">
        <f>(F18-Costanti!$C$12)^2</f>
        <v>2.4589883573687346E-40</v>
      </c>
      <c r="J18" s="30"/>
      <c r="L18" s="85">
        <f t="shared" si="2"/>
        <v>1.4079677762355536E-18</v>
      </c>
      <c r="M18" s="99">
        <f t="shared" si="3"/>
        <v>1.4079677762355536E-18</v>
      </c>
    </row>
    <row r="19" spans="2:24">
      <c r="B19" s="99">
        <f>'Misure Gocce'!AA25</f>
        <v>3.1995135496982739E-19</v>
      </c>
      <c r="C19" s="30">
        <f>B19/Costanti!$C$12</f>
        <v>1.99719946922489</v>
      </c>
      <c r="D19" s="23">
        <f>C19+0.5</f>
        <v>2.4971994692248902</v>
      </c>
      <c r="E19" s="11">
        <f>INT(D19)</f>
        <v>2</v>
      </c>
      <c r="F19" s="23">
        <f>B19/E19</f>
        <v>1.5997567748491369E-19</v>
      </c>
      <c r="G19" s="67">
        <f>(F19-Costanti!$C$12)^2</f>
        <v>5.0320590774645278E-44</v>
      </c>
      <c r="J19" s="30"/>
      <c r="L19" s="85">
        <f t="shared" si="2"/>
        <v>1.3476401840626193E-18</v>
      </c>
      <c r="M19" s="99">
        <f t="shared" si="3"/>
        <v>1.3476401840626193E-18</v>
      </c>
    </row>
    <row r="20" spans="2:24">
      <c r="B20" s="99">
        <f>'Misure Gocce'!AA26</f>
        <v>3.2747805737404728E-19</v>
      </c>
      <c r="C20" s="30">
        <f>B20/Costanti!$C$12</f>
        <v>2.0441826302999204</v>
      </c>
      <c r="D20" s="23">
        <f>C20+0.5</f>
        <v>2.5441826302999204</v>
      </c>
      <c r="E20" s="11">
        <f>INT(D20)</f>
        <v>2</v>
      </c>
      <c r="F20" s="23">
        <f>B20/E20</f>
        <v>1.6373902868702364E-19</v>
      </c>
      <c r="G20" s="67">
        <f>(F20-Costanti!$C$12)^2</f>
        <v>1.2524724047576294E-41</v>
      </c>
      <c r="J20" s="30"/>
      <c r="L20" s="85">
        <f t="shared" si="2"/>
        <v>1.1422390964262003E-18</v>
      </c>
      <c r="M20" s="99">
        <f t="shared" si="3"/>
        <v>1.1422390964262003E-18</v>
      </c>
      <c r="P20" s="167" t="s">
        <v>50</v>
      </c>
      <c r="Q20" s="167"/>
      <c r="R20" s="167"/>
      <c r="S20" s="167"/>
      <c r="T20" s="167"/>
      <c r="U20" s="167"/>
      <c r="V20" s="167"/>
      <c r="W20" s="167"/>
      <c r="X20" s="167"/>
    </row>
    <row r="21" spans="2:24">
      <c r="B21" s="99">
        <f>'Misure Gocce'!AA27</f>
        <v>3.7219303024869387E-19</v>
      </c>
      <c r="C21" s="30">
        <f>B21/Costanti!$C$12</f>
        <v>2.3233023111653801</v>
      </c>
      <c r="D21" s="23">
        <f>C21+0.5</f>
        <v>2.8233023111653801</v>
      </c>
      <c r="E21" s="11">
        <f>INT(D21)</f>
        <v>2</v>
      </c>
      <c r="F21" s="23">
        <f>B21/E21</f>
        <v>1.8609651512434693E-19</v>
      </c>
      <c r="G21" s="67">
        <f>(F21-Costanti!$C$12)^2</f>
        <v>6.7062949558552966E-40</v>
      </c>
      <c r="J21" s="30"/>
      <c r="L21" s="85">
        <f t="shared" si="2"/>
        <v>1.1422390964262003E-18</v>
      </c>
      <c r="M21" s="99">
        <f t="shared" si="3"/>
        <v>1.1422390964262003E-18</v>
      </c>
    </row>
    <row r="22" spans="2:24">
      <c r="B22" s="99">
        <f>'Misure Gocce'!AA28</f>
        <v>3.1370697964188214E-19</v>
      </c>
      <c r="C22" s="30">
        <f>B22/Costanti!$C$12</f>
        <v>1.9582208467033841</v>
      </c>
      <c r="D22" s="23">
        <f>C22+0.5</f>
        <v>2.4582208467033841</v>
      </c>
      <c r="E22" s="11">
        <f>INT(D22)</f>
        <v>2</v>
      </c>
      <c r="F22" s="23">
        <f>B22/E22</f>
        <v>1.5685348982094107E-19</v>
      </c>
      <c r="G22" s="67">
        <f>(F22-Costanti!$C$12)^2</f>
        <v>1.1199130378545024E-41</v>
      </c>
      <c r="J22" s="30"/>
      <c r="L22" s="85">
        <f>B32</f>
        <v>1.3712753777084536E-18</v>
      </c>
      <c r="M22" s="99">
        <f t="shared" si="3"/>
        <v>1.3712753777084536E-18</v>
      </c>
    </row>
    <row r="23" spans="2:24">
      <c r="B23" s="99">
        <f>'Misure Gocce'!AA31</f>
        <v>1.2724977008550723E-18</v>
      </c>
      <c r="C23" s="30">
        <f>B23/Costanti!$C$12</f>
        <v>7.9431816532776054</v>
      </c>
      <c r="D23" s="23">
        <f>C23+0.5</f>
        <v>8.4431816532776054</v>
      </c>
      <c r="E23" s="11">
        <f>INT(D23)</f>
        <v>8</v>
      </c>
      <c r="F23" s="23">
        <f>B23/E23</f>
        <v>1.5906221260688404E-19</v>
      </c>
      <c r="G23" s="67">
        <f>(F23-Costanti!$C$12)^2</f>
        <v>1.2945601519335989E-42</v>
      </c>
      <c r="J23" s="30"/>
      <c r="L23" s="85">
        <f t="shared" si="2"/>
        <v>1.5613766898178482E-18</v>
      </c>
      <c r="M23" s="99">
        <f t="shared" si="3"/>
        <v>1.5613766898178482E-18</v>
      </c>
    </row>
    <row r="24" spans="2:24">
      <c r="B24" s="99">
        <f>'Misure Gocce'!AA32</f>
        <v>8.2806537642231901E-19</v>
      </c>
      <c r="C24" s="30">
        <f>B24/Costanti!$C$12</f>
        <v>5.1689474183665354</v>
      </c>
      <c r="D24" s="23">
        <f>C24+0.5</f>
        <v>5.6689474183665354</v>
      </c>
      <c r="E24" s="11">
        <f>INT(D24)</f>
        <v>5</v>
      </c>
      <c r="F24" s="23">
        <f>B24/E24</f>
        <v>1.6561307528446379E-19</v>
      </c>
      <c r="G24" s="67">
        <f>(F24-Costanti!$C$12)^2</f>
        <v>2.9301384035272783E-41</v>
      </c>
      <c r="J24" s="30"/>
      <c r="L24" s="85">
        <f t="shared" si="2"/>
        <v>1.1742691536196406E-18</v>
      </c>
      <c r="M24" s="99">
        <f t="shared" si="3"/>
        <v>1.1742691536196406E-18</v>
      </c>
    </row>
    <row r="25" spans="2:24">
      <c r="B25" s="99">
        <f>'Misure Gocce'!AA33</f>
        <v>8.4497823443455904E-19</v>
      </c>
      <c r="C25" s="30">
        <f>B25/Costanti!$C$12</f>
        <v>5.2745208141982465</v>
      </c>
      <c r="D25" s="23">
        <f>C25+0.5</f>
        <v>5.7745208141982465</v>
      </c>
      <c r="E25" s="11">
        <f>INT(D25)</f>
        <v>5</v>
      </c>
      <c r="F25" s="23">
        <f>B25/E25</f>
        <v>1.6899564688691182E-19</v>
      </c>
      <c r="G25" s="67">
        <f>(F25-Costanti!$C$12)^2</f>
        <v>7.736340415924158E-41</v>
      </c>
      <c r="L25" s="85">
        <f t="shared" si="2"/>
        <v>1.2529772352708889E-18</v>
      </c>
      <c r="M25" s="99">
        <f t="shared" si="3"/>
        <v>1.2529772352708889E-18</v>
      </c>
    </row>
    <row r="26" spans="2:24">
      <c r="B26" s="99">
        <f>'Misure Gocce'!AA34</f>
        <v>9.189719882381094E-19</v>
      </c>
      <c r="C26" s="30">
        <f>B26/Costanti!$C$12</f>
        <v>5.7364044209619811</v>
      </c>
      <c r="D26" s="23">
        <f>C26+0.5</f>
        <v>6.2364044209619811</v>
      </c>
      <c r="E26" s="11">
        <f>INT(D26)</f>
        <v>6</v>
      </c>
      <c r="F26" s="23">
        <f>B26/E26</f>
        <v>1.5316199803968491E-19</v>
      </c>
      <c r="G26" s="67">
        <f>(F26-Costanti!$C$12)^2</f>
        <v>4.953347159339905E-41</v>
      </c>
      <c r="L26" s="85">
        <f t="shared" si="2"/>
        <v>1.2028623239070084E-18</v>
      </c>
      <c r="M26" s="99">
        <f t="shared" si="3"/>
        <v>1.2028623239070084E-18</v>
      </c>
    </row>
    <row r="27" spans="2:24">
      <c r="B27" s="99">
        <f>'Misure Gocce'!AA35</f>
        <v>8.8683328709111282E-19</v>
      </c>
      <c r="C27" s="30">
        <f>B27/Costanti!$C$12</f>
        <v>5.5357883089332889</v>
      </c>
      <c r="D27" s="23">
        <f>C27+0.5</f>
        <v>6.0357883089332889</v>
      </c>
      <c r="E27" s="11">
        <f>INT(D27)</f>
        <v>6</v>
      </c>
      <c r="F27" s="23">
        <f>B27/E27</f>
        <v>1.4780554784851881E-19</v>
      </c>
      <c r="G27" s="67">
        <f>(F27-Costanti!$C$12)^2</f>
        <v>1.5362244413535661E-40</v>
      </c>
      <c r="L27" s="85">
        <f t="shared" si="2"/>
        <v>1.3288268308486546E-18</v>
      </c>
      <c r="M27" s="99">
        <f t="shared" si="3"/>
        <v>1.3288268308486546E-18</v>
      </c>
    </row>
    <row r="28" spans="2:24">
      <c r="B28" s="99">
        <f>'Misure Gocce'!AA38</f>
        <v>1.4079677762355536E-18</v>
      </c>
      <c r="C28" s="30">
        <f>B28/Costanti!$C$12</f>
        <v>8.7888125857400343</v>
      </c>
      <c r="D28" s="23">
        <f>C28+0.5</f>
        <v>9.2888125857400343</v>
      </c>
      <c r="E28" s="11">
        <f>INT(D28)</f>
        <v>9</v>
      </c>
      <c r="F28" s="23">
        <f>B28/E28</f>
        <v>1.5644086402617263E-19</v>
      </c>
      <c r="G28" s="67">
        <f>(F28-Costanti!$C$12)^2</f>
        <v>1.4131103269723066E-41</v>
      </c>
      <c r="L28" s="85">
        <f>B43</f>
        <v>3.6442238592032214E-19</v>
      </c>
      <c r="M28" s="99">
        <f>B43</f>
        <v>3.6442238592032214E-19</v>
      </c>
    </row>
    <row r="29" spans="2:24">
      <c r="B29" s="99">
        <f>'Misure Gocce'!AA39</f>
        <v>1.3476401840626193E-18</v>
      </c>
      <c r="C29" s="30">
        <f>B29/Costanti!$C$12</f>
        <v>8.4122358555719057</v>
      </c>
      <c r="D29" s="23">
        <f>C29+0.5</f>
        <v>8.9122358555719057</v>
      </c>
      <c r="E29" s="11">
        <f>INT(D29)</f>
        <v>8</v>
      </c>
      <c r="F29" s="23">
        <f>B29/E29</f>
        <v>1.6845502300782741E-19</v>
      </c>
      <c r="G29" s="67">
        <f>(F29-Costanti!$C$12)^2</f>
        <v>6.8145404859759951E-41</v>
      </c>
      <c r="L29" s="85">
        <f t="shared" ref="L29:L41" si="4">B44</f>
        <v>6.984094738868528E-19</v>
      </c>
      <c r="M29" s="99">
        <f t="shared" ref="M29:M42" si="5">B44</f>
        <v>6.984094738868528E-19</v>
      </c>
    </row>
    <row r="30" spans="2:24">
      <c r="B30" s="99">
        <f>'Misure Gocce'!AA40</f>
        <v>1.1422390964262003E-18</v>
      </c>
      <c r="C30" s="30">
        <f>B30/Costanti!$C$12</f>
        <v>7.1300817504756573</v>
      </c>
      <c r="D30" s="23">
        <f>C30+0.5</f>
        <v>7.6300817504756573</v>
      </c>
      <c r="E30" s="11">
        <f>INT(D30)</f>
        <v>7</v>
      </c>
      <c r="F30" s="23">
        <f>B30/E30</f>
        <v>1.6317701377517147E-19</v>
      </c>
      <c r="G30" s="67">
        <f>(F30-Costanti!$C$12)^2</f>
        <v>8.8626110175607098E-42</v>
      </c>
      <c r="L30" s="85">
        <f t="shared" si="4"/>
        <v>5.4282890586554655E-19</v>
      </c>
      <c r="M30" s="99">
        <f t="shared" si="5"/>
        <v>5.4282890586554655E-19</v>
      </c>
    </row>
    <row r="31" spans="2:24">
      <c r="B31" s="99">
        <f>'Misure Gocce'!AA41</f>
        <v>1.1422390964262003E-18</v>
      </c>
      <c r="C31" s="30">
        <f>B31/Costanti!$C$12</f>
        <v>7.1300817504756573</v>
      </c>
      <c r="D31" s="23">
        <f>C31+0.5</f>
        <v>7.6300817504756573</v>
      </c>
      <c r="E31" s="11">
        <f>INT(D31)</f>
        <v>7</v>
      </c>
      <c r="F31" s="23">
        <f>B31/E31</f>
        <v>1.6317701377517147E-19</v>
      </c>
      <c r="G31" s="67">
        <f>(F31-Costanti!$C$12)^2</f>
        <v>8.8626110175607098E-42</v>
      </c>
      <c r="L31" s="85">
        <f t="shared" si="4"/>
        <v>4.798252047660093E-19</v>
      </c>
      <c r="M31" s="99">
        <f t="shared" si="5"/>
        <v>4.798252047660093E-19</v>
      </c>
    </row>
    <row r="32" spans="2:24">
      <c r="B32" s="99">
        <f>'Misure Gocce'!AA42</f>
        <v>1.3712753777084536E-18</v>
      </c>
      <c r="C32" s="30">
        <f>B32/Costanti!$C$12</f>
        <v>8.5597713964322946</v>
      </c>
      <c r="D32" s="23">
        <f>C32+0.5</f>
        <v>9.0597713964322946</v>
      </c>
      <c r="E32" s="11">
        <f>INT(D32)</f>
        <v>9</v>
      </c>
      <c r="F32" s="23">
        <f>B32/E32</f>
        <v>1.5236393085649485E-19</v>
      </c>
      <c r="G32" s="67">
        <f>(F32-Costanti!$C$12)^2</f>
        <v>6.1403979621793575E-41</v>
      </c>
      <c r="L32" s="85">
        <f t="shared" si="4"/>
        <v>6.403289300005719E-19</v>
      </c>
      <c r="M32" s="99">
        <f t="shared" si="5"/>
        <v>6.403289300005719E-19</v>
      </c>
    </row>
    <row r="33" spans="2:24">
      <c r="B33" s="99">
        <f>'Misure Gocce'!AA45</f>
        <v>1.5613766898178482E-18</v>
      </c>
      <c r="C33" s="30">
        <f>B33/Costanti!$C$12</f>
        <v>9.7464212847556073</v>
      </c>
      <c r="D33" s="23">
        <f>C33+0.5</f>
        <v>10.246421284755607</v>
      </c>
      <c r="E33" s="11">
        <f>INT(D33)</f>
        <v>10</v>
      </c>
      <c r="F33" s="23">
        <f>B33/E33</f>
        <v>1.5613766898178482E-19</v>
      </c>
      <c r="G33" s="67">
        <f>(F33-Costanti!$C$12)^2</f>
        <v>1.6502533301553154E-41</v>
      </c>
      <c r="L33" s="85">
        <f t="shared" si="4"/>
        <v>7.4189911640905603E-19</v>
      </c>
      <c r="M33" s="99">
        <f t="shared" si="5"/>
        <v>7.4189911640905603E-19</v>
      </c>
    </row>
    <row r="34" spans="2:24">
      <c r="B34" s="99">
        <f>'Misure Gocce'!AA46</f>
        <v>1.1742691536196406E-18</v>
      </c>
      <c r="C34" s="30">
        <f>B34/Costanti!$C$12</f>
        <v>7.3300196855158593</v>
      </c>
      <c r="D34" s="23">
        <f>C34+0.5</f>
        <v>7.8300196855158593</v>
      </c>
      <c r="E34" s="11">
        <f>INT(D34)</f>
        <v>7</v>
      </c>
      <c r="F34" s="23">
        <f>B34/E34</f>
        <v>1.6775273623137724E-19</v>
      </c>
      <c r="G34" s="67">
        <f>(F34-Costanti!$C$12)^2</f>
        <v>5.7043824580758576E-41</v>
      </c>
      <c r="L34" s="85">
        <f t="shared" si="4"/>
        <v>8.8833393887775214E-19</v>
      </c>
      <c r="M34" s="99">
        <f t="shared" si="5"/>
        <v>8.8833393887775214E-19</v>
      </c>
    </row>
    <row r="35" spans="2:24">
      <c r="B35" s="99">
        <f>'Misure Gocce'!AA47</f>
        <v>1.2529772352708889E-18</v>
      </c>
      <c r="C35" s="30">
        <f>B35/Costanti!$C$12</f>
        <v>7.8213310566222782</v>
      </c>
      <c r="D35" s="23">
        <f>C35+0.5</f>
        <v>8.3213310566222773</v>
      </c>
      <c r="E35" s="11">
        <f>INT(D35)</f>
        <v>8</v>
      </c>
      <c r="F35" s="23">
        <f>B35/E35</f>
        <v>1.5662215440886111E-19</v>
      </c>
      <c r="G35" s="67">
        <f>(F35-Costanti!$C$12)^2</f>
        <v>1.2800979074031971E-41</v>
      </c>
      <c r="L35" s="85">
        <f t="shared" si="4"/>
        <v>7.6613461663871146E-19</v>
      </c>
      <c r="M35" s="99">
        <f t="shared" si="5"/>
        <v>7.6613461663871146E-19</v>
      </c>
      <c r="P35" s="168" t="s">
        <v>51</v>
      </c>
      <c r="Q35" s="167"/>
      <c r="R35" s="167"/>
      <c r="S35" s="167"/>
      <c r="T35" s="167"/>
      <c r="U35" s="167"/>
      <c r="V35" s="167"/>
      <c r="W35" s="167"/>
      <c r="X35" s="167"/>
    </row>
    <row r="36" spans="2:24">
      <c r="B36" s="99">
        <f>'Misure Gocce'!AA48</f>
        <v>1.2028623239070084E-18</v>
      </c>
      <c r="C36" s="30">
        <f>B36/Costanti!$C$12</f>
        <v>7.5085038945506142</v>
      </c>
      <c r="D36" s="23">
        <f>C36+0.5</f>
        <v>8.0085038945506142</v>
      </c>
      <c r="E36" s="11">
        <f>INT(D36)</f>
        <v>8</v>
      </c>
      <c r="F36" s="23">
        <f>B36/E36</f>
        <v>1.5035779048837605E-19</v>
      </c>
      <c r="G36" s="67">
        <f>(F36-Costanti!$C$12)^2</f>
        <v>9.6869088070700914E-41</v>
      </c>
      <c r="L36" s="85">
        <f t="shared" si="4"/>
        <v>9.8246834500447755E-19</v>
      </c>
      <c r="M36" s="99">
        <f t="shared" si="5"/>
        <v>9.8246834500447755E-19</v>
      </c>
    </row>
    <row r="37" spans="2:24">
      <c r="B37" s="99">
        <f>'Misure Gocce'!AA49</f>
        <v>1.3288268308486546E-18</v>
      </c>
      <c r="C37" s="30">
        <f>B37/Costanti!$C$12</f>
        <v>8.2947991938118264</v>
      </c>
      <c r="D37" s="23">
        <f>C37+0.5</f>
        <v>8.7947991938118264</v>
      </c>
      <c r="E37" s="11">
        <f>INT(D37)</f>
        <v>8</v>
      </c>
      <c r="F37" s="23">
        <f>B37/E37</f>
        <v>1.6610335385608182E-19</v>
      </c>
      <c r="G37" s="67">
        <f>(F37-Costanti!$C$12)^2</f>
        <v>3.4849586750116164E-41</v>
      </c>
      <c r="L37" s="85">
        <f t="shared" si="4"/>
        <v>7.6119430313035845E-19</v>
      </c>
      <c r="M37" s="99">
        <f t="shared" si="5"/>
        <v>7.6119430313035845E-19</v>
      </c>
    </row>
    <row r="38" spans="2:24">
      <c r="B38" s="100">
        <f>'Misure Gocce'!AA52</f>
        <v>1.6032695382876553E-18</v>
      </c>
      <c r="C38" s="30">
        <f>B38/Costanti!$C$12</f>
        <v>10.007924708412331</v>
      </c>
      <c r="D38" s="23">
        <f>C38+0.5</f>
        <v>10.507924708412331</v>
      </c>
      <c r="E38" s="11">
        <f>INT(D38)</f>
        <v>10</v>
      </c>
      <c r="F38" s="23">
        <f>B38/E38</f>
        <v>1.6032695382876553E-19</v>
      </c>
      <c r="G38" s="67">
        <f>(F38-Costanti!$C$12)^2</f>
        <v>1.6117274638228498E-44</v>
      </c>
      <c r="L38" s="85">
        <f t="shared" si="4"/>
        <v>5.0565092180590398E-19</v>
      </c>
      <c r="M38" s="99">
        <f t="shared" si="5"/>
        <v>5.0565092180590398E-19</v>
      </c>
      <c r="P38" s="30">
        <v>3.4789999999999998E-21</v>
      </c>
      <c r="Q38" s="84">
        <v>1.639E-19</v>
      </c>
      <c r="R38" s="84">
        <f>Q38-P38</f>
        <v>1.6042100000000001E-19</v>
      </c>
      <c r="S38" s="84">
        <f>Q38+P38</f>
        <v>1.6737899999999999E-19</v>
      </c>
    </row>
    <row r="39" spans="2:24">
      <c r="B39" s="100">
        <f>'Misure Gocce'!AA53</f>
        <v>1.6032695382876553E-18</v>
      </c>
      <c r="C39" s="30">
        <f>B39/Costanti!$C$12</f>
        <v>10.007924708412331</v>
      </c>
      <c r="D39" s="23">
        <f>C39+0.5</f>
        <v>10.507924708412331</v>
      </c>
      <c r="E39" s="11">
        <f>INT(D39)</f>
        <v>10</v>
      </c>
      <c r="F39" s="23">
        <f>B39/E39</f>
        <v>1.6032695382876553E-19</v>
      </c>
      <c r="G39" s="67">
        <f>(F39-Costanti!$C$12)^2</f>
        <v>1.6117274638228498E-44</v>
      </c>
      <c r="L39" s="85">
        <f t="shared" si="4"/>
        <v>4.8719195504373246E-19</v>
      </c>
      <c r="M39" s="99">
        <f t="shared" si="5"/>
        <v>4.8719195504373246E-19</v>
      </c>
    </row>
    <row r="40" spans="2:24">
      <c r="B40" s="100">
        <f>'Misure Gocce'!AA54</f>
        <v>1.6032695382876553E-18</v>
      </c>
      <c r="C40" s="30">
        <f>B40/Costanti!$C$12</f>
        <v>10.007924708412331</v>
      </c>
      <c r="D40" s="23">
        <f>C40+0.5</f>
        <v>10.507924708412331</v>
      </c>
      <c r="E40" s="11">
        <f>INT(D40)</f>
        <v>10</v>
      </c>
      <c r="F40" s="23">
        <f>B40/E40</f>
        <v>1.6032695382876553E-19</v>
      </c>
      <c r="G40" s="67">
        <f>(F40-Costanti!$C$12)^2</f>
        <v>1.6117274638228498E-44</v>
      </c>
      <c r="L40" s="85">
        <f t="shared" si="4"/>
        <v>4.9855831388743418E-19</v>
      </c>
      <c r="M40" s="99">
        <f t="shared" si="5"/>
        <v>4.9855831388743418E-19</v>
      </c>
    </row>
    <row r="41" spans="2:24">
      <c r="B41" s="100">
        <f>'Misure Gocce'!AA55</f>
        <v>1.6032695382876553E-18</v>
      </c>
      <c r="C41" s="30">
        <f>B41/Costanti!$C$12</f>
        <v>10.007924708412331</v>
      </c>
      <c r="D41" s="23">
        <f>C41+0.5</f>
        <v>10.507924708412331</v>
      </c>
      <c r="E41" s="11">
        <f>INT(D41)</f>
        <v>10</v>
      </c>
      <c r="F41" s="23">
        <f>B41/E41</f>
        <v>1.6032695382876553E-19</v>
      </c>
      <c r="G41" s="67">
        <f>(F41-Costanti!$C$12)^2</f>
        <v>1.6117274638228498E-44</v>
      </c>
      <c r="L41" s="85">
        <f t="shared" si="4"/>
        <v>4.6602341517885692E-19</v>
      </c>
      <c r="M41" s="99">
        <f t="shared" si="5"/>
        <v>4.6602341517885692E-19</v>
      </c>
    </row>
    <row r="42" spans="2:24">
      <c r="B42" s="100">
        <f>'Misure Gocce'!AA56</f>
        <v>1.6032695382876553E-18</v>
      </c>
      <c r="C42" s="30">
        <f>B42/Costanti!$C$12</f>
        <v>10.007924708412331</v>
      </c>
      <c r="D42" s="23">
        <f>C42+0.5</f>
        <v>10.507924708412331</v>
      </c>
      <c r="E42" s="11">
        <f>INT(D42)</f>
        <v>10</v>
      </c>
      <c r="F42" s="23">
        <f>B42/E42</f>
        <v>1.6032695382876553E-19</v>
      </c>
      <c r="G42" s="67">
        <f>(F42-Costanti!$C$12)^2</f>
        <v>1.6117274638228498E-44</v>
      </c>
      <c r="L42" s="85">
        <f>B57</f>
        <v>4.5232501782629761E-19</v>
      </c>
      <c r="M42" s="99">
        <f t="shared" si="5"/>
        <v>4.5232501782629761E-19</v>
      </c>
    </row>
    <row r="43" spans="2:24">
      <c r="B43" s="99">
        <f>'Misure Gocce'!AA59</f>
        <v>3.6442238592032214E-19</v>
      </c>
      <c r="C43" s="30">
        <f>B43/Costanti!$C$12</f>
        <v>2.2747964164814118</v>
      </c>
      <c r="D43" s="23">
        <f>C43+0.5</f>
        <v>2.7747964164814118</v>
      </c>
      <c r="E43" s="11">
        <f>INT(D43)</f>
        <v>2</v>
      </c>
      <c r="F43" s="23">
        <f>B43/E43</f>
        <v>1.8221119296016107E-19</v>
      </c>
      <c r="G43" s="67">
        <f>(F43-Costanti!$C$12)^2</f>
        <v>4.8449261552944437E-40</v>
      </c>
      <c r="L43" s="85">
        <f>B63</f>
        <v>2.787399736133919E-19</v>
      </c>
      <c r="M43" s="99">
        <f>B63</f>
        <v>2.787399736133919E-19</v>
      </c>
    </row>
    <row r="44" spans="2:24">
      <c r="B44" s="99">
        <f>'Misure Gocce'!AA60</f>
        <v>6.984094738868528E-19</v>
      </c>
      <c r="C44" s="30">
        <f>B44/Costanti!$C$12</f>
        <v>4.359609699668245</v>
      </c>
      <c r="D44" s="23">
        <f>C44+0.5</f>
        <v>4.859609699668245</v>
      </c>
      <c r="E44" s="11">
        <f>INT(D44)</f>
        <v>4</v>
      </c>
      <c r="F44" s="23">
        <f>B44/E44</f>
        <v>1.746023684717132E-19</v>
      </c>
      <c r="G44" s="67">
        <f>(F44-Costanti!$C$12)^2</f>
        <v>2.0742821759499845E-40</v>
      </c>
      <c r="L44" s="85">
        <f t="shared" ref="L44:L67" si="6">B64</f>
        <v>3.0559987692377853E-19</v>
      </c>
      <c r="M44" s="99">
        <f t="shared" ref="M44:M47" si="7">B64</f>
        <v>3.0559987692377853E-19</v>
      </c>
    </row>
    <row r="45" spans="2:24">
      <c r="B45" s="99">
        <f>'Misure Gocce'!AA61</f>
        <v>5.4282890586554655E-19</v>
      </c>
      <c r="C45" s="30">
        <f>B45/Costanti!$C$12</f>
        <v>3.3884451052780684</v>
      </c>
      <c r="D45" s="23">
        <f>C45+0.5</f>
        <v>3.8884451052780684</v>
      </c>
      <c r="E45" s="11">
        <f>INT(D45)</f>
        <v>3</v>
      </c>
      <c r="F45" s="23">
        <f>B45/E45</f>
        <v>1.8094296862184884E-19</v>
      </c>
      <c r="G45" s="67">
        <f>(F45-Costanti!$C$12)^2</f>
        <v>4.3027074724700568E-40</v>
      </c>
      <c r="L45" s="85">
        <f t="shared" si="6"/>
        <v>3.0213276197480725E-19</v>
      </c>
      <c r="M45" s="99">
        <f t="shared" si="7"/>
        <v>3.0213276197480725E-19</v>
      </c>
    </row>
    <row r="46" spans="2:24">
      <c r="B46" s="99">
        <f>'Misure Gocce'!AA62</f>
        <v>4.798252047660093E-19</v>
      </c>
      <c r="C46" s="30">
        <f>B46/Costanti!$C$12</f>
        <v>2.99516357531841</v>
      </c>
      <c r="D46" s="23">
        <f>C46+0.5</f>
        <v>3.49516357531841</v>
      </c>
      <c r="E46" s="11">
        <f>INT(D46)</f>
        <v>3</v>
      </c>
      <c r="F46" s="23">
        <f>B46/E46</f>
        <v>1.5994173492200311E-19</v>
      </c>
      <c r="G46" s="67">
        <f>(F46-Costanti!$C$12)^2</f>
        <v>6.670085051273926E-44</v>
      </c>
      <c r="L46" s="85">
        <f t="shared" si="6"/>
        <v>3.1097467900427076E-19</v>
      </c>
      <c r="M46" s="99">
        <f t="shared" si="7"/>
        <v>3.1097467900427076E-19</v>
      </c>
    </row>
    <row r="47" spans="2:24">
      <c r="B47" s="99">
        <f>'Misure Gocce'!AA63</f>
        <v>6.403289300005719E-19</v>
      </c>
      <c r="C47" s="30">
        <f>B47/Costanti!$C$12</f>
        <v>3.9970594881433952</v>
      </c>
      <c r="D47" s="23">
        <f>C47+0.5</f>
        <v>4.4970594881433952</v>
      </c>
      <c r="E47" s="11">
        <f>INT(D47)</f>
        <v>4</v>
      </c>
      <c r="F47" s="23">
        <f>B47/E47</f>
        <v>1.6008223250014297E-19</v>
      </c>
      <c r="G47" s="67">
        <f>(F47-Costanti!$C$12)^2</f>
        <v>1.386918402257408E-44</v>
      </c>
      <c r="L47" s="85">
        <f t="shared" si="6"/>
        <v>3.7768858038361579E-19</v>
      </c>
      <c r="M47" s="99">
        <f t="shared" si="7"/>
        <v>3.7768858038361579E-19</v>
      </c>
    </row>
    <row r="48" spans="2:24">
      <c r="B48" s="99">
        <f>'Misure Gocce'!AA66</f>
        <v>7.4189911640905603E-19</v>
      </c>
      <c r="C48" s="30">
        <f>B48/Costanti!$C$12</f>
        <v>4.6310806267731337</v>
      </c>
      <c r="D48" s="23">
        <f>C48+0.5</f>
        <v>5.1310806267731337</v>
      </c>
      <c r="E48" s="11">
        <f>INT(D48)</f>
        <v>5</v>
      </c>
      <c r="F48" s="23">
        <f>B48/E48</f>
        <v>1.4837982328181122E-19</v>
      </c>
      <c r="G48" s="67">
        <f>(F48-Costanti!$C$12)^2</f>
        <v>1.3971657764921214E-40</v>
      </c>
      <c r="L48" s="85">
        <f t="shared" si="6"/>
        <v>3.3160778065127912E-19</v>
      </c>
      <c r="M48" s="99">
        <f>B73</f>
        <v>9.6937267183786253E-19</v>
      </c>
    </row>
    <row r="49" spans="2:13">
      <c r="B49" s="99">
        <f>'Misure Gocce'!AA67</f>
        <v>8.8833393887775214E-19</v>
      </c>
      <c r="C49" s="30">
        <f>B49/Costanti!$C$12</f>
        <v>5.5451556733942082</v>
      </c>
      <c r="D49" s="23">
        <f>C49+0.5</f>
        <v>6.0451556733942082</v>
      </c>
      <c r="E49" s="11">
        <f>INT(D49)</f>
        <v>6</v>
      </c>
      <c r="F49" s="23">
        <f>B49/E49</f>
        <v>1.4805565647962536E-19</v>
      </c>
      <c r="G49" s="67">
        <f>(F49-Costanti!$C$12)^2</f>
        <v>1.4748507954086536E-40</v>
      </c>
      <c r="L49" s="85">
        <f t="shared" si="6"/>
        <v>3.3319224209056843E-19</v>
      </c>
      <c r="M49" s="99">
        <f t="shared" ref="M49:M62" si="8">B74</f>
        <v>8.4281317463815957E-19</v>
      </c>
    </row>
    <row r="50" spans="2:13">
      <c r="B50" s="99">
        <f>'Misure Gocce'!AA68</f>
        <v>7.6613461663871146E-19</v>
      </c>
      <c r="C50" s="30">
        <f>B50/Costanti!$C$12</f>
        <v>4.7823633997422688</v>
      </c>
      <c r="D50" s="23">
        <f>C50+0.5</f>
        <v>5.2823633997422688</v>
      </c>
      <c r="E50" s="11">
        <f>INT(D50)</f>
        <v>5</v>
      </c>
      <c r="F50" s="23">
        <f>B50/E50</f>
        <v>1.532269233277423E-19</v>
      </c>
      <c r="G50" s="67">
        <f>(F50-Costanti!$C$12)^2</f>
        <v>4.8623798277184469E-41</v>
      </c>
      <c r="L50" s="85">
        <f t="shared" si="6"/>
        <v>3.3908160469457056E-19</v>
      </c>
      <c r="M50" s="99">
        <f t="shared" si="8"/>
        <v>9.5743371719038526E-19</v>
      </c>
    </row>
    <row r="51" spans="2:13">
      <c r="B51" s="99">
        <f>'Misure Gocce'!AA69</f>
        <v>9.8246834500447755E-19</v>
      </c>
      <c r="C51" s="30">
        <f>B51/Costanti!$C$12</f>
        <v>6.1327612047720201</v>
      </c>
      <c r="D51" s="23">
        <f>C51+0.5</f>
        <v>6.6327612047720201</v>
      </c>
      <c r="E51" s="11">
        <f>INT(D51)</f>
        <v>6</v>
      </c>
      <c r="F51" s="23">
        <f>B51/E51</f>
        <v>1.6374472416741293E-19</v>
      </c>
      <c r="G51" s="67">
        <f>(F51-Costanti!$C$12)^2</f>
        <v>1.2565069423041271E-41</v>
      </c>
      <c r="L51" s="85">
        <f t="shared" si="6"/>
        <v>3.3577328122621281E-19</v>
      </c>
      <c r="M51" s="99">
        <f t="shared" si="8"/>
        <v>7.8195361020199446E-19</v>
      </c>
    </row>
    <row r="52" spans="2:13">
      <c r="B52" s="99">
        <f>'Misure Gocce'!AA70</f>
        <v>7.6119430313035845E-19</v>
      </c>
      <c r="C52" s="30">
        <f>B52/Costanti!$C$12</f>
        <v>4.7515249883293285</v>
      </c>
      <c r="D52" s="23">
        <f>C52+0.5</f>
        <v>5.2515249883293285</v>
      </c>
      <c r="E52" s="11">
        <f>INT(D52)</f>
        <v>5</v>
      </c>
      <c r="F52" s="23">
        <f>B52/E52</f>
        <v>1.5223886062607169E-19</v>
      </c>
      <c r="G52" s="67">
        <f>(F52-Costanti!$C$12)^2</f>
        <v>6.3379740131111604E-41</v>
      </c>
      <c r="L52" s="85">
        <f t="shared" si="6"/>
        <v>3.364275530182791E-19</v>
      </c>
      <c r="M52" s="99">
        <f t="shared" si="8"/>
        <v>8.4865657484670448E-19</v>
      </c>
    </row>
    <row r="53" spans="2:13">
      <c r="B53" s="99">
        <f>'Misure Gocce'!AL3</f>
        <v>5.0565092180590398E-19</v>
      </c>
      <c r="C53" s="30">
        <f>B53/Costanti!$C$12</f>
        <v>3.1563727952927838</v>
      </c>
      <c r="D53" s="23">
        <f>C53+0.5</f>
        <v>3.6563727952927838</v>
      </c>
      <c r="E53" s="11">
        <f>INT(D53)</f>
        <v>3</v>
      </c>
      <c r="F53" s="23">
        <f>B53/E53</f>
        <v>1.6855030726863465E-19</v>
      </c>
      <c r="G53" s="67">
        <f>(F53-Costanti!$C$12)^2</f>
        <v>6.972763148061273E-41</v>
      </c>
      <c r="L53" s="85">
        <f t="shared" si="6"/>
        <v>9.6937267183786253E-19</v>
      </c>
      <c r="M53" s="99">
        <f t="shared" si="8"/>
        <v>1.1445596792592653E-18</v>
      </c>
    </row>
    <row r="54" spans="2:13">
      <c r="B54" s="99">
        <f>'Misure Gocce'!AL4</f>
        <v>4.8719195504373246E-19</v>
      </c>
      <c r="C54" s="30">
        <f>B54/Costanti!$C$12</f>
        <v>3.041148283668742</v>
      </c>
      <c r="D54" s="23">
        <f>C54+0.5</f>
        <v>3.541148283668742</v>
      </c>
      <c r="E54" s="11">
        <f>INT(D54)</f>
        <v>3</v>
      </c>
      <c r="F54" s="23">
        <f>B54/E54</f>
        <v>1.6239731834791081E-19</v>
      </c>
      <c r="G54" s="67">
        <f>(F54-Costanti!$C$12)^2</f>
        <v>4.8282079220655029E-42</v>
      </c>
      <c r="L54" s="85">
        <f t="shared" si="6"/>
        <v>8.4281317463815957E-19</v>
      </c>
      <c r="M54" s="99">
        <f t="shared" si="8"/>
        <v>1.1586299678313013E-18</v>
      </c>
    </row>
    <row r="55" spans="2:13">
      <c r="B55" s="99">
        <f>'Misure Gocce'!AL5</f>
        <v>4.9855831388743418E-19</v>
      </c>
      <c r="C55" s="30">
        <f>B55/Costanti!$C$12</f>
        <v>3.112099337624433</v>
      </c>
      <c r="D55" s="23">
        <f>C55+0.5</f>
        <v>3.612099337624433</v>
      </c>
      <c r="E55" s="11">
        <f>INT(D55)</f>
        <v>3</v>
      </c>
      <c r="F55" s="23">
        <f>B55/E55</f>
        <v>1.6618610462914473E-19</v>
      </c>
      <c r="G55" s="67">
        <f>(F55-Costanti!$C$12)^2</f>
        <v>3.5833448631068032E-41</v>
      </c>
      <c r="L55" s="85">
        <f t="shared" si="6"/>
        <v>9.5743371719038526E-19</v>
      </c>
      <c r="M55" s="99">
        <f t="shared" si="8"/>
        <v>1.2674663463327647E-18</v>
      </c>
    </row>
    <row r="56" spans="2:13">
      <c r="B56" s="99">
        <f>'Misure Gocce'!AL6</f>
        <v>4.6602341517885692E-19</v>
      </c>
      <c r="C56" s="30">
        <f>B56/Costanti!$C$12</f>
        <v>2.9090100822650244</v>
      </c>
      <c r="D56" s="23">
        <f>C56+0.5</f>
        <v>3.4090100822650244</v>
      </c>
      <c r="E56" s="11">
        <f>INT(D56)</f>
        <v>3</v>
      </c>
      <c r="F56" s="23">
        <f>B56/E56</f>
        <v>1.553411383929523E-19</v>
      </c>
      <c r="G56" s="67">
        <f>(F56-Costanti!$C$12)^2</f>
        <v>2.3608536116442144E-41</v>
      </c>
      <c r="L56" s="85">
        <f t="shared" si="6"/>
        <v>7.8195361020199446E-19</v>
      </c>
      <c r="M56" s="99">
        <f t="shared" si="8"/>
        <v>1.1399815853656774E-18</v>
      </c>
    </row>
    <row r="57" spans="2:13">
      <c r="B57" s="99">
        <f>'Misure Gocce'!AL7</f>
        <v>4.5232501782629761E-19</v>
      </c>
      <c r="C57" s="30">
        <f>B57/Costanti!$C$12</f>
        <v>2.8235019839344422</v>
      </c>
      <c r="D57" s="23">
        <f>C57+0.5</f>
        <v>3.3235019839344422</v>
      </c>
      <c r="E57" s="11">
        <f>INT(D57)</f>
        <v>3</v>
      </c>
      <c r="F57" s="23">
        <f>B57/E57</f>
        <v>1.507750059420992E-19</v>
      </c>
      <c r="G57" s="67">
        <f>(F57-Costanti!$C$12)^2</f>
        <v>8.8830512991465424E-41</v>
      </c>
      <c r="L57" s="85">
        <f t="shared" si="6"/>
        <v>8.4865657484670448E-19</v>
      </c>
      <c r="M57" s="99">
        <f t="shared" si="8"/>
        <v>1.3341133421566946E-18</v>
      </c>
    </row>
    <row r="58" spans="2:13">
      <c r="B58" s="100">
        <f>'Misure Gocce'!AL10</f>
        <v>9.3921953363979395E-19</v>
      </c>
      <c r="C58" s="30">
        <f>B58/Costanti!$C$12</f>
        <v>5.8627935932571411</v>
      </c>
      <c r="D58" s="23">
        <f>C58+0.5</f>
        <v>6.3627935932571411</v>
      </c>
      <c r="E58" s="11">
        <f>INT(D58)</f>
        <v>6</v>
      </c>
      <c r="F58" s="23">
        <f>B58/E58</f>
        <v>1.5653658893996567E-19</v>
      </c>
      <c r="G58" s="67">
        <f>(F58-Costanti!$C$12)^2</f>
        <v>1.3420580594781861E-41</v>
      </c>
      <c r="L58" s="85">
        <f t="shared" si="6"/>
        <v>1.1445596792592653E-18</v>
      </c>
      <c r="M58" s="99">
        <f t="shared" si="8"/>
        <v>1.2816735626985753E-18</v>
      </c>
    </row>
    <row r="59" spans="2:13">
      <c r="B59" s="100">
        <f>'Misure Gocce'!AL11</f>
        <v>9.3019251508921071E-19</v>
      </c>
      <c r="C59" s="30">
        <f>B59/Costanti!$C$12</f>
        <v>5.8064451628539997</v>
      </c>
      <c r="D59" s="23">
        <f>C59+0.5</f>
        <v>6.3064451628539997</v>
      </c>
      <c r="E59" s="11">
        <f>INT(D59)</f>
        <v>6</v>
      </c>
      <c r="F59" s="23">
        <f>B59/E59</f>
        <v>1.5503208584820179E-19</v>
      </c>
      <c r="G59" s="67">
        <f>(F59-Costanti!$C$12)^2</f>
        <v>2.6707336680356164E-41</v>
      </c>
      <c r="L59" s="85">
        <f>B79</f>
        <v>1.1586299678313013E-18</v>
      </c>
      <c r="M59" s="99">
        <f t="shared" si="8"/>
        <v>1.2167973512473364E-18</v>
      </c>
    </row>
    <row r="60" spans="2:13">
      <c r="B60" s="100">
        <f>'Misure Gocce'!AL12</f>
        <v>1.0876405130644978E-18</v>
      </c>
      <c r="C60" s="30">
        <f>B60/Costanti!$C$12</f>
        <v>6.7892666233738943</v>
      </c>
      <c r="D60" s="23">
        <f>C60+0.5</f>
        <v>7.2892666233738943</v>
      </c>
      <c r="E60" s="11">
        <f>INT(D60)</f>
        <v>7</v>
      </c>
      <c r="F60" s="23">
        <f>B60/E60</f>
        <v>1.5537721615207112E-19</v>
      </c>
      <c r="G60" s="67">
        <f>(F60-Costanti!$C$12)^2</f>
        <v>2.3259244043843683E-41</v>
      </c>
      <c r="L60" s="85">
        <f t="shared" si="6"/>
        <v>1.2674663463327647E-18</v>
      </c>
      <c r="M60" s="99">
        <f t="shared" si="8"/>
        <v>1.3529981556509151E-18</v>
      </c>
    </row>
    <row r="61" spans="2:13">
      <c r="B61" s="100">
        <f>'Misure Gocce'!AL13</f>
        <v>1.0635461982228249E-18</v>
      </c>
      <c r="C61" s="30">
        <f>B61/Costanti!$C$12</f>
        <v>6.6388651574458484</v>
      </c>
      <c r="D61" s="23">
        <f>C61+0.5</f>
        <v>7.1388651574458484</v>
      </c>
      <c r="E61" s="11">
        <f>INT(D61)</f>
        <v>7</v>
      </c>
      <c r="F61" s="23">
        <f>B61/E61</f>
        <v>1.5193517117468927E-19</v>
      </c>
      <c r="G61" s="67">
        <f>(F61-Costanti!$C$12)^2</f>
        <v>6.830739551168716E-41</v>
      </c>
      <c r="L61" s="85">
        <f t="shared" si="6"/>
        <v>1.1399815853656774E-18</v>
      </c>
      <c r="M61" s="99">
        <f>B86</f>
        <v>1.2384497868191875E-18</v>
      </c>
    </row>
    <row r="62" spans="2:13">
      <c r="B62" s="100">
        <f>'Misure Gocce'!AL14</f>
        <v>1.0876405130644978E-18</v>
      </c>
      <c r="C62" s="30">
        <f>B62/Costanti!$C$12</f>
        <v>6.7892666233738943</v>
      </c>
      <c r="D62" s="23">
        <f>C62+0.5</f>
        <v>7.2892666233738943</v>
      </c>
      <c r="E62" s="11">
        <f>INT(D62)</f>
        <v>7</v>
      </c>
      <c r="F62" s="23">
        <f>B62/E62</f>
        <v>1.5537721615207112E-19</v>
      </c>
      <c r="G62" s="67">
        <f>(F62-Costanti!$C$12)^2</f>
        <v>2.3259244043843683E-41</v>
      </c>
      <c r="L62" s="85">
        <f t="shared" si="6"/>
        <v>1.3341133421566946E-18</v>
      </c>
      <c r="M62" s="99">
        <f t="shared" si="8"/>
        <v>1.3652711951685999E-18</v>
      </c>
    </row>
    <row r="63" spans="2:13">
      <c r="B63" s="99">
        <f>'Misure Gocce'!AL17</f>
        <v>2.787399736133919E-19</v>
      </c>
      <c r="C63" s="30">
        <f>B63/Costanti!$C$12</f>
        <v>1.7399498977115599</v>
      </c>
      <c r="D63" s="23">
        <f>C63+0.5</f>
        <v>2.2399498977115599</v>
      </c>
      <c r="E63" s="11">
        <f>INT(D63)</f>
        <v>2</v>
      </c>
      <c r="F63" s="23">
        <f>B63/E63</f>
        <v>1.3936998680669595E-19</v>
      </c>
      <c r="G63" s="67">
        <f>(F63-Costanti!$C$12)^2</f>
        <v>4.3388944963322077E-40</v>
      </c>
      <c r="L63" s="85">
        <f t="shared" si="6"/>
        <v>1.2816735626985753E-18</v>
      </c>
      <c r="M63" s="99">
        <f>B94</f>
        <v>6.9591315433559181E-19</v>
      </c>
    </row>
    <row r="64" spans="2:13">
      <c r="B64" s="99">
        <f>'Misure Gocce'!AL18</f>
        <v>3.0559987692377853E-19</v>
      </c>
      <c r="C64" s="30">
        <f>B64/Costanti!$C$12</f>
        <v>1.9076147123831368</v>
      </c>
      <c r="D64" s="23">
        <f>C64+0.5</f>
        <v>2.4076147123831371</v>
      </c>
      <c r="E64" s="11">
        <f>INT(D64)</f>
        <v>2</v>
      </c>
      <c r="F64" s="23">
        <f>B64/E64</f>
        <v>1.5279993846188927E-19</v>
      </c>
      <c r="G64" s="67">
        <f>(F64-Costanti!$C$12)^2</f>
        <v>5.4760910767825748E-41</v>
      </c>
      <c r="L64" s="85">
        <f t="shared" si="6"/>
        <v>1.2167973512473364E-18</v>
      </c>
      <c r="M64" s="99">
        <f>B95</f>
        <v>5.0930025809201107E-19</v>
      </c>
    </row>
    <row r="65" spans="2:13">
      <c r="B65" s="99">
        <f>'Misure Gocce'!AL19</f>
        <v>3.0213276197480725E-19</v>
      </c>
      <c r="C65" s="30">
        <f>B65/Costanti!$C$12</f>
        <v>1.8859722969713311</v>
      </c>
      <c r="D65" s="23">
        <f>C65+0.5</f>
        <v>2.3859722969713308</v>
      </c>
      <c r="E65" s="11">
        <f>INT(D65)</f>
        <v>2</v>
      </c>
      <c r="F65" s="23">
        <f>B65/E65</f>
        <v>1.5106638098740362E-19</v>
      </c>
      <c r="G65" s="67">
        <f>(F65-Costanti!$C$12)^2</f>
        <v>8.3422996267261957E-41</v>
      </c>
      <c r="L65" s="85">
        <f t="shared" si="6"/>
        <v>1.3529981556509151E-18</v>
      </c>
      <c r="M65" s="99">
        <f>B96</f>
        <v>5.4029100628278368E-19</v>
      </c>
    </row>
    <row r="66" spans="2:13">
      <c r="B66" s="99">
        <f>'Misure Gocce'!AL20</f>
        <v>3.1097467900427076E-19</v>
      </c>
      <c r="C66" s="30">
        <f>B66/Costanti!$C$12</f>
        <v>1.9411652871677327</v>
      </c>
      <c r="D66" s="23">
        <f>C66+0.5</f>
        <v>2.441165287167733</v>
      </c>
      <c r="E66" s="11">
        <f>INT(D66)</f>
        <v>2</v>
      </c>
      <c r="F66" s="23">
        <f>B66/E66</f>
        <v>1.5548733950213538E-19</v>
      </c>
      <c r="G66" s="67">
        <f>(F66-Costanti!$C$12)^2</f>
        <v>2.2209168968133575E-41</v>
      </c>
      <c r="L66" s="85">
        <f>B86</f>
        <v>1.2384497868191875E-18</v>
      </c>
      <c r="M66" s="99">
        <f>B97</f>
        <v>6.8332004630237121E-19</v>
      </c>
    </row>
    <row r="67" spans="2:13">
      <c r="B67" s="99">
        <f>'Misure Gocce'!AL21</f>
        <v>3.7768858038361579E-19</v>
      </c>
      <c r="C67" s="30">
        <f>B67/Costanti!$C$12</f>
        <v>2.3576066191236942</v>
      </c>
      <c r="D67" s="23">
        <f>C67+0.5</f>
        <v>2.8576066191236942</v>
      </c>
      <c r="E67" s="11">
        <f>INT(D67)</f>
        <v>2</v>
      </c>
      <c r="F67" s="23">
        <f>B67/E67</f>
        <v>1.888442901918079E-19</v>
      </c>
      <c r="G67" s="67">
        <f>(F67-Costanti!$C$12)^2</f>
        <v>8.2049536059250209E-40</v>
      </c>
      <c r="L67" s="85">
        <f t="shared" si="6"/>
        <v>1.3652711951685999E-18</v>
      </c>
      <c r="M67" s="99">
        <f>B98</f>
        <v>7.8407992581523676E-19</v>
      </c>
    </row>
    <row r="68" spans="2:13">
      <c r="B68" s="101">
        <f>'Misure Gocce'!AL24</f>
        <v>3.3160778065127912E-19</v>
      </c>
      <c r="C68" s="30">
        <f>B68/Costanti!$C$12</f>
        <v>2.0699611775984965</v>
      </c>
      <c r="D68" s="23">
        <f>C68+0.5</f>
        <v>2.5699611775984965</v>
      </c>
      <c r="E68" s="11">
        <f>INT(D68)</f>
        <v>2</v>
      </c>
      <c r="F68" s="23">
        <f>B68/E68</f>
        <v>1.6580389032563956E-19</v>
      </c>
      <c r="G68" s="67">
        <f>(F68-Costanti!$C$12)^2</f>
        <v>3.1403586781796656E-41</v>
      </c>
      <c r="L68" s="85">
        <f>B93</f>
        <v>3.8540661802627867E-19</v>
      </c>
      <c r="M68" s="99">
        <f>B99</f>
        <v>8.1108919365588584E-19</v>
      </c>
    </row>
    <row r="69" spans="2:13">
      <c r="B69" s="101">
        <f>'Misure Gocce'!AL25</f>
        <v>3.3319224209056843E-19</v>
      </c>
      <c r="C69" s="30">
        <f>B69/Costanti!$C$12</f>
        <v>2.0798516984429991</v>
      </c>
      <c r="D69" s="23">
        <f>C69+0.5</f>
        <v>2.5798516984429991</v>
      </c>
      <c r="E69" s="11">
        <f>INT(D69)</f>
        <v>2</v>
      </c>
      <c r="F69" s="23">
        <f>B69/E69</f>
        <v>1.6659612104528422E-19</v>
      </c>
      <c r="G69" s="67">
        <f>(F69-Costanti!$C$12)^2</f>
        <v>4.0910364425927694E-41</v>
      </c>
      <c r="L69" s="85">
        <f t="shared" ref="L69:L76" si="9">B94</f>
        <v>6.9591315433559181E-19</v>
      </c>
      <c r="M69" s="99">
        <f>B100</f>
        <v>8.0269776463974521E-19</v>
      </c>
    </row>
    <row r="70" spans="2:13">
      <c r="B70" s="101">
        <f>'Misure Gocce'!AL26</f>
        <v>3.3908160469457056E-19</v>
      </c>
      <c r="C70" s="30">
        <f>B70/Costanti!$C$12</f>
        <v>2.1166142615141732</v>
      </c>
      <c r="D70" s="23">
        <f>C70+0.5</f>
        <v>2.6166142615141732</v>
      </c>
      <c r="E70" s="11">
        <f>INT(D70)</f>
        <v>2</v>
      </c>
      <c r="F70" s="23">
        <f>B70/E70</f>
        <v>1.6954080234728528E-19</v>
      </c>
      <c r="G70" s="67">
        <f>(F70-Costanti!$C$12)^2</f>
        <v>8.7250588491050274E-41</v>
      </c>
      <c r="L70" s="85">
        <f t="shared" si="9"/>
        <v>5.0930025809201107E-19</v>
      </c>
      <c r="M70" s="99">
        <f>B101</f>
        <v>8.2121411524509757E-19</v>
      </c>
    </row>
    <row r="71" spans="2:13">
      <c r="B71" s="101">
        <f>'Misure Gocce'!AL27</f>
        <v>3.3577328122621281E-19</v>
      </c>
      <c r="C71" s="30">
        <f>B71/Costanti!$C$12</f>
        <v>2.0959630538465222</v>
      </c>
      <c r="D71" s="23">
        <f>C71+0.5</f>
        <v>2.5959630538465222</v>
      </c>
      <c r="E71" s="11">
        <f>INT(D71)</f>
        <v>2</v>
      </c>
      <c r="F71" s="23">
        <f>B71/E71</f>
        <v>1.6788664061310641E-19</v>
      </c>
      <c r="G71" s="67">
        <f>(F71-Costanti!$C$12)^2</f>
        <v>5.9084443915056863E-41</v>
      </c>
      <c r="L71" s="85">
        <f t="shared" si="9"/>
        <v>5.4029100628278368E-19</v>
      </c>
      <c r="M71" s="102">
        <f>B102</f>
        <v>8.0686120442083039E-19</v>
      </c>
    </row>
    <row r="72" spans="2:13">
      <c r="B72" s="101">
        <f>'Misure Gocce'!AL28</f>
        <v>3.364275530182791E-19</v>
      </c>
      <c r="C72" s="30">
        <f>B72/Costanti!$C$12</f>
        <v>2.1000471474299571</v>
      </c>
      <c r="D72" s="23">
        <f>C72+0.5</f>
        <v>2.6000471474299571</v>
      </c>
      <c r="E72" s="11">
        <f>INT(D72)</f>
        <v>2</v>
      </c>
      <c r="F72" s="23">
        <f>B72/E72</f>
        <v>1.6821377650913955E-19</v>
      </c>
      <c r="G72" s="67">
        <f>(F72-Costanti!$C$12)^2</f>
        <v>6.422061393843693E-41</v>
      </c>
      <c r="L72" s="99">
        <f t="shared" si="9"/>
        <v>6.8332004630237121E-19</v>
      </c>
    </row>
    <row r="73" spans="2:13">
      <c r="B73" s="99">
        <f>'Misure Gocce'!AL31</f>
        <v>9.6937267183786253E-19</v>
      </c>
      <c r="C73" s="30">
        <f>B73/Costanti!$C$12</f>
        <v>6.0510154296995164</v>
      </c>
      <c r="D73" s="23">
        <f>C73+0.5</f>
        <v>6.5510154296995164</v>
      </c>
      <c r="E73" s="11">
        <f>INT(D73)</f>
        <v>6</v>
      </c>
      <c r="F73" s="23">
        <f>B73/E73</f>
        <v>1.6156211197297709E-19</v>
      </c>
      <c r="G73" s="67">
        <f>(F73-Costanti!$C$12)^2</f>
        <v>1.8553490269275431E-42</v>
      </c>
      <c r="L73" s="99">
        <f t="shared" si="9"/>
        <v>7.8407992581523676E-19</v>
      </c>
    </row>
    <row r="74" spans="2:13">
      <c r="B74" s="99">
        <f>'Misure Gocce'!AL32</f>
        <v>8.4281317463815957E-19</v>
      </c>
      <c r="C74" s="30">
        <f>B74/Costanti!$C$12</f>
        <v>5.2610060838836432</v>
      </c>
      <c r="D74" s="23">
        <f>C74+0.5</f>
        <v>5.7610060838836432</v>
      </c>
      <c r="E74" s="11">
        <f>INT(D74)</f>
        <v>5</v>
      </c>
      <c r="F74" s="23">
        <f>B74/E74</f>
        <v>1.6856263492763192E-19</v>
      </c>
      <c r="G74" s="67">
        <f>(F74-Costanti!$C$12)^2</f>
        <v>6.9933662932849426E-41</v>
      </c>
      <c r="L74" s="99">
        <f t="shared" si="9"/>
        <v>8.1108919365588584E-19</v>
      </c>
    </row>
    <row r="75" spans="2:13">
      <c r="B75" s="99">
        <f>'Misure Gocce'!AL33</f>
        <v>9.5743371719038526E-19</v>
      </c>
      <c r="C75" s="30">
        <f>B75/Costanti!$C$12</f>
        <v>5.9764901197901699</v>
      </c>
      <c r="D75" s="23">
        <f>C75+0.5</f>
        <v>6.4764901197901699</v>
      </c>
      <c r="E75" s="11">
        <f>INT(D75)</f>
        <v>6</v>
      </c>
      <c r="F75" s="23">
        <f>B75/E75</f>
        <v>1.5957228619839754E-19</v>
      </c>
      <c r="G75" s="67">
        <f>(F75-Costanti!$C$12)^2</f>
        <v>3.9402461672220472E-43</v>
      </c>
      <c r="L75" s="99">
        <f t="shared" si="9"/>
        <v>8.0269776463974521E-19</v>
      </c>
    </row>
    <row r="76" spans="2:13">
      <c r="B76" s="99">
        <f>'Misure Gocce'!AL34</f>
        <v>7.8195361020199446E-19</v>
      </c>
      <c r="C76" s="30">
        <f>B76/Costanti!$C$12</f>
        <v>4.8811086779150719</v>
      </c>
      <c r="D76" s="23">
        <f>C76+0.5</f>
        <v>5.3811086779150719</v>
      </c>
      <c r="E76" s="11">
        <f>INT(D76)</f>
        <v>5</v>
      </c>
      <c r="F76" s="23">
        <f>B76/E76</f>
        <v>1.563907220403989E-19</v>
      </c>
      <c r="G76" s="67">
        <f>(F76-Costanti!$C$12)^2</f>
        <v>1.4510598573502721E-41</v>
      </c>
      <c r="L76" s="99">
        <f t="shared" si="9"/>
        <v>8.2121411524509757E-19</v>
      </c>
    </row>
    <row r="77" spans="2:13">
      <c r="B77" s="99">
        <f>'Misure Gocce'!AL35</f>
        <v>8.4865657484670448E-19</v>
      </c>
      <c r="C77" s="30">
        <f>B77/Costanti!$C$12</f>
        <v>5.2974817406161332</v>
      </c>
      <c r="D77" s="23">
        <f>C77+0.5</f>
        <v>5.7974817406161332</v>
      </c>
      <c r="E77" s="11">
        <f>INT(D77)</f>
        <v>5</v>
      </c>
      <c r="F77" s="23">
        <f>B77/E77</f>
        <v>1.697313149693409E-19</v>
      </c>
      <c r="G77" s="67">
        <f>(F77-Costanti!$C$12)^2</f>
        <v>9.0845965044781992E-41</v>
      </c>
      <c r="L77" s="102">
        <f>B102</f>
        <v>8.0686120442083039E-19</v>
      </c>
    </row>
    <row r="78" spans="2:13">
      <c r="B78" s="99">
        <f>'Misure Gocce'!AL38</f>
        <v>1.1445596792592653E-18</v>
      </c>
      <c r="C78" s="30">
        <f>B78/Costanti!$C$12</f>
        <v>7.1445672862625802</v>
      </c>
      <c r="D78" s="23">
        <f>C78+0.5</f>
        <v>7.6445672862625802</v>
      </c>
      <c r="E78" s="11">
        <f>INT(D78)</f>
        <v>7</v>
      </c>
      <c r="F78" s="23">
        <f>B78/E78</f>
        <v>1.6350852560846647E-19</v>
      </c>
      <c r="G78" s="67">
        <f>(F78-Costanti!$C$12)^2</f>
        <v>1.094634170187845E-41</v>
      </c>
    </row>
    <row r="79" spans="2:13">
      <c r="B79" s="99">
        <f>'Misure Gocce'!AL39</f>
        <v>1.1586299678313013E-18</v>
      </c>
      <c r="C79" s="30">
        <f>B79/Costanti!$C$12</f>
        <v>7.2323968029419552</v>
      </c>
      <c r="D79" s="23">
        <f>C79+0.5</f>
        <v>7.7323968029419552</v>
      </c>
      <c r="E79" s="11">
        <f>INT(D79)</f>
        <v>7</v>
      </c>
      <c r="F79" s="23">
        <f>B79/E79</f>
        <v>1.6551856683304303E-19</v>
      </c>
      <c r="G79" s="67">
        <f>(F79-Costanti!$C$12)^2</f>
        <v>2.8287153157545415E-41</v>
      </c>
    </row>
    <row r="80" spans="2:13">
      <c r="B80" s="99">
        <f>'Misure Gocce'!AL40</f>
        <v>1.2674663463327647E-18</v>
      </c>
      <c r="C80" s="30">
        <f>B80/Costanti!$C$12</f>
        <v>7.9117749458974078</v>
      </c>
      <c r="D80" s="23">
        <f>C80+0.5</f>
        <v>8.4117749458974078</v>
      </c>
      <c r="E80" s="11">
        <f>INT(D80)</f>
        <v>8</v>
      </c>
      <c r="F80" s="23">
        <f>B80/E80</f>
        <v>1.5843329329159559E-19</v>
      </c>
      <c r="G80" s="67">
        <f>(F80-Costanti!$C$12)^2</f>
        <v>3.1212525935211461E-42</v>
      </c>
    </row>
    <row r="81" spans="2:7">
      <c r="B81" s="99">
        <f>'Misure Gocce'!AL41</f>
        <v>1.1399815853656774E-18</v>
      </c>
      <c r="C81" s="30">
        <f>B81/Costanti!$C$12</f>
        <v>7.1159899211340658</v>
      </c>
      <c r="D81" s="23">
        <f>C81+0.5</f>
        <v>7.6159899211340658</v>
      </c>
      <c r="E81" s="11">
        <f>INT(D81)</f>
        <v>7</v>
      </c>
      <c r="F81" s="23">
        <f>B81/E81</f>
        <v>1.6285451219509677E-19</v>
      </c>
      <c r="G81" s="67">
        <f>(F81-Costanti!$C$12)^2</f>
        <v>7.046434993917499E-42</v>
      </c>
    </row>
    <row r="82" spans="2:7">
      <c r="B82" s="99">
        <f>'Misure Gocce'!AL42</f>
        <v>1.3341133421566946E-18</v>
      </c>
      <c r="C82" s="30">
        <f>B82/Costanti!$C$12</f>
        <v>8.3277986401791182</v>
      </c>
      <c r="D82" s="23">
        <f>C82+0.5</f>
        <v>8.8277986401791182</v>
      </c>
      <c r="E82" s="11">
        <f>INT(D82)</f>
        <v>8</v>
      </c>
      <c r="F82" s="23">
        <f>B82/E82</f>
        <v>1.6676416776958683E-19</v>
      </c>
      <c r="G82" s="67">
        <f>(F82-Costanti!$C$12)^2</f>
        <v>4.3088298507282505E-41</v>
      </c>
    </row>
    <row r="83" spans="2:7">
      <c r="B83" s="99">
        <f>'Misure Gocce'!AL45</f>
        <v>1.2816735626985753E-18</v>
      </c>
      <c r="C83" s="30">
        <f>B83/Costanti!$C$12</f>
        <v>8.0004591928750024</v>
      </c>
      <c r="D83" s="23">
        <f>C83+0.5</f>
        <v>8.5004591928750024</v>
      </c>
      <c r="E83" s="11">
        <f>INT(D83)</f>
        <v>8</v>
      </c>
      <c r="F83" s="23">
        <f>B83/E83</f>
        <v>1.6020919533732191E-19</v>
      </c>
      <c r="G83" s="67">
        <f>(F83-Costanti!$C$12)^2</f>
        <v>8.4554228463812449E-47</v>
      </c>
    </row>
    <row r="84" spans="2:7">
      <c r="B84" s="99">
        <f>'Misure Gocce'!AL46</f>
        <v>1.2167973512473364E-18</v>
      </c>
      <c r="C84" s="30">
        <f>B84/Costanti!$C$12</f>
        <v>7.5954890839409268</v>
      </c>
      <c r="D84" s="23">
        <f>C84+0.5</f>
        <v>8.0954890839409259</v>
      </c>
      <c r="E84" s="11">
        <f>INT(D84)</f>
        <v>8</v>
      </c>
      <c r="F84" s="23">
        <f>B84/E84</f>
        <v>1.5209966890591705E-19</v>
      </c>
      <c r="G84" s="67">
        <f>(F84-Costanti!$C$12)^2</f>
        <v>6.5615363833767053E-41</v>
      </c>
    </row>
    <row r="85" spans="2:7">
      <c r="B85" s="99">
        <f>'Misure Gocce'!AL47</f>
        <v>1.3529981556509151E-18</v>
      </c>
      <c r="C85" s="30">
        <f>B85/Costanti!$C$12</f>
        <v>8.4456813711043388</v>
      </c>
      <c r="D85" s="23">
        <f>C85+0.5</f>
        <v>8.9456813711043388</v>
      </c>
      <c r="E85" s="11">
        <f>INT(D85)</f>
        <v>8</v>
      </c>
      <c r="F85" s="23">
        <f>B85/E85</f>
        <v>1.6912476945636438E-19</v>
      </c>
      <c r="G85" s="67">
        <f>(F85-Costanti!$C$12)^2</f>
        <v>7.9651509849254636E-41</v>
      </c>
    </row>
    <row r="86" spans="2:7">
      <c r="B86" s="99">
        <f>'Misure Gocce'!AL48</f>
        <v>1.2384497868191875E-18</v>
      </c>
      <c r="C86" s="30">
        <f>B86/Costanti!$C$12</f>
        <v>7.7306478577976749</v>
      </c>
      <c r="D86" s="23">
        <f>C86+0.5</f>
        <v>8.230647857797674</v>
      </c>
      <c r="E86" s="11">
        <f>INT(D86)</f>
        <v>8</v>
      </c>
      <c r="F86" s="23">
        <f>B86/E86</f>
        <v>1.5480622335239843E-19</v>
      </c>
      <c r="G86" s="67">
        <f>(F86-Costanti!$C$12)^2</f>
        <v>2.9092826524211987E-41</v>
      </c>
    </row>
    <row r="87" spans="2:7">
      <c r="B87" s="99">
        <f>'Misure Gocce'!AL49</f>
        <v>1.3652711951685999E-18</v>
      </c>
      <c r="C87" s="30">
        <f>B87/Costanti!$C$12</f>
        <v>8.5222921046729088</v>
      </c>
      <c r="D87" s="23">
        <f>C87+0.5</f>
        <v>9.0222921046729088</v>
      </c>
      <c r="E87" s="11">
        <f>INT(D87)</f>
        <v>9</v>
      </c>
      <c r="F87" s="23">
        <f>B87/E87</f>
        <v>1.5169679946317776E-19</v>
      </c>
      <c r="G87" s="67">
        <f>(F87-Costanti!$C$12)^2</f>
        <v>7.2304419369413948E-41</v>
      </c>
    </row>
    <row r="88" spans="2:7">
      <c r="B88" s="100">
        <f>'Misure Gocce'!AL52</f>
        <v>1.9283075945560815E-18</v>
      </c>
      <c r="C88" s="30">
        <f>B88/Costanti!$C$12</f>
        <v>12.036876370512369</v>
      </c>
      <c r="D88" s="23">
        <f>C88+0.5</f>
        <v>12.536876370512369</v>
      </c>
      <c r="E88" s="11">
        <f>INT(D88)</f>
        <v>12</v>
      </c>
      <c r="F88" s="23">
        <f>B88/E88</f>
        <v>1.6069229954634013E-19</v>
      </c>
      <c r="G88" s="67">
        <f>(F88-Costanti!$C$12)^2</f>
        <v>2.4235884332670203E-43</v>
      </c>
    </row>
    <row r="89" spans="2:7">
      <c r="B89" s="100">
        <f>'Misure Gocce'!AL53</f>
        <v>1.9283075945560815E-18</v>
      </c>
      <c r="C89" s="30">
        <f>B89/Costanti!$C$12</f>
        <v>12.036876370512369</v>
      </c>
      <c r="D89" s="23">
        <f>C89+0.5</f>
        <v>12.536876370512369</v>
      </c>
      <c r="E89" s="11">
        <f>INT(D89)</f>
        <v>12</v>
      </c>
      <c r="F89" s="23">
        <f>B89/E89</f>
        <v>1.6069229954634013E-19</v>
      </c>
      <c r="G89" s="67">
        <f>(F89-Costanti!$C$12)^2</f>
        <v>2.4235884332670203E-43</v>
      </c>
    </row>
    <row r="90" spans="2:7">
      <c r="B90" s="100">
        <f>'Misure Gocce'!AL54</f>
        <v>1.9283075945560815E-18</v>
      </c>
      <c r="C90" s="30">
        <f>B90/Costanti!$C$12</f>
        <v>12.036876370512369</v>
      </c>
      <c r="D90" s="23">
        <f>C90+0.5</f>
        <v>12.536876370512369</v>
      </c>
      <c r="E90" s="11">
        <f>INT(D90)</f>
        <v>12</v>
      </c>
      <c r="F90" s="23">
        <f>B90/E90</f>
        <v>1.6069229954634013E-19</v>
      </c>
      <c r="G90" s="67">
        <f>(F90-Costanti!$C$12)^2</f>
        <v>2.4235884332670203E-43</v>
      </c>
    </row>
    <row r="91" spans="2:7">
      <c r="B91" s="100">
        <f>'Misure Gocce'!AL55</f>
        <v>1.9283075945560815E-18</v>
      </c>
      <c r="C91" s="30">
        <f>B91/Costanti!$C$12</f>
        <v>12.036876370512369</v>
      </c>
      <c r="D91" s="23">
        <f>C91+0.5</f>
        <v>12.536876370512369</v>
      </c>
      <c r="E91" s="11">
        <f>INT(D91)</f>
        <v>12</v>
      </c>
      <c r="F91" s="23">
        <f>B91/E91</f>
        <v>1.6069229954634013E-19</v>
      </c>
      <c r="G91" s="67">
        <f>(F91-Costanti!$C$12)^2</f>
        <v>2.4235884332670203E-43</v>
      </c>
    </row>
    <row r="92" spans="2:7">
      <c r="B92" s="100">
        <f>'Misure Gocce'!AL56</f>
        <v>1.9283075945560815E-18</v>
      </c>
      <c r="C92" s="30">
        <f>B92/Costanti!$C$12</f>
        <v>12.036876370512369</v>
      </c>
      <c r="D92" s="23">
        <f>C92+0.5</f>
        <v>12.536876370512369</v>
      </c>
      <c r="E92" s="11">
        <f>INT(D92)</f>
        <v>12</v>
      </c>
      <c r="F92" s="23">
        <f>B92/E92</f>
        <v>1.6069229954634013E-19</v>
      </c>
      <c r="G92" s="67">
        <f>(F92-Costanti!$C$12)^2</f>
        <v>2.4235884332670203E-43</v>
      </c>
    </row>
    <row r="93" spans="2:7">
      <c r="B93" s="101">
        <f>'Misure Gocce'!AL59</f>
        <v>3.8540661802627867E-19</v>
      </c>
      <c r="C93" s="30">
        <f>B93/Costanti!$C$12</f>
        <v>2.4057841324986184</v>
      </c>
      <c r="D93" s="23">
        <f>C93+0.5</f>
        <v>2.9057841324986184</v>
      </c>
      <c r="E93" s="11">
        <f>INT(D93)</f>
        <v>2</v>
      </c>
      <c r="F93" s="23">
        <f>B93/E93</f>
        <v>1.9270330901313933E-19</v>
      </c>
      <c r="G93" s="67">
        <f>(F93-Costanti!$C$12)^2</f>
        <v>1.0564650968036249E-39</v>
      </c>
    </row>
    <row r="94" spans="2:7">
      <c r="B94" s="99">
        <f>'Misure Gocce'!AL60</f>
        <v>6.9591315433559181E-19</v>
      </c>
      <c r="C94" s="30">
        <f>B94/Costanti!$C$12</f>
        <v>4.3440271806216719</v>
      </c>
      <c r="D94" s="23">
        <f>C94+0.5</f>
        <v>4.8440271806216719</v>
      </c>
      <c r="E94" s="11">
        <f>INT(D94)</f>
        <v>4</v>
      </c>
      <c r="F94" s="23">
        <f>B94/E94</f>
        <v>1.7397828858389795E-19</v>
      </c>
      <c r="G94" s="67">
        <f>(F94-Costanti!$C$12)^2</f>
        <v>1.8984123630117267E-40</v>
      </c>
    </row>
    <row r="95" spans="2:7">
      <c r="B95" s="99">
        <f>'Misure Gocce'!AL61</f>
        <v>5.0930025809201107E-19</v>
      </c>
      <c r="C95" s="30">
        <f>B95/Costanti!$C$12</f>
        <v>3.1791526722347756</v>
      </c>
      <c r="D95" s="23">
        <f>C95+0.5</f>
        <v>3.6791526722347756</v>
      </c>
      <c r="E95" s="11">
        <f>INT(D95)</f>
        <v>3</v>
      </c>
      <c r="F95" s="23">
        <f>B95/E95</f>
        <v>1.6976675269733702E-19</v>
      </c>
      <c r="G95" s="67">
        <f>(F95-Costanti!$C$12)^2</f>
        <v>9.152275717200525E-41</v>
      </c>
    </row>
    <row r="96" spans="2:7">
      <c r="B96" s="99">
        <f>'Misure Gocce'!AL62</f>
        <v>5.4029100628278368E-19</v>
      </c>
      <c r="C96" s="30">
        <f>B96/Costanti!$C$12</f>
        <v>3.3726030354730567</v>
      </c>
      <c r="D96" s="23">
        <f>C96+0.5</f>
        <v>3.8726030354730567</v>
      </c>
      <c r="E96" s="11">
        <f>INT(D96)</f>
        <v>3</v>
      </c>
      <c r="F96" s="23">
        <f>B96/E96</f>
        <v>1.8009700209426123E-19</v>
      </c>
      <c r="G96" s="67">
        <f>(F96-Costanti!$C$12)^2</f>
        <v>3.9589069233903597E-40</v>
      </c>
    </row>
    <row r="97" spans="2:7">
      <c r="B97" s="99">
        <f>'Misure Gocce'!AL63</f>
        <v>6.8332004630237121E-19</v>
      </c>
      <c r="C97" s="30">
        <f>B97/Costanti!$C$12</f>
        <v>4.2654185162445142</v>
      </c>
      <c r="D97" s="23">
        <f>C97+0.5</f>
        <v>4.7654185162445142</v>
      </c>
      <c r="E97" s="11">
        <f>INT(D97)</f>
        <v>4</v>
      </c>
      <c r="F97" s="23">
        <f>B97/E97</f>
        <v>1.708300115755928E-19</v>
      </c>
      <c r="G97" s="67">
        <f>(F97-Costanti!$C$12)^2</f>
        <v>1.1299714609723703E-40</v>
      </c>
    </row>
    <row r="98" spans="2:7">
      <c r="B98" s="99">
        <f>'Misure Gocce'!AL66</f>
        <v>7.8407992581523676E-19</v>
      </c>
      <c r="C98" s="30">
        <f>B98/Costanti!$C$12</f>
        <v>4.8943815593959847</v>
      </c>
      <c r="D98" s="23">
        <f>C98+0.5</f>
        <v>5.3943815593959847</v>
      </c>
      <c r="E98" s="11">
        <f>INT(D98)</f>
        <v>5</v>
      </c>
      <c r="F98" s="23">
        <f>B98/E98</f>
        <v>1.5681598516304735E-19</v>
      </c>
      <c r="G98" s="67">
        <f>(F98-Costanti!$C$12)^2</f>
        <v>1.1451556416715681E-41</v>
      </c>
    </row>
    <row r="99" spans="2:7">
      <c r="B99" s="99">
        <f>'Misure Gocce'!AL67</f>
        <v>8.1108919365588584E-19</v>
      </c>
      <c r="C99" s="30">
        <f>B99/Costanti!$C$12</f>
        <v>5.0629787369281267</v>
      </c>
      <c r="D99" s="23">
        <f>C99+0.5</f>
        <v>5.5629787369281267</v>
      </c>
      <c r="E99" s="11">
        <f>INT(D99)</f>
        <v>5</v>
      </c>
      <c r="F99" s="23">
        <f>B99/E99</f>
        <v>1.6221783873117717E-19</v>
      </c>
      <c r="G99" s="67">
        <f>(F99-Costanti!$C$12)^2</f>
        <v>4.0716731450386936E-42</v>
      </c>
    </row>
    <row r="100" spans="2:7">
      <c r="B100" s="99">
        <f>'Misure Gocce'!AL68</f>
        <v>8.0269776463974521E-19</v>
      </c>
      <c r="C100" s="30">
        <f>B100/Costanti!$C$12</f>
        <v>5.0105977817711933</v>
      </c>
      <c r="D100" s="23">
        <f>C100+0.5</f>
        <v>5.5105977817711933</v>
      </c>
      <c r="E100" s="11">
        <f>INT(D100)</f>
        <v>5</v>
      </c>
      <c r="F100" s="23">
        <f>B100/E100</f>
        <v>1.6053955292794904E-19</v>
      </c>
      <c r="G100" s="67">
        <f>(F100-Costanti!$C$12)^2</f>
        <v>1.1529619087876882E-43</v>
      </c>
    </row>
    <row r="101" spans="2:7">
      <c r="B101" s="99">
        <f>'Misure Gocce'!AL69</f>
        <v>8.2121411524509757E-19</v>
      </c>
      <c r="C101" s="30">
        <f>B101/Costanti!$C$12</f>
        <v>5.1261804946635303</v>
      </c>
      <c r="D101" s="23">
        <f>C101+0.5</f>
        <v>5.6261804946635303</v>
      </c>
      <c r="E101" s="11">
        <f>INT(D101)</f>
        <v>5</v>
      </c>
      <c r="F101" s="23">
        <f>B101/E101</f>
        <v>1.6424282304901952E-19</v>
      </c>
      <c r="G101" s="67">
        <f>(F101-Costanti!$C$12)^2</f>
        <v>1.6344418205683492E-41</v>
      </c>
    </row>
    <row r="102" spans="2:7">
      <c r="B102" s="102">
        <f>'Misure Gocce'!AL70</f>
        <v>8.0686120442083039E-19</v>
      </c>
      <c r="C102" s="57">
        <f>B102/Costanti!$C$12</f>
        <v>5.0365867941375182</v>
      </c>
      <c r="D102" s="24">
        <f>C102+0.5</f>
        <v>5.5365867941375182</v>
      </c>
      <c r="E102" s="8">
        <f>INT(D102)</f>
        <v>5</v>
      </c>
      <c r="F102" s="24">
        <f>B102/E102</f>
        <v>1.6137224088416608E-19</v>
      </c>
      <c r="G102" s="68">
        <f>(F102-Costanti!$C$12)^2</f>
        <v>1.3741486905104725E-42</v>
      </c>
    </row>
    <row r="103" spans="2:7">
      <c r="B103" s="30"/>
    </row>
    <row r="104" spans="2:7">
      <c r="B104" s="30"/>
    </row>
    <row r="105" spans="2:7">
      <c r="B105" s="30"/>
    </row>
    <row r="106" spans="2:7">
      <c r="B106" s="30"/>
    </row>
    <row r="107" spans="2:7">
      <c r="B107" s="30"/>
    </row>
    <row r="108" spans="2:7">
      <c r="B108" s="30"/>
    </row>
    <row r="109" spans="2:7">
      <c r="B109" s="30"/>
    </row>
    <row r="110" spans="2:7">
      <c r="B110" s="30"/>
    </row>
    <row r="111" spans="2:7">
      <c r="B111" s="30"/>
    </row>
    <row r="112" spans="2:7">
      <c r="B112" s="30"/>
    </row>
    <row r="113" spans="2:2">
      <c r="B113" s="30"/>
    </row>
    <row r="114" spans="2:2">
      <c r="B114" s="30"/>
    </row>
    <row r="115" spans="2:2">
      <c r="B115" s="30"/>
    </row>
  </sheetData>
  <mergeCells count="2">
    <mergeCell ref="P20:X20"/>
    <mergeCell ref="P35:X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2024-10-06T18:31:47Z</dcterms:created>
  <dcterms:modified xsi:type="dcterms:W3CDTF">2024-10-27T16:07:53Z</dcterms:modified>
  <cp:category/>
  <cp:contentStatus/>
</cp:coreProperties>
</file>